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014\9437\Stage200\Contents\PRE\ESM\"/>
    </mc:Choice>
  </mc:AlternateContent>
  <bookViews>
    <workbookView xWindow="0" yWindow="0" windowWidth="25200" windowHeight="11850"/>
  </bookViews>
  <sheets>
    <sheet name="Identified phosphosites" sheetId="1" r:id="rId1"/>
    <sheet name="Sample labeli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660" i="1" l="1"/>
  <c r="K2659" i="1"/>
  <c r="K2658" i="1"/>
  <c r="K2657" i="1"/>
  <c r="K2656" i="1"/>
  <c r="K2655" i="1"/>
  <c r="K2654" i="1"/>
  <c r="K2653" i="1"/>
  <c r="K2652" i="1"/>
  <c r="K2651" i="1"/>
  <c r="K2650" i="1"/>
  <c r="K2649" i="1"/>
  <c r="K2648" i="1"/>
  <c r="K2647" i="1"/>
  <c r="K2646" i="1"/>
  <c r="K2645" i="1"/>
  <c r="K2644" i="1"/>
  <c r="K2643" i="1"/>
  <c r="K2642" i="1"/>
  <c r="K2641" i="1"/>
  <c r="K2640" i="1"/>
  <c r="K2639" i="1"/>
  <c r="K2638" i="1"/>
  <c r="K2637" i="1"/>
  <c r="K2636" i="1"/>
  <c r="K2635" i="1"/>
  <c r="K2634" i="1"/>
  <c r="K2633" i="1"/>
  <c r="K2632" i="1"/>
  <c r="K2631" i="1"/>
  <c r="K2630" i="1"/>
  <c r="K2629" i="1"/>
  <c r="K2628" i="1"/>
  <c r="K2627" i="1"/>
  <c r="K2626" i="1"/>
  <c r="K2625" i="1"/>
  <c r="K2624" i="1"/>
  <c r="K2623" i="1"/>
  <c r="K2622" i="1"/>
  <c r="K2621" i="1"/>
  <c r="K2620" i="1"/>
  <c r="K2619" i="1"/>
  <c r="K2618" i="1"/>
  <c r="K2617" i="1"/>
  <c r="K2616" i="1"/>
  <c r="K2615" i="1"/>
  <c r="K2614" i="1"/>
  <c r="K2613" i="1"/>
  <c r="K2612" i="1"/>
  <c r="K2611" i="1"/>
  <c r="K2610" i="1"/>
  <c r="K2609" i="1"/>
  <c r="K2608" i="1"/>
  <c r="K2607" i="1"/>
  <c r="K2606" i="1"/>
  <c r="K2605" i="1"/>
  <c r="K2604" i="1"/>
  <c r="K2603" i="1"/>
  <c r="K2602" i="1"/>
  <c r="K2601" i="1"/>
  <c r="K2600" i="1"/>
  <c r="K2599" i="1"/>
  <c r="K2598" i="1"/>
  <c r="K2597" i="1"/>
  <c r="K2596" i="1"/>
  <c r="K2595" i="1"/>
  <c r="K2594" i="1"/>
  <c r="K2593" i="1"/>
  <c r="K2592" i="1"/>
  <c r="K2591" i="1"/>
  <c r="K2590" i="1"/>
  <c r="K2589" i="1"/>
  <c r="K2588" i="1"/>
  <c r="K2587" i="1"/>
  <c r="K2586" i="1"/>
  <c r="K2585" i="1"/>
  <c r="K2584" i="1"/>
  <c r="K2583" i="1"/>
  <c r="K2582" i="1"/>
  <c r="K2581" i="1"/>
  <c r="K2580" i="1"/>
  <c r="K2579" i="1"/>
  <c r="K2578" i="1"/>
  <c r="K2577" i="1"/>
  <c r="K2576" i="1"/>
  <c r="K2575" i="1"/>
  <c r="K2574" i="1"/>
  <c r="K2573" i="1"/>
  <c r="K2572" i="1"/>
  <c r="K2571" i="1"/>
  <c r="K2570" i="1"/>
  <c r="K2569" i="1"/>
  <c r="K2568" i="1"/>
  <c r="K2567" i="1"/>
  <c r="K2566" i="1"/>
  <c r="K2565" i="1"/>
  <c r="K2564" i="1"/>
  <c r="K2563" i="1"/>
  <c r="K2562" i="1"/>
  <c r="K2561" i="1"/>
  <c r="K2560" i="1"/>
  <c r="K2559" i="1"/>
  <c r="K2558" i="1"/>
  <c r="K2557" i="1"/>
  <c r="K2556" i="1"/>
  <c r="K2555" i="1"/>
  <c r="K2554" i="1"/>
  <c r="K2553" i="1"/>
  <c r="K2552" i="1"/>
  <c r="K2551" i="1"/>
  <c r="K2550" i="1"/>
  <c r="K2549" i="1"/>
  <c r="K2548" i="1"/>
  <c r="K2547" i="1"/>
  <c r="K2546" i="1"/>
  <c r="K2545" i="1"/>
  <c r="K2544" i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J2660" i="1"/>
  <c r="J2659" i="1"/>
  <c r="J2658" i="1"/>
  <c r="J2657" i="1"/>
  <c r="J2656" i="1"/>
  <c r="J2655" i="1"/>
  <c r="J2654" i="1"/>
  <c r="J2653" i="1"/>
  <c r="J2652" i="1"/>
  <c r="J2651" i="1"/>
  <c r="J2650" i="1"/>
  <c r="J2649" i="1"/>
  <c r="J2648" i="1"/>
  <c r="J2647" i="1"/>
  <c r="J2646" i="1"/>
  <c r="J2645" i="1"/>
  <c r="J2644" i="1"/>
  <c r="J2643" i="1"/>
  <c r="J2642" i="1"/>
  <c r="J2641" i="1"/>
  <c r="J2640" i="1"/>
  <c r="J2639" i="1"/>
  <c r="J2638" i="1"/>
  <c r="J2637" i="1"/>
  <c r="J2636" i="1"/>
  <c r="J2635" i="1"/>
  <c r="J2634" i="1"/>
  <c r="J2633" i="1"/>
  <c r="J2632" i="1"/>
  <c r="J2631" i="1"/>
  <c r="J2630" i="1"/>
  <c r="J2629" i="1"/>
  <c r="J2628" i="1"/>
  <c r="J2627" i="1"/>
  <c r="J2626" i="1"/>
  <c r="J2625" i="1"/>
  <c r="J2624" i="1"/>
  <c r="J2623" i="1"/>
  <c r="J2622" i="1"/>
  <c r="J2621" i="1"/>
  <c r="J2620" i="1"/>
  <c r="J2619" i="1"/>
  <c r="J2618" i="1"/>
  <c r="J2617" i="1"/>
  <c r="J2616" i="1"/>
  <c r="J2615" i="1"/>
  <c r="J2614" i="1"/>
  <c r="J2613" i="1"/>
  <c r="J2612" i="1"/>
  <c r="J2611" i="1"/>
  <c r="J2610" i="1"/>
  <c r="J2609" i="1"/>
  <c r="J2608" i="1"/>
  <c r="J2607" i="1"/>
  <c r="J2606" i="1"/>
  <c r="J2605" i="1"/>
  <c r="J2604" i="1"/>
  <c r="J2603" i="1"/>
  <c r="J2602" i="1"/>
  <c r="J2601" i="1"/>
  <c r="J2600" i="1"/>
  <c r="J2599" i="1"/>
  <c r="J2598" i="1"/>
  <c r="J2597" i="1"/>
  <c r="J2596" i="1"/>
  <c r="J2595" i="1"/>
  <c r="J2594" i="1"/>
  <c r="J2592" i="1"/>
  <c r="J2591" i="1"/>
  <c r="J2590" i="1"/>
  <c r="J2589" i="1"/>
  <c r="J2588" i="1"/>
  <c r="J2587" i="1"/>
  <c r="J2586" i="1"/>
  <c r="J2585" i="1"/>
  <c r="J2584" i="1"/>
  <c r="J2583" i="1"/>
  <c r="J2582" i="1"/>
  <c r="J2581" i="1"/>
  <c r="J2580" i="1"/>
  <c r="J2579" i="1"/>
  <c r="J2578" i="1"/>
  <c r="J2577" i="1"/>
  <c r="J2576" i="1"/>
  <c r="J2575" i="1"/>
  <c r="J2574" i="1"/>
  <c r="J2573" i="1"/>
  <c r="J2572" i="1"/>
  <c r="J2571" i="1"/>
  <c r="J2570" i="1"/>
  <c r="J2569" i="1"/>
  <c r="J2568" i="1"/>
  <c r="J2567" i="1"/>
  <c r="J2566" i="1"/>
  <c r="J2565" i="1"/>
  <c r="J2564" i="1"/>
  <c r="J2563" i="1"/>
  <c r="J2562" i="1"/>
  <c r="J2561" i="1"/>
  <c r="J2560" i="1"/>
  <c r="J2559" i="1"/>
  <c r="J2558" i="1"/>
  <c r="J2557" i="1"/>
  <c r="J2556" i="1"/>
  <c r="J2555" i="1"/>
  <c r="J2554" i="1"/>
  <c r="J2553" i="1"/>
  <c r="J2552" i="1"/>
  <c r="J2551" i="1"/>
  <c r="J2550" i="1"/>
  <c r="J2549" i="1"/>
  <c r="J2548" i="1"/>
  <c r="J2547" i="1"/>
  <c r="J2546" i="1"/>
  <c r="J2545" i="1"/>
  <c r="J2544" i="1"/>
  <c r="J2543" i="1"/>
  <c r="J2542" i="1"/>
  <c r="J2541" i="1"/>
  <c r="J2540" i="1"/>
  <c r="J2539" i="1"/>
  <c r="J2538" i="1"/>
  <c r="J2537" i="1"/>
  <c r="J2536" i="1"/>
  <c r="J2535" i="1"/>
  <c r="J2534" i="1"/>
  <c r="J2533" i="1"/>
  <c r="J2532" i="1"/>
  <c r="J2531" i="1"/>
  <c r="J2530" i="1"/>
  <c r="J2529" i="1"/>
  <c r="J2528" i="1"/>
  <c r="J2527" i="1"/>
  <c r="J2526" i="1"/>
  <c r="J2525" i="1"/>
  <c r="J2524" i="1"/>
  <c r="J2523" i="1"/>
  <c r="J2522" i="1"/>
  <c r="J2521" i="1"/>
  <c r="J2520" i="1"/>
  <c r="J2519" i="1"/>
  <c r="J2518" i="1"/>
  <c r="J2517" i="1"/>
  <c r="J2516" i="1"/>
  <c r="J2515" i="1"/>
  <c r="J2514" i="1"/>
  <c r="J2513" i="1"/>
  <c r="J2512" i="1"/>
  <c r="J2511" i="1"/>
  <c r="J2510" i="1"/>
  <c r="J2509" i="1"/>
  <c r="J2508" i="1"/>
  <c r="J2507" i="1"/>
  <c r="J2506" i="1"/>
  <c r="J2505" i="1"/>
  <c r="J2504" i="1"/>
  <c r="J2503" i="1"/>
  <c r="J2502" i="1"/>
  <c r="J2501" i="1"/>
  <c r="J2500" i="1"/>
  <c r="J2499" i="1"/>
  <c r="J2498" i="1"/>
  <c r="J2497" i="1"/>
  <c r="J2496" i="1"/>
  <c r="J2495" i="1"/>
  <c r="J2494" i="1"/>
  <c r="J2493" i="1"/>
  <c r="J2492" i="1"/>
  <c r="J2491" i="1"/>
  <c r="J2490" i="1"/>
  <c r="J2489" i="1"/>
  <c r="J2488" i="1"/>
  <c r="J2487" i="1"/>
  <c r="J2486" i="1"/>
  <c r="J2485" i="1"/>
  <c r="J2484" i="1"/>
  <c r="J2483" i="1"/>
  <c r="J2482" i="1"/>
  <c r="J2481" i="1"/>
  <c r="J2480" i="1"/>
  <c r="J2479" i="1"/>
  <c r="J2478" i="1"/>
  <c r="J2477" i="1"/>
  <c r="J2476" i="1"/>
  <c r="J2475" i="1"/>
  <c r="J2474" i="1"/>
  <c r="J2473" i="1"/>
  <c r="J2472" i="1"/>
  <c r="J2471" i="1"/>
  <c r="J2470" i="1"/>
  <c r="J2469" i="1"/>
  <c r="J2468" i="1"/>
  <c r="J2467" i="1"/>
  <c r="J2466" i="1"/>
  <c r="J2465" i="1"/>
  <c r="J2463" i="1"/>
  <c r="J2462" i="1"/>
  <c r="J2461" i="1"/>
  <c r="J2460" i="1"/>
  <c r="J2459" i="1"/>
  <c r="J2458" i="1"/>
  <c r="J2457" i="1"/>
  <c r="J2456" i="1"/>
  <c r="J2455" i="1"/>
  <c r="J2454" i="1"/>
  <c r="J2453" i="1"/>
  <c r="J2452" i="1"/>
  <c r="J2451" i="1"/>
  <c r="J2450" i="1"/>
  <c r="J2449" i="1"/>
  <c r="J2448" i="1"/>
  <c r="J2447" i="1"/>
  <c r="J2446" i="1"/>
  <c r="J2445" i="1"/>
  <c r="J2444" i="1"/>
  <c r="J2443" i="1"/>
  <c r="J2442" i="1"/>
  <c r="J2441" i="1"/>
  <c r="J2440" i="1"/>
  <c r="J2439" i="1"/>
  <c r="J2437" i="1"/>
  <c r="J2436" i="1"/>
  <c r="J2435" i="1"/>
  <c r="J2434" i="1"/>
  <c r="J2433" i="1"/>
  <c r="J2432" i="1"/>
  <c r="J2431" i="1"/>
  <c r="J2430" i="1"/>
  <c r="J2429" i="1"/>
  <c r="J2428" i="1"/>
  <c r="J2427" i="1"/>
  <c r="J2426" i="1"/>
  <c r="J2425" i="1"/>
  <c r="J2424" i="1"/>
  <c r="J2423" i="1"/>
  <c r="J2422" i="1"/>
  <c r="J2421" i="1"/>
  <c r="J2420" i="1"/>
  <c r="J2419" i="1"/>
  <c r="J2418" i="1"/>
  <c r="J2417" i="1"/>
  <c r="J2416" i="1"/>
  <c r="J2415" i="1"/>
  <c r="J2414" i="1"/>
  <c r="J2413" i="1"/>
  <c r="J2412" i="1"/>
  <c r="J2411" i="1"/>
  <c r="J2410" i="1"/>
  <c r="J2409" i="1"/>
  <c r="J2408" i="1"/>
  <c r="J2407" i="1"/>
  <c r="J2406" i="1"/>
  <c r="J2405" i="1"/>
  <c r="J2404" i="1"/>
  <c r="J2403" i="1"/>
  <c r="J2402" i="1"/>
  <c r="J2401" i="1"/>
  <c r="J2400" i="1"/>
  <c r="J2399" i="1"/>
  <c r="J2398" i="1"/>
  <c r="J2397" i="1"/>
  <c r="J2396" i="1"/>
  <c r="J2395" i="1"/>
  <c r="J2394" i="1"/>
  <c r="J2393" i="1"/>
  <c r="J2392" i="1"/>
  <c r="J2391" i="1"/>
  <c r="J2390" i="1"/>
  <c r="J2389" i="1"/>
  <c r="J2388" i="1"/>
  <c r="J2387" i="1"/>
  <c r="J2386" i="1"/>
  <c r="J2385" i="1"/>
  <c r="J2384" i="1"/>
  <c r="J2383" i="1"/>
  <c r="J2382" i="1"/>
  <c r="J2381" i="1"/>
  <c r="J2379" i="1"/>
  <c r="J2378" i="1"/>
  <c r="J2377" i="1"/>
  <c r="J2376" i="1"/>
  <c r="J2375" i="1"/>
  <c r="J2374" i="1"/>
  <c r="J2373" i="1"/>
  <c r="J2372" i="1"/>
  <c r="J2371" i="1"/>
  <c r="J2370" i="1"/>
  <c r="J2369" i="1"/>
  <c r="J2368" i="1"/>
  <c r="J2367" i="1"/>
  <c r="J2366" i="1"/>
  <c r="J2365" i="1"/>
  <c r="J2364" i="1"/>
  <c r="J2363" i="1"/>
  <c r="J2362" i="1"/>
  <c r="J2361" i="1"/>
  <c r="J2360" i="1"/>
  <c r="J2359" i="1"/>
  <c r="J2358" i="1"/>
  <c r="J2357" i="1"/>
  <c r="J2356" i="1"/>
  <c r="J2355" i="1"/>
  <c r="J2354" i="1"/>
  <c r="J2353" i="1"/>
  <c r="J2352" i="1"/>
  <c r="J2351" i="1"/>
  <c r="J2350" i="1"/>
  <c r="J2349" i="1"/>
  <c r="J2348" i="1"/>
  <c r="J2347" i="1"/>
  <c r="J2346" i="1"/>
  <c r="J2345" i="1"/>
  <c r="J2344" i="1"/>
  <c r="J2343" i="1"/>
  <c r="J2342" i="1"/>
  <c r="J2341" i="1"/>
  <c r="J2340" i="1"/>
  <c r="J2339" i="1"/>
  <c r="J2338" i="1"/>
  <c r="J2337" i="1"/>
  <c r="J2336" i="1"/>
  <c r="J2335" i="1"/>
  <c r="J2334" i="1"/>
  <c r="J2333" i="1"/>
  <c r="J2332" i="1"/>
  <c r="J2331" i="1"/>
  <c r="J2330" i="1"/>
  <c r="J2329" i="1"/>
  <c r="J2328" i="1"/>
  <c r="J2327" i="1"/>
  <c r="J2326" i="1"/>
  <c r="J2325" i="1"/>
  <c r="J2324" i="1"/>
  <c r="J2323" i="1"/>
  <c r="J2322" i="1"/>
  <c r="J2321" i="1"/>
  <c r="J2320" i="1"/>
  <c r="J2319" i="1"/>
  <c r="J2318" i="1"/>
  <c r="J2317" i="1"/>
  <c r="J2316" i="1"/>
  <c r="J2315" i="1"/>
  <c r="J2314" i="1"/>
  <c r="J2313" i="1"/>
  <c r="J2312" i="1"/>
  <c r="J2311" i="1"/>
  <c r="J2310" i="1"/>
  <c r="J2309" i="1"/>
  <c r="J2308" i="1"/>
  <c r="J2307" i="1"/>
  <c r="J2306" i="1"/>
  <c r="J2305" i="1"/>
  <c r="J2304" i="1"/>
  <c r="J2303" i="1"/>
  <c r="J2302" i="1"/>
  <c r="J2301" i="1"/>
  <c r="J2300" i="1"/>
  <c r="J2299" i="1"/>
  <c r="J2298" i="1"/>
  <c r="J2297" i="1"/>
  <c r="J2296" i="1"/>
  <c r="J2295" i="1"/>
  <c r="J2294" i="1"/>
  <c r="J2293" i="1"/>
  <c r="J2292" i="1"/>
  <c r="J2291" i="1"/>
  <c r="J2290" i="1"/>
  <c r="J2289" i="1"/>
  <c r="J2288" i="1"/>
  <c r="J2287" i="1"/>
  <c r="J2286" i="1"/>
  <c r="J2285" i="1"/>
  <c r="J2284" i="1"/>
  <c r="J2283" i="1"/>
  <c r="J2282" i="1"/>
  <c r="J2281" i="1"/>
  <c r="J2280" i="1"/>
  <c r="J2279" i="1"/>
  <c r="J2278" i="1"/>
  <c r="J2277" i="1"/>
  <c r="J2276" i="1"/>
  <c r="J2275" i="1"/>
  <c r="J2274" i="1"/>
  <c r="J2273" i="1"/>
  <c r="J2272" i="1"/>
  <c r="J2271" i="1"/>
  <c r="J2270" i="1"/>
  <c r="J2269" i="1"/>
  <c r="J2268" i="1"/>
  <c r="J2267" i="1"/>
  <c r="J2266" i="1"/>
  <c r="J2265" i="1"/>
  <c r="J2264" i="1"/>
  <c r="J2263" i="1"/>
  <c r="J2262" i="1"/>
  <c r="J2261" i="1"/>
  <c r="J2260" i="1"/>
  <c r="J2259" i="1"/>
  <c r="J2258" i="1"/>
  <c r="J2257" i="1"/>
  <c r="J2256" i="1"/>
  <c r="J2255" i="1"/>
  <c r="J2254" i="1"/>
  <c r="J2253" i="1"/>
  <c r="J2252" i="1"/>
  <c r="J2251" i="1"/>
  <c r="J2250" i="1"/>
  <c r="J2249" i="1"/>
  <c r="J2248" i="1"/>
  <c r="J2247" i="1"/>
  <c r="J2246" i="1"/>
  <c r="J2245" i="1"/>
  <c r="J2244" i="1"/>
  <c r="J2243" i="1"/>
  <c r="J2242" i="1"/>
  <c r="J2241" i="1"/>
  <c r="J2240" i="1"/>
  <c r="J2239" i="1"/>
  <c r="J2238" i="1"/>
  <c r="J2237" i="1"/>
  <c r="J2236" i="1"/>
  <c r="J2235" i="1"/>
  <c r="J2234" i="1"/>
  <c r="J2233" i="1"/>
  <c r="J2232" i="1"/>
  <c r="J2231" i="1"/>
  <c r="J2230" i="1"/>
  <c r="J2229" i="1"/>
  <c r="J2228" i="1"/>
  <c r="J2227" i="1"/>
  <c r="J2226" i="1"/>
  <c r="J2225" i="1"/>
  <c r="J2224" i="1"/>
  <c r="J2223" i="1"/>
  <c r="J2222" i="1"/>
  <c r="J2221" i="1"/>
  <c r="J2220" i="1"/>
  <c r="J2219" i="1"/>
  <c r="J2218" i="1"/>
  <c r="J2217" i="1"/>
  <c r="J2216" i="1"/>
  <c r="J2215" i="1"/>
  <c r="J2214" i="1"/>
  <c r="J2213" i="1"/>
  <c r="J2212" i="1"/>
  <c r="J2211" i="1"/>
  <c r="J2210" i="1"/>
  <c r="J2209" i="1"/>
  <c r="J2208" i="1"/>
  <c r="J2207" i="1"/>
  <c r="J2206" i="1"/>
  <c r="J2205" i="1"/>
  <c r="J2204" i="1"/>
  <c r="J2203" i="1"/>
  <c r="J2202" i="1"/>
  <c r="J2201" i="1"/>
  <c r="J2200" i="1"/>
  <c r="J2199" i="1"/>
  <c r="J2198" i="1"/>
  <c r="J2197" i="1"/>
  <c r="J2196" i="1"/>
  <c r="J2195" i="1"/>
  <c r="J2194" i="1"/>
  <c r="J2193" i="1"/>
  <c r="J2192" i="1"/>
  <c r="J2191" i="1"/>
  <c r="J2190" i="1"/>
  <c r="J2189" i="1"/>
  <c r="J2188" i="1"/>
  <c r="J2187" i="1"/>
  <c r="J2186" i="1"/>
  <c r="J2185" i="1"/>
  <c r="J2184" i="1"/>
  <c r="J2183" i="1"/>
  <c r="J2182" i="1"/>
  <c r="J2181" i="1"/>
  <c r="J2180" i="1"/>
  <c r="J2179" i="1"/>
  <c r="J2178" i="1"/>
  <c r="J2177" i="1"/>
  <c r="J2176" i="1"/>
  <c r="J2175" i="1"/>
  <c r="J2174" i="1"/>
  <c r="J2173" i="1"/>
  <c r="J2172" i="1"/>
  <c r="J2171" i="1"/>
  <c r="J2170" i="1"/>
  <c r="J2169" i="1"/>
  <c r="J2168" i="1"/>
  <c r="J2167" i="1"/>
  <c r="J2166" i="1"/>
  <c r="J2165" i="1"/>
  <c r="J2164" i="1"/>
  <c r="J2163" i="1"/>
  <c r="J2162" i="1"/>
  <c r="J2161" i="1"/>
  <c r="J2160" i="1"/>
  <c r="J2159" i="1"/>
  <c r="J2158" i="1"/>
  <c r="J2157" i="1"/>
  <c r="J2156" i="1"/>
  <c r="J2155" i="1"/>
  <c r="J2154" i="1"/>
  <c r="J2153" i="1"/>
  <c r="J2152" i="1"/>
  <c r="J2151" i="1"/>
  <c r="J2150" i="1"/>
  <c r="J2149" i="1"/>
  <c r="J2148" i="1"/>
  <c r="J2147" i="1"/>
  <c r="J2146" i="1"/>
  <c r="J2145" i="1"/>
  <c r="J2144" i="1"/>
  <c r="J2143" i="1"/>
  <c r="J2142" i="1"/>
  <c r="J2141" i="1"/>
  <c r="J2140" i="1"/>
  <c r="J2139" i="1"/>
  <c r="J2138" i="1"/>
  <c r="J2137" i="1"/>
  <c r="J2136" i="1"/>
  <c r="J2135" i="1"/>
  <c r="J2134" i="1"/>
  <c r="J2133" i="1"/>
  <c r="J2132" i="1"/>
  <c r="J2131" i="1"/>
  <c r="J2130" i="1"/>
  <c r="J2129" i="1"/>
  <c r="J2128" i="1"/>
  <c r="J2127" i="1"/>
  <c r="J2126" i="1"/>
  <c r="J2125" i="1"/>
  <c r="J2124" i="1"/>
  <c r="J2123" i="1"/>
  <c r="J2122" i="1"/>
  <c r="J2121" i="1"/>
  <c r="J2120" i="1"/>
  <c r="J2119" i="1"/>
  <c r="J2118" i="1"/>
  <c r="J2117" i="1"/>
  <c r="J2116" i="1"/>
  <c r="J2115" i="1"/>
  <c r="J2114" i="1"/>
  <c r="J2113" i="1"/>
  <c r="J2112" i="1"/>
  <c r="J2111" i="1"/>
  <c r="J2110" i="1"/>
  <c r="J2109" i="1"/>
  <c r="J2108" i="1"/>
  <c r="J2107" i="1"/>
  <c r="J2106" i="1"/>
  <c r="J2105" i="1"/>
  <c r="J2104" i="1"/>
  <c r="J2103" i="1"/>
  <c r="J2102" i="1"/>
  <c r="J2101" i="1"/>
  <c r="J2100" i="1"/>
  <c r="J2099" i="1"/>
  <c r="J2098" i="1"/>
  <c r="J2097" i="1"/>
  <c r="J2096" i="1"/>
  <c r="J2095" i="1"/>
  <c r="J2094" i="1"/>
  <c r="J2093" i="1"/>
  <c r="J2092" i="1"/>
  <c r="J2091" i="1"/>
  <c r="J2090" i="1"/>
  <c r="J2089" i="1"/>
  <c r="J2088" i="1"/>
  <c r="J2087" i="1"/>
  <c r="J2086" i="1"/>
  <c r="J2085" i="1"/>
  <c r="J2084" i="1"/>
  <c r="J2083" i="1"/>
  <c r="J2082" i="1"/>
  <c r="J2081" i="1"/>
  <c r="J2080" i="1"/>
  <c r="J2079" i="1"/>
  <c r="J2078" i="1"/>
  <c r="J2077" i="1"/>
  <c r="J2076" i="1"/>
  <c r="J2075" i="1"/>
  <c r="J2074" i="1"/>
  <c r="J2073" i="1"/>
  <c r="J2072" i="1"/>
  <c r="J2071" i="1"/>
  <c r="J2070" i="1"/>
  <c r="J2069" i="1"/>
  <c r="J2068" i="1"/>
  <c r="J2067" i="1"/>
  <c r="J2066" i="1"/>
  <c r="J2065" i="1"/>
  <c r="J2064" i="1"/>
  <c r="J2063" i="1"/>
  <c r="J2062" i="1"/>
  <c r="J2061" i="1"/>
  <c r="J2060" i="1"/>
  <c r="J2059" i="1"/>
  <c r="J2058" i="1"/>
  <c r="J2057" i="1"/>
  <c r="J2056" i="1"/>
  <c r="J2055" i="1"/>
  <c r="J2054" i="1"/>
  <c r="J2053" i="1"/>
  <c r="J2052" i="1"/>
  <c r="J2051" i="1"/>
  <c r="J2050" i="1"/>
  <c r="J2049" i="1"/>
  <c r="J2048" i="1"/>
  <c r="J2047" i="1"/>
  <c r="J2046" i="1"/>
  <c r="J2045" i="1"/>
  <c r="J2044" i="1"/>
  <c r="J2043" i="1"/>
  <c r="J2042" i="1"/>
  <c r="J2041" i="1"/>
  <c r="J2040" i="1"/>
  <c r="J2039" i="1"/>
  <c r="J2038" i="1"/>
  <c r="J2037" i="1"/>
  <c r="J2036" i="1"/>
  <c r="J2035" i="1"/>
  <c r="J2034" i="1"/>
  <c r="J2033" i="1"/>
  <c r="J2032" i="1"/>
  <c r="J2031" i="1"/>
  <c r="J2030" i="1"/>
  <c r="J2029" i="1"/>
  <c r="J2028" i="1"/>
  <c r="J2027" i="1"/>
  <c r="J2026" i="1"/>
  <c r="J2025" i="1"/>
  <c r="J2024" i="1"/>
  <c r="J2023" i="1"/>
  <c r="J2022" i="1"/>
  <c r="J2021" i="1"/>
  <c r="J2020" i="1"/>
  <c r="J2019" i="1"/>
  <c r="J2018" i="1"/>
  <c r="J2017" i="1"/>
  <c r="J2016" i="1"/>
  <c r="J2015" i="1"/>
  <c r="J2014" i="1"/>
  <c r="J2013" i="1"/>
  <c r="J2012" i="1"/>
  <c r="J2011" i="1"/>
  <c r="J2010" i="1"/>
  <c r="J2009" i="1"/>
  <c r="J2008" i="1"/>
  <c r="J2007" i="1"/>
  <c r="J2006" i="1"/>
  <c r="J2005" i="1"/>
  <c r="J2004" i="1"/>
  <c r="J2003" i="1"/>
  <c r="J2002" i="1"/>
  <c r="J2001" i="1"/>
  <c r="J2000" i="1"/>
  <c r="J1999" i="1"/>
  <c r="J1998" i="1"/>
  <c r="J1997" i="1"/>
  <c r="J1996" i="1"/>
  <c r="J1995" i="1"/>
  <c r="J1994" i="1"/>
  <c r="J1993" i="1"/>
  <c r="J1992" i="1"/>
  <c r="J1991" i="1"/>
  <c r="J1990" i="1"/>
  <c r="J1989" i="1"/>
  <c r="J1988" i="1"/>
  <c r="J1987" i="1"/>
  <c r="J1986" i="1"/>
  <c r="J1985" i="1"/>
  <c r="J1984" i="1"/>
  <c r="J1983" i="1"/>
  <c r="J1982" i="1"/>
  <c r="J1981" i="1"/>
  <c r="J1980" i="1"/>
  <c r="J1979" i="1"/>
  <c r="J1978" i="1"/>
  <c r="J1977" i="1"/>
  <c r="J1976" i="1"/>
  <c r="J1975" i="1"/>
  <c r="J1974" i="1"/>
  <c r="J1973" i="1"/>
  <c r="J1972" i="1"/>
  <c r="J1971" i="1"/>
  <c r="J1970" i="1"/>
  <c r="J1969" i="1"/>
  <c r="J1968" i="1"/>
  <c r="J1967" i="1"/>
  <c r="J1966" i="1"/>
  <c r="J1965" i="1"/>
  <c r="J1964" i="1"/>
  <c r="J1963" i="1"/>
  <c r="J1962" i="1"/>
  <c r="J1961" i="1"/>
  <c r="J1960" i="1"/>
  <c r="J1959" i="1"/>
  <c r="J1958" i="1"/>
  <c r="J1957" i="1"/>
  <c r="J1956" i="1"/>
  <c r="J1955" i="1"/>
  <c r="J1954" i="1"/>
  <c r="J1953" i="1"/>
  <c r="J1952" i="1"/>
  <c r="J1951" i="1"/>
  <c r="J1950" i="1"/>
  <c r="J1949" i="1"/>
  <c r="J1948" i="1"/>
  <c r="J1947" i="1"/>
  <c r="J1946" i="1"/>
  <c r="J1945" i="1"/>
  <c r="J1944" i="1"/>
  <c r="J1943" i="1"/>
  <c r="J1942" i="1"/>
  <c r="J1941" i="1"/>
  <c r="J1940" i="1"/>
  <c r="J1939" i="1"/>
  <c r="J1938" i="1"/>
  <c r="J1937" i="1"/>
  <c r="J1936" i="1"/>
  <c r="J1935" i="1"/>
  <c r="J1934" i="1"/>
  <c r="J1933" i="1"/>
  <c r="J1932" i="1"/>
  <c r="J1931" i="1"/>
  <c r="J1930" i="1"/>
  <c r="J1929" i="1"/>
  <c r="J1928" i="1"/>
  <c r="J1927" i="1"/>
  <c r="J1926" i="1"/>
  <c r="J1925" i="1"/>
  <c r="J1924" i="1"/>
  <c r="J1923" i="1"/>
  <c r="J1922" i="1"/>
  <c r="J1921" i="1"/>
  <c r="J1920" i="1"/>
  <c r="J1919" i="1"/>
  <c r="J1918" i="1"/>
  <c r="J1917" i="1"/>
  <c r="J1916" i="1"/>
  <c r="J1915" i="1"/>
  <c r="J1914" i="1"/>
  <c r="J1913" i="1"/>
  <c r="J1912" i="1"/>
  <c r="J1911" i="1"/>
  <c r="J1910" i="1"/>
  <c r="J1909" i="1"/>
  <c r="J1908" i="1"/>
  <c r="J1907" i="1"/>
  <c r="J1906" i="1"/>
  <c r="J1905" i="1"/>
  <c r="J1904" i="1"/>
  <c r="J1903" i="1"/>
  <c r="J1902" i="1"/>
  <c r="J1900" i="1"/>
  <c r="J1899" i="1"/>
  <c r="J1898" i="1"/>
  <c r="J1897" i="1"/>
  <c r="J1896" i="1"/>
  <c r="J1895" i="1"/>
  <c r="J1894" i="1"/>
  <c r="J1893" i="1"/>
  <c r="J1892" i="1"/>
  <c r="J1891" i="1"/>
  <c r="J1890" i="1"/>
  <c r="J1889" i="1"/>
  <c r="J1888" i="1"/>
  <c r="J1887" i="1"/>
  <c r="J1886" i="1"/>
  <c r="J1885" i="1"/>
  <c r="J1884" i="1"/>
  <c r="J1883" i="1"/>
  <c r="J1882" i="1"/>
  <c r="J1881" i="1"/>
  <c r="J1880" i="1"/>
  <c r="J1879" i="1"/>
  <c r="J1878" i="1"/>
  <c r="J1877" i="1"/>
  <c r="J1876" i="1"/>
  <c r="J1875" i="1"/>
  <c r="J1874" i="1"/>
  <c r="J1873" i="1"/>
  <c r="J1872" i="1"/>
  <c r="J1871" i="1"/>
  <c r="J1870" i="1"/>
  <c r="J1869" i="1"/>
  <c r="J1868" i="1"/>
  <c r="J1867" i="1"/>
  <c r="J1866" i="1"/>
  <c r="J1865" i="1"/>
  <c r="J1864" i="1"/>
  <c r="J1863" i="1"/>
  <c r="J1862" i="1"/>
  <c r="J1861" i="1"/>
  <c r="J1860" i="1"/>
  <c r="J1859" i="1"/>
  <c r="J1858" i="1"/>
  <c r="J1857" i="1"/>
  <c r="J1856" i="1"/>
  <c r="J1855" i="1"/>
  <c r="J1854" i="1"/>
  <c r="J1853" i="1"/>
  <c r="J1852" i="1"/>
  <c r="J1851" i="1"/>
  <c r="J1850" i="1"/>
  <c r="J1849" i="1"/>
  <c r="J1848" i="1"/>
  <c r="J1847" i="1"/>
  <c r="J1846" i="1"/>
  <c r="J1845" i="1"/>
  <c r="J1844" i="1"/>
  <c r="J1843" i="1"/>
  <c r="J1842" i="1"/>
  <c r="J1841" i="1"/>
  <c r="J1840" i="1"/>
  <c r="J1839" i="1"/>
  <c r="J1838" i="1"/>
  <c r="J1837" i="1"/>
  <c r="J1836" i="1"/>
  <c r="J1835" i="1"/>
  <c r="J1834" i="1"/>
  <c r="J1833" i="1"/>
  <c r="J1832" i="1"/>
  <c r="J1831" i="1"/>
  <c r="J1830" i="1"/>
  <c r="J1829" i="1"/>
  <c r="J1828" i="1"/>
  <c r="J1827" i="1"/>
  <c r="J1826" i="1"/>
  <c r="J1825" i="1"/>
  <c r="J1824" i="1"/>
  <c r="J1823" i="1"/>
  <c r="J1822" i="1"/>
  <c r="J1821" i="1"/>
  <c r="J1820" i="1"/>
  <c r="J1819" i="1"/>
  <c r="J1818" i="1"/>
  <c r="J1817" i="1"/>
  <c r="J1816" i="1"/>
  <c r="J1815" i="1"/>
  <c r="J1814" i="1"/>
  <c r="J1813" i="1"/>
  <c r="J1812" i="1"/>
  <c r="J1811" i="1"/>
  <c r="J1810" i="1"/>
  <c r="J1809" i="1"/>
  <c r="J1808" i="1"/>
  <c r="J1807" i="1"/>
  <c r="J1806" i="1"/>
  <c r="J1805" i="1"/>
  <c r="J1804" i="1"/>
  <c r="J1803" i="1"/>
  <c r="J1802" i="1"/>
  <c r="J1801" i="1"/>
  <c r="J1800" i="1"/>
  <c r="J1799" i="1"/>
  <c r="J1798" i="1"/>
  <c r="J1797" i="1"/>
  <c r="J1796" i="1"/>
  <c r="J1795" i="1"/>
  <c r="J1794" i="1"/>
  <c r="J1793" i="1"/>
  <c r="J1792" i="1"/>
  <c r="J1791" i="1"/>
  <c r="J1790" i="1"/>
  <c r="J1789" i="1"/>
  <c r="J1788" i="1"/>
  <c r="J1787" i="1"/>
  <c r="J1786" i="1"/>
  <c r="J1785" i="1"/>
  <c r="J1784" i="1"/>
  <c r="J1783" i="1"/>
  <c r="J1782" i="1"/>
  <c r="J1781" i="1"/>
  <c r="J1780" i="1"/>
  <c r="J1779" i="1"/>
  <c r="J1778" i="1"/>
  <c r="J1777" i="1"/>
  <c r="J1776" i="1"/>
  <c r="J1775" i="1"/>
  <c r="J1774" i="1"/>
  <c r="J1773" i="1"/>
  <c r="J1772" i="1"/>
  <c r="J1771" i="1"/>
  <c r="J1770" i="1"/>
  <c r="J1769" i="1"/>
  <c r="J1768" i="1"/>
  <c r="J1767" i="1"/>
  <c r="J1766" i="1"/>
  <c r="J1765" i="1"/>
  <c r="J1764" i="1"/>
  <c r="J1763" i="1"/>
  <c r="J1762" i="1"/>
  <c r="J1761" i="1"/>
  <c r="J1760" i="1"/>
  <c r="J1759" i="1"/>
  <c r="J1758" i="1"/>
  <c r="J1757" i="1"/>
  <c r="J1756" i="1"/>
  <c r="J1755" i="1"/>
  <c r="J1754" i="1"/>
  <c r="J1753" i="1"/>
  <c r="J1752" i="1"/>
  <c r="J1751" i="1"/>
  <c r="J1750" i="1"/>
  <c r="J1749" i="1"/>
  <c r="J1748" i="1"/>
  <c r="J1747" i="1"/>
  <c r="J1746" i="1"/>
  <c r="J1745" i="1"/>
  <c r="J1744" i="1"/>
  <c r="J1743" i="1"/>
  <c r="J1742" i="1"/>
  <c r="J1741" i="1"/>
  <c r="J1740" i="1"/>
  <c r="J1739" i="1"/>
  <c r="J1738" i="1"/>
  <c r="J1737" i="1"/>
  <c r="J1736" i="1"/>
  <c r="J1735" i="1"/>
  <c r="J1734" i="1"/>
  <c r="J1733" i="1"/>
  <c r="J1732" i="1"/>
  <c r="J1731" i="1"/>
  <c r="J1730" i="1"/>
  <c r="J1729" i="1"/>
  <c r="J1728" i="1"/>
  <c r="J1727" i="1"/>
  <c r="J1726" i="1"/>
  <c r="J1725" i="1"/>
  <c r="J1724" i="1"/>
  <c r="J1723" i="1"/>
  <c r="J1722" i="1"/>
  <c r="J1721" i="1"/>
  <c r="J1720" i="1"/>
  <c r="J1719" i="1"/>
  <c r="J1718" i="1"/>
  <c r="J1717" i="1"/>
  <c r="J1716" i="1"/>
  <c r="J1715" i="1"/>
  <c r="J1714" i="1"/>
  <c r="J1713" i="1"/>
  <c r="J1712" i="1"/>
  <c r="J1711" i="1"/>
  <c r="J1710" i="1"/>
  <c r="J1709" i="1"/>
  <c r="J1708" i="1"/>
  <c r="J1707" i="1"/>
  <c r="J1706" i="1"/>
  <c r="J1705" i="1"/>
  <c r="J1704" i="1"/>
  <c r="J1703" i="1"/>
  <c r="J1702" i="1"/>
  <c r="J1701" i="1"/>
  <c r="J1700" i="1"/>
  <c r="J1699" i="1"/>
  <c r="J1698" i="1"/>
  <c r="J1697" i="1"/>
  <c r="J1696" i="1"/>
  <c r="J1695" i="1"/>
  <c r="J1694" i="1"/>
  <c r="J1693" i="1"/>
  <c r="J1692" i="1"/>
  <c r="J1691" i="1"/>
  <c r="J1690" i="1"/>
  <c r="J1689" i="1"/>
  <c r="J1688" i="1"/>
  <c r="J1687" i="1"/>
  <c r="J1686" i="1"/>
  <c r="J1685" i="1"/>
  <c r="J1684" i="1"/>
  <c r="J1683" i="1"/>
  <c r="J1682" i="1"/>
  <c r="J1681" i="1"/>
  <c r="J1680" i="1"/>
  <c r="J1679" i="1"/>
  <c r="J1678" i="1"/>
  <c r="J1677" i="1"/>
  <c r="J1676" i="1"/>
  <c r="J1675" i="1"/>
  <c r="J1674" i="1"/>
  <c r="J1673" i="1"/>
  <c r="J1672" i="1"/>
  <c r="J1671" i="1"/>
  <c r="J1670" i="1"/>
  <c r="J1669" i="1"/>
  <c r="J1668" i="1"/>
  <c r="J1667" i="1"/>
  <c r="J1666" i="1"/>
  <c r="J1665" i="1"/>
  <c r="J1664" i="1"/>
  <c r="J1663" i="1"/>
  <c r="J1662" i="1"/>
  <c r="J1661" i="1"/>
  <c r="J1660" i="1"/>
  <c r="J1659" i="1"/>
  <c r="J1658" i="1"/>
  <c r="J1657" i="1"/>
  <c r="J1656" i="1"/>
  <c r="J1655" i="1"/>
  <c r="J1654" i="1"/>
  <c r="J1653" i="1"/>
  <c r="J1652" i="1"/>
  <c r="J1651" i="1"/>
  <c r="J1650" i="1"/>
  <c r="J1649" i="1"/>
  <c r="J1648" i="1"/>
  <c r="J1647" i="1"/>
  <c r="J1646" i="1"/>
  <c r="J1645" i="1"/>
  <c r="J1644" i="1"/>
  <c r="J1643" i="1"/>
  <c r="J1642" i="1"/>
  <c r="J1641" i="1"/>
  <c r="J1640" i="1"/>
  <c r="J1639" i="1"/>
  <c r="J1638" i="1"/>
  <c r="J1637" i="1"/>
  <c r="J1636" i="1"/>
  <c r="J1635" i="1"/>
  <c r="J1634" i="1"/>
  <c r="J1633" i="1"/>
  <c r="J1632" i="1"/>
  <c r="J1631" i="1"/>
  <c r="J1630" i="1"/>
  <c r="J1629" i="1"/>
  <c r="J1628" i="1"/>
  <c r="J1627" i="1"/>
  <c r="J1626" i="1"/>
  <c r="J1625" i="1"/>
  <c r="J1624" i="1"/>
  <c r="J1623" i="1"/>
  <c r="J1622" i="1"/>
  <c r="J1621" i="1"/>
  <c r="J1620" i="1"/>
  <c r="J1619" i="1"/>
  <c r="J1618" i="1"/>
  <c r="J1617" i="1"/>
  <c r="J1616" i="1"/>
  <c r="J1615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90" i="1"/>
  <c r="J1589" i="1"/>
  <c r="J1588" i="1"/>
  <c r="J1587" i="1"/>
  <c r="J1586" i="1"/>
  <c r="J1585" i="1"/>
  <c r="J1584" i="1"/>
  <c r="J1583" i="1"/>
  <c r="J1582" i="1"/>
  <c r="J1581" i="1"/>
  <c r="J1580" i="1"/>
  <c r="J1579" i="1"/>
  <c r="J1578" i="1"/>
  <c r="J1577" i="1"/>
  <c r="J1576" i="1"/>
  <c r="J1575" i="1"/>
  <c r="J1574" i="1"/>
  <c r="J1573" i="1"/>
  <c r="J1572" i="1"/>
  <c r="J1571" i="1"/>
  <c r="J1570" i="1"/>
  <c r="J1569" i="1"/>
  <c r="J1568" i="1"/>
  <c r="J1567" i="1"/>
  <c r="J1566" i="1"/>
  <c r="J1565" i="1"/>
  <c r="J1564" i="1"/>
  <c r="J1563" i="1"/>
  <c r="J1562" i="1"/>
  <c r="J1561" i="1"/>
  <c r="J1560" i="1"/>
  <c r="J1559" i="1"/>
  <c r="J1558" i="1"/>
  <c r="J1557" i="1"/>
  <c r="J1556" i="1"/>
  <c r="J1555" i="1"/>
  <c r="J1554" i="1"/>
  <c r="J1553" i="1"/>
  <c r="J1552" i="1"/>
  <c r="J1551" i="1"/>
  <c r="J1550" i="1"/>
  <c r="J1549" i="1"/>
  <c r="J1548" i="1"/>
  <c r="J1547" i="1"/>
  <c r="J1546" i="1"/>
  <c r="J1545" i="1"/>
  <c r="J1544" i="1"/>
  <c r="J1543" i="1"/>
  <c r="J1542" i="1"/>
  <c r="J1541" i="1"/>
  <c r="J1540" i="1"/>
  <c r="J1539" i="1"/>
  <c r="J1538" i="1"/>
  <c r="J1537" i="1"/>
  <c r="J1536" i="1"/>
  <c r="J1535" i="1"/>
  <c r="J1534" i="1"/>
  <c r="J1533" i="1"/>
  <c r="J1532" i="1"/>
  <c r="J1531" i="1"/>
  <c r="J1530" i="1"/>
  <c r="J1529" i="1"/>
  <c r="J1528" i="1"/>
  <c r="J1527" i="1"/>
  <c r="J1526" i="1"/>
  <c r="J1525" i="1"/>
  <c r="J1524" i="1"/>
  <c r="J1523" i="1"/>
  <c r="J1522" i="1"/>
  <c r="J1521" i="1"/>
  <c r="J1520" i="1"/>
  <c r="J1519" i="1"/>
  <c r="J1518" i="1"/>
  <c r="J1517" i="1"/>
  <c r="J1516" i="1"/>
  <c r="J1515" i="1"/>
  <c r="J1514" i="1"/>
  <c r="J1513" i="1"/>
  <c r="J1512" i="1"/>
  <c r="J1511" i="1"/>
  <c r="J1510" i="1"/>
  <c r="J1509" i="1"/>
  <c r="J1508" i="1"/>
  <c r="J1507" i="1"/>
  <c r="J1506" i="1"/>
  <c r="J1505" i="1"/>
  <c r="J1504" i="1"/>
  <c r="J1503" i="1"/>
  <c r="J1502" i="1"/>
  <c r="J1501" i="1"/>
  <c r="J1500" i="1"/>
  <c r="J1499" i="1"/>
  <c r="J1498" i="1"/>
  <c r="J1497" i="1"/>
  <c r="J1496" i="1"/>
  <c r="J1495" i="1"/>
  <c r="J1494" i="1"/>
  <c r="J1493" i="1"/>
  <c r="J1492" i="1"/>
  <c r="J1491" i="1"/>
  <c r="J1490" i="1"/>
  <c r="J1489" i="1"/>
  <c r="J1488" i="1"/>
  <c r="J1487" i="1"/>
  <c r="J1486" i="1"/>
  <c r="J1485" i="1"/>
  <c r="J1484" i="1"/>
  <c r="J1483" i="1"/>
  <c r="J1482" i="1"/>
  <c r="J1481" i="1"/>
  <c r="J1480" i="1"/>
  <c r="J1479" i="1"/>
  <c r="J1478" i="1"/>
  <c r="J1477" i="1"/>
  <c r="J1476" i="1"/>
  <c r="J1475" i="1"/>
  <c r="J1474" i="1"/>
  <c r="J1473" i="1"/>
  <c r="J1472" i="1"/>
  <c r="J1471" i="1"/>
  <c r="J1470" i="1"/>
  <c r="J1469" i="1"/>
  <c r="J1468" i="1"/>
  <c r="J1467" i="1"/>
  <c r="J1466" i="1"/>
  <c r="J1465" i="1"/>
  <c r="J1464" i="1"/>
  <c r="J1463" i="1"/>
  <c r="J1462" i="1"/>
  <c r="J1461" i="1"/>
  <c r="J1460" i="1"/>
  <c r="J1459" i="1"/>
  <c r="J1458" i="1"/>
  <c r="J1457" i="1"/>
  <c r="J1456" i="1"/>
  <c r="J1455" i="1"/>
  <c r="J1454" i="1"/>
  <c r="J1453" i="1"/>
  <c r="J1452" i="1"/>
  <c r="J1451" i="1"/>
  <c r="J1450" i="1"/>
  <c r="J1449" i="1"/>
  <c r="J1448" i="1"/>
  <c r="J1447" i="1"/>
  <c r="J1446" i="1"/>
  <c r="J1445" i="1"/>
  <c r="J1444" i="1"/>
  <c r="J1443" i="1"/>
  <c r="J1442" i="1"/>
  <c r="J1441" i="1"/>
  <c r="J1440" i="1"/>
  <c r="J1439" i="1"/>
  <c r="J1438" i="1"/>
  <c r="J1437" i="1"/>
  <c r="J1436" i="1"/>
  <c r="J1435" i="1"/>
  <c r="J1434" i="1"/>
  <c r="J1433" i="1"/>
  <c r="J1432" i="1"/>
  <c r="J1431" i="1"/>
  <c r="J1430" i="1"/>
  <c r="J1429" i="1"/>
  <c r="J1428" i="1"/>
  <c r="J1427" i="1"/>
  <c r="J1426" i="1"/>
  <c r="J1425" i="1"/>
  <c r="J1424" i="1"/>
  <c r="J1423" i="1"/>
  <c r="J1422" i="1"/>
  <c r="J1421" i="1"/>
  <c r="J1420" i="1"/>
  <c r="J1419" i="1"/>
  <c r="J1418" i="1"/>
  <c r="J1417" i="1"/>
  <c r="J1416" i="1"/>
  <c r="J1415" i="1"/>
  <c r="J1414" i="1"/>
  <c r="J1413" i="1"/>
  <c r="J1412" i="1"/>
  <c r="J1411" i="1"/>
  <c r="J1410" i="1"/>
  <c r="J1409" i="1"/>
  <c r="J1408" i="1"/>
  <c r="J1407" i="1"/>
  <c r="J1406" i="1"/>
  <c r="J1405" i="1"/>
  <c r="J1404" i="1"/>
  <c r="J1403" i="1"/>
  <c r="J1402" i="1"/>
  <c r="J1401" i="1"/>
  <c r="J1400" i="1"/>
  <c r="J1399" i="1"/>
  <c r="J1398" i="1"/>
  <c r="J1397" i="1"/>
  <c r="J1396" i="1"/>
  <c r="J1395" i="1"/>
  <c r="J1394" i="1"/>
  <c r="J1393" i="1"/>
  <c r="J1392" i="1"/>
  <c r="J1391" i="1"/>
  <c r="J1390" i="1"/>
  <c r="J1389" i="1"/>
  <c r="J1388" i="1"/>
  <c r="J1387" i="1"/>
  <c r="J1386" i="1"/>
  <c r="J1385" i="1"/>
  <c r="J1384" i="1"/>
  <c r="J1383" i="1"/>
  <c r="J1382" i="1"/>
  <c r="J1381" i="1"/>
  <c r="J1380" i="1"/>
  <c r="J1379" i="1"/>
  <c r="J1378" i="1"/>
  <c r="J1377" i="1"/>
  <c r="J1376" i="1"/>
  <c r="J1375" i="1"/>
  <c r="J1374" i="1"/>
  <c r="J1373" i="1"/>
  <c r="J1372" i="1"/>
  <c r="J1371" i="1"/>
  <c r="J1370" i="1"/>
  <c r="J1369" i="1"/>
  <c r="J1368" i="1"/>
  <c r="J1367" i="1"/>
  <c r="J1366" i="1"/>
  <c r="J1365" i="1"/>
  <c r="J1364" i="1"/>
  <c r="J1363" i="1"/>
  <c r="J1362" i="1"/>
  <c r="J1361" i="1"/>
  <c r="J1360" i="1"/>
  <c r="J1359" i="1"/>
  <c r="J1358" i="1"/>
  <c r="J1357" i="1"/>
  <c r="J1356" i="1"/>
  <c r="J1355" i="1"/>
  <c r="J1354" i="1"/>
  <c r="J1353" i="1"/>
  <c r="J1352" i="1"/>
  <c r="J1351" i="1"/>
  <c r="J1350" i="1"/>
  <c r="J1349" i="1"/>
  <c r="J1348" i="1"/>
  <c r="J1347" i="1"/>
  <c r="J1346" i="1"/>
  <c r="J1345" i="1"/>
  <c r="J1344" i="1"/>
  <c r="J1343" i="1"/>
  <c r="J1342" i="1"/>
  <c r="J1341" i="1"/>
  <c r="J1340" i="1"/>
  <c r="J1339" i="1"/>
  <c r="J1338" i="1"/>
  <c r="J1337" i="1"/>
  <c r="J1336" i="1"/>
  <c r="J1335" i="1"/>
  <c r="J1334" i="1"/>
  <c r="J1333" i="1"/>
  <c r="J1332" i="1"/>
  <c r="J1331" i="1"/>
  <c r="J1330" i="1"/>
  <c r="J1329" i="1"/>
  <c r="J1328" i="1"/>
  <c r="J1327" i="1"/>
  <c r="J1326" i="1"/>
  <c r="J1325" i="1"/>
  <c r="J1324" i="1"/>
  <c r="J1323" i="1"/>
  <c r="J1322" i="1"/>
  <c r="J1321" i="1"/>
  <c r="J1320" i="1"/>
  <c r="J1319" i="1"/>
  <c r="J1318" i="1"/>
  <c r="J1317" i="1"/>
  <c r="J1316" i="1"/>
  <c r="J1315" i="1"/>
  <c r="J1314" i="1"/>
  <c r="J1313" i="1"/>
  <c r="J1312" i="1"/>
  <c r="J1311" i="1"/>
  <c r="J1310" i="1"/>
  <c r="J1309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<sst xmlns="http://schemas.openxmlformats.org/spreadsheetml/2006/main" count="10064" uniqueCount="6147">
  <si>
    <t>ppSTY ID</t>
  </si>
  <si>
    <t>Charge</t>
  </si>
  <si>
    <t>Amino acid</t>
  </si>
  <si>
    <t>Y</t>
  </si>
  <si>
    <t>T</t>
  </si>
  <si>
    <t>S</t>
  </si>
  <si>
    <t>Position in peptide</t>
  </si>
  <si>
    <t>Localization probability</t>
  </si>
  <si>
    <t>Phospho (STY) Probabilities</t>
  </si>
  <si>
    <t>Proteins</t>
  </si>
  <si>
    <t>IGEGT(1)Y(1)GVVYK</t>
  </si>
  <si>
    <t>A0A024QZP7;A0A087WZZ9</t>
  </si>
  <si>
    <t>G3V5T9;E7ESI2;Q00526;G3V317</t>
  </si>
  <si>
    <t>GEPNVSY(1)ICSR</t>
  </si>
  <si>
    <t>P49840;A8MT37;P49841;P49841-2</t>
  </si>
  <si>
    <t>LCDFGSASHVADNDITPY(1)LVSR</t>
  </si>
  <si>
    <t>Q13523</t>
  </si>
  <si>
    <t>YCRPESQEHPEADPGSAAPY(1)LK</t>
  </si>
  <si>
    <t>P40763-3;P40763;G8JLH9</t>
  </si>
  <si>
    <t>LSLEGDHSTPPSAY(1)GSVK</t>
  </si>
  <si>
    <t>P07355;P07355-2;A6NMY6;H0YMU9;H0YLV6;H0YKN4</t>
  </si>
  <si>
    <t>VADPDHDHTGFLT(1)EY(1)VATR</t>
  </si>
  <si>
    <t>P28482;P28482-2</t>
  </si>
  <si>
    <t>AHAWPS(1)PY(1)KDY(1)EVKK</t>
  </si>
  <si>
    <t>Q8NFJ5</t>
  </si>
  <si>
    <t>VAQQPLSLVGCEVVPDPSPDHLY(0.795)S(0.205)FR</t>
  </si>
  <si>
    <t>Q8N4X5-2;Q8N4X5;Q8N4X5-4</t>
  </si>
  <si>
    <t>VVQEYIDAFS(0.002)DY(0.998)ANFK</t>
  </si>
  <si>
    <t>P18433-4;P18433-2;P18433-3;P18433</t>
  </si>
  <si>
    <t>IADPEHDHTGFLTEY(1)VATR</t>
  </si>
  <si>
    <t>E9PJF0;E9PQW4;P27361-3;P27361;B3KR49;P27361-2</t>
  </si>
  <si>
    <t>YCRPESQEHPEADPGAAPY(1)LK</t>
  </si>
  <si>
    <t>P40763-2</t>
  </si>
  <si>
    <t>VAQQPLSLVGCEVVPDPSPDHLY(0.298)S(0.702)FR</t>
  </si>
  <si>
    <t>SLPSGSHQGPVIY(1)AQLDHSGGHHSDKINK</t>
  </si>
  <si>
    <t>O95297-4;O95297-2;O95297</t>
  </si>
  <si>
    <t>ERDY(1)AEIQDFHR</t>
  </si>
  <si>
    <t>Q5VWV2;Q8TEW0-5;Q8TEW0-3;Q8TEW0-7;Q8TEW0-6;Q8TEW0-4;Q8TEW0-11;Q8TEW0-2;Q8TEW0</t>
  </si>
  <si>
    <t>VGEEEHVY(0.997)S(0.003)FPNK</t>
  </si>
  <si>
    <t>F5GZ78;P49023-2;P49023;P49023-3</t>
  </si>
  <si>
    <t>YAIAVNDLGT(0.001)EY(0.999)VHR</t>
  </si>
  <si>
    <t>O94925;O94925-3</t>
  </si>
  <si>
    <t>IGVVGGCQEY(0.998)T(0.002)GAPYFAAISALK</t>
  </si>
  <si>
    <t>Q8IW45;Q8IW45-2</t>
  </si>
  <si>
    <t>SREYDRLY(1)EEYTR</t>
  </si>
  <si>
    <t>P27986-5;P27986-3;P27986-2;P27986;P27986-4</t>
  </si>
  <si>
    <t>T(0.001)Y(0.999)VDPHTYEDPNQAVLK</t>
  </si>
  <si>
    <t>P29317</t>
  </si>
  <si>
    <t>TVTAMDVVY(1)ALKR</t>
  </si>
  <si>
    <t>P62805</t>
  </si>
  <si>
    <t>GPLDGSPY(1)AQVQRPPR</t>
  </si>
  <si>
    <t>Q63HR2-5;Q63HR2-6;Q63HR2;Q63HR2-4;F8VV64;Q63HR2-2</t>
  </si>
  <si>
    <t>IQNTGDY(1)YDLYGGEK</t>
  </si>
  <si>
    <t>Q06124-2;Q06124;Q06124-3</t>
  </si>
  <si>
    <t>NEEENIY(0.999)S(0.001)VPHDSTQGK</t>
  </si>
  <si>
    <t>Q9NRY4</t>
  </si>
  <si>
    <t>EHALLAY(1)TLGVK</t>
  </si>
  <si>
    <t>P68104;Q5VTE0;A0A087WV01;Q05639</t>
  </si>
  <si>
    <t>T(0.227)Y(0.773)VDPHT(0.03)Y(0.97)EDPNQAVLK</t>
  </si>
  <si>
    <t>VIY(1)DFIEK</t>
  </si>
  <si>
    <t>O00401</t>
  </si>
  <si>
    <t>AYS(1)QEEITQGFEETGDTLY(0.033)APY(0.938)S(0.013)T(0.015)HFQLQNQPPQK</t>
  </si>
  <si>
    <t>YVDSEGHLY(0.975)T(0.025)VPIR</t>
  </si>
  <si>
    <t>Q03135</t>
  </si>
  <si>
    <t>LYDAY(1)ELKHALK</t>
  </si>
  <si>
    <t>P08758;D6RBL5;E9PHT9</t>
  </si>
  <si>
    <t>VFDKDGNGY(1)ISAAELR</t>
  </si>
  <si>
    <t>P62158;E7ETZ0;E7EMB3</t>
  </si>
  <si>
    <t>SEQLKPLKT(0.688)Y(0.311)VDPHT(0.054)Y(0.948)EDPNQAVLK</t>
  </si>
  <si>
    <t>Y(1)ATPQVIQAPGPR</t>
  </si>
  <si>
    <t>C9J1X3;Q07912;Q07912-3</t>
  </si>
  <si>
    <t>FNVANGGPAPDVVS(0.001)DKIY(0.979)QIS(0.02)K</t>
  </si>
  <si>
    <t>Q15124;Q15124-2</t>
  </si>
  <si>
    <t>AYSQEEITQGFEETGDT(0.006)LY(0.994)APY(0.591)S(0.151)T(0.258)HFQLQNQPPQK</t>
  </si>
  <si>
    <t>FIHQQPQSSSPVY(0.927)GS(0.053)S(0.02)AK</t>
  </si>
  <si>
    <t>Y(1)AGSALQYEDVSTAVQNLQK</t>
  </si>
  <si>
    <t>A0A087WY55;Q9NP79;Q5TGM0;Q9NP79-2</t>
  </si>
  <si>
    <t>KTHIQDNHDGT(0.007)Y(0.986)T(0.007)VAYVPDVTGR</t>
  </si>
  <si>
    <t>Q60FE5;P21333-2;P21333;Q5HY54;A0A087WWY3</t>
  </si>
  <si>
    <t>VGAHAGEY(1)GAEALER</t>
  </si>
  <si>
    <t>P69905</t>
  </si>
  <si>
    <t>AEERPTFDYLQSVLDDFYTAT(0.002)EGQY(0.998)QQQP</t>
  </si>
  <si>
    <t>P07948-2;P07948</t>
  </si>
  <si>
    <t>VLEDDPEAT(0.025)Y(0.972)T(0.002)TSGGK</t>
  </si>
  <si>
    <t>HLSPY(1)ATLTVGDSSHK</t>
  </si>
  <si>
    <t>Q9BSJ8;Q9BSJ8-2</t>
  </si>
  <si>
    <t>Y(1)GLFKEENPY(1)AR</t>
  </si>
  <si>
    <t>A8MXQ1;P53801</t>
  </si>
  <si>
    <t>Y(1)GMNPHQTPAQLYTLQPK</t>
  </si>
  <si>
    <t>P31939-2;P31939</t>
  </si>
  <si>
    <t>GSVADY(1)GNLMENQDLLGSPTPPPPPPHQR</t>
  </si>
  <si>
    <t>A0A096LNH6;Q14185</t>
  </si>
  <si>
    <t>ELFDDPSY(1)VNVQNLDK</t>
  </si>
  <si>
    <t>X6R6D0;P29353-5;P29353-3;P29353-2;P29353-7;P29353;P29353-6</t>
  </si>
  <si>
    <t>SLYASSPGGVY(0.138)AT(0.862)R</t>
  </si>
  <si>
    <t>B0YJC4</t>
  </si>
  <si>
    <t>VIQAQTAFSANPANPAILSEASAPIPHDGNLY(1)PR</t>
  </si>
  <si>
    <t>O00560-2;O00560;G5EA09;B4DHN5;E9PBU7</t>
  </si>
  <si>
    <t>DMYDKEY(1)YSVHNK</t>
  </si>
  <si>
    <t>P08581;P08581-2</t>
  </si>
  <si>
    <t>KVSSTHY(0.995)Y(0.005)LLPERPSYLER</t>
  </si>
  <si>
    <t>YTEFY(1)HVPTHSDASK</t>
  </si>
  <si>
    <t>Q96HC4;Q96HC4-7;Q96HC4-4;Q96HC4-6;Q96HC4-3;Q96HC4-2</t>
  </si>
  <si>
    <t>EYDRLY(1)EEYTR</t>
  </si>
  <si>
    <t>F6TDL0;Q92569-3;Q92569-2;Q92569</t>
  </si>
  <si>
    <t>GSIDREDGSLQGPIGNQHIY(1)QPVGKPDPAAPPK</t>
  </si>
  <si>
    <t>Q05397-7;Q05397;E7ESA6;E9PEI4;B4DWJ1;Q05397-6</t>
  </si>
  <si>
    <t>HTDDEMT(1)GY(1)VATR</t>
  </si>
  <si>
    <t>B4E0K5</t>
  </si>
  <si>
    <t>KPT(0.749)Y(0.251)DPVSEDQDPLSSDFK</t>
  </si>
  <si>
    <t>S(0.008)HY(0.992)ADVDPENQNFLLESNLGK</t>
  </si>
  <si>
    <t>Q96QD8;F8VUY8</t>
  </si>
  <si>
    <t>AY(1)SQEEITQGFEETGDTLYAPYSTHFQLQNQPPQK</t>
  </si>
  <si>
    <t>GS(0.053)HQIS(0.947)LDNPDY(1)QQDFFPK</t>
  </si>
  <si>
    <t>P00533;E9PFD7</t>
  </si>
  <si>
    <t>NT(0.001)PY(0.998)KT(0.001)LEPVKPPTVPNDY(0.599)MT(0.326)S(0.074)PAR</t>
  </si>
  <si>
    <t>A0A0A0MRT6;Q8IZP0-2;Q8IZP0-4;Q8IZP0-6;B6VEX4;Q8IZP0-11;Q8IZP0-10;Q8IZP0-8;Q8IZP0-7;Q8IZP0-12;Q8IZP0;Q8IZP0-3;Q8IZP0-5;Q8IZP0-9</t>
  </si>
  <si>
    <t>NT(0.001)PY(0.441)KT(0.558)LEPVKPPTVPNDY(0.992)MT(0.006)S(0.002)PAR</t>
  </si>
  <si>
    <t>IADPEHDHTGFLT(1)EY(1)VATR</t>
  </si>
  <si>
    <t>Y(1)ESLTDPSKLDSGK</t>
  </si>
  <si>
    <t>P08238;Q58FF7</t>
  </si>
  <si>
    <t>HGHY(1)FVALFDY(1)QAR</t>
  </si>
  <si>
    <t>P42685</t>
  </si>
  <si>
    <t>NNYALNTT(0.001)AT(0.035)Y(0.963)AEPYRPIQYR</t>
  </si>
  <si>
    <t>Q99569;A0A0D9SF60;Q99569-2</t>
  </si>
  <si>
    <t>DQY(1)LMWLTQK</t>
  </si>
  <si>
    <t>IGEGT(0.025)Y(0.971)GT(0.005)VFK</t>
  </si>
  <si>
    <t>Q00535;Q00535-2</t>
  </si>
  <si>
    <t>EAEY(0.998)S(0.002)DKHGQYLIGHGTK</t>
  </si>
  <si>
    <t>P54760;Q96L35</t>
  </si>
  <si>
    <t>IWHHTFY(1)NELR</t>
  </si>
  <si>
    <t>P0CG38;P0CG39;P60709;G5E9R0;P63261;Q6S8J3;J3KT65;Q9BYX7;P68032;P68133;A6NL76</t>
  </si>
  <si>
    <t>LDVY(1)TQWHQQSQSTKPK</t>
  </si>
  <si>
    <t>Q8WX93-3;Q8WX93;Q8WX93-4;Q8WX93-8;Q8WX93-5;Q8WX93-7</t>
  </si>
  <si>
    <t>Q58FF8</t>
  </si>
  <si>
    <t>GESAGY(1)MEPYEAQR</t>
  </si>
  <si>
    <t>Q15464;Q15464-2</t>
  </si>
  <si>
    <t>STTNY(1)VDFYSTK</t>
  </si>
  <si>
    <t>P07900;P07900-2;Q14568</t>
  </si>
  <si>
    <t>KPT(0.042)Y(0.958)DPVSEDQDPLSSDFK</t>
  </si>
  <si>
    <t>WDSYDNFSGHRDDGMEEVVGHTQGPLDGS(0.002)LY(0.998)AK</t>
  </si>
  <si>
    <t>E9PF55;Q9HBL0;E9PGF5</t>
  </si>
  <si>
    <t>HYEDGYPGGSDNY(1)GS(0.941)LS(0.059)R</t>
  </si>
  <si>
    <t>C9JZR2</t>
  </si>
  <si>
    <t>AT(0.047)T(0.953)PPNQGRPDS(1)PVY(1)ANLQELK</t>
  </si>
  <si>
    <t>Q1RLN5;Q8IWW6-3;Q8IWW6-2;Q8IWW6-4;Q8IWW6</t>
  </si>
  <si>
    <t>FSGWY(1)DADLSPAGHEEAK</t>
  </si>
  <si>
    <t>P18669</t>
  </si>
  <si>
    <t>IEIAQKHPDIY(1)AVPIK</t>
  </si>
  <si>
    <t>Q9UDY2-6;Q9UDY2-3;Q9UDY2;Q9UDY2-7</t>
  </si>
  <si>
    <t>LGQDPY(1)RLGHDPYR</t>
  </si>
  <si>
    <t>P18583-10;P18583-3;P18583-4;P18583-7;P18583;P18583-5;P18583-9;P18583-6</t>
  </si>
  <si>
    <t>TACTNFMMT(0.999)PY(0.997)VVT(0.004)R</t>
  </si>
  <si>
    <t>D7R525;J3KNK1;P45984-5;P45984-3;P45984-2;P45984-4;P45984</t>
  </si>
  <si>
    <t>GVGY(1)ET(1)ILKEQK</t>
  </si>
  <si>
    <t>A0A0C4DFY5;Q9NQ84;Q9NQ84-2;J9JIE0</t>
  </si>
  <si>
    <t>LY(1)DLNMPAYVK</t>
  </si>
  <si>
    <t>P16333-2;P16333</t>
  </si>
  <si>
    <t>REVGDY(1)GQLHETEVLLK</t>
  </si>
  <si>
    <t>O60674</t>
  </si>
  <si>
    <t>KSVSSSPWLPQDGFDPS(0.016)DY(0.984)AEPMDAVVKPR</t>
  </si>
  <si>
    <t>NT(0.008)Y(0.991)NQTALDIVNQFTTSQASR</t>
  </si>
  <si>
    <t>Q8WXE0-2;Q8WXE0;J3QRN1</t>
  </si>
  <si>
    <t>Y(1)KNILPFDHTR</t>
  </si>
  <si>
    <t>EKLY(1)DFVK</t>
  </si>
  <si>
    <t>Q92835-2;Q92835;Q92835-3</t>
  </si>
  <si>
    <t>TYS(1)LGSALRPSTSR</t>
  </si>
  <si>
    <t>VELQELNDRFANY(1)IDKVR</t>
  </si>
  <si>
    <t>TTGIVMDSGDGVT(0.001)HT(0.001)VPIY(0.055)EGY(0.943)ALPHAILR</t>
  </si>
  <si>
    <t>P60709;P63261</t>
  </si>
  <si>
    <t>SIY(1)GEKFEDENFILK</t>
  </si>
  <si>
    <t>P62937;P62937-2;F8WE65;C9J5S7</t>
  </si>
  <si>
    <t>HADAEMTGY(1)VVTR</t>
  </si>
  <si>
    <t>O15264;O15264-2;Q5R3E6</t>
  </si>
  <si>
    <t>GLCTSPAEHQYFMT(0.001)EY(0.997)VAT(0.002)R</t>
  </si>
  <si>
    <t>Q13164-4;Q13164-3;Q13164-2;Q13164</t>
  </si>
  <si>
    <t>SFTPDHVVY(1)AR</t>
  </si>
  <si>
    <t>Q6NZI2;Q6NZI2-2;Q6NZI2-3</t>
  </si>
  <si>
    <t>TVMYTAVGSEWRPFGY(1)PR</t>
  </si>
  <si>
    <t>Q9Y276</t>
  </si>
  <si>
    <t>FDTQYPY(1)GEKQDEFKR</t>
  </si>
  <si>
    <t>P30040</t>
  </si>
  <si>
    <t>AHDGGIY(1)AISWSPDSTHLLSASGDK</t>
  </si>
  <si>
    <t>O75083;O75083-3</t>
  </si>
  <si>
    <t>SLY(1)SFIK</t>
  </si>
  <si>
    <t>P09525;Q6P452;P09525-2</t>
  </si>
  <si>
    <t>RPGPGTLY(1)DVPR</t>
  </si>
  <si>
    <t>P56945-5;P56945-8;P56945;P56945-7;P56945-2;P56945-6;P56945-4;P56945-3</t>
  </si>
  <si>
    <t>AT(0.034)T(0.966)PPNQGRPDS(1)PVY(1)ANLQELK</t>
  </si>
  <si>
    <t>VSS(0.001)T(0.006)HY(0.96)Y(0.033)LLPERPPYLDK</t>
  </si>
  <si>
    <t>Q9UJM3</t>
  </si>
  <si>
    <t>IY(1)AYPSNITSETGFR</t>
  </si>
  <si>
    <t>Q8IY95-2;Q8IY95</t>
  </si>
  <si>
    <t>LNGPQDHSHLLY(0.993)S(0.006)T(0.001)IPR</t>
  </si>
  <si>
    <t>SNDKVY(1)ENVTGLVK</t>
  </si>
  <si>
    <t>Q05397-7;Q05397;E7ESA6;E9PEI4;Q05397-5;B4DWJ1;Q05397-6;Q05397-2</t>
  </si>
  <si>
    <t>AQQGLY(1)QVPGPSPQFQSPPAK</t>
  </si>
  <si>
    <t>P56945-5;P56945-8;P56945;P56945-7;P56945-2;P56945-6;P56945-3</t>
  </si>
  <si>
    <t>TTDGVY(1)EGVAIGGDRYPGSTFMDHVLR</t>
  </si>
  <si>
    <t>P53396-2;P53396;P53396-3</t>
  </si>
  <si>
    <t>LQPFHSTELEDDAIY(0.992)S(0.008)VHVPAGLYR</t>
  </si>
  <si>
    <t>J3QRU8;A0A0C4DGN6;Q9Y2X7;Q9Y2X7-3</t>
  </si>
  <si>
    <t>HPDIY(1)AVPIK</t>
  </si>
  <si>
    <t>Q9UDY2-4;Q9UDY2-2</t>
  </si>
  <si>
    <t>PSSINY(1)MVAPVTGNDVGIR</t>
  </si>
  <si>
    <t>O00560-2;O00560;G5EA09;O00560-3</t>
  </si>
  <si>
    <t>HVHLENATEY(1)ATLR</t>
  </si>
  <si>
    <t>Q96A22</t>
  </si>
  <si>
    <t>ALDY(0.999)Y(0.001)MLR</t>
  </si>
  <si>
    <t>Q9Y490</t>
  </si>
  <si>
    <t>VPIVINPNAY(1)DNLAIY(1)K</t>
  </si>
  <si>
    <t>Q9H792;H0YN99</t>
  </si>
  <si>
    <t>DKVTIADDY(1)SDPFDAK</t>
  </si>
  <si>
    <t>AIMTYVSS(0.001)FY(0.997)HAFS(0.002)GAQK</t>
  </si>
  <si>
    <t>O43707;P12814-2;P12814-3;P12814;P12814-4;H9KV75</t>
  </si>
  <si>
    <t>ISHS(0.003)LY(0.993)S(0.004)GIEGLDES(0.953)PS(0.047)R</t>
  </si>
  <si>
    <t>Q5VWV2;Q8TEW0-5;Q8TEW0-3;Q8TEW0-7;Q8TEW0-6;Q8TEW0-4;Q8TEW0-11;Q8TEW0-2;Q8TEW0;F5GZI3;Q5VWU8;Q8TEW0-9;Q8TEW0-10;Q8TEW0-8;B1AP52</t>
  </si>
  <si>
    <t>SSGPY(1)GGGGQYFAKPR</t>
  </si>
  <si>
    <t>P09651;F8W6I7;P09651-3;P09651-2;Q32P51</t>
  </si>
  <si>
    <t>KLDNGGY(1)YITTR</t>
  </si>
  <si>
    <t>J3QRU1;P07947;P06241-3;P06241-2;P06241</t>
  </si>
  <si>
    <t>EKPAQDPLY(1)DVPNASGGQAGGPQRPGR</t>
  </si>
  <si>
    <t>Q13671-2;Q13671</t>
  </si>
  <si>
    <t>YIEDEDY(1)Y(0.996)KAS(0.003)VTR</t>
  </si>
  <si>
    <t>Q14289-2;Q14289;E9PBI4</t>
  </si>
  <si>
    <t>NQET(0.001)Y(0.999)ETLKHEKPPQ</t>
  </si>
  <si>
    <t>P30273</t>
  </si>
  <si>
    <t>AGKPGLPAPDELVY(1)QVPQSTQEVSGAGR</t>
  </si>
  <si>
    <t>Q96PD2;Q96PD2-2</t>
  </si>
  <si>
    <t>SREYDQLY(1)EEYTR</t>
  </si>
  <si>
    <t>O00459;E9PFP1</t>
  </si>
  <si>
    <t>SREEDPTLTEEEIS(0.002)AMY(0.956)S(0.035)S(0.008)VNKPGQLVNK</t>
  </si>
  <si>
    <t>Q9NWQ8</t>
  </si>
  <si>
    <t>SYSPY(1)DMLESIRK</t>
  </si>
  <si>
    <t>P07355;P07355-2;A6NMY6</t>
  </si>
  <si>
    <t>SLYYY(1)IQQDTK</t>
  </si>
  <si>
    <t>QESTVSFNPY(1)EPELAPWAADKGPQR</t>
  </si>
  <si>
    <t>P43405;P43405-2</t>
  </si>
  <si>
    <t>ATFHTPFSHLGQSPEGCSS(0.03)Y(0.94)T(0.03)FPK</t>
  </si>
  <si>
    <t>A0A0C4DGA2;O75521-2;O75521</t>
  </si>
  <si>
    <t>NAGDTLPQEDLPLT(0.023)KPEMFENPLY(0.853)GS(0.069)LS(0.033)S(0.023)FPK</t>
  </si>
  <si>
    <t>TAGTS(0.061)FMMT(0.939)PY(0.997)VVT(0.003)R</t>
  </si>
  <si>
    <t>A6NF29;Q499Y8;A8MWW6;P53779-4;P45983-5;P45983-3;P45983-2;P53779-2;P53779-3;P45983-4;P45983;P53779</t>
  </si>
  <si>
    <t>EIENLTQQY(1)EEK</t>
  </si>
  <si>
    <t>B1PS43;P35749-4;P35749-3;P35749;P35749-2</t>
  </si>
  <si>
    <t>FYGPEGPY(1)GVFAGR</t>
  </si>
  <si>
    <t>O00264</t>
  </si>
  <si>
    <t>SLTIY(1)AQVQKPGPLQK</t>
  </si>
  <si>
    <t>Q13291-3;Q13291</t>
  </si>
  <si>
    <t>REEPEALY(1)AAVNK</t>
  </si>
  <si>
    <t>A0A087WVF7;Q9NZM3-4;Q9NZM3-3;Q9NZM3-2;Q9NZM3</t>
  </si>
  <si>
    <t>HLLS(0.004)NLAAILT(0.996)PVK</t>
  </si>
  <si>
    <t>Q5T7W0-2;Q5T7W0-4;Q5T7W0</t>
  </si>
  <si>
    <t>SLY(1)ASSPGGVYATR</t>
  </si>
  <si>
    <t>KDLY(0.997)ANT(0.003)VLSGGTTMYPGIADR</t>
  </si>
  <si>
    <t>ALEHFTDLY(1)DIKR</t>
  </si>
  <si>
    <t>A0A087WVQ6;Q00610-2;Q00610</t>
  </si>
  <si>
    <t>EATQPEPIY(0.993)AES(0.006)T(0.001)KR</t>
  </si>
  <si>
    <t>Q86YV5</t>
  </si>
  <si>
    <t>WDS(1)YENLSADGEVLHTQGPVDGSLY(1)AK</t>
  </si>
  <si>
    <t>Q68CZ2;Q68CZ2-3</t>
  </si>
  <si>
    <t>RAQIPEGDY(0.998)LS(0.001)Y(0.001)R</t>
  </si>
  <si>
    <t>Q96RT1-6;Q96RT1-4;Q96RT1-9;Q96RT1-2;Q96RT1;Q96RT1-8;Q96RT1-7;Q96RT1-5;Q96RT1-3</t>
  </si>
  <si>
    <t>SIYSLDKLY(1)PESQGSDTAWR</t>
  </si>
  <si>
    <t>Q14197</t>
  </si>
  <si>
    <t>HY(1)GGLTGLNKAETAAK</t>
  </si>
  <si>
    <t>P18669;Q8N0Y7;P15259</t>
  </si>
  <si>
    <t>GQPIY(1)IQFSNHK</t>
  </si>
  <si>
    <t>A6NLN1;P26599;P26599-2;P26599-3</t>
  </si>
  <si>
    <t>AGSLPNY(1)ATINGK</t>
  </si>
  <si>
    <t>E9PF55;Q9HBL0;E9PGF5;A0A087WWW7;H0Y4U1</t>
  </si>
  <si>
    <t>RAS(1)GPPGNEHLY(1)ENLCVLEASPTLHGGEPEPHEGPGSR</t>
  </si>
  <si>
    <t>D6RAM3;Q7L591</t>
  </si>
  <si>
    <t>VY(1)ESIGQYGGETVK</t>
  </si>
  <si>
    <t>Q8N3R9-2;Q8N3R9</t>
  </si>
  <si>
    <t>SPGLMSEDS(0.003)NLHY(0.997)ADIQVCSRPHAR</t>
  </si>
  <si>
    <t>Y(0.999)T(0.001)EFYHVPTHSDASK</t>
  </si>
  <si>
    <t>SSGPYGGGGQY(1)FAKPR</t>
  </si>
  <si>
    <t>AATSGVPSIYAPS(0.036)T(0.167)Y(0.781)AHLS(0.015)PAK</t>
  </si>
  <si>
    <t>S4R3V8;Q86X29-3;Q86X29-4;Q86X29;Q86X29-6;Q86X29-5;Q86X29-2</t>
  </si>
  <si>
    <t>Y(1)AAPELEIAR</t>
  </si>
  <si>
    <t>A0A0A0MTB0;D6RHG7;Q86VE9-3;Q86VE9-2;Q86VE9;Q86VE9-4</t>
  </si>
  <si>
    <t>SSISSVLKDPDS(0.001)NPY(0.979)S(0.019)LLDNTESDQTADTDASESHHSTNR</t>
  </si>
  <si>
    <t>E7EU85;E9PFF5;B4DXZ6;P51114-3;P51114-2;P51114</t>
  </si>
  <si>
    <t>VGFQY(1)EGTYK</t>
  </si>
  <si>
    <t>P11413;P11413-3;P11413-2</t>
  </si>
  <si>
    <t>HSLSSGGFSPVAGVGAQDGDY(0.984)QRPHS(0.016)AQPADR</t>
  </si>
  <si>
    <t>Q8N8Z6</t>
  </si>
  <si>
    <t>QSPEDVY(0.999)FS(0.001)K</t>
  </si>
  <si>
    <t>SLYASSPGGVY(0.974)AT(0.025)R</t>
  </si>
  <si>
    <t>NEGFY(1)ADPYLYHEGR</t>
  </si>
  <si>
    <t>Q5T5P2;Q5T5P2-9;Q5T5P2-2;Q5T5P2-7;Q5T5P2-10;Q5T5P2-3;Q5T5P2-4;Q5T5P2-8;Q5T5P2-6</t>
  </si>
  <si>
    <t>EPS(1)PVRY(1)DNLSR</t>
  </si>
  <si>
    <t>Q9C0B5-2;Q9C0B5</t>
  </si>
  <si>
    <t>VQIY(1)HNPTANSFR</t>
  </si>
  <si>
    <t>P50552;K7ENL7</t>
  </si>
  <si>
    <t>HHAAY(1)VNNLNVTEEKYQEALAK</t>
  </si>
  <si>
    <t>A0A0C4DFU2;P04179;P04179-4;A0A0C4DFU1;P04179-2;A0A0C4DG56;P04179-3;G5E9P6;F5GXZ9</t>
  </si>
  <si>
    <t>AHTFSAQS(0.002)GY(0.998)RVPGPQPGHK</t>
  </si>
  <si>
    <t>YYGY(1)TGAFR</t>
  </si>
  <si>
    <t>CON__Q29443;CON__Q0IIK2;E7ER44</t>
  </si>
  <si>
    <t>LAQDPY(1)RLGHDPYR</t>
  </si>
  <si>
    <t>LTGIKHELQANCY(1)EEVKDR</t>
  </si>
  <si>
    <t>P23528;G3V1A4;E9PK25</t>
  </si>
  <si>
    <t>YIEDEDY(1)Y(0.991)KAS(0.009)VTR</t>
  </si>
  <si>
    <t>AAVPSGASTGIY(1)EALELR</t>
  </si>
  <si>
    <t>P06733</t>
  </si>
  <si>
    <t>EKWDCES(0.063)ICS(0.809)T(0.149)Y(0.931)S(0.047)NLY(0.002)NHPQLIK</t>
  </si>
  <si>
    <t>Q96GA3</t>
  </si>
  <si>
    <t>AYS(1)QEEITQGFEETGDT(0.008)LY(0.807)APY(0.178)S(0.003)T(0.003)HFQLQNQPPQK</t>
  </si>
  <si>
    <t>TKPSDEEMLFIY(0.996)GHY(0.004)K</t>
  </si>
  <si>
    <t>B8ZWD1;A0A0A0MTI5;P07108;P07108-3;P07108-2;P07108-4;P07108-5;P07108-6</t>
  </si>
  <si>
    <t>VY(1)ENVGLMQQQK</t>
  </si>
  <si>
    <t>Q06124-2;Q06124</t>
  </si>
  <si>
    <t>NT(0.002)PY(0.399)KT(0.597)LEPVKPPT(0.001)VPNDYMTSPAR</t>
  </si>
  <si>
    <t>HSFGPLDY(1)ESLQQELALK</t>
  </si>
  <si>
    <t>O94925-3;B8ZZC5;B8ZZA8</t>
  </si>
  <si>
    <t>NYQSSSPLPTVGSSYSS(0.007)PDY(0.783)S(0.21)LQHFSSSPESQAR</t>
  </si>
  <si>
    <t>KLDMGGY(1)Y(0.981)IT(0.015)T(0.004)R</t>
  </si>
  <si>
    <t>P09769</t>
  </si>
  <si>
    <t>SEQLKPLKT(0.631)Y(0.369)VDPHT(0.631)Y(0.369)EDPNQAVLK</t>
  </si>
  <si>
    <t>ADHQPLTEAS(0.001)Y(0.999)VNLPTIALCNTDSPLR</t>
  </si>
  <si>
    <t>A0A0C4DG17;P08865;A6NE09</t>
  </si>
  <si>
    <t>KYVLENHPGTNSNY(1)QMHLLK</t>
  </si>
  <si>
    <t>Q5SSJ5;Q5SSJ5-2;Q5SSJ5-3</t>
  </si>
  <si>
    <t>QADSEMTGY(0.998)VVT(0.002)R</t>
  </si>
  <si>
    <t>B5MDL5;P53778-2;P53778</t>
  </si>
  <si>
    <t>SPPESESEPY(0.955)T(0.042)FS(0.003)HPNNGDVSSK</t>
  </si>
  <si>
    <t>Q9H5V8;Q9H5V8-2</t>
  </si>
  <si>
    <t>LNFSHGT(0.002)HEY(0.985)HAET(0.014)IK</t>
  </si>
  <si>
    <t>P14618;H3BQ34;P14618-2</t>
  </si>
  <si>
    <t>ITLDNAY(1)MEKCDENILWLDYK</t>
  </si>
  <si>
    <t>P14618;B4DNK4;P14618-3;H3BQ34;P14618-2</t>
  </si>
  <si>
    <t>IYQY(1)IQSR</t>
  </si>
  <si>
    <t>Q13627-3;Q13627-4;Q13627-5;Q13627-2;Q13627;Q9Y463-2;Q9Y463-3;Q9Y463</t>
  </si>
  <si>
    <t>SSGSGSSVADERVDY(1)VVVDQQK</t>
  </si>
  <si>
    <t>B7Z3B9;Q13480;Q13480-2</t>
  </si>
  <si>
    <t>GGPGSAVSPY(1)PTFNPSSDVAALHK</t>
  </si>
  <si>
    <t>P04083</t>
  </si>
  <si>
    <t>ALPQNDDHY(1)VMQEHRK</t>
  </si>
  <si>
    <t>C9J1X3;Q07912;Q07912-3;Q07912-2</t>
  </si>
  <si>
    <t>SESVVY(1)ADIR</t>
  </si>
  <si>
    <t>O95297-4;O95297-2;O95297;O95297-5</t>
  </si>
  <si>
    <t>LLAQAEGEPCY(1)IR</t>
  </si>
  <si>
    <t>E9PM19;P29597;E9PPF2</t>
  </si>
  <si>
    <t>VPVY(1)ETPAGWR</t>
  </si>
  <si>
    <t>FAGDKGY(1)LTKEDLR</t>
  </si>
  <si>
    <t>P60903</t>
  </si>
  <si>
    <t>KDPDERPTFEYIQSFLEDYFTATEPQY(1)QPGENL</t>
  </si>
  <si>
    <t>J3QRU1;P07947</t>
  </si>
  <si>
    <t>NNY(1)ALNTT(0.006)AT(0.197)Y(0.796)AEPYRPIQYR</t>
  </si>
  <si>
    <t>YTY(1)SEWHSFTQPR</t>
  </si>
  <si>
    <t>Q02487;Q02487-2;Q14574-2;Q14574</t>
  </si>
  <si>
    <t>FIHQQPQSS(0.062)S(0.937)PVY(0.724)GS(0.124)S(0.152)AK</t>
  </si>
  <si>
    <t>LLDIDET(0.004)EY(0.996)HADGGKVPIK</t>
  </si>
  <si>
    <t>B4DTR1;J3QLU9;P04626-3;P04626-2;P04626-5;P04626-4;P04626</t>
  </si>
  <si>
    <t>SLDNGGY(0.032)Y(0.967)IS(0.001)PR</t>
  </si>
  <si>
    <t>KEELIGIAY(1)NR</t>
  </si>
  <si>
    <t>Q96AC1-2;Q96AC1;Q96AC1-3</t>
  </si>
  <si>
    <t>ATGNQPPPLVGT(0.003)Y(0.992)NT(0.005)LLSR</t>
  </si>
  <si>
    <t>LVQSPNS(0.04)Y(0.96)FMDVK</t>
  </si>
  <si>
    <t>Q5T4L4;C9JLI6;H0YMV8;Q71UM5;P42677</t>
  </si>
  <si>
    <t>SLLEGQEDHY(1)NNLSASK</t>
  </si>
  <si>
    <t>CON__P08727;P08727</t>
  </si>
  <si>
    <t>YFEITDESPY(0.999)VHY(0.001)LNTFSSK</t>
  </si>
  <si>
    <t>B4E3S0;Q9ULV4;Q9ULV4-2;Q9ULV4-3</t>
  </si>
  <si>
    <t>LATEEPPPRS(0.992)PPES(0.059)ES(0.176)EPY(0.524)T(0.175)FS(0.067)HPNNGDVS(0.003)S(0.004)K</t>
  </si>
  <si>
    <t>LIKDDEY(1)NPCQGS(1)KFPIK</t>
  </si>
  <si>
    <t>GKGHDGLY(1)QGLSTATK</t>
  </si>
  <si>
    <t>P20963-3;P20963</t>
  </si>
  <si>
    <t>LKKEDIY(1)AVEIVGGATR</t>
  </si>
  <si>
    <t>P34932;A0A087WYC1;A0A087WTS8</t>
  </si>
  <si>
    <t>P09104;P09104-2;F5H0C8;P13929-2;P13929;P13929-3</t>
  </si>
  <si>
    <t>REFEVY(1)GPIKR</t>
  </si>
  <si>
    <t>P08621-3;P08621-2;P08621</t>
  </si>
  <si>
    <t>PSLY(1)AQVQKPPR</t>
  </si>
  <si>
    <t>P33151;P33151-2;B4DTR2</t>
  </si>
  <si>
    <t>LVSSPCCIVTST(0.002)Y(0.998)GWTANMER</t>
  </si>
  <si>
    <t>P08238</t>
  </si>
  <si>
    <t>MLAQPLKDSDVEVY(1)NIIKK</t>
  </si>
  <si>
    <t>P34896-2;P34896;P34896-3;J3KRK5</t>
  </si>
  <si>
    <t>VPS(1)EGAY(1)DIILPR</t>
  </si>
  <si>
    <t>VKETADFKVY(0.975)T(0.025)K</t>
  </si>
  <si>
    <t>IGEGTYGVVY(0.999)K</t>
  </si>
  <si>
    <t>KTPQGPPEIY(0.996)S(0.004)DTQFPSLQSTAK</t>
  </si>
  <si>
    <t>Q9UKY7;D6R9V8;Q9UKY7-2;D6RFH2;Q9UKY7-3;D6RDN0</t>
  </si>
  <si>
    <t>LCDFGS(0.909)AS(0.091)HVADNDIT(0.009)PY(0.99)LVS(0.002)R</t>
  </si>
  <si>
    <t>WDTGENPIY(1)K</t>
  </si>
  <si>
    <t>P05556</t>
  </si>
  <si>
    <t>KYPDY(1)IQIAMPTESR</t>
  </si>
  <si>
    <t>Q8NHU3</t>
  </si>
  <si>
    <t>PS(0.008)PIY(0.963)IS(0.021)S(0.006)Y(0.002)S(0.001)SPAR</t>
  </si>
  <si>
    <t>Q99569-2</t>
  </si>
  <si>
    <t>RHQSLSPNHPPPQLGQSVGSQNDAY(1)DVPR</t>
  </si>
  <si>
    <t>Q14511-3;Q14511;A0A087WUD2</t>
  </si>
  <si>
    <t>NLY(1)AGDY(0.86)Y(0.14)R</t>
  </si>
  <si>
    <t>A0A0G2JNZ7;A0A0A0MSX3</t>
  </si>
  <si>
    <t>QVVES(0.007)AY(0.993)EVIK</t>
  </si>
  <si>
    <t>P00338;P00338-3;P00338-4</t>
  </si>
  <si>
    <t>LSTEHSSVSEYHPADGY(1)AFSSNIYTR</t>
  </si>
  <si>
    <t>Q12929;Q12929-2</t>
  </si>
  <si>
    <t>WTAPEAALY(1)GR</t>
  </si>
  <si>
    <t>J3QRU1;P07947;P06241-3;P06241-2;P06241;P12931;P12931-2</t>
  </si>
  <si>
    <t>DMYDKEY(0.001)Y(0.991)S(0.008)VHNK</t>
  </si>
  <si>
    <t>T(0.004)Y(0.996)SLGSALRPSTSR</t>
  </si>
  <si>
    <t>GEPNVS(0.027)Y(0.973)ICS(1)R</t>
  </si>
  <si>
    <t>HEY(1)ALPLAPPEPEY(0.951)AT(0.049)PIVER</t>
  </si>
  <si>
    <t>LRLDTAS(0.004)S(0.004)NGY(0.962)QRPGS(0.03)VVAAK</t>
  </si>
  <si>
    <t>E9PJK4;A6NI28</t>
  </si>
  <si>
    <t>VSSQGNLIPARPAPAPPLY(0.908)S(0.046)S(0.046)LT</t>
  </si>
  <si>
    <t>Q13443</t>
  </si>
  <si>
    <t>NPGNQAAY(1)EHFETMK</t>
  </si>
  <si>
    <t>P18206-2;P18206</t>
  </si>
  <si>
    <t>EY(1)GMIYLGK</t>
  </si>
  <si>
    <t>Q7KZF4</t>
  </si>
  <si>
    <t>VADY(1)IPQLAK</t>
  </si>
  <si>
    <t>FALPSPQHILGLPVGQHIY(0.813)LS(0.187)AR</t>
  </si>
  <si>
    <t>P00387-2;P00387;P00387-3</t>
  </si>
  <si>
    <t>SLYY(0.999)YIQQDTK</t>
  </si>
  <si>
    <t>STGPGASLGT(0.05)GY(0.95)DRKDY(1)V</t>
  </si>
  <si>
    <t>O15551</t>
  </si>
  <si>
    <t>AATSGVPS(0.001)IY(0.999)APS(0.041)T(0.196)Y(0.75)AHLS(0.013)PAK</t>
  </si>
  <si>
    <t>KGSTFRPMDTDAEEAGVSTDAGGHY(1)DCPQR</t>
  </si>
  <si>
    <t>EPSAPSIPTPAY(0.998)QS(0.001)SPAGGHAPTPPTPAPR</t>
  </si>
  <si>
    <t>Q8WUM4;Q8WUM4-2</t>
  </si>
  <si>
    <t>RPAGSVQNPVY(1)HNQPLNPAPSR</t>
  </si>
  <si>
    <t>VHFPASTDY(1)STQYGLK</t>
  </si>
  <si>
    <t>DGVY(1)DVPLHNPPDAK</t>
  </si>
  <si>
    <t>Y(1)AAELHLVHWNTK</t>
  </si>
  <si>
    <t>P00918</t>
  </si>
  <si>
    <t>ALELDSNLY(1)R</t>
  </si>
  <si>
    <t>P35579;P35579-2</t>
  </si>
  <si>
    <t>SYS(0.001)PY(0.998)DY(0.001)QPCLAGPNQDFHSK</t>
  </si>
  <si>
    <t>E9PF55;Q9HBL0;E9PGF5;A0A087WWW7</t>
  </si>
  <si>
    <t>GT(0.002)GY(0.998)IKTELISVSEVHPSR</t>
  </si>
  <si>
    <t>P42224;P42224-2;J3KPM9</t>
  </si>
  <si>
    <t>MQNHGYENPT(0.012)Y(0.978)KY(0.009)LEQMQI</t>
  </si>
  <si>
    <t>Q06481-5;Q06481-4;Q06481-2;Q06481-3;Q06481-6;Q06481</t>
  </si>
  <si>
    <t>ESMCSTPAFPVSPET(0.014)PY(0.986)VK</t>
  </si>
  <si>
    <t>Q68CZ2;Q68CZ2-2</t>
  </si>
  <si>
    <t>RKNPQEGLY(1)NELQK</t>
  </si>
  <si>
    <t>IVLDSDAAEY(1)GGHQR</t>
  </si>
  <si>
    <t>Q04446;E9PGM4</t>
  </si>
  <si>
    <t>IY(1)DLNIPAFVK</t>
  </si>
  <si>
    <t>O43639</t>
  </si>
  <si>
    <t>SSSAGGQGS(0.013)Y(0.986)VPLLR</t>
  </si>
  <si>
    <t>S4R3V8;Q86X29-3;Q86X29-4;Q86X29;Q86X29-6;Q86X29-5</t>
  </si>
  <si>
    <t>LY(1)PELSQYMGLSLNEEEIR</t>
  </si>
  <si>
    <t>O00560-2;O00560;G5EA09;B4DHN5;E9PBU7;O00560-3</t>
  </si>
  <si>
    <t>AQQAADKY(0.003)LY(0.997)VDK</t>
  </si>
  <si>
    <t>P35579;Q5BKV1</t>
  </si>
  <si>
    <t>NKPLFFADKLY(1)K</t>
  </si>
  <si>
    <t>P08133;P08133-2;E5RK69;E7EMC6</t>
  </si>
  <si>
    <t>ANT(0.043)Y(0.957)EKYWPFYQK</t>
  </si>
  <si>
    <t>P50440-2;P50440;P50440-3</t>
  </si>
  <si>
    <t>IEDPVY(1)GIYYVDHINR</t>
  </si>
  <si>
    <t>A0A087WXD2;A0A087WT53;Q96QZ7-4;Q96QZ7-3;Q96QZ7-5;Q96QZ7-7;Q96QZ7-6;Q96QZ7-2;Q96QZ7</t>
  </si>
  <si>
    <t>Y(0.994)KY(0.005)GYEIPVDMLCK</t>
  </si>
  <si>
    <t>G3V5Z7;P60900;G3V295;G3V3I1;P60900-2;P60900-3</t>
  </si>
  <si>
    <t>IKPS(0.333)S(0.333)S(0.333)ANAIY(0.954)S(0.046)LAAR</t>
  </si>
  <si>
    <t>P22681</t>
  </si>
  <si>
    <t>THYPAQQGEYQT(0.002)HQPVY(0.998)HK</t>
  </si>
  <si>
    <t>O95817</t>
  </si>
  <si>
    <t>LYLQSPHS(0.198)Y(0.802)EDPYFDDR</t>
  </si>
  <si>
    <t>SDVY(1)SDLNTQRPYYK</t>
  </si>
  <si>
    <t>X6RGC9;K7ES93;O43914-3;O43914-2;O43914</t>
  </si>
  <si>
    <t>DDKHGS(0.674)Y(0.326)EDAVHSGALND</t>
  </si>
  <si>
    <t>P17987;E7EQR6;F5H282</t>
  </si>
  <si>
    <t>Y(1)ILTPGGLAEQPGQAEHQPESPLNETQR</t>
  </si>
  <si>
    <t>H0YNK6;Q06418</t>
  </si>
  <si>
    <t>SELPY(1)EELWLEEGKPSHQPLTR</t>
  </si>
  <si>
    <t>Q9H706-2;Q9H706-3;Q9H706</t>
  </si>
  <si>
    <t>FDTQY(0.679)PY(0.321)GEKQDEFKR</t>
  </si>
  <si>
    <t>LY(1)GPTNFSPIINHVAR</t>
  </si>
  <si>
    <t>O75131</t>
  </si>
  <si>
    <t>KGPCAVSSNPY(1)AFK</t>
  </si>
  <si>
    <t>Q5VYS8-4;Q5VYS8-6;Q5VYS8;Q5VYS8-5;Q5VYS8-3;Q5VYS8-2</t>
  </si>
  <si>
    <t>ALSSEGKPY(0.991)VT(0.009)KEELYQNLTR</t>
  </si>
  <si>
    <t>A0A0D9SF54;Q13813-3;A0A0D9SGF6;Q13813;Q13813-2</t>
  </si>
  <si>
    <t>PY(1)QYPALTPEQK</t>
  </si>
  <si>
    <t>P04075;H3BQN4;J3KPS3;P04075-2</t>
  </si>
  <si>
    <t>HPEIVGY(1)SVPGR</t>
  </si>
  <si>
    <t>Q6XZF7;Q6XZF7-2</t>
  </si>
  <si>
    <t>SAFSNLFGGEPLS(0.051)Y(0.898)T(0.051)R</t>
  </si>
  <si>
    <t>P02786;F8WBE5</t>
  </si>
  <si>
    <t>T(0.001)PHGDY(0.999)IEFPCYR</t>
  </si>
  <si>
    <t>P09917-5;P09917-4;P09917-2;P09917-3;P09917;A0A087X109</t>
  </si>
  <si>
    <t>LRPLSYPQTVGET(0.057)Y(0.889)GKDIT(0.027)S(0.027)R</t>
  </si>
  <si>
    <t>P63000-2</t>
  </si>
  <si>
    <t>QNGRDPPDPY(0.999)VS(0.001)LLLLPDK</t>
  </si>
  <si>
    <t>AKAPAPAPAESGESLAY(1)WPDR</t>
  </si>
  <si>
    <t>Q8NEG4</t>
  </si>
  <si>
    <t>LAELEEFINGPNNAHIQQVGDRCY(1)DEK</t>
  </si>
  <si>
    <t>A0A087WVQ6;Q00610-2;Q00610;J3KS13</t>
  </si>
  <si>
    <t>HIGLVY(1)SGMGPDYR</t>
  </si>
  <si>
    <t>P25787</t>
  </si>
  <si>
    <t>DTYHPMSEYPT(0.004)Y(0.989)HT(0.007)HGR</t>
  </si>
  <si>
    <t>A0A0C4DGW3;A0A087X2A4;A0A087WWM1;P15941-7;P15941-11;P15941-8;P15941-4;P15941-3;P15941;P15941-2;A6ZIE4;A6ZIE3;B1AVQ7;A0A087X0L2;A0A0A0MRB3;A0A0A0MSH4;P15941-12;P15941-16;P15941-9;P15941-10;P15941-15;P15941-6;P15941-17</t>
  </si>
  <si>
    <t>GQESEY(1)GNITYPPAMK</t>
  </si>
  <si>
    <t>P29350-2;P29350;P29350-3;P29350-4</t>
  </si>
  <si>
    <t>QQPTQFINPET(0.001)PGY(0.999)VGFANLPNQVHR</t>
  </si>
  <si>
    <t>Q15019;Q15019-3;Q15019-2;F8WB65</t>
  </si>
  <si>
    <t>YALYDAT(0.001)Y(0.994)ET(0.005)K</t>
  </si>
  <si>
    <t>P23528;G3V1A4;E9PK25;Q9Y281-3;Q9Y281</t>
  </si>
  <si>
    <t>SVSSSPWLPQDGFDPS(0.626)DY(0.374)AEPMDAVVKPR</t>
  </si>
  <si>
    <t>LGHDPY(1)RLTPDPYR</t>
  </si>
  <si>
    <t>DQLIY(1)NLLK</t>
  </si>
  <si>
    <t>P00338;P00338-3;P00338-5;P00338-2;P00338-4;F5H5J4;F5H6W8;F5H8H6;F5GXC7;F5GWW2;F5GXU1</t>
  </si>
  <si>
    <t>QNLLSQSHAY(1)QQFLR</t>
  </si>
  <si>
    <t>Q01082;A0A087WUZ3;Q01082-2;Q01082-3</t>
  </si>
  <si>
    <t>Y(1)REWHHFLVVNMK</t>
  </si>
  <si>
    <t>P30086</t>
  </si>
  <si>
    <t>DGQPY(0.001)CEKDY(0.999)HNLFSPR</t>
  </si>
  <si>
    <t>F5GZ78;P49023-2;P49023;P49023-3;P49023-4</t>
  </si>
  <si>
    <t>SSEHENAY(1)ENVPEEEGKVR</t>
  </si>
  <si>
    <t>Q13113</t>
  </si>
  <si>
    <t>VGQGYVYEAAQPEQDEY(1)DIPR</t>
  </si>
  <si>
    <t>GEGLY(1)ADPYGLLHEGR</t>
  </si>
  <si>
    <t>A0A087X165;Q9C0H9-2;Q9C0H9;Q9C0H9-5</t>
  </si>
  <si>
    <t>NDSDPT(0.064)Y(0.936)GQQGHPNTWK</t>
  </si>
  <si>
    <t>A0A087WZF1;Q93052;C9JUT4</t>
  </si>
  <si>
    <t>VGEEEHVY(0.25)S(0.75)FPNK</t>
  </si>
  <si>
    <t>LPPGEQCEGEEDT(0.263)EY(0.714)MT(0.021)PS(0.001)S(0.001)RPLRPLDTSQSSR</t>
  </si>
  <si>
    <t>S(0.054)FIKDY(0.946)PVVSIEDPFDQDDWGAWQK</t>
  </si>
  <si>
    <t>P06733;P06733-2</t>
  </si>
  <si>
    <t>TMQFEPSTMVY(1)DACR</t>
  </si>
  <si>
    <t>VLPPEVADGGVVDSGVY(1)AVPPPAER</t>
  </si>
  <si>
    <t>LEDYFETDSSY(0.999)SDANNFIR</t>
  </si>
  <si>
    <t>P42685;P42685-2</t>
  </si>
  <si>
    <t>NRVY(1)EVPVETKF</t>
  </si>
  <si>
    <t>P40879</t>
  </si>
  <si>
    <t>ARPEY(1)MLPVHFYGR</t>
  </si>
  <si>
    <t>P11216</t>
  </si>
  <si>
    <t>LPSSPVY(1)EDAASFK</t>
  </si>
  <si>
    <t>Q14247-3;Q14247;Q14247-2</t>
  </si>
  <si>
    <t>VIQPHGGGSNPLEGTQHLQDVPY(1)VMVR</t>
  </si>
  <si>
    <t>Q14126</t>
  </si>
  <si>
    <t>EKDY(1)DFPPPMR</t>
  </si>
  <si>
    <t>LKEQECDVKDY(1)GDLPFADIPNDSPFQIVK</t>
  </si>
  <si>
    <t>P05089;P05089-3</t>
  </si>
  <si>
    <t>TGSGGPGNHPHGPDASAEGLNPY(1)GLVAPR</t>
  </si>
  <si>
    <t>Q86UX7-2;Q86UX7</t>
  </si>
  <si>
    <t>RGSGELY(1)EHEKDLVWK</t>
  </si>
  <si>
    <t>Q5SR50;F8W9P4;O00329</t>
  </si>
  <si>
    <t>LPQDDDRPADEY(1)DQPWEWNR</t>
  </si>
  <si>
    <t>Q15464</t>
  </si>
  <si>
    <t>NMGGPYGGGNY(1)GPGGSGGSGGYGGR</t>
  </si>
  <si>
    <t>P22626;P22626-2</t>
  </si>
  <si>
    <t>EDVY(1)LSHDHNIPYK</t>
  </si>
  <si>
    <t>Q13882</t>
  </si>
  <si>
    <t>SNILWDKEHIY(1)DEQPPNVEEWVK</t>
  </si>
  <si>
    <t>A0A0G2JMZ8;Q16625-4;Q16625-3;Q16625</t>
  </si>
  <si>
    <t>Y(0.85)Y(0.15)KETSGLMLDVGPYMK</t>
  </si>
  <si>
    <t>Q5T1Z0;Q9H008-2;Q9H008</t>
  </si>
  <si>
    <t>VCAYGAQGEGPY(0.992)S(0.006)S(0.001)LVSCR</t>
  </si>
  <si>
    <t>P16144-4;P16144-2;P16144;P16144-3</t>
  </si>
  <si>
    <t>DVTIGGSAPIY(1)VK</t>
  </si>
  <si>
    <t>Q5VWV2;Q8TEW0-5;Q8TEW0-3;Q8TEW0-7;Q8TEW0-6;Q8TEW0-4;Q8TEW0-11;Q8TEW0-2;Q8TEW0;F5GZI3;Q5VWU8;Q8TEW0-9;Q8TEW0-10;Q8TEW0-8</t>
  </si>
  <si>
    <t>QTTNFENPIY(1)AQMENEQK</t>
  </si>
  <si>
    <t>P98164</t>
  </si>
  <si>
    <t>NMGGPYGGGNYGPGGSGGS(0.001)GGY(0.999)GGR</t>
  </si>
  <si>
    <t>NYQSSSPLPTVGS(0.001)S(0.001)Y(0.004)S(0.004)S(0.016)PDY(0.316)S(0.657)LQHFSSSPESQAR</t>
  </si>
  <si>
    <t>ADKDY(1)HFKVDNDENEHQLSLR</t>
  </si>
  <si>
    <t>P06748-2;P06748;P06748-3</t>
  </si>
  <si>
    <t>LGIPEY(1)FNFAK</t>
  </si>
  <si>
    <t>Q53FZ2-2;Q53FZ2</t>
  </si>
  <si>
    <t>LS(0.004)LGQY(0.996)DNDAGGQLPFSK</t>
  </si>
  <si>
    <t>RPQY(0.412)S(0.588)NPPVQGEVMEGADNQGAGEQGRPVR</t>
  </si>
  <si>
    <t>A0A087X1S2</t>
  </si>
  <si>
    <t>DPHYQDPHSTAVGNPEY(0.999)LNTVQPTCVNSTFDSPAHWAQK</t>
  </si>
  <si>
    <t>LY(1)EWISIDKDEAGAK</t>
  </si>
  <si>
    <t>A0A0A0MTP6;O15357-2;O15357</t>
  </si>
  <si>
    <t>VGGIY(0.997)T(0.003)VLQTK</t>
  </si>
  <si>
    <t>P13807-2;P13807</t>
  </si>
  <si>
    <t>VIEDDPEAVY(0.933)T(0.05)T(0.013)T(0.004)GGK</t>
  </si>
  <si>
    <t>Q15375-2;Q15375-4;Q15375</t>
  </si>
  <si>
    <t>THYPAQQGEY(0.984)QT(0.016)HQPVYHK</t>
  </si>
  <si>
    <t>Y(1)PIEHGIITNWDDMEK</t>
  </si>
  <si>
    <t>P62736;P63267;P68032;P68133;A6NL76;F8WB63;B8ZZJ2</t>
  </si>
  <si>
    <t>AEEY(1)EFLTPVEEAPK</t>
  </si>
  <si>
    <t>J3QQX2;P52565;J3KRE2</t>
  </si>
  <si>
    <t>VY(1)IDPFT(0.034)Y(0.966)EDPNEAVR</t>
  </si>
  <si>
    <t>P54753;P54760;Q96L35</t>
  </si>
  <si>
    <t>DLNY(1)CFSGMSDHR</t>
  </si>
  <si>
    <t>E9PCY7;G8JLB6;P31943;P55795</t>
  </si>
  <si>
    <t>QKPATETSMNTASHSLCEQTMVNSENT(0.046)Y(0.675)S(0.213)S(0.06)GS(0.005)S(0.001)FPVPK</t>
  </si>
  <si>
    <t>EILVGDVGQTVDDPY(0.982)AT(0.018)FVK</t>
  </si>
  <si>
    <t>YLCEGTES(0.005)PY(0.945)QT(0.049)GQLHPAIR</t>
  </si>
  <si>
    <t>Q5TG12;E9PGC5;Q15262;Q15262-2;Q15262-3;Q15262-4</t>
  </si>
  <si>
    <t>QPAPKPEPS(0.003)FS(0.003)EY(0.977)AS(0.016)VQVPR</t>
  </si>
  <si>
    <t>P78324-4;P78324;P78324-2</t>
  </si>
  <si>
    <t>VLLPEY(0.807)GGT(0.193)K</t>
  </si>
  <si>
    <t>P61604;B8ZZL8;B8ZZ54</t>
  </si>
  <si>
    <t>IWHHSFY(1)NELR</t>
  </si>
  <si>
    <t>P62736;P63267;P63267-2</t>
  </si>
  <si>
    <t>SAVSPDLHIT(0.002)PIY(0.998)EGR</t>
  </si>
  <si>
    <t>KVVYENAY(1)GQFIGPHR</t>
  </si>
  <si>
    <t>E2QRB9;E9PIR7;F8W809;A0A087WSW9;E9PNQ6;A0A087WSY9;Q16881-7;Q16881-5;Q16881-2;Q16881-4;Q16881-3;Q16881-6;Q16881</t>
  </si>
  <si>
    <t>ALPAQVDDPPEPVY(1)ANIER</t>
  </si>
  <si>
    <t>E9PNT2</t>
  </si>
  <si>
    <t>HVSPVT(1)PPREVPIY(1)ANR</t>
  </si>
  <si>
    <t>HVS(0.001)PVT(0.999)PPREVPIY(1)ANR</t>
  </si>
  <si>
    <t>YIS(0.004)LIY(0.946)T(0.047)NY(0.003)EAGKDDYVK</t>
  </si>
  <si>
    <t>P09211</t>
  </si>
  <si>
    <t>MQAYSNPGY(0.999)SSFPSPTGLEPSCK</t>
  </si>
  <si>
    <t>J3QR17;Q8WZ73-3;Q8WZ73-2;Q8WZ73</t>
  </si>
  <si>
    <t>Y(1)VDSEGHLYTVPIR</t>
  </si>
  <si>
    <t>Y(1)GQFSGLNPGGRPITPPR</t>
  </si>
  <si>
    <t>P62136;P62136-2;P62136-3</t>
  </si>
  <si>
    <t>LS(0.001)S(0.005)FT(0.025)S(0.136)Y(0.834)ENPT</t>
  </si>
  <si>
    <t>S(0.004)QY(0.084)Y(0.85)S(0.049)T(0.011)VGGS(0.001)HPHSEQYPDLLPLEAR</t>
  </si>
  <si>
    <t>Q6XZF7</t>
  </si>
  <si>
    <t>LATEEPPPRS(0.952)PPES(0.043)ES(0.005)EPY(0.319)T(0.594)FS(0.087)HPNNGDVSSK</t>
  </si>
  <si>
    <t>AEGSDVANAVLDGADCIMLSGET(0.005)AKGDY(0.995)PLEAVR</t>
  </si>
  <si>
    <t>P14618;B4DNK4;P14618-3;P14618-2;H3BR70</t>
  </si>
  <si>
    <t>NLYAGDY(0.978)Y(0.022)R</t>
  </si>
  <si>
    <t>NICQHFSTKVLGIKVET(1)K</t>
  </si>
  <si>
    <t>Q8NDA8</t>
  </si>
  <si>
    <t>Y(1)LPRPANPDEIGNFIDENLK</t>
  </si>
  <si>
    <t>A0A087WXI5;P12830-2;P12830</t>
  </si>
  <si>
    <t>DIYETDY(0.9)Y(0.1)RK</t>
  </si>
  <si>
    <t>C9J5X1;P06213-2;P06213</t>
  </si>
  <si>
    <t>YRPENTPEPVS(0.008)T(0.008)S(0.006)VS(0.279)HY(0.697)GAEPTTVSPCPSSSAK</t>
  </si>
  <si>
    <t>HGSGADSDY(1)ENTQSGDPLLGLEGK</t>
  </si>
  <si>
    <t>LPDGY(1)EFKFPNR</t>
  </si>
  <si>
    <t>P09382</t>
  </si>
  <si>
    <t>KQY(1)PISLVLAPTR</t>
  </si>
  <si>
    <t>A0A0D9SFB3;A0A0D9SG12;A0A0D9SF53;O00571;O00571-2;O15523-2;O15523;O15523-3</t>
  </si>
  <si>
    <t>GMTVY(1)GLPR</t>
  </si>
  <si>
    <t>P51911;P51911-2;B7Z7E1</t>
  </si>
  <si>
    <t>DLTDY(1)LMK</t>
  </si>
  <si>
    <t>P60709;P62736;P63261;Q562R1;P63267;P63267-2;P68032;P68133</t>
  </si>
  <si>
    <t>VHSPSGALEECYVTEIDQDKY(1)AVR</t>
  </si>
  <si>
    <t>Y(0.5)Y(0.5)KETSGLMLDVGPYMK</t>
  </si>
  <si>
    <t>AYGPY(0.994)S(0.006)VTNCGEHDTTEYK</t>
  </si>
  <si>
    <t>EGHMMDALY(1)AQVK</t>
  </si>
  <si>
    <t>LY(1)KVPDGKPENQFAFNGEFK</t>
  </si>
  <si>
    <t>Q9H2U2;Q9H2U2-2;Q9H2U2-3;Q9H2U2-6;Q9H2U2-4</t>
  </si>
  <si>
    <t>KLDNGGY(0.001)Y(0.999)ITTR</t>
  </si>
  <si>
    <t>QGSGSSQPMEVQEGY(0.006)GFGS(0.041)GDDPY(0.805)S(0.104)S(0.041)AEPHVS(0.002)GVK</t>
  </si>
  <si>
    <t>Q13263-2;Q13263</t>
  </si>
  <si>
    <t>FSISPDEDSSSYSSNSDFNY(0.74)S(0.224)Y(0.036)PTK</t>
  </si>
  <si>
    <t>LSHS(0.001)SGY(0.999)AQLNTYSR</t>
  </si>
  <si>
    <t>Q5W0G0;Q5W0F9;B4DN67;Q96J84-3;Q96J84;Q96J84-2</t>
  </si>
  <si>
    <t>IFPLRPDY(1)QEPSR</t>
  </si>
  <si>
    <t>Q16832</t>
  </si>
  <si>
    <t>SKPPYTDY(0.998)VS(0.001)T(0.001)R</t>
  </si>
  <si>
    <t>Q9UPZ9-2;Q9UPZ9</t>
  </si>
  <si>
    <t>DHVVEGEPY(0.999)AGY(0.001)DR</t>
  </si>
  <si>
    <t>O75063</t>
  </si>
  <si>
    <t>AY(1)TNFDAERDALNIETAIK</t>
  </si>
  <si>
    <t>GGMDY(0.961)AY(0.039)IPPPGLQPEPGYGYAPNQGR</t>
  </si>
  <si>
    <t>MVVES(0.006)AY(0.994)EVIK</t>
  </si>
  <si>
    <t>P07195</t>
  </si>
  <si>
    <t>PGGLGSS(0.001)S(0.004)LY(0.994)GLGASRPR</t>
  </si>
  <si>
    <t>CON__Q3KNV1;CON__P08729;P08729</t>
  </si>
  <si>
    <t>TTEDEVHICHNQDGY(0.941)S(0.025)Y(0.033)PSR</t>
  </si>
  <si>
    <t>P01130-3;P01130-6;P01130-4;P01130;P01130-2</t>
  </si>
  <si>
    <t>HKEDVY(1)ENLHTK</t>
  </si>
  <si>
    <t>P29350-2;P29350;P29350-3</t>
  </si>
  <si>
    <t>EGY(1)SALPQLDIER</t>
  </si>
  <si>
    <t>M0QWZ7;Q9NP81;Q9NP81-2;M0R1C0;M0R2H5;B4DJM9</t>
  </si>
  <si>
    <t>NGDVSQFPY(1)VEFTGR</t>
  </si>
  <si>
    <t>F2Z3N7;Q9NUM4</t>
  </si>
  <si>
    <t>SLY(1)YYIQQDTK</t>
  </si>
  <si>
    <t>PYQY(1)PALTPEQK</t>
  </si>
  <si>
    <t>RPVS(0.189)PY(0.622)S(0.189)GYNGQLLTS(0.007)VY(0.991)QPT(0.002)EMALMHK</t>
  </si>
  <si>
    <t>Y(1)AALANLDNIFSAGQGGDQGSGFGTTGK</t>
  </si>
  <si>
    <t>P52594-2;P52594-3;P52594;P52594-4</t>
  </si>
  <si>
    <t>SFLDSGY(1)R</t>
  </si>
  <si>
    <t>Y(1)LAEFATGNDRK</t>
  </si>
  <si>
    <t>P62258-2;P62258</t>
  </si>
  <si>
    <t>QKQGIY(1)EEYEDIRR</t>
  </si>
  <si>
    <t>A0A0A0MR09;P43378</t>
  </si>
  <si>
    <t>GHALY(1)VEPHGHGPSLSVQGLSR</t>
  </si>
  <si>
    <t>F5H385;Q9BRY0</t>
  </si>
  <si>
    <t>SQERPGNFY(1)VSSESIR</t>
  </si>
  <si>
    <t>Q6ZUJ8-2;Q6ZUJ8;Q6ZUJ8-3</t>
  </si>
  <si>
    <t>KLEAAEDIAY(1)QLSR</t>
  </si>
  <si>
    <t>P35232</t>
  </si>
  <si>
    <t>YANNS(0.001)NY(0.999)KNDVMIR</t>
  </si>
  <si>
    <t>P61326-2;P61326;Q96A72;F5H6N1</t>
  </si>
  <si>
    <t>DIVHSGLAY(0.988)T(0.012)MER</t>
  </si>
  <si>
    <t>P00367;P00367-3;P00367-2</t>
  </si>
  <si>
    <t>WANY(1)HLENAGCNK</t>
  </si>
  <si>
    <t>P13796</t>
  </si>
  <si>
    <t>ALNGAEPNY(0.935)HS(0.061)LPS(0.004)AR</t>
  </si>
  <si>
    <t>Q6IAA8;F5GX19;F5H3Y3;F5H479</t>
  </si>
  <si>
    <t>SRDDLY(1)DQDDSRDFPR</t>
  </si>
  <si>
    <t>TLEPVRPPVVPNDY(0.999)VPS(0.001)PTR</t>
  </si>
  <si>
    <t>B7Z836;E7EW77;A0A0C4DG21;F8WAL6;Q9NYB9-3;Q9NYB9-2;Q9NYB9-4;Q9NYB9</t>
  </si>
  <si>
    <t>TEY(1)MAFPKPFESSSSIGAEKPR</t>
  </si>
  <si>
    <t>A6NNN6;E7ETA6;Q15154-2;Q15154</t>
  </si>
  <si>
    <t>HFT(0.002)NPY(0.998)CNIYLNSVQVAK</t>
  </si>
  <si>
    <t>E9PGC0;P20936-2;P20936-4;P20936</t>
  </si>
  <si>
    <t>TLDNGGFY(0.996)IS(0.004)PR</t>
  </si>
  <si>
    <t>H0Y3C5;J3KPD6;P08631-3;P08631-2;P08631-4;P08631</t>
  </si>
  <si>
    <t>NASTFEDVTQVS(0.003)S(0.011)AY(0.985)QK</t>
  </si>
  <si>
    <t>LIY(1)LVPEK</t>
  </si>
  <si>
    <t>GPS(1)WDPFRDWYPHSR</t>
  </si>
  <si>
    <t>P04792;F8WE04</t>
  </si>
  <si>
    <t>LSDRWY(1)PSDVDR</t>
  </si>
  <si>
    <t>P49750-3;P49750;P49750-4</t>
  </si>
  <si>
    <t>TVQPVAMGPDGLPVDASSVS(0.001)NNY(0.992)IQT(0.006)LGR</t>
  </si>
  <si>
    <t>NSS(0.001)Y(0.999)FVEWIPNNVK</t>
  </si>
  <si>
    <t>A0A0B4J269;Q13509;Q13509-2;P04350;Q5JP53;P07437;Q5ST81;P68371;Q13885;Q9BUF5;Q9BVA1</t>
  </si>
  <si>
    <t>NVY(1)YELNDVR</t>
  </si>
  <si>
    <t>Q5T5P2;Q5T5P2-9;Q5T5P2-2;Q5T5P2-7;Q5T5P2-10</t>
  </si>
  <si>
    <t>TVFY(0.005)Y(0.963)Y(0.03)GS(0.001)DKDK</t>
  </si>
  <si>
    <t>O75563</t>
  </si>
  <si>
    <t>FAVPT(0.02)Y(0.98)AAK</t>
  </si>
  <si>
    <t>HGETFTFRDPHLLDPTVEY(1)VK</t>
  </si>
  <si>
    <t>O75815</t>
  </si>
  <si>
    <t>CSILAAANPAY(1)GR</t>
  </si>
  <si>
    <t>P33993;P33993-3</t>
  </si>
  <si>
    <t>LEPQIASASEY(1)AHR</t>
  </si>
  <si>
    <t>O60664-4;O60664-3;O60664</t>
  </si>
  <si>
    <t>HIDSAHLY(1)NNEEQVGLAIR</t>
  </si>
  <si>
    <t>A0A0A0MSS8;P42330;S4R3Z2;A0A0A0MT30;Q04828;A6NHU4</t>
  </si>
  <si>
    <t>NLDNGGFY(0.994)IS(0.006)PR</t>
  </si>
  <si>
    <t>Q573B4;P06239-2;P06239;P06239-3</t>
  </si>
  <si>
    <t>LY(0.007)PELS(0.05)QY(0.943)MGLSLNEEEIR</t>
  </si>
  <si>
    <t>DVPDGPLLREET(0.683)Y(0.317)DVPPAFAK</t>
  </si>
  <si>
    <t>RYEPIQATPPPPPLPS(0.061)QY(0.939)AQPSQPVTSASLHIHSK</t>
  </si>
  <si>
    <t>A0A087X0K9;G5E9E7;Q07157-2;G3V1L9;Q07157</t>
  </si>
  <si>
    <t>GGEY(1)GFGAAFDADGDR</t>
  </si>
  <si>
    <t>RPVS(0.009)PY(0.941)S(0.048)GY(0.002)NGQLLTSVYQPTEMALMHK</t>
  </si>
  <si>
    <t>TDDYLDQPCY(0.997)ET(0.003)INR</t>
  </si>
  <si>
    <t>P50395;P50395-2</t>
  </si>
  <si>
    <t>AVSALATESGHPDSQKPPTHPGT(0.013)S(0.056)DS(0.166)Y(0.6)S(0.166)APR</t>
  </si>
  <si>
    <t>YVDS(0.003)EGHLY(0.169)T(0.828)VPIR</t>
  </si>
  <si>
    <t>YSLY(1)EVHVSGER</t>
  </si>
  <si>
    <t>Q5TIG5;J3KN01;P55196-2;P55196-6;P55196-3;P55196-1;P55196;P55196-5</t>
  </si>
  <si>
    <t>TGFSTSPES(0.003)PY(0.797)T(0.2)HWK</t>
  </si>
  <si>
    <t>E9PKG1;H7C2I1;Q99873-3;Q99873-2;Q99873-4;Q99873;A0A087X1W2</t>
  </si>
  <si>
    <t>Y(1)KVPDGKPENEFAFNAEFK</t>
  </si>
  <si>
    <t>Q15181</t>
  </si>
  <si>
    <t>T(0.063)AT(0.063)GY(0.874)GFAEPYNLYSSLK</t>
  </si>
  <si>
    <t>NIY(0.999)S(0.001)DIPPQVPVRPISYTPSIPSDSR</t>
  </si>
  <si>
    <t>A0A087WVP1;Q14517</t>
  </si>
  <si>
    <t>S(0.002)GY(0.998)IPSGHSLGTPEPAPR</t>
  </si>
  <si>
    <t>HLLAPGPQDIY(1)DVPPVR</t>
  </si>
  <si>
    <t>ELGEY(1)GFHEYTEVK</t>
  </si>
  <si>
    <t>P00352</t>
  </si>
  <si>
    <t>LPACVVDCGT(0.011)GY(0.944)T(0.044)K</t>
  </si>
  <si>
    <t>P61158;F8WEW2;F8WE84</t>
  </si>
  <si>
    <t>TVHDMEQFGQQQY(0.005)DIY(0.995)ER</t>
  </si>
  <si>
    <t>GY(0.002)GY(0.998)GQGAGTLSTDKGESLGIK</t>
  </si>
  <si>
    <t>P21291;E9PS42;E9PP21</t>
  </si>
  <si>
    <t>KAPDFVFY(1)APR</t>
  </si>
  <si>
    <t>E7EQR4;P15311;P26038;P35241;P35241-5;P35241-4</t>
  </si>
  <si>
    <t>SGLSSPIY(1)IDLR</t>
  </si>
  <si>
    <t>E9PFD2;P11172;F2Z3P2;F2Z303;F8WDG4</t>
  </si>
  <si>
    <t>LISQDIHSNTY(0.001)NY(0.999)K</t>
  </si>
  <si>
    <t>C9JA08;Q96D46</t>
  </si>
  <si>
    <t>LY(1)SILGTTLKDEGK</t>
  </si>
  <si>
    <t>DSGLY(1)KELLHK</t>
  </si>
  <si>
    <t>Q8WUM9</t>
  </si>
  <si>
    <t>DAS(0.993)PT(0.006)PSTDAEYPANGS(0.362)GADRIY(0.638)DLNIPAFVK</t>
  </si>
  <si>
    <t>VSAQY(1)LSEIEMAK</t>
  </si>
  <si>
    <t>O75955;O75955-2</t>
  </si>
  <si>
    <t>RDYEVDGRDY(1)HFVTSR</t>
  </si>
  <si>
    <t>A0A0C4DFT3;Q12959-8;Q12959-9;Q12959-5;Q12959-3;Q12959-6;Q12959-4;Q12959;Q12959-7;Q12959-2</t>
  </si>
  <si>
    <t>NMGGPY(1)GGGNYGPGGSGGSGGYGGR</t>
  </si>
  <si>
    <t>FLEENSSDPTY(0.928)T(0.052)S(0.015)S(0.004)LGGK</t>
  </si>
  <si>
    <t>TAGTS(0.001)FMMT(0.999)PY(0.992)VVT(0.008)R</t>
  </si>
  <si>
    <t>APTDDDKNIY(0.999)LT(0.001)LPPNDHVNSNN</t>
  </si>
  <si>
    <t>P12318-2;P12318;P31995;H0YGT0</t>
  </si>
  <si>
    <t>KGHGQPGADAEKPFY(1)VNVEFHHER</t>
  </si>
  <si>
    <t>A9UF01;P11274-2;P11274</t>
  </si>
  <si>
    <t>IY(1)GISFPDPK</t>
  </si>
  <si>
    <t>P26639;P26639-2</t>
  </si>
  <si>
    <t>S(0.001)ENIY(0.983)DY(0.016)LDSSEPAENENK</t>
  </si>
  <si>
    <t>A0A088AWP5;Q8WUY3-4;Q8WUY3;Q8WUY3-2;Q8WUY3-3;E9PDC2</t>
  </si>
  <si>
    <t>RGWDENVY(0.999)Y(0.001)TVPLVR</t>
  </si>
  <si>
    <t>Q9BPW8</t>
  </si>
  <si>
    <t>DHVY(1)GIHNPVMTSPSQH</t>
  </si>
  <si>
    <t>O43490-2;O43490</t>
  </si>
  <si>
    <t>IAY(0.999)S(0.001)LLGLK</t>
  </si>
  <si>
    <t>NKDQGT(0.001)Y(0.999)EDYVEGLR</t>
  </si>
  <si>
    <t>P60660-2;F8W1R7;G8JLA2;G3V1V0;P60660;J3KND3;B7Z6Z4;G3V1Y7;F8VZU9;F8W180</t>
  </si>
  <si>
    <t>DHPALNY(1)NIVSGPPSHK</t>
  </si>
  <si>
    <t>O15269-2;O15269</t>
  </si>
  <si>
    <t>Y(0.011)KY(0.977)GY(0.012)EIPVDMLCK</t>
  </si>
  <si>
    <t>FSISPDEDSSS(0.013)Y(0.986)SSNSDFNYSYPTK</t>
  </si>
  <si>
    <t>Y(1)QEAAPNVANNTGPHAASCFGAK</t>
  </si>
  <si>
    <t>DY(0.997)S(0.003)TVSASPTALSTLK</t>
  </si>
  <si>
    <t>Q12774</t>
  </si>
  <si>
    <t>FGLENAY(0.972)NNFRPT(0.022)LET(0.006)VDSGTELHIQRPEMVASTV</t>
  </si>
  <si>
    <t>Q9UKN1-2;Q9UKN1</t>
  </si>
  <si>
    <t>SRAEAESMY(1)QIKYEELQSLAGK</t>
  </si>
  <si>
    <t>CON__P05787;P05787;P05787-2;CON__H-INV:HIT000292931</t>
  </si>
  <si>
    <t>S(0.085)REY(0.915)DQLYEEYTR</t>
  </si>
  <si>
    <t>VWLLQQY(0.966)S(0.032)GMT(0.001)HEDIVQESK</t>
  </si>
  <si>
    <t>Q9UGR2-2;Q9UGR2</t>
  </si>
  <si>
    <t>HS(0.244)LS(0.244)S(0.244)GGFS(0.267)PVAGVGAQDGDY(0.192)QRPHS(0.808)AQPADR</t>
  </si>
  <si>
    <t>IGTAEPDY(0.998)GALY(0.002)EGR</t>
  </si>
  <si>
    <t>P19174;P19174-2</t>
  </si>
  <si>
    <t>S(0.004)AQPS(0.008)PHY(0.007)MAAPS(0.045)S(0.039)GQIY(0.598)GS(0.246)GPQGY(0.036)NT(0.016)QPVPVS(0.001)GQCPPPSTR</t>
  </si>
  <si>
    <t>MEIATKEPMNPIKQY(1)VK</t>
  </si>
  <si>
    <t>Q9H2U2;Q9H2U2-2;Q9H2U2-3</t>
  </si>
  <si>
    <t>LHY(1)GLPVVVK</t>
  </si>
  <si>
    <t>B4DGU4;P35222</t>
  </si>
  <si>
    <t>THAVSVSET(0.001)DDY(0.999)AEIIDEEDTYTMPSTR</t>
  </si>
  <si>
    <t>Q05397-7;Q05397;E7ESA6;Q05397-5;Q05397-4;Q05397-3;Q05397-2</t>
  </si>
  <si>
    <t>TTGIVMDSGDGVT(0.001)HT(0.004)VPIY(0.99)EGY(0.004)ALPHAILR</t>
  </si>
  <si>
    <t>LNY(1)GIPAIVK</t>
  </si>
  <si>
    <t>P14923</t>
  </si>
  <si>
    <t>DS(0.011)NY(0.989)HLLMSVQESLER</t>
  </si>
  <si>
    <t>IVATKPLY(1)VALAQR</t>
  </si>
  <si>
    <t>P11940;A0A087WTT1;E7EQV3;P11940-2;E7ERJ7;Q9H361</t>
  </si>
  <si>
    <t>SGESVEEVPLY(1)GNLHYLQTGR</t>
  </si>
  <si>
    <t>Q9Y3P8;A0A087WXW3</t>
  </si>
  <si>
    <t>GIY(1)AYGFEKPSAIQQR</t>
  </si>
  <si>
    <t>E7EQG2;Q14240;Q14240-2;J3QQP0;E9PBH4;F8WE11;P38919;P60842;J3KT12;P60842-2</t>
  </si>
  <si>
    <t>TGPSGQSLAPPPPPY(1)RQPPGVPNGPS(0.429)S(0.429)PT(0.138)NES(0.005)APELPQR</t>
  </si>
  <si>
    <t>Q8TF74-2;Q8TF74</t>
  </si>
  <si>
    <t>SLSHLPLHS(0.05)S(0.05)KEDAY(0.9)DGVTSENMR</t>
  </si>
  <si>
    <t>DS(0.655)NY(0.345)HLLMSVQESLER</t>
  </si>
  <si>
    <t>FLIGNQHIY(1)QPVGKPDPAAPPK</t>
  </si>
  <si>
    <t>Q05397-2</t>
  </si>
  <si>
    <t>GEPNVS(0.588)Y(0.411)ICS(0.001)R</t>
  </si>
  <si>
    <t>GIQLY(0.998)DT(0.002)PYEPEGQSVDS(0.935)DS(0.05)ES(0.012)T(0.003)VSPR</t>
  </si>
  <si>
    <t>GY(1)SFVTTAER</t>
  </si>
  <si>
    <t>P62736;P63267;P63267-2;P68032;P68133</t>
  </si>
  <si>
    <t>RIS(1)Y(1)VQDENRDPIR</t>
  </si>
  <si>
    <t>Q9NQS7-2;Q9NQS7</t>
  </si>
  <si>
    <t>VMIY(1)QDEVKLPAK</t>
  </si>
  <si>
    <t>Q6NZI2</t>
  </si>
  <si>
    <t>Y(1)KNILPFDHSR</t>
  </si>
  <si>
    <t>VS(0.663)GDY(0.336)GHPVY(0.001)IVQEMPPQSPANIYYK</t>
  </si>
  <si>
    <t>P52799;P98172</t>
  </si>
  <si>
    <t>QITSYGETCPGLEQY(1)AIKK</t>
  </si>
  <si>
    <t>P50990-2;P50990;P50990-3</t>
  </si>
  <si>
    <t>NIDDGTSDRPYSHALVAGIDRY(1)PR</t>
  </si>
  <si>
    <t>P61353</t>
  </si>
  <si>
    <t>LVTSPCCIVTSTY(1)GWTANMER</t>
  </si>
  <si>
    <t>P07900;P07900-2</t>
  </si>
  <si>
    <t>IY(1)DILSDNGPQQPSTTVK</t>
  </si>
  <si>
    <t>LLDDFDGT(0.039)Y(0.954)ET(0.006)QGGKIPIR</t>
  </si>
  <si>
    <t>P21709</t>
  </si>
  <si>
    <t>QNLLSQS(0.919)HAY(0.08)QQFLR</t>
  </si>
  <si>
    <t>SAPAMQSSGSFNY(1)ARPK</t>
  </si>
  <si>
    <t>Q8WX93-3;Q8WX93;Q8WX93-4</t>
  </si>
  <si>
    <t>EALPMDTEVY(0.003)ES(0.012)PY(0.985)ADPEEIRPK</t>
  </si>
  <si>
    <t>QRPYSVAVPAFSQGLDDY(1)GAR</t>
  </si>
  <si>
    <t>Q9UQB8-3;Q9UQB8-5;Q9UQB8-4;Q9UQB8-6;Q9UQB8-2;Q9UQB8;I3L4C2;B4DWA1</t>
  </si>
  <si>
    <t>LGAAPEEES(0.012)AY(0.988)VAGEKR</t>
  </si>
  <si>
    <t>Q9UNZ2;Q9UNZ2-6;Q9UNZ2-5;F2Z2K0</t>
  </si>
  <si>
    <t>FHPEPY(1)GLEDDQR</t>
  </si>
  <si>
    <t>GLYPGSS(0.001)KPS(0.012)PIY(0.984)IS(0.002)S(0.001)Y(0.001)SSPAR</t>
  </si>
  <si>
    <t>Q99569;A0A0D9SF60</t>
  </si>
  <si>
    <t>EEDEHPY(1)ELLLTAETKK</t>
  </si>
  <si>
    <t>Q92625</t>
  </si>
  <si>
    <t>AKAPAPAPAES(0.092)GES(0.282)LAY(0.652)WPDRS(0.703)DT(0.272)EVPPLDLGWTDTGFYR</t>
  </si>
  <si>
    <t>RTEELIY(1)LSQK</t>
  </si>
  <si>
    <t>Q12774;Q12774-2</t>
  </si>
  <si>
    <t>S(0.05)Y(0.044)IY(0.836)S(0.058)GS(0.012)HDGHINYWDSETGENDSFAGK</t>
  </si>
  <si>
    <t>GVNIGGAGS(0.02)Y(0.018)IY(0.962)EKPLAEGPQVTGPIEVPAAR</t>
  </si>
  <si>
    <t>P52943;P52943-2</t>
  </si>
  <si>
    <t>SEGT(0.002)Y(0.998)CCGPVPVR</t>
  </si>
  <si>
    <t>P21980;P21980-2</t>
  </si>
  <si>
    <t>RGGHHRPDS(0.005)S(0.005)T(0.005)LHT(0.014)DDGY(0.971)MPMSPGVAPVPSGR</t>
  </si>
  <si>
    <t>P35568</t>
  </si>
  <si>
    <t>HLAILY(1)KK</t>
  </si>
  <si>
    <t>Q7Z494-2;Q7Z494</t>
  </si>
  <si>
    <t>YEEIVKEVS(0.027)T(0.149)Y(0.823)IKK</t>
  </si>
  <si>
    <t>P68104;A0A087WVQ9;P68104-2;Q5VTE0;A0A087WV01</t>
  </si>
  <si>
    <t>YKPAVNQIECHPY(0.945)LT(0.055)QEK</t>
  </si>
  <si>
    <t>P15121;E9PCX2</t>
  </si>
  <si>
    <t>SSPEQSYQGDMY(0.987)PT(0.013)R</t>
  </si>
  <si>
    <t>A0A0C4DFY5;Q9NQ84;Q9NQ84-2</t>
  </si>
  <si>
    <t>KT(0.001)EGT(0.005)Y(0.994)DLPYWDR</t>
  </si>
  <si>
    <t>AFGY(1)YGPLR</t>
  </si>
  <si>
    <t>A0A087X2D0;P84103-2;P84103</t>
  </si>
  <si>
    <t>EIQISPSPKPHASLPPLPLY(0.998)DQPPS(0.001)S(0.001)PYPSPDKR</t>
  </si>
  <si>
    <t>E7ENZ2;E9PG19;O94868-2;O94868</t>
  </si>
  <si>
    <t>MQQNGYENPT(0.045)Y(0.955)KFFEQMQN</t>
  </si>
  <si>
    <t>A0A0A0MRG2;E9PG40</t>
  </si>
  <si>
    <t>IHFPLATY(1)APVISAEK</t>
  </si>
  <si>
    <t>P68363;P68363-2;P68366-2;P68366;Q71U36;Q71U36-2;Q13748;Q13748-2;Q6PEY2;Q9BQE3;F5H5D3</t>
  </si>
  <si>
    <t>HIAEDADRKY(1)EEVAR</t>
  </si>
  <si>
    <t>P09493-9;P09493;P09493-4;P09493-3;P09493-10;Q6ZN40;P09493-7;P09493-6;H0YK48;P09493-5;P09493-8;F5H7S3;H7BYY1;B7Z596;P09493-2;H0YK20</t>
  </si>
  <si>
    <t>EY(1)FTFPASK</t>
  </si>
  <si>
    <t>A8MQ02;Q5TIG5;J3KN01;P55196-2;P55196-6;P55196-3;P55196-1;P55196;P55196-5</t>
  </si>
  <si>
    <t>SPFEVY(1)VDK</t>
  </si>
  <si>
    <t>AS(0.132)Y(0.868)VAPLTAQPATYR</t>
  </si>
  <si>
    <t>Q96PK6</t>
  </si>
  <si>
    <t>GSIHDFPGFDPNQDAEALY(0.941)T(0.059)AMK</t>
  </si>
  <si>
    <t>P08133;E5RK69;E7EMC6;E5RI05;E5RIU8</t>
  </si>
  <si>
    <t>AT(0.014)Y(0.986)LSVADEHLR</t>
  </si>
  <si>
    <t>B4DKD1;Q9BSA4-2;Q9BSA4</t>
  </si>
  <si>
    <t>KEPLY(1)AAFPGSHLTNGDLR</t>
  </si>
  <si>
    <t>NLDKEY(1)LPIGGLAEFCK</t>
  </si>
  <si>
    <t>P00505</t>
  </si>
  <si>
    <t>QY(0.97)T(0.026)S(0.004)PEEIDAQLQAEK</t>
  </si>
  <si>
    <t>F8WBW6;Q13442</t>
  </si>
  <si>
    <t>APYTCGGDSDQY(1)VLMSSPVGR</t>
  </si>
  <si>
    <t>Q9Y4H2</t>
  </si>
  <si>
    <t>TPY(1)EAYDPIGK</t>
  </si>
  <si>
    <t>TFLRPSPEDEAIY(0.999)GPNT(0.001)K</t>
  </si>
  <si>
    <t>Q9UDY2-6;Q9UDY2-3;Q9UDY2;Q9UDY2-7;Q9UDY2-4;Q9UDY2-2;Q9UDY2-5</t>
  </si>
  <si>
    <t>ADIVQQLLQQGASPNAAT(0.002)T(0.006)S(0.017)GY(0.744)T(0.225)PLHLS(0.006)AR</t>
  </si>
  <si>
    <t>Q12955-5;Q12955-4;Q12955;Q12955-7</t>
  </si>
  <si>
    <t>GFFICDQPYEPVS(0.021)PY(0.91)S(0.068)CK</t>
  </si>
  <si>
    <t>P07814</t>
  </si>
  <si>
    <t>GEHSIVY(1)LKPSYAFGSVGK</t>
  </si>
  <si>
    <t>Q02790</t>
  </si>
  <si>
    <t>VSEKPSADY(1)VLSVR</t>
  </si>
  <si>
    <t>Y(0.993)KGQHVPGS(0.007)PFQFTVGPLGEGGAHK</t>
  </si>
  <si>
    <t>Q60FE5;P21333-2;P21333;Q5HY54</t>
  </si>
  <si>
    <t>LCDFGS(0.494)AS(0.505)HVADNDIT(0.055)PY(0.85)LVS(0.097)R</t>
  </si>
  <si>
    <t>Y(1)AALSDQGLDIK</t>
  </si>
  <si>
    <t>NLSEGNNANY(0.004)T(0.019)EY(0.959)VAT(0.019)R</t>
  </si>
  <si>
    <t>O76039-2;O76039</t>
  </si>
  <si>
    <t>VY(1)IDPFT(0.004)Y(0.996)EDPNEAVR</t>
  </si>
  <si>
    <t>Y(0.537)GPQY(0.463)GHPPPPPPPPEYGPHADSPVLMVYGLDQSK</t>
  </si>
  <si>
    <t>P14866;P14866-2</t>
  </si>
  <si>
    <t>HADAEMT(1)GY(0.999)VVT(0.001)R</t>
  </si>
  <si>
    <t>NPDDITQEEY(1)GEFYK</t>
  </si>
  <si>
    <t>S(0.648)FIKDY(0.352)PVVS(0.001)IEDPFDQDDWGAWQK</t>
  </si>
  <si>
    <t>GY(1)GYGQGAGTLSTDKGESLGIK</t>
  </si>
  <si>
    <t>TLHY(1)ECIVLVK</t>
  </si>
  <si>
    <t>A6NFX8;Q9UKK9;A6NCQ0;A6NJU6</t>
  </si>
  <si>
    <t>VSLEEIY(0.963)S(0.031)GCT(0.005)KK</t>
  </si>
  <si>
    <t>P25685;P25685-2</t>
  </si>
  <si>
    <t>SGDSEVY(1)QLGDVSQK</t>
  </si>
  <si>
    <t>Q04837</t>
  </si>
  <si>
    <t>Y(1)ENVPLIGR</t>
  </si>
  <si>
    <t>Y(0.5)Y(0.5)RPTEVDFLQGDCTK</t>
  </si>
  <si>
    <t>O60547-2;O60547</t>
  </si>
  <si>
    <t>THIQDNHDGT(0.692)Y(0.306)T(0.002)VAYVPDVTGR</t>
  </si>
  <si>
    <t>MNHTVQTFFSPVNSGQPPNY(1)EMLK</t>
  </si>
  <si>
    <t>Q01628;C9JQL5</t>
  </si>
  <si>
    <t>TACTNFMMT(1)PY(0.994)VVT(0.006)R</t>
  </si>
  <si>
    <t>ENDY(1)ESISDLQQGR</t>
  </si>
  <si>
    <t>GPVSGTEPEPVY(0.999)S(0.001)MEAADYR</t>
  </si>
  <si>
    <t>S(0.001)KPPY(0.021)T(0.99)DY(0.976)VS(0.005)T(0.007)R</t>
  </si>
  <si>
    <t>Y(1)ELTGLPEQDR</t>
  </si>
  <si>
    <t>P42684-7;P42684-4;P42684-10;P42684-5</t>
  </si>
  <si>
    <t>INLPIQT(0.003)Y(0.993)S(0.005)ALNFR</t>
  </si>
  <si>
    <t>P17661</t>
  </si>
  <si>
    <t>KPQNAADS(0.003)Y(0.995)S(0.003)WVPER</t>
  </si>
  <si>
    <t>Q9NPY3</t>
  </si>
  <si>
    <t>S(0.001)RGDNVY(0.999)VVTEVLQTQK</t>
  </si>
  <si>
    <t>G3V1A6;P57764</t>
  </si>
  <si>
    <t>DSNIPGS(0.005)DY(0.995)INANYIK</t>
  </si>
  <si>
    <t>ATFHTPFSHLGQSPEGCS(0.544)S(0.3)Y(0.125)T(0.031)FPK</t>
  </si>
  <si>
    <t>DGSSQQLQGY(1)IPSNYVAEDR</t>
  </si>
  <si>
    <t>HY(1)GALIGLNR</t>
  </si>
  <si>
    <t>P07738</t>
  </si>
  <si>
    <t>LSTEHSSVS(0.03)EY(0.97)HPADGYAFSSNIYTR</t>
  </si>
  <si>
    <t>KKLDDQSEDEALELEGPLITPGS(0.001)GS(0.005)IY(0.856)S(0.069)S(0.069)PGLY(0.001)SK</t>
  </si>
  <si>
    <t>GPLDGS(0.864)PY(0.136)AQVQRPPR</t>
  </si>
  <si>
    <t>QRPY(0.409)S(0.591)VAVPAFSQGLDDYGAR</t>
  </si>
  <si>
    <t>SLY(0.997)S(0.003)MIK</t>
  </si>
  <si>
    <t>P08133;P08133-2;E5RK69</t>
  </si>
  <si>
    <t>IY(1)SYVVSRPQPR</t>
  </si>
  <si>
    <t>Q96CS3</t>
  </si>
  <si>
    <t>LY(0.997)T(0.003)GPGLAIHCMQVHK</t>
  </si>
  <si>
    <t>J3QRS9;O43670-2;O43670;O43670-4;X6R4W8</t>
  </si>
  <si>
    <t>T(0.013)S(0.013)QDY(0.974)DQLPSCSDGSQAPARPPKPR</t>
  </si>
  <si>
    <t>E9PHA9;Q13191</t>
  </si>
  <si>
    <t>T(0.191)S(0.191)S(0.617)KHKEDVY(1)ENLHTK</t>
  </si>
  <si>
    <t>GVTIPYRPKPSSSPVIFAGGQAYTIQGQY(1)AIPQPDLTK</t>
  </si>
  <si>
    <t>Q15366-4;Q15366-7;Q15366-5;Q15366-8</t>
  </si>
  <si>
    <t>LSYLSAPGS(0.003)EY(0.917)S(0.058)MY(0.02)S(0.002)TDSR</t>
  </si>
  <si>
    <t>NPGFY(1)VEANPMPTFK</t>
  </si>
  <si>
    <t>NAY(0.996)S(0.004)HKENLQLNQETEAIKEELLYFK</t>
  </si>
  <si>
    <t>Q96BW5-2;Q96BW5</t>
  </si>
  <si>
    <t>LQHQQLY(0.998)Y(0.002)SQDDSNRK</t>
  </si>
  <si>
    <t>SGPLEACY(1)GELGQSR</t>
  </si>
  <si>
    <t>Q9NXD2</t>
  </si>
  <si>
    <t>YNY(0.998)T(0.002)LLR</t>
  </si>
  <si>
    <t>Q9BZV1-2;Q9BZV1</t>
  </si>
  <si>
    <t>VSS(0.006)T(0.022)HY(0.977)Y(0.995)LLPERPSYLER</t>
  </si>
  <si>
    <t>VLAPASTLQS(0.039)S(0.16)Y(0.8)QIPTENSMTAR</t>
  </si>
  <si>
    <t>SPSSCNDLY(1)ATVKDFEK</t>
  </si>
  <si>
    <t>SSESEFT(0.005)QY(0.762)T(0.194)T(0.039)HHILK</t>
  </si>
  <si>
    <t>E9PHV5;P28290-3;P28290;P28290-2;E7EUL7</t>
  </si>
  <si>
    <t>Y(1)GWLAAPQAYVSEK</t>
  </si>
  <si>
    <t>FASEAS(0.041)GY(0.959)QDNIAR</t>
  </si>
  <si>
    <t>IAIY(1)ELLFK</t>
  </si>
  <si>
    <t>F6U211;P46783</t>
  </si>
  <si>
    <t>SLTETELT(0.012)KPNY(0.93)LY(0.058)LLPTEK</t>
  </si>
  <si>
    <t>Q99650</t>
  </si>
  <si>
    <t>SYDVPPPPMEPDHPFY(0.7)S(0.27)NIS(0.03)K</t>
  </si>
  <si>
    <t>P18669;Q8N0Y7</t>
  </si>
  <si>
    <t>RGDY(1)DNLEGLSWVDYGER</t>
  </si>
  <si>
    <t>Q9UP95-3;Q9UP95-2;Q9UP95;Q9UP95-4;I3L1N8</t>
  </si>
  <si>
    <t>SPDVGLY(1)GVIPECGETYHSDLAEAK</t>
  </si>
  <si>
    <t>P46940;H0YLE8</t>
  </si>
  <si>
    <t>FALPSPQHILGLPVGQHIY(0.373)LS(0.627)AR</t>
  </si>
  <si>
    <t>RPLHPALNQPGGLQPLS(0.001)FQNPVY(0.999)HLNNPIPAMPK</t>
  </si>
  <si>
    <t>Q9UJF2;Q9UJF2-2</t>
  </si>
  <si>
    <t>Y(1)ALPLVGHR</t>
  </si>
  <si>
    <t>P13667</t>
  </si>
  <si>
    <t>LSDSY(1)SNTLPVR</t>
  </si>
  <si>
    <t>ADY(1)DTLSLR</t>
  </si>
  <si>
    <t>Q9Y446;Q9Y446-2</t>
  </si>
  <si>
    <t>KT(0.031)Y(0.969)DLLFK</t>
  </si>
  <si>
    <t>P61026</t>
  </si>
  <si>
    <t>SPDPY(1)RLAQDPYR</t>
  </si>
  <si>
    <t>LKEESRDEESPY(1)ATSLYHS</t>
  </si>
  <si>
    <t>H0YK98;Q8IV50-2;Q8IV50</t>
  </si>
  <si>
    <t>DVDEAY(1)MNKVELESR</t>
  </si>
  <si>
    <t>AEEDEDKEDDFRAPLY(1)K</t>
  </si>
  <si>
    <t>T(0.001)Y(0.999)DYLFK</t>
  </si>
  <si>
    <t>Q92930;H0YMN7;P61006-2;P61006;H0YLJ8;H0YL94</t>
  </si>
  <si>
    <t>IY(1)DEILQSK</t>
  </si>
  <si>
    <t>Q9UIB8-7;Q9UIB8-3;Q9UIB8-2;Q9UIB8</t>
  </si>
  <si>
    <t>FQDVGPQAPVGS(0.037)VY(0.963)QK</t>
  </si>
  <si>
    <t>Q9UJU6;Q9UJU6-2;Q9UJU6-3;B4DDD6;Q9UJU6-5;Q9UJU6-4</t>
  </si>
  <si>
    <t>HPAGVY(1)QVSGLHNK</t>
  </si>
  <si>
    <t>Y(0.998)PY(0.002)WPHQPIENL</t>
  </si>
  <si>
    <t>O75947-2;O75947</t>
  </si>
  <si>
    <t>IGITNHDEY(0.969)S(0.031)LVR</t>
  </si>
  <si>
    <t>KESY(0.001)S(0.001)VY(0.997)VY(0.001)K</t>
  </si>
  <si>
    <t>U3KQK0;Q99880;Q99879;Q99877;Q93079;Q5QNW6;P62807;P58876;P57053;O60814;Q5QNW6-2</t>
  </si>
  <si>
    <t>HIDCAAIY(1)GNEPEIGEALKEDVGPGK</t>
  </si>
  <si>
    <t>P14550;V9GYG2</t>
  </si>
  <si>
    <t>KKELVNNLGEIY(1)QK</t>
  </si>
  <si>
    <t>A0A024R571;Q9H4M9</t>
  </si>
  <si>
    <t>KVYNDGYDDDNY(1)DYIVK</t>
  </si>
  <si>
    <t>Q13627-3;Q13627-4;Q13627-5;Q13627-2;Q13627</t>
  </si>
  <si>
    <t>VFKVDNEDIY(0.948)ES(0.052)RHEIK</t>
  </si>
  <si>
    <t>ADS(0.034)EY(0.927)T(0.041)DKLQHY(0.125)T(0.378)S(0.378)GHMT(0.117)PGMK</t>
  </si>
  <si>
    <t>B1AKC9;P29323-2;P29323-3;P29323</t>
  </si>
  <si>
    <t>SGQSLTVPES(0.047)T(0.047)Y(0.845)T(0.047)S(0.013)IQGDPQR</t>
  </si>
  <si>
    <t>TATESFASDPILY(1)RPVAVALDTK</t>
  </si>
  <si>
    <t>P14618;P14618-3;H3BQ34;P14618-2</t>
  </si>
  <si>
    <t>KGPGLY(0.978)Y(0.022)VDEHGTR</t>
  </si>
  <si>
    <t>Q5JNW7;X5D2R7;P28062-2;P28062</t>
  </si>
  <si>
    <t>GFKDQIY(1)DIFQK</t>
  </si>
  <si>
    <t>P60842;J3KT12;P60842-2</t>
  </si>
  <si>
    <t>YKPVCNQVECHPY(1)FNQR</t>
  </si>
  <si>
    <t>A0A0A0MT30;Q04828;P52895;A0A0A0MSD5;B4DK69</t>
  </si>
  <si>
    <t>Y(0.901)T(0.091)Y(0.008)SEWHSFTQPR</t>
  </si>
  <si>
    <t>IKEPLLLPEDDTRDNVFY(0.01)Y(0.99)GEEGGGEEDQDYDITQLHR</t>
  </si>
  <si>
    <t>P22223-2;P22223</t>
  </si>
  <si>
    <t>TADSVFCPHY(1)EK</t>
  </si>
  <si>
    <t>P52799</t>
  </si>
  <si>
    <t>VY(1)APASTLVDQPYANEGTVVVTER</t>
  </si>
  <si>
    <t>NHQSAAEY(1)NIFEGMELR</t>
  </si>
  <si>
    <t>Q14195-2;Q14195</t>
  </si>
  <si>
    <t>SLDNGGY(0.836)Y(0.163)IS(0.001)PR</t>
  </si>
  <si>
    <t>LISQDIHSNT(0.045)Y(0.952)NY(0.002)K</t>
  </si>
  <si>
    <t>NDGY(1)LMFQQVPMVEIDGMK</t>
  </si>
  <si>
    <t>P08263;P09210</t>
  </si>
  <si>
    <t>HIAEEADRKY(1)EEVAR</t>
  </si>
  <si>
    <t>P06753-5;P06753-2;A0A087WWU8;Q5HYB6;P06753-4;P06753-3;P06753-6;Q5VU61;J3KN67;P06753;P06753-7;P67936;P67936-2</t>
  </si>
  <si>
    <t>QY(1)ATLDVYNPFETR</t>
  </si>
  <si>
    <t>O14828</t>
  </si>
  <si>
    <t>LDY(1)GQHVVAGTPGR</t>
  </si>
  <si>
    <t>P38919</t>
  </si>
  <si>
    <t>THEAEIVEGENHT(0.662)Y(0.338)CIR</t>
  </si>
  <si>
    <t>NLHDALSGHTSNNIY(1)EAVK</t>
  </si>
  <si>
    <t>B4DKA4;Q9H9T3-4;Q9H9T3-5;Q9H9T3-2;Q9H9T3</t>
  </si>
  <si>
    <t>YSLY(1)EVHVSGEER</t>
  </si>
  <si>
    <t>A8MQ02</t>
  </si>
  <si>
    <t>Y(1)VSLITSYQPFSLEK</t>
  </si>
  <si>
    <t>P15260</t>
  </si>
  <si>
    <t>YWPFY(1)QK</t>
  </si>
  <si>
    <t>YSSDPTGALTEDSIDDTFLPVPEY(0.987)INQS(0.013)VPK</t>
  </si>
  <si>
    <t>EAEY(0.001)S(0.003)DKHGQY(0.992)LIGHGT(0.005)K</t>
  </si>
  <si>
    <t>KKPSTDEQTSSAEEDVPT(0.002)CGY(0.998)LNVLSNSR</t>
  </si>
  <si>
    <t>Q8N556;Q8N556-2</t>
  </si>
  <si>
    <t>GQEGEY(1)AVPFDAVAR</t>
  </si>
  <si>
    <t>O60496</t>
  </si>
  <si>
    <t>GIY(0.011)AY(0.989)GFEKPSAIQQR</t>
  </si>
  <si>
    <t>S(0.046)Y(0.04)S(0.885)PY(0.193)DY(0.836)QPCLAGPNQDFHSK</t>
  </si>
  <si>
    <t>AEFAEY(0.995)AS(0.005)VDR</t>
  </si>
  <si>
    <t>Y(1)FPTQALNFAFK</t>
  </si>
  <si>
    <t>P05141;P12235;V9GYG0;Q9H0C2;P12236</t>
  </si>
  <si>
    <t>QLQQAVTGISNAAQATAS(0.001)DDAS(0.004)QHQGGGGGELAY(0.995)ALNNFDK</t>
  </si>
  <si>
    <t>G3XAM7</t>
  </si>
  <si>
    <t>DPGY(1)DHLWDETLSSSHQK</t>
  </si>
  <si>
    <t>Q494U1-3;Q494U1-2;Q494U1</t>
  </si>
  <si>
    <t>HY(0.999)EDGY(0.001)PGGSDNYGSLSR</t>
  </si>
  <si>
    <t>T(0.001)QY(0.999)NQVPSEDFER</t>
  </si>
  <si>
    <t>P78310-7;P78310-2;P78310-6;P78310</t>
  </si>
  <si>
    <t>AKY(0.046)PDY(0.954)EVTWANDGY</t>
  </si>
  <si>
    <t>Q9NRX4</t>
  </si>
  <si>
    <t>GHY(1)NNVSCAVFHPR</t>
  </si>
  <si>
    <t>P53621;P53621-2</t>
  </si>
  <si>
    <t>AKHDELTY(1)F</t>
  </si>
  <si>
    <t>P04080</t>
  </si>
  <si>
    <t>DGQPY(1)CEKDYHNLFSPR</t>
  </si>
  <si>
    <t>S(0.013)NY(0.047)Y(0.939)DAYQAQPLATR</t>
  </si>
  <si>
    <t>P57739</t>
  </si>
  <si>
    <t>DTYHPMS(0.009)EY(0.969)PT(0.014)Y(0.008)HTHGR</t>
  </si>
  <si>
    <t>EVCDGWSLPNPEY(0.78)Y(0.173)T(0.047)LR</t>
  </si>
  <si>
    <t>Q5JVZ5;Q96JJ3</t>
  </si>
  <si>
    <t>TGHGY(0.001)VY(0.997)EY(0.002)PSR</t>
  </si>
  <si>
    <t>QLFHPEQLITGKEDAANNY(1)AR</t>
  </si>
  <si>
    <t>P68363;P68363-2;P68366-2;P68366;Q71U36;Q71U36-2;Q13748;Q13748-2;F8VS66;Q9BQE3;F5H5D3</t>
  </si>
  <si>
    <t>SIY(0.998)Y(0.002)ITGESK</t>
  </si>
  <si>
    <t>P08238;Q58FF8</t>
  </si>
  <si>
    <t>EPIY(0.969)T(0.031)LPAIISK</t>
  </si>
  <si>
    <t>LPQGLPAHPRPVTAYDGFVQY(1)IPFDDPR</t>
  </si>
  <si>
    <t>Q9P266</t>
  </si>
  <si>
    <t>TSPDHPTSLPEPDYS(0.002)EFQS(0.055)HPY(0.943)HR</t>
  </si>
  <si>
    <t>F5GYU8;Q6UXY8-2;Q6UXY8</t>
  </si>
  <si>
    <t>AS(0.013)Y(0.987)FICHDQETIKK</t>
  </si>
  <si>
    <t>Q96G03</t>
  </si>
  <si>
    <t>VGFQYEGT(0.013)Y(0.987)K</t>
  </si>
  <si>
    <t>SGFEPPGDFPFEDY(0.002)S(0.007)QHIY(0.991)R</t>
  </si>
  <si>
    <t>S4R347;Q5T0N5-3;Q5T0N5-4;Q5T0N5-2;Q5T0N5-5;Q5T0N5</t>
  </si>
  <si>
    <t>LFY(1)HIVDSDEVSTK</t>
  </si>
  <si>
    <t>Q9UQE7</t>
  </si>
  <si>
    <t>VAEQEMQLEPIT(0.024)DERVY(0.375)ES(0.601)IGQYGGETVK</t>
  </si>
  <si>
    <t>T(0.005)ET(0.042)S(0.124)AS(0.114)PHCPVY(0.714)VPDPTSTIKPGPNSHNSNTPGIR</t>
  </si>
  <si>
    <t>IY(0.999)S(0.001)LSSQPIDHEGIK</t>
  </si>
  <si>
    <t>Q6VY07;Q6VY07-2</t>
  </si>
  <si>
    <t>FLFPEY(1)ILDPEPQPTR</t>
  </si>
  <si>
    <t>Q8NC60</t>
  </si>
  <si>
    <t>TTET(0.014)GFNIFT(0.247)QHEALHRPY(0.737)GCDVEPQALNEAIR</t>
  </si>
  <si>
    <t>P42684-7;P42684-8;P42684-6</t>
  </si>
  <si>
    <t>PGSSIPGSPGHT(0.01)IY(0.99)AK</t>
  </si>
  <si>
    <t>F8W8M4;A0A0A0MRL6;O14639-2;O14639-6;O14639;O14639-3;O14639-5</t>
  </si>
  <si>
    <t>YEPVLFEEKHY(0.869)Y(0.131)K</t>
  </si>
  <si>
    <t>P63252</t>
  </si>
  <si>
    <t>T(0.46)S(0.471)S(0.065)ES(0.037)IY(0.72)S(0.153)RPGS(0.049)S(0.045)IPGS(0.001)PGHTIYAK</t>
  </si>
  <si>
    <t>T(0.022)Y(0.978)FPHFDLSHGSAQVK</t>
  </si>
  <si>
    <t>CON__P01966;G3V1N2;P69905</t>
  </si>
  <si>
    <t>ACY(0.998)RDMS(0.002)SFPETK</t>
  </si>
  <si>
    <t>DGHPLSPERDHLEGLY(1)AK</t>
  </si>
  <si>
    <t>A0A087WYL6;A0A087X1S9;Q8TEW8-6;Q8TEW8-3;Q8TEW8-2;Q8TEW8</t>
  </si>
  <si>
    <t>DEDDEAY(0.999)GKPVKY(0.001)DPSFR</t>
  </si>
  <si>
    <t>Q53GD3-4;Q53GD3</t>
  </si>
  <si>
    <t>RNLEEDDY(1)LHKDTGETSMLK</t>
  </si>
  <si>
    <t>Q9UHE8</t>
  </si>
  <si>
    <t>VY(1)SYFECR</t>
  </si>
  <si>
    <t>P43490;A0A0C4DFS8</t>
  </si>
  <si>
    <t>Y(1)LEEIATQMR</t>
  </si>
  <si>
    <t>Q01813;Q01813-2</t>
  </si>
  <si>
    <t>GYISPY(1)FINTSK</t>
  </si>
  <si>
    <t>P10809</t>
  </si>
  <si>
    <t>GLPPS(0.002)NHHAVY(0.997)DVPPS(0.001)VSK</t>
  </si>
  <si>
    <t>P56945-5;P56945-8;P56945;P56945-7;P56945-2;P56945-6;P56945-4</t>
  </si>
  <si>
    <t>DIVHS(0.008)GLAY(0.412)T(0.58)MER</t>
  </si>
  <si>
    <t>KQEGTPEGLY(1)L</t>
  </si>
  <si>
    <t>P62191;P62191-2</t>
  </si>
  <si>
    <t>Y(1)PALHKPENQDIDWGALEGETR</t>
  </si>
  <si>
    <t>IHVY(0.02)GY(0.965)S(0.015)MAYGPAQHAISTEK</t>
  </si>
  <si>
    <t>KQPHGGQQKPSYGSGYQSHQGQQQSYNQS(0.001)PY(0.696)S(0.273)NY(0.029)GPPQGK</t>
  </si>
  <si>
    <t>Q12906;Q12906-7</t>
  </si>
  <si>
    <t>IKEKY(1)IDQEELNK</t>
  </si>
  <si>
    <t>P07900;P07900-2;P08238;Q58FF8</t>
  </si>
  <si>
    <t>SAYFAEKLY(1)K</t>
  </si>
  <si>
    <t>AAAY(0.981)NLVQHGIT(0.019)NLCVIGGDGSLTGANIFR</t>
  </si>
  <si>
    <t>P17858;P17858-2</t>
  </si>
  <si>
    <t>LVHGLVVKDPS(0.009)IY(0.988)DT(0.003)LESVR</t>
  </si>
  <si>
    <t>Q7Z6J2-2;Q7Z6J2</t>
  </si>
  <si>
    <t>EGPHPAWPQPVT(0.003)T(0.012)S(0.066)HY(0.918)AHDPS(0.001)GMFR</t>
  </si>
  <si>
    <t>KDLY(0.329)ANT(0.671)VLSGGTTMYPGIADR</t>
  </si>
  <si>
    <t>GAY(0.998)S(0.002)LSIR</t>
  </si>
  <si>
    <t>J3QRU1;P07947;P06241-3;P06241-2;P06241;P09769</t>
  </si>
  <si>
    <t>NLEYVSVSPTNNT(0.005)VY(0.82)AS(0.166)VT(0.008)HSNR</t>
  </si>
  <si>
    <t>Q96DU3-3;Q96DU3-2;Q96DU3</t>
  </si>
  <si>
    <t>HREQY(1)DVPQEWR</t>
  </si>
  <si>
    <t>FTEIY(1)EFHK</t>
  </si>
  <si>
    <t>P14598;P14598-2;A6NI72;A8MVU1</t>
  </si>
  <si>
    <t>GDKQVEY(1)LDLDLDSGK</t>
  </si>
  <si>
    <t>SQEQLAAELAEY(0.956)T(0.044)AK</t>
  </si>
  <si>
    <t>E7EQR4;P15311</t>
  </si>
  <si>
    <t>S(0.001)NY(0.999)NFEKPFLWLAR</t>
  </si>
  <si>
    <t>B5MDF5;P62826;B4DV51</t>
  </si>
  <si>
    <t>EVY(1)ELLDSPGK</t>
  </si>
  <si>
    <t>P22234;P22234-2</t>
  </si>
  <si>
    <t>APGAIGPY(0.778)S(0.222)QAVLVDR</t>
  </si>
  <si>
    <t>P52758</t>
  </si>
  <si>
    <t>LQLDNQY(1)AVLENQK</t>
  </si>
  <si>
    <t>Q9UKY7;D6R9V8</t>
  </si>
  <si>
    <t>VLQY(1)HKPVQASYFETLR</t>
  </si>
  <si>
    <t>O95989</t>
  </si>
  <si>
    <t>VFKVDNEDIY(0.44)ES(0.56)RHEIK</t>
  </si>
  <si>
    <t>SYQY(1)LVESIR</t>
  </si>
  <si>
    <t>B4DP72;Q5HYK3</t>
  </si>
  <si>
    <t>WRY(0.953)PS(0.045)LS(0.002)LHGIEGAFSGSGAK</t>
  </si>
  <si>
    <t>Q96KP4;Q96KP4-2</t>
  </si>
  <si>
    <t>LAQQY(0.001)Y(0.003)LVY(0.996)QEPIPTAQLVQR</t>
  </si>
  <si>
    <t>P25787;C9JCK5</t>
  </si>
  <si>
    <t>NSSYVHGGVDASGKPQEAVY(1)GQNDIHHK</t>
  </si>
  <si>
    <t>Q9UN86-2;Q9UN86</t>
  </si>
  <si>
    <t>LCDFGSASHVADNDIT(0.007)PY(0.327)LVS(0.666)R</t>
  </si>
  <si>
    <t>AY(0.996)T(0.004)SPLIDMFNNPATAAPNSQR</t>
  </si>
  <si>
    <t>Q9UHR4</t>
  </si>
  <si>
    <t>T(0.002)PS(0.998)FELPDAS(0.001)ERPPT(0.107)Y(0.892)CELVPR</t>
  </si>
  <si>
    <t>Q9BRG2-2;Q9BRG2</t>
  </si>
  <si>
    <t>VQENDGKEPPPVVNY(1)EEDAR</t>
  </si>
  <si>
    <t>P16591-2;P16591</t>
  </si>
  <si>
    <t>GSEKEEY(1)FI</t>
  </si>
  <si>
    <t>S4R466;Q0VAQ4</t>
  </si>
  <si>
    <t>SEQENPLFPIY(1)ENVNPEYHR</t>
  </si>
  <si>
    <t>F8VU56;P23467-4;P23467-2;P23467;P23467-3</t>
  </si>
  <si>
    <t>VGINY(1)QPPTVVPGGDLAK</t>
  </si>
  <si>
    <t>KPFSIEDVEVAPPKAY(1)EVR</t>
  </si>
  <si>
    <t>P00325</t>
  </si>
  <si>
    <t>EGYY(0.008)GY(0.952)T(0.04)GAFR</t>
  </si>
  <si>
    <t>P02787</t>
  </si>
  <si>
    <t>DKEAIQAY(0.999)S(0.001)ESLMTSAPK</t>
  </si>
  <si>
    <t>B7ZKQ9;Q8WTV0-4;Q8WTV0-2;Q8WTV0-3</t>
  </si>
  <si>
    <t>GY(1)ISIPVIHEQNVTR</t>
  </si>
  <si>
    <t>YYDSRPGGY(0.001)GY(0.981)GY(0.018)GR</t>
  </si>
  <si>
    <t>P98179</t>
  </si>
  <si>
    <t>ITETES(0.001)PY(0.998)QELQGQR</t>
  </si>
  <si>
    <t>GSHFFPGNNVIY(1)EK</t>
  </si>
  <si>
    <t>Q8WVV4;Q8WVV4-1;Q8WVV4-3</t>
  </si>
  <si>
    <t>Y(1)ASSANLHLPK</t>
  </si>
  <si>
    <t>CON__P34955</t>
  </si>
  <si>
    <t>LALPTAALY(1)GLR</t>
  </si>
  <si>
    <t>NDVVGT(0.004)T(0.197)Y(0.797)LHLS(0.001)K</t>
  </si>
  <si>
    <t>Q9NZM1-2;Q9NZM1-6;Q9NZM1;Q9NZM1-5;Q9NZM1-3</t>
  </si>
  <si>
    <t>ALSS(0.001)EGKPY(0.452)VT(0.547)KEELYQNLTR</t>
  </si>
  <si>
    <t>LY(1)GPTNFAPIINHVAR</t>
  </si>
  <si>
    <t>E7ENH5;A6PVH9;Q99829;B0QZ18</t>
  </si>
  <si>
    <t>GFKEQIY(1)DVYR</t>
  </si>
  <si>
    <t>GANDQGASGALSSDLELPENPY(0.782)S(0.218)QVK</t>
  </si>
  <si>
    <t>Q9P2M7-2;Q9P2M7</t>
  </si>
  <si>
    <t>PYPKPAPS(0.006)S(0.028)GKDY(0.965)V</t>
  </si>
  <si>
    <t>O95832</t>
  </si>
  <si>
    <t>S(0.006)LY(0.994)HDISGDTSGDYRK</t>
  </si>
  <si>
    <t>P50995-2;P50995</t>
  </si>
  <si>
    <t>EILVGDVGQT(0.004)VDDPY(0.4)AT(0.596)FVK</t>
  </si>
  <si>
    <t>Y(1)VMGGPRPIPYAWCAPESLR</t>
  </si>
  <si>
    <t>Q13470-2;Q13470</t>
  </si>
  <si>
    <t>MPLS(0.013)NGQMGQPLRPQANY(0.471)S(0.515)QIHHPPQAS(0.001)VAR</t>
  </si>
  <si>
    <t>Q96RT1-6;Q96RT1-4;Q96RT1-9;Q96RT1-2;Q96RT1;Q96RT1-8;B4DIP2</t>
  </si>
  <si>
    <t>YYDSRPGGYGY(0.016)GY(0.984)GR</t>
  </si>
  <si>
    <t>LGEGT(0.025)Y(0.971)AT(0.005)VFK</t>
  </si>
  <si>
    <t>Q07002;Q07002-2;Q07002-3</t>
  </si>
  <si>
    <t>ASPSPSLSSYSDPDS(0.063)GHY(0.937)CQLQPPVR</t>
  </si>
  <si>
    <t>Q8N5H7-6;Q8N5H7-5;Q8N5H7-2;Q8N5H7-4;Q8N5H7;Q8N5H7-3</t>
  </si>
  <si>
    <t>YVPPS(0.004)S(0.014)T(0.014)DRS(0.213)PY(0.755)EK</t>
  </si>
  <si>
    <t>YSQNIY(1)IQNR</t>
  </si>
  <si>
    <t>B8QGS9;Q99959-2;Q99959</t>
  </si>
  <si>
    <t>VVAGVANALAHKY(1)H</t>
  </si>
  <si>
    <t>P02042;P68871</t>
  </si>
  <si>
    <t>SEDIY(1)ADPAAYVMR</t>
  </si>
  <si>
    <t>Q5VTI5;Q9Y2H5</t>
  </si>
  <si>
    <t>SNGYEEAY(0.936)S(0.063)VFKK</t>
  </si>
  <si>
    <t>P43034</t>
  </si>
  <si>
    <t>LDTAS(0.005)S(0.021)NGY(0.449)QRPGS(0.525)VVAAK</t>
  </si>
  <si>
    <t>AEERPTFDYLQSVLDDFY(0.009)T(0.025)AT(0.541)EGQY(0.424)QQQP</t>
  </si>
  <si>
    <t>FSPDS(0.002)QY(0.998)IDNR</t>
  </si>
  <si>
    <t>AVDGY(1)VKPQIK</t>
  </si>
  <si>
    <t>K7EK35;P42229;K7EM17;P42229-2;P51692</t>
  </si>
  <si>
    <t>ANNT(0.001)FY(0.986)GLS(0.013)AGVFTK</t>
  </si>
  <si>
    <t>LVY(1)ENINGLSIPSASGVR</t>
  </si>
  <si>
    <t>Q8WU20</t>
  </si>
  <si>
    <t>S(0.014)HRDPY(0.961)AT(0.023)S(0.002)VGHLIEK</t>
  </si>
  <si>
    <t>J3KQU4;I3L4I4;O75674-2;O75674;I3L0N2;I3L3M3</t>
  </si>
  <si>
    <t>KDY(1)FDMFAPK</t>
  </si>
  <si>
    <t>ITS(0.005)S(0.005)S(0.005)AIY(0.984)DNPNLIKPIPVKPSENQQQR</t>
  </si>
  <si>
    <t>F5GZK9</t>
  </si>
  <si>
    <t>Q9ULC8-2;Q9ULC8;Q9ULC8-3</t>
  </si>
  <si>
    <t>TPSFELPDAS(0.014)ERPPT(0.553)Y(0.433)CELVPR</t>
  </si>
  <si>
    <t>SSISSVLKDPDSNPY(0.371)S(0.629)LLDNTESDQTADTDASESHHSTNR</t>
  </si>
  <si>
    <t>IIQLLDDY(1)PK</t>
  </si>
  <si>
    <t>P05388;F8VWS0;P05388-2;G3V210;F8VQY6;F8VRK7;Q8NHW5</t>
  </si>
  <si>
    <t>Y(1)VLCPSTTPSPAQPADR</t>
  </si>
  <si>
    <t>M0R0W6;P30530-2;P30530</t>
  </si>
  <si>
    <t>VQLNVFDEQGEEDS(0.698)Y(0.302)DLKGR</t>
  </si>
  <si>
    <t>H9KV28;A0A0G2JH68;O60610-2;O60610-3;O60610</t>
  </si>
  <si>
    <t>TQILAAS(0.036)Y(0.964)ELHK</t>
  </si>
  <si>
    <t>S(0.659)VS(0.198)S(0.066)S(0.077)PWLPQDGFDPS(0.376)DY(0.624)AEPMDAVVKPR</t>
  </si>
  <si>
    <t>S(0.005)NY(0.96)Y(0.035)DAYQAQPLATR</t>
  </si>
  <si>
    <t>RPLEQQQPHHIPT(0.011)S(0.011)APVY(0.977)QQPQQQPVAQSYGGYK</t>
  </si>
  <si>
    <t>Q14847;Q14847-3;Q14847-2</t>
  </si>
  <si>
    <t>KDNDFIY(1)HDRVPDLK</t>
  </si>
  <si>
    <t>T(0.001)IY(0.999)LSSPDSAVGVQWPR</t>
  </si>
  <si>
    <t>VCMVY(0.997)DLY(0.003)K</t>
  </si>
  <si>
    <t>ARPAS(0.072)S(0.072)FAHIPNY(0.703)S(0.15)NFS(0.002)SQAINPGFLDSGTIR</t>
  </si>
  <si>
    <t>IIASLADRPY(1)EEPPQKPPR</t>
  </si>
  <si>
    <t>HTFSGVASVES(0.994)S(0.004)S(0.001)GEAFHVGK</t>
  </si>
  <si>
    <t>CON__P12763</t>
  </si>
  <si>
    <t>Y(0.793)S(0.207)LEPVAVELK</t>
  </si>
  <si>
    <t>P00558;P00558-2</t>
  </si>
  <si>
    <t>Y(1)NTDCVQGLTHSK</t>
  </si>
  <si>
    <t>M0R116;A0A0A0MT26;P13637;P13637-2;P13637-3</t>
  </si>
  <si>
    <t>VIQY(0.001)LAY(0.997)VAS(0.001)S(0.001)HK</t>
  </si>
  <si>
    <t>P35579;P35579-2;Q5BKV1</t>
  </si>
  <si>
    <t>QNHLQADNFY(1)QTV</t>
  </si>
  <si>
    <t>Q9NZV1</t>
  </si>
  <si>
    <t>YKPMMIITEY(1)MENGALDK</t>
  </si>
  <si>
    <t>ASGNY(0.999)AT(0.001)VISHNPETK</t>
  </si>
  <si>
    <t>P62917;G3V1A1</t>
  </si>
  <si>
    <t>TPVLFDIY(1)EIKEAIK</t>
  </si>
  <si>
    <t>EALPMDT(0.001)EVY(0.999)ES(0.058)PY(0.943)ADPEEIRPK</t>
  </si>
  <si>
    <t>Y(0.001)HGHS(0.908)MS(0.092)DPGVS(0.234)Y(0.766)R</t>
  </si>
  <si>
    <t>Q5JPU3;P08559-3;P08559;P08559-2;P08559-4;P29803</t>
  </si>
  <si>
    <t>LY(1)LQS(0.004)PHS(0.552)Y(0.443)EDPY(0.001)FDDR</t>
  </si>
  <si>
    <t>T(0.008)GY(0.992)VPSNYVER</t>
  </si>
  <si>
    <t>O43639;E7ERP6</t>
  </si>
  <si>
    <t>ECDY(0.993)S(0.007)IDGINR</t>
  </si>
  <si>
    <t>Q9Y4G6;H0YN01</t>
  </si>
  <si>
    <t>VKEEGY(1)ELPYNPATDDYAVPPPR</t>
  </si>
  <si>
    <t>Q99704;Q99704-3</t>
  </si>
  <si>
    <t>EDPRADY(1)ACIAENKPT</t>
  </si>
  <si>
    <t>A0A0A6YYA5;A0A024RCL9;A0A0A6YYA6;O00453-6;O00453-4;O00453-10;O00453-13;O00453-3;O00453-2;O00453;O00453-11</t>
  </si>
  <si>
    <t>Y(0.998)NFHGT(0.002)AEQDLPFCK</t>
  </si>
  <si>
    <t>P41240</t>
  </si>
  <si>
    <t>IRY(0.999)ES(0.001)LTDPSK</t>
  </si>
  <si>
    <t>Q58FF6</t>
  </si>
  <si>
    <t>DEFTNTCPSDKEVEIAY(0.78)S(0.22)DVAK</t>
  </si>
  <si>
    <t>Q9Y696</t>
  </si>
  <si>
    <t>VY(1)ANGQHLFDFAHR</t>
  </si>
  <si>
    <t>P56470</t>
  </si>
  <si>
    <t>RPPSAFFLFCS(0.017)EY(0.983)RPK</t>
  </si>
  <si>
    <t>P09429;Q5T7C4</t>
  </si>
  <si>
    <t>ENDTIT(0.001)IY(0.994)S(0.004)T(0.001)INHSK</t>
  </si>
  <si>
    <t>AGLQT(0.656)ADKY(0.344)AALANLDNIFSAGQGGDQGSGFGTTGK</t>
  </si>
  <si>
    <t>THNSSLEY(1)NIFEGMECR</t>
  </si>
  <si>
    <t>Q16555-2;Q16555</t>
  </si>
  <si>
    <t>TKEY(1)QDLQHLDNEESDHHQLR</t>
  </si>
  <si>
    <t>P07306-2;P07306</t>
  </si>
  <si>
    <t>HAQDY(1)VLTYNYEGR</t>
  </si>
  <si>
    <t>Q02487</t>
  </si>
  <si>
    <t>AY(0.996)HEQLS(0.004)VAEITNACFEPANQMVK</t>
  </si>
  <si>
    <t>P68363;P68363-2;P68366-2;P68366;Q71U36;Q71U36-2;Q13748;Q13748-2;Q6PEY2</t>
  </si>
  <si>
    <t>VCEPCY(1)EQLNR</t>
  </si>
  <si>
    <t>O14964-2;O14964</t>
  </si>
  <si>
    <t>IS(0.001)T(0.061)Y(0.938)GLPAGGIQPHPQTK</t>
  </si>
  <si>
    <t>Q9Y5K6</t>
  </si>
  <si>
    <t>CACSNHEPY(0.004)FGY(0.775)S(0.221)GAFK</t>
  </si>
  <si>
    <t>CON__Q29443;CON__Q0IIK2</t>
  </si>
  <si>
    <t>VKETADFKVY(0.317)T(0.683)K</t>
  </si>
  <si>
    <t>Y(1)NSPPTQLSLKPNSQSLR</t>
  </si>
  <si>
    <t>E9PJC3;P78524-2;P78524;B4DDL8;P78524-3</t>
  </si>
  <si>
    <t>EELEALFLPY(1)DLKR</t>
  </si>
  <si>
    <t>Q9H0A0;A0A087WV29;Q9H0A0-2</t>
  </si>
  <si>
    <t>Y(1)ADLTEDQLPSCESLKDTIAR</t>
  </si>
  <si>
    <t>LDGENIY(1)IR</t>
  </si>
  <si>
    <t>P11171-7;P11171-2;P11171;Q4VB86;P11171-4;P11171-3</t>
  </si>
  <si>
    <t>LVTEMGT(0.032)Y(0.959)AT(0.009)QSALSSSRPTKK</t>
  </si>
  <si>
    <t>P53618</t>
  </si>
  <si>
    <t>LES(0.001)LS(0.146)Y(0.852)QLSGLQK</t>
  </si>
  <si>
    <t>J9JID7;Q03252</t>
  </si>
  <si>
    <t>IKPSSSANAIY(0.451)S(0.549)LAARPLPVPK</t>
  </si>
  <si>
    <t>DASRPHVVKVY(0.825)S(0.174)EDGACR</t>
  </si>
  <si>
    <t>Q14451-4;Q14451;Q14451-3;Q14451-2</t>
  </si>
  <si>
    <t>KGKDGEY(0.999)EELLNSSSISSLLDAQGFSDLEK</t>
  </si>
  <si>
    <t>Q86W92-2;Q86W92-3;Q86W92-4;Q86W92</t>
  </si>
  <si>
    <t>S(0.001)IY(0.031)S(0.518)LDKLY(0.449)PES(0.001)QGSDTAWR</t>
  </si>
  <si>
    <t>FNSYNNAGMPPFPIIIHDEPT(0.6)Y(0.4)AR</t>
  </si>
  <si>
    <t>LYDLNMPAY(1)VK</t>
  </si>
  <si>
    <t>LIY(1)DFIEDQGGLEAVR</t>
  </si>
  <si>
    <t>P42768</t>
  </si>
  <si>
    <t>Y(1)GDGGSTFQSTTGHCVHMR</t>
  </si>
  <si>
    <t>E9PCY7;G8JLB6;P31943</t>
  </si>
  <si>
    <t>DVIINQEGEY(1)IK</t>
  </si>
  <si>
    <t>Q9HC35-2;Q9HC35</t>
  </si>
  <si>
    <t>TTGIVLDS(0.002)GDGVT(0.008)HNVPIY(0.065)EGY(0.924)ALPHAIMR</t>
  </si>
  <si>
    <t>SLGSVQAPS(0.716)Y(0.284)GAR</t>
  </si>
  <si>
    <t>P05783;F8VZY9</t>
  </si>
  <si>
    <t>EVTTVLQADS(0.084)AEY(0.916)AQPLVGGIVGTLHQR</t>
  </si>
  <si>
    <t>NTSDFVY(1)LK</t>
  </si>
  <si>
    <t>A0A0C4DFT3;Q12959-8;Q12959-9;Q12959-5;Q12959-3;Q12959-6;Q12959-4;Q12959;Q12959-7;Q12959-2;B4E2H8;E7EQD7</t>
  </si>
  <si>
    <t>QPGPVTNGQLQQPTTGAAS(0.03)GGY(0.97)IKR</t>
  </si>
  <si>
    <t>O00161</t>
  </si>
  <si>
    <t>S(0.008)T(0.008)LQDS(0.246)DEY(0.678)S(0.06)NPAPLPLDQHSR</t>
  </si>
  <si>
    <t>O60711;O60711-2;E9PNX9</t>
  </si>
  <si>
    <t>LVNEAPVY(0.001)S(0.02)VY(0.29)S(0.689)K</t>
  </si>
  <si>
    <t>O75886</t>
  </si>
  <si>
    <t>RS(0.551)Y(0.449)DVPPPPMEPDHPFYSNISK</t>
  </si>
  <si>
    <t>CSDAAGY(0.91)PHAT(0.089)HDLEGPPLDAYSIQGQHTISPLDLAK</t>
  </si>
  <si>
    <t>Q15365</t>
  </si>
  <si>
    <t>CCLT(0.037)Y(0.963)CFNKPEDK</t>
  </si>
  <si>
    <t>P62979</t>
  </si>
  <si>
    <t>ADTQT(0.002)Y(0.018)QPY(0.98)NKDWIK</t>
  </si>
  <si>
    <t>P84090</t>
  </si>
  <si>
    <t>IDSIPHLNNSTPLVDPS(0.044)VY(0.918)GY(0.037)GVQK</t>
  </si>
  <si>
    <t>Q96I24</t>
  </si>
  <si>
    <t>HY(0.998)S(0.002)VVLPTVSHSGFLYK</t>
  </si>
  <si>
    <t>E7EU13;Q96P48-7;Q96P48-2;Q96P48-4;Q96P48-1;Q96P48-3;Q96P48</t>
  </si>
  <si>
    <t>LLVVY(0.999)PWT(0.001)QR</t>
  </si>
  <si>
    <t>CON__Q3SX09;P02042;E9PFT6;P68871;P69892;P69891;E9PBW4;P02100</t>
  </si>
  <si>
    <t>AEQSDEAVKY(0.999)Y(0.001)TLEEIQK</t>
  </si>
  <si>
    <t>P00167-2;P00167;P00167-3</t>
  </si>
  <si>
    <t>GS(0.116)Y(0.884)GDLGGPIITTQVTIPK</t>
  </si>
  <si>
    <t>P61978;P61978-2;P61978-3</t>
  </si>
  <si>
    <t>IGGDAGTSLNSNDY(0.967)GY(0.033)GGQK</t>
  </si>
  <si>
    <t>E9PEB5;Q96AE4;Q96AE4-2</t>
  </si>
  <si>
    <t>VTEWQQT(0.198)Y(0.797)T(0.004)YDSGIHSGANTCVPSVSSK</t>
  </si>
  <si>
    <t>HVHLENAT(0.066)EY(0.269)AT(0.664)LR</t>
  </si>
  <si>
    <t>EEYEMKDPT(0.003)NGY(0.858)Y(0.139)NVR</t>
  </si>
  <si>
    <t>DY(0.999)S(0.001)TLTSVSSHDSR</t>
  </si>
  <si>
    <t>P16144-4;P16144-2;P16144</t>
  </si>
  <si>
    <t>GEDFY(0.999)CVT(0.001)CHETK</t>
  </si>
  <si>
    <t>Q13642-1;Q13642-5;Q13642-4;Q13642;Q5JXI2;Q13642-3</t>
  </si>
  <si>
    <t>FY(1)KNEGGTWSVEK</t>
  </si>
  <si>
    <t>Q13228;Q13228-4;Q13228-2;Q13228-3</t>
  </si>
  <si>
    <t>LHQVY(1)FDAPTCR</t>
  </si>
  <si>
    <t>P08247</t>
  </si>
  <si>
    <t>AKAPAPAPAES(0.138)GES(0.12)LAY(0.716)WPDRS(0.513)DT(0.513)EVPPLDLGWTDTGFYR</t>
  </si>
  <si>
    <t>ADIVQQLLQQGASPNAAT(0.006)T(0.02)S(0.064)GY(0.355)T(0.552)PLHLS(0.003)AR</t>
  </si>
  <si>
    <t>Y(1)VNILPYDHSR</t>
  </si>
  <si>
    <t>NKPT(0.043)VY(0.856)GVS(0.093)PNY(0.008)DKWEMER</t>
  </si>
  <si>
    <t>P00519;P00519-2</t>
  </si>
  <si>
    <t>NVLLVT(0.024)QHY(0.976)AK</t>
  </si>
  <si>
    <t>WY(1)PYNYSR</t>
  </si>
  <si>
    <t>O75319</t>
  </si>
  <si>
    <t>Y(0.947)S(0.046)Y(0.007)VCPDLVK</t>
  </si>
  <si>
    <t>P61158;B4DXW1</t>
  </si>
  <si>
    <t>CAFSSQEPYFS(0.671)Y(0.264)S(0.065)GAFK</t>
  </si>
  <si>
    <t>E7ER44</t>
  </si>
  <si>
    <t>KEEADY(0.99)S(0.01)AFGTDTLIK</t>
  </si>
  <si>
    <t>Q9BYG5</t>
  </si>
  <si>
    <t>IY(1)ADSLKPNIPYK</t>
  </si>
  <si>
    <t>SQPVY(0.999)IQY(0.001)SNHR</t>
  </si>
  <si>
    <t>O95758-1;O95758-6;O95758-2;O95758;O95758-5;O95758-4;O95758-7</t>
  </si>
  <si>
    <t>VVNLEQPLCKPY(0.458)T(0.54)VVDVS(0.001)AAMASEHLEGPVNSPK</t>
  </si>
  <si>
    <t>QKDY(0.99)ET(0.01)ATLSEIK</t>
  </si>
  <si>
    <t>P12814-2;P12814-3;P12814;P12814-4;H9KV75</t>
  </si>
  <si>
    <t>MY(0.947)T(0.053)AIPQSGSPFPGSVQDPGLHVWR</t>
  </si>
  <si>
    <t>P40121-2;P40121</t>
  </si>
  <si>
    <t>NEGFY(0.001)ADPY(0.951)LY(0.049)HEGR</t>
  </si>
  <si>
    <t>GT(0.607)GY(0.391)IKT(0.002)ELISVSEVHPSR</t>
  </si>
  <si>
    <t>WTAPEALNY(1)GR</t>
  </si>
  <si>
    <t>P07332;P07332-4;P07332-3;P07332-2;E7ENM8;P16591-2;P16591;W0S4B9;P16591-3</t>
  </si>
  <si>
    <t>VHAY(1)IISYLK</t>
  </si>
  <si>
    <t>A0A087WUA5;Q9H223;Q9NZN4;Q9NZN4-2</t>
  </si>
  <si>
    <t>ANTAQEQQY(0.791)GS(0.209)HEENLPADLEALQR</t>
  </si>
  <si>
    <t>P36383</t>
  </si>
  <si>
    <t>Y(0.971)RFQS(0.029)NHMDMVR</t>
  </si>
  <si>
    <t>A0A0A6YYL1;P49914-2;P49914</t>
  </si>
  <si>
    <t>TGCIPSNYVAPVDSIQAEEWY(1)FGK</t>
  </si>
  <si>
    <t>KPY(1)QLIAQDNETEKPIDSETK</t>
  </si>
  <si>
    <t>A0A087X0U3;A0A087WT87;P43003-2;P43003</t>
  </si>
  <si>
    <t>LY(1)QVPNPQAAPR</t>
  </si>
  <si>
    <t>Q14511-3;Q14511;Q14511-2</t>
  </si>
  <si>
    <t>GTGLY(1)ELWK</t>
  </si>
  <si>
    <t>S(0.001)T(0.001)AY(0.997)EDY(0.001)YYHPPPR</t>
  </si>
  <si>
    <t>O43390;O43390-2;O43390-3;O43390-4;B4DT28</t>
  </si>
  <si>
    <t>LY(1)QVEYAFK</t>
  </si>
  <si>
    <t>G3V5Z7;P60900;G3V295;G3V3I1;G3V3U4</t>
  </si>
  <si>
    <t>NY(1)ISAWELQR</t>
  </si>
  <si>
    <t>K7EKX5;K7EIR0;Q9BV38</t>
  </si>
  <si>
    <t>SFENKPPAHIAASHLSEPAKPAHSQNQSNFS(0.017)S(0.058)Y(0.792)S(0.058)S(0.074)K</t>
  </si>
  <si>
    <t>EVKEY(1)AQVFR</t>
  </si>
  <si>
    <t>G3XAM7;A0A0A0MRI5;P26232-4;P26232-6;P26232-2;P26232-5;P26232;A0A0A0MTJ6;P26232-3;A0A087WZL6</t>
  </si>
  <si>
    <t>RYEPIQATPPPPPLPS(0.666)QY(0.212)AQPS(0.083)QPVT(0.01)S(0.012)AS(0.012)LHIHS(0.005)K</t>
  </si>
  <si>
    <t>STGPGAS(0.984)LGT(0.019)GY(0.144)DRKDY(0.854)V</t>
  </si>
  <si>
    <t>TPYEAY(1)DPIGK</t>
  </si>
  <si>
    <t>QPIIFENPMY(0.376)S(0.624)AR</t>
  </si>
  <si>
    <t>YKAPT(0.001)DY(0.999)CFVLK</t>
  </si>
  <si>
    <t>Q7Z5R6</t>
  </si>
  <si>
    <t>ARPATDSFDDY(1)PPR</t>
  </si>
  <si>
    <t>F8VSC7;E7EX17;P23588-2;P23588</t>
  </si>
  <si>
    <t>QY(1)EQQTYQVIPEVIK</t>
  </si>
  <si>
    <t>B0QY89;Q9Y262-2;Q9Y262</t>
  </si>
  <si>
    <t>T(0.001)LY(0.999)DFPGNDAEDLPFK</t>
  </si>
  <si>
    <t>P46109</t>
  </si>
  <si>
    <t>GQY(1)HTLQAGFSSR</t>
  </si>
  <si>
    <t>VS(0.07)S(0.166)T(0.382)HY(0.689)Y(0.689)LLPERPPY(0.003)LDKYEK</t>
  </si>
  <si>
    <t>NIDNPALADIY(0.462)T(0.538)EHAHQVVVAK</t>
  </si>
  <si>
    <t>O75083</t>
  </si>
  <si>
    <t>EY(0.999)S(0.001)QNLTSEPTLLQHR</t>
  </si>
  <si>
    <t>Q8TE67-2;Q8TE67;Q8TE67-3;A0A087X104</t>
  </si>
  <si>
    <t>FSYTSQHS(0.023)DY(0.977)GQR</t>
  </si>
  <si>
    <t>VRPCVVY(1)GGADIGQQIR</t>
  </si>
  <si>
    <t>A0A0D9SFB3;A0A0D9SG12;A0A0D9SF53;O00571;O00571-2;O15523-2;O15523</t>
  </si>
  <si>
    <t>ALELDPNLY(1)R</t>
  </si>
  <si>
    <t>B1PS43;P35749-4;P35749-3;P35749;P35749-2;P35580;P35580-5;P35580-2;P35580-3;P35580-4</t>
  </si>
  <si>
    <t>AAY(1)FGIYDTAK</t>
  </si>
  <si>
    <t>P05141</t>
  </si>
  <si>
    <t>VDKLY(1)AGLKDLAEER</t>
  </si>
  <si>
    <t>Y(1)VRPGGGFEPNFMLFEK</t>
  </si>
  <si>
    <t>A0A087WUQ6;P07203</t>
  </si>
  <si>
    <t>LGHDPY(0.999)RLGHDAY(0.001)R</t>
  </si>
  <si>
    <t>Y(0.864)RPENT(0.132)PEPVS(0.001)T(0.001)S(0.001)VS(0.001)HY(0.001)GAEPTTVSPCPSSSAK</t>
  </si>
  <si>
    <t>Y(1)AYNISLK</t>
  </si>
  <si>
    <t>E9PC74;Q13144</t>
  </si>
  <si>
    <t>SNYY(0.001)DAY(0.999)QAQPLATR</t>
  </si>
  <si>
    <t>AVEEQIEY(1)LQKK</t>
  </si>
  <si>
    <t>Q5VTR2</t>
  </si>
  <si>
    <t>ESPESEGPIY(1)EGLIL</t>
  </si>
  <si>
    <t>Q96QK1</t>
  </si>
  <si>
    <t>MQNHGY(0.001)ENPT(0.539)Y(0.448)KY(0.012)LEQMQI</t>
  </si>
  <si>
    <t>DT(0.013)Y(0.974)HPMS(0.012)EY(0.001)PTYHTHGR</t>
  </si>
  <si>
    <t>AFS(0.021)Y(0.978)Y(0.001)GPLR</t>
  </si>
  <si>
    <t>A0A0B4J1Z1;C9JAB2;Q16629-3;Q16629-2;Q16629-4;Q16629</t>
  </si>
  <si>
    <t>GHGNYQNCPVVRPHAT(0.002)HS(0.002)S(0.006)Y(0.069)GT(0.061)Y(0.842)VT(0.018)LAPK</t>
  </si>
  <si>
    <t>Q5VXC0;P49796-9;P49796-5;P49796-4;P49796-6;P49796</t>
  </si>
  <si>
    <t>Y(1)GNIIAYDHSR</t>
  </si>
  <si>
    <t>E7EPS8;P28827;P28827-2;Q5TG12;E9PGC5;Q15262;Q15262-2;Q15262-3;Q15262-4</t>
  </si>
  <si>
    <t>HTPPTIGGSLPY(1)R</t>
  </si>
  <si>
    <t>B7Z836;E7EW77;A0A0C4DG21;F8WAL6;Q9NYB9-3;Q9NYB9-2;Q9NYB9-4;Q9NYB9;E9PEZ7</t>
  </si>
  <si>
    <t>DTCYSPKPS(0.012)VY(0.987)LS(0.001)TPSSASK</t>
  </si>
  <si>
    <t>KQPHGGQQKPSYGSGYQSHQGQQQSYNQSPY(0.007)S(0.022)NY(0.971)GPPQGK</t>
  </si>
  <si>
    <t>ATGNQPPPLVGT(0.528)Y(0.298)NT(0.153)LLS(0.021)R</t>
  </si>
  <si>
    <t>Y(0.979)AY(0.021)FNGCSSPTAPLSPMSPPGYK</t>
  </si>
  <si>
    <t>P17302</t>
  </si>
  <si>
    <t>LILLQVAS(1)R</t>
  </si>
  <si>
    <t>Q2VIQ3</t>
  </si>
  <si>
    <t>S(0.173)AY(0.817)QT(0.01)IDSAEAPADPFAVPEGR</t>
  </si>
  <si>
    <t>Q6RW13-2;Q6RW13</t>
  </si>
  <si>
    <t>AAPGAPAEY(0.971)GY(0.029)IR</t>
  </si>
  <si>
    <t>Y(1)VDILPYDYNR</t>
  </si>
  <si>
    <t>X6R433;A0A0A0MT22;P08575-2;P08575;A0A075B788</t>
  </si>
  <si>
    <t>AAY(1)FGVYDTAK</t>
  </si>
  <si>
    <t>P12235;V9GYG0;P12236</t>
  </si>
  <si>
    <t>ALS(0.271)DHHIY(0.711)LEGT(0.018)LLKPNMVTPGHACTQK</t>
  </si>
  <si>
    <t>STGPGAS(0.002)LGT(0.604)GY(0.426)DRKDY(0.969)V</t>
  </si>
  <si>
    <t>NPRPGEENGKDY(0.806)Y(0.193)FVT(0.001)R</t>
  </si>
  <si>
    <t>B1ANG9;Q16774;Q16774-2;Q16774-3;B1ANH6</t>
  </si>
  <si>
    <t>SLGTGAPVIES(0.06)PY(0.74)GET(0.182)IS(0.018)PEDAPESISK</t>
  </si>
  <si>
    <t>E9PID8;E7EWR4;P33240-2;P33240</t>
  </si>
  <si>
    <t>DGVNKDY(1)EETELISTTANYR</t>
  </si>
  <si>
    <t>Q13123;Q9H4P6</t>
  </si>
  <si>
    <t>VVACNLY(1)PFVK</t>
  </si>
  <si>
    <t>S(0.574)Y(0.426)ELPDGQVITIGNER</t>
  </si>
  <si>
    <t>P60709;P62736;P63261;Q6S8J3;Q562R1;Q9BYX7;P63267;P63267-2;P68032;P68133</t>
  </si>
  <si>
    <t>MKLDY(1)ILGLK</t>
  </si>
  <si>
    <t>P46781;B5MCT8;C9JM19</t>
  </si>
  <si>
    <t>NLPY(0.989)KVT(0.011)QDELK</t>
  </si>
  <si>
    <t>P19338</t>
  </si>
  <si>
    <t>QQNHT(0.002)LDY(0.998)NLAPGPLGR</t>
  </si>
  <si>
    <t>Q9NR61</t>
  </si>
  <si>
    <t>SLY(0.992)T(0.006)S(0.001)MARPPLPR</t>
  </si>
  <si>
    <t>Q12965</t>
  </si>
  <si>
    <t>Y(1)ESLELCRPVLQQGR</t>
  </si>
  <si>
    <t>VSLEEIY(0.824)S(0.161)GCT(0.014)K</t>
  </si>
  <si>
    <t>Q9UDY4</t>
  </si>
  <si>
    <t>Y(0.827)S(0.173)LVSEQLEPAATSTYR</t>
  </si>
  <si>
    <t>CVDYITQCGLTS(0.001)EGIY(0.999)RK</t>
  </si>
  <si>
    <t>E7EU13;Q96P48-7;Q96P48-2;Q96P48-4;Q96P48-1;Q96P48-3;Q96P48;A0A0A0MSJ2;Q96P48-5</t>
  </si>
  <si>
    <t>VY(0.996)GT(0.004)IKPAFNQNSAAK</t>
  </si>
  <si>
    <t>E7EUA2;A6NHU9;A0A0A0MSQ6;Q9UPX8-4;Q9UPX8;Q9UPX8-3</t>
  </si>
  <si>
    <t>NRDY(1)DDIDDDDPFNPQAWR</t>
  </si>
  <si>
    <t>NYQS(0.042)S(0.716)S(0.242)PLPT(0.001)VGS(0.001)S(0.004)Y(0.044)S(0.016)S(0.049)PDY(0.745)S(0.14)LQHFS(0.001)SSPESQAR</t>
  </si>
  <si>
    <t>GVY(0.975)QY(0.025)HWQSHNVK</t>
  </si>
  <si>
    <t>Q12965;H0YN00</t>
  </si>
  <si>
    <t>S(0.157)Y(0.843)ADQSTLHAEDPLSITFMDQHNFSPR</t>
  </si>
  <si>
    <t>DRRY(1)DEVPSDLPYQDTTIR</t>
  </si>
  <si>
    <t>A1BQX2;A0A0G2JQ38;Q8N4S9;Q8N4S9-2;Q8N4S9-3</t>
  </si>
  <si>
    <t>KVEEPSIY(0.999)ES(0.001)VR</t>
  </si>
  <si>
    <t>J3KNB3;Q9UN19-2;Q9UN19</t>
  </si>
  <si>
    <t>SSSLEMTPY(0.344)NT(0.648)PQLS(0.007)PATTPANKK</t>
  </si>
  <si>
    <t>F8W9S7;Q14C86-3;Q14C86-4;Q14C86-5;Q14C86-2;Q14C86;Q14C86-6;B0QZ65;A0A0A0MQV8;B4DGD8</t>
  </si>
  <si>
    <t>WTAPEAIS(0.02)Y(0.98)R</t>
  </si>
  <si>
    <t>YYEGY(0.102)Y(0.898)AAGPGY(0.001)GGR</t>
  </si>
  <si>
    <t>GLESTTLADKDGEIY(1)CK</t>
  </si>
  <si>
    <t>P21291;E9PP21</t>
  </si>
  <si>
    <t>DVY(1)KEHFQDDVFNEK</t>
  </si>
  <si>
    <t>QWYES(0.004)HY(0.996)ALPLGR</t>
  </si>
  <si>
    <t>P62241;Q5JR95</t>
  </si>
  <si>
    <t>AAVHT(0.119)Y(0.881)GIASVPNQPLKK</t>
  </si>
  <si>
    <t>Q9UHI6;E9PJ60</t>
  </si>
  <si>
    <t>NSNYCLPSYTAY(0.008)KNY(0.944)DY(0.038)S(0.01)EPGR</t>
  </si>
  <si>
    <t>Q9Y4E8-2;Q9Y4E8-3;Q9Y4E8</t>
  </si>
  <si>
    <t>Y(0.147)Y(0.853)ACEALYNIVK</t>
  </si>
  <si>
    <t>Q08AM6;H3BUU8</t>
  </si>
  <si>
    <t>Y(0.322)GY(0.678)EIPVDMLCK</t>
  </si>
  <si>
    <t>NY(1)GSYSTQASAAAATAELLK</t>
  </si>
  <si>
    <t>O14828;O14828-2</t>
  </si>
  <si>
    <t>GQPALWDKDVPVY(1)KPR</t>
  </si>
  <si>
    <t>Q8NE62</t>
  </si>
  <si>
    <t>MQQY(0.438)T(0.562)EHFMAAGYTAIEK</t>
  </si>
  <si>
    <t>IQNTGDY(0.001)Y(0.002)DLY(0.997)GGEK</t>
  </si>
  <si>
    <t>EGDNVNY(1)DWIHWDPEHSYEFK</t>
  </si>
  <si>
    <t>Y(1)KPVCNQVECHPYFNR</t>
  </si>
  <si>
    <t>A0A0A0MSS8;P42330;S4R3Z2;P42330-2</t>
  </si>
  <si>
    <t>Y(1)ADLPGIAR</t>
  </si>
  <si>
    <t>Q13561;Q13561-3;Q13561-2;F8W1I6;F8W0U6</t>
  </si>
  <si>
    <t>KLHEY(0.998)NT(0.002)QFQEK</t>
  </si>
  <si>
    <t>EGQEDQGLT(0.006)KDY(0.982)GNS(0.012)PLHR</t>
  </si>
  <si>
    <t>A6NLN1;P26599;P26599-2;P26599-3;A0A0D9SF20</t>
  </si>
  <si>
    <t>GDKGY(0.959)VPS(0.041)VFIPISTIR</t>
  </si>
  <si>
    <t>Q14765</t>
  </si>
  <si>
    <t>ARQEELY(1)SELQAR</t>
  </si>
  <si>
    <t>Q15149-7;Q15149-8;Q15149-9;Q15149-5;Q15149-4;Q15149-6;Q15149-3;Q15149-2;Q15149</t>
  </si>
  <si>
    <t>PGTYVIY(1)VR</t>
  </si>
  <si>
    <t>O75369-6;O75369-3;O75369-2;O75369-9;O75369;O75369-8;E7EN95;O75369-7;O75369-5;O75369-4</t>
  </si>
  <si>
    <t>KLDMGGY(0.01)Y(0.989)ITTR</t>
  </si>
  <si>
    <t>ADSQEPSHFDSQQPAVLEEEEVMIAHAHPQEVY(0.421)NEY(0.579)VPR</t>
  </si>
  <si>
    <t>Q13433;Q13433-2</t>
  </si>
  <si>
    <t>YSPIYSPDPYYAS(0.037)ES(0.835)EY(0.115)WT(0.01)Y(0.002)HGSPK</t>
  </si>
  <si>
    <t>O94929-2;O94929-3;A0A0C4DGA7;O94929</t>
  </si>
  <si>
    <t>GITHIGY(1)TDLPSR</t>
  </si>
  <si>
    <t>E9PCX7;Q13423</t>
  </si>
  <si>
    <t>LLEIDPY(0.997)LKPY(0.003)AVDFQR</t>
  </si>
  <si>
    <t>Q04446</t>
  </si>
  <si>
    <t>VGLGLGY(1)LELPQINYK</t>
  </si>
  <si>
    <t>Q13045-3;Q13045;Q13045-2</t>
  </si>
  <si>
    <t>LTESPCALVAS(0.005)QY(0.989)GWS(0.006)GNMER</t>
  </si>
  <si>
    <t>P14625</t>
  </si>
  <si>
    <t>HGGYKPSDEHKTDLNPDNLQGGDDLDPNY(0.952)VLS(0.02)S(0.027)R</t>
  </si>
  <si>
    <t>P12277</t>
  </si>
  <si>
    <t>MQQNGYENPT(0.566)Y(0.434)KFFEQMQN</t>
  </si>
  <si>
    <t>AVSALATESGHPDSQKPPTHPGT(0.007)S(0.029)DS(0.565)Y(0.312)S(0.087)APR</t>
  </si>
  <si>
    <t>Y(0.467)GPQY(0.533)GHPPPPPPPPEYGPHADSPVLMVYGLDQSK</t>
  </si>
  <si>
    <t>GYFEYIEENKY(0.305)S(0.695)R</t>
  </si>
  <si>
    <t>Q00839-2;Q00839</t>
  </si>
  <si>
    <t>DFQY(1)VDRDGKDQGVNVR</t>
  </si>
  <si>
    <t>Q9Y6I3-3;Q9Y6I3;Q9Y6I3-1</t>
  </si>
  <si>
    <t>KTAGLSDLY(1)</t>
  </si>
  <si>
    <t>Q99816-2;Q99816</t>
  </si>
  <si>
    <t>KQENVSQEIY(1)EDVEDLKNNSK</t>
  </si>
  <si>
    <t>Q9P2B7-2;Q9P2B7</t>
  </si>
  <si>
    <t>FNVANGGPAPDVVS(0.001)DKIY(0.38)QIS(0.619)K</t>
  </si>
  <si>
    <t>NKPY(0.944)IS(0.056)WPSSGGSEPSVTVPLR</t>
  </si>
  <si>
    <t>Q9Y5S2</t>
  </si>
  <si>
    <t>IRPGEY(1)EQFESTIGFK</t>
  </si>
  <si>
    <t>A0A0D9SG07;A0A0C4DH22;Q9H4G0-4;Q9H4G0-3;Q9H4G0-2;Q9H4G0</t>
  </si>
  <si>
    <t>Y(1)DLTVPFAR</t>
  </si>
  <si>
    <t>B3KWE1;P12081-3;P12081-2;P12081-4;P12081;P49590-2;P49590</t>
  </si>
  <si>
    <t>AAIDKS(0.528)Y(0.471)DKPAVDDDDEGMET(0.001)LEEDTEESSR</t>
  </si>
  <si>
    <t>SYIGSNHSSLGSMSPSNMEGY(0.78)S(0.22)K</t>
  </si>
  <si>
    <t>NNYALNTT(0.029)AT(0.554)Y(0.416)AEPY(0.001)RPIQYR</t>
  </si>
  <si>
    <t>GWNY(1)ILEK</t>
  </si>
  <si>
    <t>Y(1)QEVWTSSTSPR</t>
  </si>
  <si>
    <t>QQS(0.002)T(0.002)T(0.001)LSTLY(0.991)PS(0.003)T(0.001)SSLLTNHQHEGR</t>
  </si>
  <si>
    <t>Q92783-2;Q92783</t>
  </si>
  <si>
    <t>VKIEPGVDPDDTYNET(0.015)PY(0.985)EK</t>
  </si>
  <si>
    <t>Q9H4A4;A6NKB8</t>
  </si>
  <si>
    <t>GPS(1)WDPFRDWY(0.997)PHS(0.003)R</t>
  </si>
  <si>
    <t>NPY(1)AHISIPR</t>
  </si>
  <si>
    <t>B8A4K4;A8MQ03</t>
  </si>
  <si>
    <t>DILDREY(0.963)Y(0.035)S(0.002)VQQHR</t>
  </si>
  <si>
    <t>H2E272;A0A087WZG2;Q04912-2;Q04912</t>
  </si>
  <si>
    <t>HYGYS(0.002)LY(0.998)SAIK</t>
  </si>
  <si>
    <t>P12429;D6RA82</t>
  </si>
  <si>
    <t>EEADGVY(0.983)AAS(0.017)GGLR</t>
  </si>
  <si>
    <t>P07332;P07332-4;P07332-3;P07332-2;E7ENM8</t>
  </si>
  <si>
    <t>LVGMDPEQASVTNQNEY(1)AR</t>
  </si>
  <si>
    <t>Q5W0Z9-4;Q5W0Z9-3;Q5W0Z9;B4DRN8</t>
  </si>
  <si>
    <t>FMS(0.007)VQRPGPY(0.981)DRPGT(0.013)AR</t>
  </si>
  <si>
    <t>P52597</t>
  </si>
  <si>
    <t>IAEENLT(0.033)Y(0.967)AELELIKPHR</t>
  </si>
  <si>
    <t>Q8IW00</t>
  </si>
  <si>
    <t>VPDY(0.996)WY(0.004)PQDLQAR</t>
  </si>
  <si>
    <t>P30711</t>
  </si>
  <si>
    <t>SISLY(0.846)Y(0.15)T(0.004)GEK</t>
  </si>
  <si>
    <t>LQVEPAVDT(0.005)S(0.005)GVQCY(0.991)GPGIEGQGVFR</t>
  </si>
  <si>
    <t>KEPFFHGHDNY(1)DQLVR</t>
  </si>
  <si>
    <t>E7EU96;Q5U5J2;P68400;P68400-2</t>
  </si>
  <si>
    <t>SVFALTNGIY(1)PHK</t>
  </si>
  <si>
    <t>Q02878</t>
  </si>
  <si>
    <t>NLAMEAT(0.183)Y(0.817)INHNFS(0.001)QQCLR</t>
  </si>
  <si>
    <t>O15371-2;O15371-3;O15371</t>
  </si>
  <si>
    <t>Y(1)FPAFEK</t>
  </si>
  <si>
    <t>P08263;P09210;A0A087WXM2;Q16772;Q5JW85;A0A087WYQ6;Q7RTV2</t>
  </si>
  <si>
    <t>GGNRPNTGPLY(0.975)T(0.025)EADR</t>
  </si>
  <si>
    <t>Q9HAU0-6;Q9HAU0-3;Q9HAU0-5;Q9HAU0;Q9HAU0-2;Q9HAU0-4;Q9HAU0-8;A0JP02</t>
  </si>
  <si>
    <t>IFSTLNEFVS(0.024)HY(0.433)T(0.542)K</t>
  </si>
  <si>
    <t>VKEEGYELPY(0.001)NPAT(0.024)DDY(0.975)AVPPPR</t>
  </si>
  <si>
    <t>LSTEHSSVSEYHPADGYAFS(0.008)S(0.054)NIY(0.714)T(0.223)R</t>
  </si>
  <si>
    <t>GT(0.022)RDDEY(0.964)DY(0.014)LFK</t>
  </si>
  <si>
    <t>Q15907;H3BSC1;P62491-2;Q15907-2;P62491;B4DQU5</t>
  </si>
  <si>
    <t>LWMEAMDGKEPIY(0.948)HS(0.05)PIT(0.002)K</t>
  </si>
  <si>
    <t>O60890</t>
  </si>
  <si>
    <t>DY(0.999)Y(0.001)VSTAVCR</t>
  </si>
  <si>
    <t>Q13103</t>
  </si>
  <si>
    <t>IAPCPS(0.007)QDS(0.021)LY(0.955)S(0.017)DPLDSTSAQAGEGVQR</t>
  </si>
  <si>
    <t>TFHTIGFCPY(1)GPR</t>
  </si>
  <si>
    <t>A0A087WUU9;Q07352</t>
  </si>
  <si>
    <t>EITQDTNDIT(0.013)Y(0.987)ADLNLPK</t>
  </si>
  <si>
    <t>P78324-4;P78324</t>
  </si>
  <si>
    <t>LNDGHFMPVLGFGT(0.06)Y(0.94)APAEVPK</t>
  </si>
  <si>
    <t>A0A0A0MT30;Q04828;P52895;B4DK69;P52895-2</t>
  </si>
  <si>
    <t>FDTIY(1)QILLK</t>
  </si>
  <si>
    <t>Q14258</t>
  </si>
  <si>
    <t>LFQQIY(0.995)S(0.005)DGSDEVKR</t>
  </si>
  <si>
    <t>Q9Y2Z0-2;Q9Y2Z0</t>
  </si>
  <si>
    <t>FSDEPPEVY(1)GDFEPLVAK</t>
  </si>
  <si>
    <t>J3KN66;Q5JTV8;Q5JTV8-3;Q5JTV8-2</t>
  </si>
  <si>
    <t>VLPSKEEPVNT(0.03)VY(0.764)S(0.205)EVQFADK</t>
  </si>
  <si>
    <t>GFY(1)DKDSSGWSSSK</t>
  </si>
  <si>
    <t>A0A0D9SFB3;A0A0D9SG12;A0A0D9SF53;O00571;A0A087WX09;B4DLA0</t>
  </si>
  <si>
    <t>KVSSLPLLLPY(1)WR</t>
  </si>
  <si>
    <t>Q2TAA2-2;Q2TAA2</t>
  </si>
  <si>
    <t>LGQALTEVY(1)AK</t>
  </si>
  <si>
    <t>A0A024R4E5;Q00341</t>
  </si>
  <si>
    <t>LQDEANY(0.988)HLY(0.009)GS(0.003)R</t>
  </si>
  <si>
    <t>Q13546-2;Q13546</t>
  </si>
  <si>
    <t>IKS(1)Y(1)S(1)FPKPGHR</t>
  </si>
  <si>
    <t>P43405</t>
  </si>
  <si>
    <t>ELPGHT(0.008)GY(0.983)LS(0.008)CCR</t>
  </si>
  <si>
    <t>E7EP32;P62879;P62879-2;Q9HAV0</t>
  </si>
  <si>
    <t>CNEQPNRVEIY(1)EK</t>
  </si>
  <si>
    <t>E7EVJ5;Q96F07-2;Q96F07;H7C229;Q7L576</t>
  </si>
  <si>
    <t>IRDQY(1)LVWLTQK</t>
  </si>
  <si>
    <t>O00459</t>
  </si>
  <si>
    <t>DVY(0.991)DIPPS(0.002)HT(0.002)T(0.002)QGVY(0.002)DIPPSSAK</t>
  </si>
  <si>
    <t>LWLEAMDGKEPIY(0.381)T(0.599)LPAIIS(0.02)K</t>
  </si>
  <si>
    <t>APGY(1)REVVILEDPGLPALYPCPACEEK</t>
  </si>
  <si>
    <t>AGDNS(0.014)QS(0.033)VY(0.949)IPMS(0.001)PGAHHFDS(0.001)LGY(0.002)PSTTLPVHR</t>
  </si>
  <si>
    <t>Q9UQC2-2;Q9UQC2</t>
  </si>
  <si>
    <t>GY(1)AFIEYEHER</t>
  </si>
  <si>
    <t>SRPEFMLPVHFY(1)GK</t>
  </si>
  <si>
    <t>P06737-2;P06737;E9PK47</t>
  </si>
  <si>
    <t>KAELLDNEKPAAVVAPIT(0.038)T(0.098)GY(0.646)T(0.218)VK</t>
  </si>
  <si>
    <t>Q9HB71-3;Q9HB71</t>
  </si>
  <si>
    <t>Y(1)LCAGAVDFYNNLENFNVDKEAGER</t>
  </si>
  <si>
    <t>AAAY(1)LDPNLNHTPNSSTK</t>
  </si>
  <si>
    <t>Q05397-7;Q05397;E7ESA6;Q05397-5;E5RG54;E5RFW9</t>
  </si>
  <si>
    <t>Y(1)QINNISTVPK</t>
  </si>
  <si>
    <t>SSFY(1)VNGLTLGGQK</t>
  </si>
  <si>
    <t>P07737;K7EJ44</t>
  </si>
  <si>
    <t>YALY(0.993)DAT(0.003)Y(0.004)ETK</t>
  </si>
  <si>
    <t>ALY(1)LQQRPEDETELHPTLNADDQECKR</t>
  </si>
  <si>
    <t>Q13315</t>
  </si>
  <si>
    <t>ASESSKPWPDAT(0.004)Y(0.995)GT(0.001)GSASR</t>
  </si>
  <si>
    <t>Q9Y2W1</t>
  </si>
  <si>
    <t>VMEVMPLMY(1)DLKVPR</t>
  </si>
  <si>
    <t>A8MT40;Q8NCN5;H3BQG3</t>
  </si>
  <si>
    <t>IALY(1)ETPTGWK</t>
  </si>
  <si>
    <t>P36871;P36871-2;P36871-3</t>
  </si>
  <si>
    <t>DSSSQENMVEDCLY(0.949)ET(0.051)VK</t>
  </si>
  <si>
    <t>RPVSPY(0.016)S(0.014)GY(0.969)NGQLLTSVYQPTEMALMHK</t>
  </si>
  <si>
    <t>T(0.003)GCIPS(0.323)NY(0.673)VAPVDSIQAEEWYFGK</t>
  </si>
  <si>
    <t>AGEEHY(1)NCISALHK</t>
  </si>
  <si>
    <t>Q96S55-2;Q96S55;Q96S55-3;Q96S55-4</t>
  </si>
  <si>
    <t>RIS(0.985)HS(0.12)LY(0.893)S(0.002)GIEGLDESPSR</t>
  </si>
  <si>
    <t>EQCPY(0.003)T(0.007)S(0.016)EDECIKDFDEKEY(0.975)QELNELQK</t>
  </si>
  <si>
    <t>Q460N5-4;Q460N5-1;Q460N5;Q460N5-3;Q460N5-5</t>
  </si>
  <si>
    <t>NESCSENYT(0.001)T(0.002)DFIY(0.989)QLY(0.005)S(0.002)EEGK</t>
  </si>
  <si>
    <t>Q01813;Q01813-2;B1APP8</t>
  </si>
  <si>
    <t>MY(1)VDPSEINPSMPQR</t>
  </si>
  <si>
    <t>A0A0A0MRF9;P16885</t>
  </si>
  <si>
    <t>MQDIPIY(1)ANVHK</t>
  </si>
  <si>
    <t>Q8WZ64</t>
  </si>
  <si>
    <t>KELT(0.017)Y(0.981)QNT(0.002)DLSEIKEEEQVK</t>
  </si>
  <si>
    <t>Q32MZ4-3;Q32MZ4-2;Q32MZ4</t>
  </si>
  <si>
    <t>GIY(0.999)QS(0.001)LEGAVQAGQLK</t>
  </si>
  <si>
    <t>LSHSSGYAQLNT(0.033)Y(0.933)S(0.033)R</t>
  </si>
  <si>
    <t>THFDY(1)QFGYR</t>
  </si>
  <si>
    <t>Q6PKG0-3;Q6PKG0</t>
  </si>
  <si>
    <t>T(0.001)NHIY(0.999)VSSDDIK</t>
  </si>
  <si>
    <t>Q6P2Q9</t>
  </si>
  <si>
    <t>LKNNKEY(1)LEFR</t>
  </si>
  <si>
    <t>AQPVPHY(1)GVPFKPQIPEAR</t>
  </si>
  <si>
    <t>Q9ULW0;Q9ULW0-2</t>
  </si>
  <si>
    <t>DT(0.004)CY(0.791)S(0.204)PKPS(0.198)VY(0.721)LS(0.055)T(0.017)PS(0.006)S(0.002)AS(0.002)K</t>
  </si>
  <si>
    <t>EHALLAY(0.275)T(0.725)LGVK</t>
  </si>
  <si>
    <t>FYDANYDGKEY(1)DPVEAR</t>
  </si>
  <si>
    <t>Q15555-2;Q15555-4;Q15555-5;Q15555-3;Q15555</t>
  </si>
  <si>
    <t>TFNLTAGSLEST(0.001)EPIY(0.975)VY(0.024)K</t>
  </si>
  <si>
    <t>A0A0G2JPZ1;H3BND4;Q6P996-3;Q6P996-4;Q6P996-5;Q6P996</t>
  </si>
  <si>
    <t>EEGSAHLAVPGVY(0.994)FT(0.006)CPLTGATLR</t>
  </si>
  <si>
    <t>MAGFDGSAWDEEEEEPPDHQY(0.5)Y(0.5)NDFPGKEPPLGGVVDMR</t>
  </si>
  <si>
    <t>LNSLPS(0.052)EY(0.662)ES(0.272)GS(0.014)ACPAQTVHYRPINLSSSENK</t>
  </si>
  <si>
    <t>QGFVPAAY(1)VK</t>
  </si>
  <si>
    <t>Y(1)FSLKPEEKDEK</t>
  </si>
  <si>
    <t>HTFSGVAS(0.522)VES(0.464)S(0.013)S(0.001)GEAFHVGK</t>
  </si>
  <si>
    <t>VYAPAS(0.001)T(0.001)LVDQPY(0.988)ANEGT(0.009)VVVTER</t>
  </si>
  <si>
    <t>VFTSSTISGGYAEY(1)ALAADHTVYK</t>
  </si>
  <si>
    <t>Q08257;Q08257-3</t>
  </si>
  <si>
    <t>ENGFIY(1)FQK</t>
  </si>
  <si>
    <t>Q5VW32-2;Q5VW32</t>
  </si>
  <si>
    <t>RDNEVDGQDY(1)HFVVSR</t>
  </si>
  <si>
    <t>Q5JUW8;Q92796-3;Q92796-2;Q92796</t>
  </si>
  <si>
    <t>ADGY(1)EPPVQESV</t>
  </si>
  <si>
    <t>D6RAT0;P61247;D6R9B6</t>
  </si>
  <si>
    <t>AEDPSQPDS(0.003)AGY(0.769)T(0.219)ALHY(0.003)AS(0.006)R</t>
  </si>
  <si>
    <t>Q53RE8</t>
  </si>
  <si>
    <t>EQAIGEY(1)EDLRAENQK</t>
  </si>
  <si>
    <t>A0MZ66-4;A0MZ66;A0MZ66-3;A0MZ66-2</t>
  </si>
  <si>
    <t>DSAYQS(0.002)IT(0.033)HY(0.613)RPVS(0.176)AS(0.176)R</t>
  </si>
  <si>
    <t>P50402;Q5HY57</t>
  </si>
  <si>
    <t>GQFDY(1)ALV</t>
  </si>
  <si>
    <t>P60606</t>
  </si>
  <si>
    <t>Y(1)SGSYNDYLR</t>
  </si>
  <si>
    <t>VRIDEY(0.783)DY(0.203)S(0.014)KPIQGQQK</t>
  </si>
  <si>
    <t>D6RFM5;P31040;P31040-2;A0A087X1I3;P31040-3</t>
  </si>
  <si>
    <t>VDQSAVGFEY(0.929)QGKT(0.071)EK</t>
  </si>
  <si>
    <t>MREDY(0.902)DS(0.098)VEQDGDEPGPQR</t>
  </si>
  <si>
    <t>Q9Y5S9-2;Q9Y5S9</t>
  </si>
  <si>
    <t>AY(0.004)S(0.003)QEEIT(0.013)QGFEET(0.258)GDT(0.579)LY(0.354)APY(0.638)S(0.075)T(0.075)HFQLQNQPPQK</t>
  </si>
  <si>
    <t>KPPRPGAPGHLGSLASLSS(0.001)PADS(0.584)Y(0.415)NEGVK</t>
  </si>
  <si>
    <t>S(0.002)VQLY(0.992)GPT(0.005)NFAPVINHVAR</t>
  </si>
  <si>
    <t>E7ENV7;Q86YQ8-2;Q86YQ8</t>
  </si>
  <si>
    <t>KLY(1)KPEVQLR</t>
  </si>
  <si>
    <t>FS(0.889)GWY(0.111)DADLSPAGHEEAKR</t>
  </si>
  <si>
    <t>LS(0.002)ADS(0.063)GY(0.934)IIPLPDIDPVPEEEDLGKR</t>
  </si>
  <si>
    <t>A0A0B4J203;P16234</t>
  </si>
  <si>
    <t>TFNSELYS(0.001)LNDY(0.983)KPPIS(0.016)K</t>
  </si>
  <si>
    <t>A0A0A0MT33;Q9UPN6</t>
  </si>
  <si>
    <t>LS(0.021)ADS(0.64)GY(0.34)IIPLPDIDPVPEEEDLGKR</t>
  </si>
  <si>
    <t>CRDDSFFGETS(0.001)HNY(0.003)HKFDS(0.614)EY(0.382)ER</t>
  </si>
  <si>
    <t>A8MXP9;P43243;D6REM6</t>
  </si>
  <si>
    <t>IPLNPY(1)LNLHSLLPASNLAGK</t>
  </si>
  <si>
    <t>A0A087WZ13;E9PAU2;Q8IY67-2</t>
  </si>
  <si>
    <t>IY(1)IDPFTYEDPNEAVR</t>
  </si>
  <si>
    <t>B1AKC9;P29323-2;P29323-3;P29323;P54762-5;P54762</t>
  </si>
  <si>
    <t>VSDAVQPNNY(1)LIR</t>
  </si>
  <si>
    <t>Q99569;A0A0D9SF60;E7EST6;Q99569-2</t>
  </si>
  <si>
    <t>FAGDKGY(0.455)LT(0.545)KEDLR</t>
  </si>
  <si>
    <t>SSPAADAQEENLY(1)AAVK</t>
  </si>
  <si>
    <t>D9IDM6;D9IDM5;A0A0G2JNQ6;A0A087WSV6;A0A0G2JP64;F6TER3;Q8NHL6-4;Q8NHL6-3;A8MVE2;A0A0G2JQ46;A0A0B4J1W1;A0A0G2JQ44;A0A087WSX8;A0A0G2JNM2;A0A0G2JQ15;Q8NHL6;Q8NHL6-2</t>
  </si>
  <si>
    <t>SAADEVDGLGVARPHY(0.381)GS(0.619)VLDNER</t>
  </si>
  <si>
    <t>VIGAGEFGEVY(1)KGMLK</t>
  </si>
  <si>
    <t>GAGAFGY(1)FEVTHDITK</t>
  </si>
  <si>
    <t>P04040</t>
  </si>
  <si>
    <t>EKY(1)GIVDYMIEQSGPPSK</t>
  </si>
  <si>
    <t>NLY(0.999)GT(0.001)SIDSVR</t>
  </si>
  <si>
    <t>TFGGAPGFPLGS(0.998)PLS(0.002)S(0.001)PVFPR</t>
  </si>
  <si>
    <t>QLEETNNDYETADGGY(0.981)MT(0.019)LNPR</t>
  </si>
  <si>
    <t>P12318-2;P12318</t>
  </si>
  <si>
    <t>AIRDY(1)QGPLKEHEVTIFVR</t>
  </si>
  <si>
    <t>HIAEDS(0.148)DRKY(0.852)EEVAR</t>
  </si>
  <si>
    <t>P07951-2;Q5TCU3;CON__Q3SX28;Q5TCU8;P07951;P07951-3</t>
  </si>
  <si>
    <t>KT(0.14)Y(0.83)IT(0.03)DPVSAPCAPPLQPK</t>
  </si>
  <si>
    <t>CCCPEALY(1)AAGK</t>
  </si>
  <si>
    <t>S4R3V8;Q86X29-3;Q86X29-4;Q86X29;Q86X29-2</t>
  </si>
  <si>
    <t>ISVY(0.995)Y(0.004)NEATGGK</t>
  </si>
  <si>
    <t>Q5JP53;P07437</t>
  </si>
  <si>
    <t>YSLVSEQLEPAAT(0.012)S(0.047)T(0.177)Y(0.763)R</t>
  </si>
  <si>
    <t>FACNGT(0.008)VIEHPEY(0.992)GEVIQLQGDQR</t>
  </si>
  <si>
    <t>K7EM18;P41567;O60739</t>
  </si>
  <si>
    <t>LNEWLGNENT(0.006)EDQY(0.727)S(0.268)LVEDDEDLPHHDEK</t>
  </si>
  <si>
    <t>P27986-5;P27986-3;P27986-2;P27986</t>
  </si>
  <si>
    <t>GS(0.008)Y(0.992)VSIHSSGFR</t>
  </si>
  <si>
    <t>O00148;O00148-2;O00148-3;Q13838;Q13838-2;Q5STU3</t>
  </si>
  <si>
    <t>VLTPELY(1)AELR</t>
  </si>
  <si>
    <t>Y(0.985)CLT(0.014)PEY(0.001)PELGEPAHNHHAHNYYNSA</t>
  </si>
  <si>
    <t>Y(0.966)LY(0.034)HGQTLETLGGK</t>
  </si>
  <si>
    <t>Q15582</t>
  </si>
  <si>
    <t>EATEPPPSQEREPPAEPS(0.006)IY(0.994)APLAIH</t>
  </si>
  <si>
    <t>A0A0G2JNY7;O75023-2;O75023;O75023-3;A0A0G2JPM8;A0A0G2JNP3</t>
  </si>
  <si>
    <t>ASPQT(0.001)PGKENIY(0.999)EGDLGLGGYELK</t>
  </si>
  <si>
    <t>Q8IVB4</t>
  </si>
  <si>
    <t>ILQY(0.787)S(0.195)EPY(0.018)K</t>
  </si>
  <si>
    <t>Q8IVF2-3;Q8IVF2</t>
  </si>
  <si>
    <t>WDDPY(1)Y(1)DIAR</t>
  </si>
  <si>
    <t>Q07960</t>
  </si>
  <si>
    <t>GY(1)LPLPR</t>
  </si>
  <si>
    <t>Q9Y5Y0</t>
  </si>
  <si>
    <t>ARPEYMLPVHFY(1)GR</t>
  </si>
  <si>
    <t>Y(1)GNQVSEHTLGTVHTHSAHFK</t>
  </si>
  <si>
    <t>Q16853-2;Q16853</t>
  </si>
  <si>
    <t>DKVTIADDY(0.438)S(0.562)DPFDAK</t>
  </si>
  <si>
    <t>QMDTEAAASEAPQDVT(0.227)Y(0.767)AQLHS(0.004)FT(0.001)LR</t>
  </si>
  <si>
    <t>A0A0G2JM57;A0A0G2JML1;A0A0G2JM84;A0A0G2JPU4;A0A0G2JNL1;Q8NHJ6-2;Q8NHJ6;Q8NHJ6-3</t>
  </si>
  <si>
    <t>TFSPT(0.158)Y(0.841)GLLR</t>
  </si>
  <si>
    <t>O15061;A0A075B7B1;O15061-2;H0YL34</t>
  </si>
  <si>
    <t>CPPAY(0.791)T(0.209)MVGLHNLEPR</t>
  </si>
  <si>
    <t>EYDQLYEEY(0.306)T(0.694)R</t>
  </si>
  <si>
    <t>LQDEANY(0.01)HLY(0.781)GS(0.21)R</t>
  </si>
  <si>
    <t>VVNPY(0.099)Y(0.901)LR</t>
  </si>
  <si>
    <t>Q13131;Q13131-2</t>
  </si>
  <si>
    <t>GGGPY(1)DAPGGDDSYI</t>
  </si>
  <si>
    <t>A0A0G2JP44;A0A0G2JMW3;Q9HBB8-2;Q9HBB8-4;Q9HBB8</t>
  </si>
  <si>
    <t>VY(1)EIQDIYENSWTK</t>
  </si>
  <si>
    <t>NY(1)VVVLSDGPALHPAHAPQISYTGPSSSGR</t>
  </si>
  <si>
    <t>LLKEGEEPT(0.008)VY(0.986)S(0.006)DEEEPKDESAR</t>
  </si>
  <si>
    <t>O00264;O00264-2</t>
  </si>
  <si>
    <t>GT(0.565)VRDY(0.427)PDFS(0.007)PSVDAEAIQK</t>
  </si>
  <si>
    <t>P12429</t>
  </si>
  <si>
    <t>RNDS(0.063)IY(0.936)EASSLYGISAMDGVPFTLHPR</t>
  </si>
  <si>
    <t>E9PQA6;Q96EY5-2;Q96EY5-3;Q96EY5</t>
  </si>
  <si>
    <t>VSGDYGHPVYIVQEMPPQS(0.001)PANIY(0.806)Y(0.193)KV</t>
  </si>
  <si>
    <t>YDEDAKRPY(0.996)FT(0.004)VDEAEAR</t>
  </si>
  <si>
    <t>Q15223</t>
  </si>
  <si>
    <t>AAYFGVY(0.945)DT(0.055)AK</t>
  </si>
  <si>
    <t>QLIIEDPY(0.821)Y(0.177)GNDS(0.002)DFETVYQQCVR</t>
  </si>
  <si>
    <t>P24666;P24666-3;P24666-2</t>
  </si>
  <si>
    <t>IYSLNEGY(1)AK</t>
  </si>
  <si>
    <t>O00757</t>
  </si>
  <si>
    <t>VHTDFTPSPY(0.981)DT(0.017)DS(0.002)LK</t>
  </si>
  <si>
    <t>S6FRS6;Q9NSI8;Q9NSI8-3;O94885</t>
  </si>
  <si>
    <t>Y(1)AFVMFK</t>
  </si>
  <si>
    <t>B9ZVT1;Q8IXT5</t>
  </si>
  <si>
    <t>VTEWQQT(0.024)Y(0.06)T(0.223)Y(0.602)DS(0.066)GIHS(0.01)GANT(0.011)CVPS(0.002)VS(0.001)SK</t>
  </si>
  <si>
    <t>KQTIDNSQGAY(1)QEAFDISK</t>
  </si>
  <si>
    <t>P27348</t>
  </si>
  <si>
    <t>AIETDKEY(0.96)Y(0.038)T(0.001)VKDDR</t>
  </si>
  <si>
    <t>P23458</t>
  </si>
  <si>
    <t>ECFTPFVNGS(0.01)FFEHDGQPY(0.886)CEVHY(0.104)HER</t>
  </si>
  <si>
    <t>SGDY(1)STMEGPELR</t>
  </si>
  <si>
    <t>Q9C0H5;Q9C0H5-2</t>
  </si>
  <si>
    <t>GHFFVEDQIY(1)CEK</t>
  </si>
  <si>
    <t>O00151</t>
  </si>
  <si>
    <t>ANTAQEQQY(0.456)GS(0.544)HEENLPADLEALQR</t>
  </si>
  <si>
    <t>NGYIPSNYVAPADS(0.003)IQAEEWY(0.997)FGK</t>
  </si>
  <si>
    <t>CIGEGQFGDVHQGIY(0.983)MS(0.017)PENPALAVAIK</t>
  </si>
  <si>
    <t>Q05397-7;Q05397;E7ESA6;E9PEI4;Q05397-5;Q05397-4;Q05397-3;E5RI29;Q05397-2</t>
  </si>
  <si>
    <t>MKDCEY(1)QQISPGAAPLPAS(1)PGAR</t>
  </si>
  <si>
    <t>Q9NUE0</t>
  </si>
  <si>
    <t>HRIY(0.997)EY(0.003)VESR</t>
  </si>
  <si>
    <t>E7EVX8;Q8WWY3-3;Q8WWY3-2;Q8WWY3-4;Q8WWY3</t>
  </si>
  <si>
    <t>RPQY(0.796)S(0.204)NPPVQGEVMEGADNQGAGEQGRPVR</t>
  </si>
  <si>
    <t>TRPDYPGSLAEPNY(1)PR</t>
  </si>
  <si>
    <t>SPQNET(0.001)LY(0.948)S(0.051)VLKA</t>
  </si>
  <si>
    <t>Q9UKJ1-3;Q9UKJ1</t>
  </si>
  <si>
    <t>Y(1)MEDSTYYK</t>
  </si>
  <si>
    <t>Q05397-7;Q05397;E7ESA6;E9PEI4;Q05397-5;Q05397-4;Q05397-3;Q05397-2</t>
  </si>
  <si>
    <t>VNPDT(0.083)GY(0.899)INY(0.018)DQLEENAR</t>
  </si>
  <si>
    <t>P34896-2;P34896;P34896-3;P34896-4</t>
  </si>
  <si>
    <t>LVPVGY(1)GIR</t>
  </si>
  <si>
    <t>A0A087X1X7;E9PRY8;P29692-2;P29692;P29692-3;E9PQZ1;P29692-4</t>
  </si>
  <si>
    <t>KEPEAFDWSPVVT(0.069)Y(0.931)VCDLEGNR</t>
  </si>
  <si>
    <t>P40261</t>
  </si>
  <si>
    <t>MEY(0.464)GPRPADT(0.523)PPAPS(0.012)PPPTPAPVPVPLPPSTPAPVPVSK</t>
  </si>
  <si>
    <t>QIT(0.02)S(0.211)Y(0.753)GET(0.016)CPGLEQYAIK</t>
  </si>
  <si>
    <t>Y(0.998)VRPGGGY(0.002)QPTFTLVQK</t>
  </si>
  <si>
    <t>A0A087WTS0;P18283</t>
  </si>
  <si>
    <t>SQGLS(0.084)QLY(0.909)HNQS(0.007)QGLLSQLQGQSK</t>
  </si>
  <si>
    <t>P78344</t>
  </si>
  <si>
    <t>EQLY(0.95)S(0.04)T(0.01)ILSHQCQR</t>
  </si>
  <si>
    <t>E9PIP3;Q9Y4H4</t>
  </si>
  <si>
    <t>HADAEMT(0.026)GY(0.303)VVT(0.671)R</t>
  </si>
  <si>
    <t>ILGIPVIVT(0.003)EQY(0.997)PK</t>
  </si>
  <si>
    <t>Q96CN7</t>
  </si>
  <si>
    <t>YCRPESQEHPEADPGAAPY(0.407)LKT(0.593)K</t>
  </si>
  <si>
    <t>EAY(1)EEPPEQLR</t>
  </si>
  <si>
    <t>Q99795</t>
  </si>
  <si>
    <t>IAAY(0.963)AY(0.028)S(0.009)ALSQIR</t>
  </si>
  <si>
    <t>Q6IAA8</t>
  </si>
  <si>
    <t>YSPIYSPDPYYAS(0.002)ES(0.08)EY(0.734)WT(0.08)Y(0.093)HGS(0.011)PK</t>
  </si>
  <si>
    <t>Y(0.998)EPIQAT(0.002)PPPPPLPSQYAQPSQPVTSASLHIHSK</t>
  </si>
  <si>
    <t>FNS(0.121)GS(0.446)S(0.446)DDVRY(0.987)VNAFK</t>
  </si>
  <si>
    <t>P17948;P17948-6;P17948-5;H9N1E7;P17948-7;P17948-8</t>
  </si>
  <si>
    <t>ELEDAY(1)WKDDDKHVMR</t>
  </si>
  <si>
    <t>Q96CT7</t>
  </si>
  <si>
    <t>LPS(0.07)S(0.93)PVY(1)EDAASFK</t>
  </si>
  <si>
    <t>AGSLPNY(0.283)AT(0.716)INGK</t>
  </si>
  <si>
    <t>MQQY(0.752)T(0.248)EHFMAAGYTAIEK</t>
  </si>
  <si>
    <t>AY(1)AYLFK</t>
  </si>
  <si>
    <t>P61019;E9PKL7;P61019-2</t>
  </si>
  <si>
    <t>LKDY(1)AFIHFDER</t>
  </si>
  <si>
    <t>O60506-2;O60506;O60506-4;O60506-3;B7Z645;O60506-5</t>
  </si>
  <si>
    <t>STAY(0.001)EDY(0.832)Y(0.141)Y(0.025)HPPPR</t>
  </si>
  <si>
    <t>APSASVDSS(0.001)LY(0.998)NLPR</t>
  </si>
  <si>
    <t>IQPEAEY(1)QGFLR</t>
  </si>
  <si>
    <t>P07332;P07332-4;P07332-3;P07332-2;E7ENM8;E9PIJ7</t>
  </si>
  <si>
    <t>QALLGDSGSQNWSTGT(0.011)T(0.007)DKY(0.982)GR</t>
  </si>
  <si>
    <t>O43752-2;O43752</t>
  </si>
  <si>
    <t>YGWLAAPQAY(0.9)VS(0.1)EKHEGNK</t>
  </si>
  <si>
    <t>LGAQS(0.049)VY(0.951)HLHIHVLGGR</t>
  </si>
  <si>
    <t>Q9BX68</t>
  </si>
  <si>
    <t>NY(0.014)GGVY(0.985)VGLPSEAVNMVSSQTK</t>
  </si>
  <si>
    <t>Q8TAD7</t>
  </si>
  <si>
    <t>TAKPFPGSVNQPAT(0.015)PFS(0.776)PT(0.208)R</t>
  </si>
  <si>
    <t>Q9UMS6;Q9UMS6-4;Q9UMS6-2;Q9UMS6-3</t>
  </si>
  <si>
    <t>GFGDGY(0.252)NGY(0.748)GGGPGGGNFGGSPGYGGGR</t>
  </si>
  <si>
    <t>SLEATDSAFDNPDY(0.994)WHS(0.006)R</t>
  </si>
  <si>
    <t>B3KWG5;F8VW56;P21860-5;P21860-4;P21860</t>
  </si>
  <si>
    <t>S(0.146)GY(0.854)AFVDYPDQNWAIR</t>
  </si>
  <si>
    <t>F8W930;Q9Y6M1-1;Q9Y6M1</t>
  </si>
  <si>
    <t>SLLSHEFQDETDTEEET(0.049)LY(0.701)S(0.201)S(0.049)KH</t>
  </si>
  <si>
    <t>O75976;O75976-2</t>
  </si>
  <si>
    <t>RGFFICDQPYEPVS(0.093)PY(0.329)S(0.578)CK</t>
  </si>
  <si>
    <t>FMQASEDLLKEHY(1)VDLK</t>
  </si>
  <si>
    <t>P15531;P15531-2;Q32Q12;P22392-2;J3KPD9;E7ERL0;E5RHP0</t>
  </si>
  <si>
    <t>KGADS(0.001)LEDFLY(0.995)HEGY(0.003)ACTSIHGDR</t>
  </si>
  <si>
    <t>Y(1)KPAVNQIECHPYLTQEK</t>
  </si>
  <si>
    <t>QLY(0.999)NKY(0.001)PDAVATWLNPDPSQK</t>
  </si>
  <si>
    <t>P10451-4;P10451-5;P10451-2;P10451</t>
  </si>
  <si>
    <t>AGEDVGAPPDHLWVHQEGIY(0.236)RDEY(0.764)QR</t>
  </si>
  <si>
    <t>P56278</t>
  </si>
  <si>
    <t>VIT(0.007)NQY(0.043)NNPAGLY(0.747)S(0.098)S(0.098)ENIS(0.007)NFNNALESK</t>
  </si>
  <si>
    <t>AQQAADKY(0.978)LY(0.022)VDKNFINNPLAQADWAAK</t>
  </si>
  <si>
    <t>S(0.006)DDY(0.994)MPMSPASVSAPK</t>
  </si>
  <si>
    <t>YCRPESQEHPEADPGSAAPY(0.462)LKT(0.538)K</t>
  </si>
  <si>
    <t>RPWHEYEHNFQIMY(1)K</t>
  </si>
  <si>
    <t>J3KNB8;F5H538;Q9Y6R4-2;Q9Y6R4</t>
  </si>
  <si>
    <t>GS(1)PHY(0.997)FS(0.003)PFRPY</t>
  </si>
  <si>
    <t>Q13242</t>
  </si>
  <si>
    <t>HNDVVPTMAQGVIEY(1)KEK</t>
  </si>
  <si>
    <t>Q15120;Q15120-2</t>
  </si>
  <si>
    <t>LGHVVMGNNAVS(0.029)PY(0.971)QQVIEK</t>
  </si>
  <si>
    <t>P60228;E5RGA2</t>
  </si>
  <si>
    <t>LY(1)FLQCETCHSR</t>
  </si>
  <si>
    <t>P20042</t>
  </si>
  <si>
    <t>WDEMNILAT(0.011)Y(0.008)HPADKDY(0.98)GLMK</t>
  </si>
  <si>
    <t>E7EUI7;P41236</t>
  </si>
  <si>
    <t>KEY(1)AMVDPEDISITELYR</t>
  </si>
  <si>
    <t>F5GXW1;Q8N1I0-2;Q8N1I0;Q8N1I0-3</t>
  </si>
  <si>
    <t>S(0.213)Y(0.783)DVPPPPMEPDHPFY(0.003)SNIS(0.001)K</t>
  </si>
  <si>
    <t>NHS(0.001)GPGPCICFENLT(0.106)Y(0.867)NQAAS(0.014)DS(0.006)GS(0.006)CGHVPVS(0.001)PK</t>
  </si>
  <si>
    <t>CAGCDELIFS(0.008)NEY(0.949)T(0.043)QAENQNWHLK</t>
  </si>
  <si>
    <t>Q9UGI8-2;Q9UGI8</t>
  </si>
  <si>
    <t>NYILDQTNVY(0.99)GS(0.01)AQR</t>
  </si>
  <si>
    <t>A0A0A0MRA5;B7Z4B8;Q9BUJ2-4;Q9BUJ2-2;Q9BUJ2;Q9BUJ2-3</t>
  </si>
  <si>
    <t>ATFHTPFSHLGQSPEGCS(0.112)S(0.07)Y(0.267)T(0.551)FPK</t>
  </si>
  <si>
    <t>QCFY(1)EDIAQGTK</t>
  </si>
  <si>
    <t>A0A0A6YYA0;Q86XR7-2;Q9Y3B3-2;Q9Y3B3</t>
  </si>
  <si>
    <t>TGQPMIHIY(0.992)LDKET(0.008)GKPK</t>
  </si>
  <si>
    <t>A0A0D9SFL3;B0QYK0;C9JGE3;Q01844-2;Q01844-6;Q01844-3;Q01844;Q01844-5</t>
  </si>
  <si>
    <t>LNGPQDHS(0.001)HLLY(0.822)S(0.373)T(0.805)IPR</t>
  </si>
  <si>
    <t>NS(0.097)S(0.512)Y(0.39)FVEWIPNNVK</t>
  </si>
  <si>
    <t>NT(0.039)PY(0.823)KT(0.138)LEPVKPPT(0.001)VPNDY(0.301)MT(0.508)S(0.19)PAR</t>
  </si>
  <si>
    <t>Y(1)VDIAIPCNNK</t>
  </si>
  <si>
    <t>FLEDDTS(0.001)DPT(0.063)Y(0.853)T(0.063)S(0.02)ALGGK</t>
  </si>
  <si>
    <t>EESAEQVDDPPEPVY(1)ANIER</t>
  </si>
  <si>
    <t>A0A0G2JRG8;A0A0G2JNY3;E9PIR1;Q6ZUM4</t>
  </si>
  <si>
    <t>IY(1)QWINELSSPETR</t>
  </si>
  <si>
    <t>Q92600-3;Q92600;Q92600-2;F8WBZ6</t>
  </si>
  <si>
    <t>GAT(0.047)Y(0.953)GKPVHHGVNQLK</t>
  </si>
  <si>
    <t>P61313;P61313-2</t>
  </si>
  <si>
    <t>Y(1)LQEIYNSNNQK</t>
  </si>
  <si>
    <t>C9JEU5;C9JC84</t>
  </si>
  <si>
    <t>LKEESRDEES(0.001)PY(0.312)AT(0.589)S(0.098)LYHS</t>
  </si>
  <si>
    <t>IYADSLKPNIPY(1)K</t>
  </si>
  <si>
    <t>NLEGY(1)VGFANLPNQVYR</t>
  </si>
  <si>
    <t>E7ES33;E7EPK1;Q16181-2;Q16181</t>
  </si>
  <si>
    <t>VY(1)LLYRPGHYDILYK</t>
  </si>
  <si>
    <t>F5GYN4;J3KR44;F5H6Q1;Q96FW1;F5H3F0;Q96FW1-2</t>
  </si>
  <si>
    <t>KPGY(1)HAPVALLNDIPQSTEQYDPFAEHRPPK</t>
  </si>
  <si>
    <t>O75533;B4DGZ4;O75533-2</t>
  </si>
  <si>
    <t>EQNDKPY(1)CQNCFLK</t>
  </si>
  <si>
    <t>VVQDFIDIFS(0.059)DY(0.941)ANFK</t>
  </si>
  <si>
    <t>P23469-3;P23469-2;P23469</t>
  </si>
  <si>
    <t>GEYNVY(0.742)S(0.208)T(0.049)FQS(0.001)HEPEFDYLK</t>
  </si>
  <si>
    <t>P63151;P63151-2;Q66LE6;E5RIY1;Q00005-6;Q00005;Q00005-2;Q00005-3;Q00005-4;Q00005-5;Q00005-7</t>
  </si>
  <si>
    <t>QIS(0.005)ES(0.013)T(0.013)NHIY(0.912)S(0.057)NLANCSPNR</t>
  </si>
  <si>
    <t>P10721-2;P10721</t>
  </si>
  <si>
    <t>GALADY(1)EGKDVATR</t>
  </si>
  <si>
    <t>O15231-2;O15231-5;O15231-4;O15231-7;O15231;O15231-3;O15231-8;O15231-6;H7BZT5</t>
  </si>
  <si>
    <t>IAAY(1)LFK</t>
  </si>
  <si>
    <t>IHVY(0.978)GY(0.019)S(0.003)MAYGPAQHAISTEK</t>
  </si>
  <si>
    <t>LLVCNIDGCLTNGHIY(0.951)VS(0.048)GDQK</t>
  </si>
  <si>
    <t>Q8NFW8</t>
  </si>
  <si>
    <t>SEDS(0.013)T(0.05)IY(0.937)DLLKDPVSLR</t>
  </si>
  <si>
    <t>O15013-7;O15013-4;O15013-5;O15013-6;O15013</t>
  </si>
  <si>
    <t>NHQLYCNDCY(1)LR</t>
  </si>
  <si>
    <t>E9PMS6;E9PMT2;F8WD26;J3KP06;Q8WWI1-3;Q8WWI1</t>
  </si>
  <si>
    <t>IY(0.001)IDPFT(0.056)Y(0.943)EDPNEAVR</t>
  </si>
  <si>
    <t>IADYGIAQY(1)CCR</t>
  </si>
  <si>
    <t>Q5S007</t>
  </si>
  <si>
    <t>S(0.019)Y(0.981)LYFTQFK</t>
  </si>
  <si>
    <t>Q969H8;M0QYN0</t>
  </si>
  <si>
    <t>VENCPDELY(1)DIMK</t>
  </si>
  <si>
    <t>EIY(0.971)T(0.029)HFT(0.001)CATDTK</t>
  </si>
  <si>
    <t>P04899;P04899-4;P04899-6;P04899-3;P04899-5;P04899-2;P08754;P63096;P63096-2</t>
  </si>
  <si>
    <t>SGESVEEVPLY(0.028)GNLHY(0.954)LQT(0.018)GR</t>
  </si>
  <si>
    <t>LVPSS(0.005)S(0.023)Y(0.972)VAVAPVK</t>
  </si>
  <si>
    <t>P23634-5;P23634-4;P23634-3;P23634-2</t>
  </si>
  <si>
    <t>REPFFHGQDNY(1)DQLVR</t>
  </si>
  <si>
    <t>P19784</t>
  </si>
  <si>
    <t>AIENCEY(1)AFNLKK</t>
  </si>
  <si>
    <t>B7Z5N5;Q15796-2;Q15796</t>
  </si>
  <si>
    <t>VPLAHPEDMDPS(0.001)DNY(0.999)AEPIDTIFK</t>
  </si>
  <si>
    <t>Q13017-2;Q13017;A0A0A0MSK6</t>
  </si>
  <si>
    <t>NVVHQLSVTLEDLY(0.98)NGAT(0.02)R</t>
  </si>
  <si>
    <t>P31689;P31689-2</t>
  </si>
  <si>
    <t>HQIQS(0.004)Y(0.986)T(0.01)CEIDALK</t>
  </si>
  <si>
    <t>NNY(0.984)Y(0.089)S(0.306)S(0.306)RFS(0.306)PDS(0.007)QY(0.003)IDNR</t>
  </si>
  <si>
    <t>QHHPPY(1)HQQHHQGPPPGGPGGR</t>
  </si>
  <si>
    <t>P23246-2;P23246</t>
  </si>
  <si>
    <t>VLEDDPEAAY(0.903)T(0.048)T(0.048)R</t>
  </si>
  <si>
    <t>F8W9W0;C9JXA2;E9PG71;F8VP57;B7ZKW7;B7ZKJ3;P54764-2;P54756-3;P29320;P54764;P54756-2;P54756</t>
  </si>
  <si>
    <t>IAS(0.111)GRPY(0.846)NPS(0.043)MSKPDGWGVTK</t>
  </si>
  <si>
    <t>Q93088;E5RJH0</t>
  </si>
  <si>
    <t>EPT(0.997)EEKEEEDIY(0.003)EVLPDEEHDLEEDESGTR</t>
  </si>
  <si>
    <t>Q86WV1-2;Q86WV1</t>
  </si>
  <si>
    <t>FNPET(0.238)DY(0.743)LT(0.017)GT(0.001)DGKK</t>
  </si>
  <si>
    <t>A2A274;Q99798</t>
  </si>
  <si>
    <t>DQEVAGRDY(0.973)HFVS(0.027)R</t>
  </si>
  <si>
    <t>VHY(0.467)ARPS(0.533)HPPPDPPILEGAVGGNEAR</t>
  </si>
  <si>
    <t>F8W9S7;Q14C86-3;Q14C86-4;Q14C86-5;Q14C86-2;Q14C86;Q14C86-6</t>
  </si>
  <si>
    <t>S(0.003)LY(0.994)PS(0.002)S(0.001)EIQLNNK</t>
  </si>
  <si>
    <t>O75886;O75886-2</t>
  </si>
  <si>
    <t>LY(1)ANMFER</t>
  </si>
  <si>
    <t>YKPVCNQVECHPY(1)FNR</t>
  </si>
  <si>
    <t>HREY(1)MEQQEINEPSLSSK</t>
  </si>
  <si>
    <t>A1BQX2;A0A0G2JQ38;Q8N4S9;Q8N4S9-2</t>
  </si>
  <si>
    <t>VY(1)DSVQSSGPMVVTSLTEELKK</t>
  </si>
  <si>
    <t>O14544</t>
  </si>
  <si>
    <t>ELKDPDQLY(0.952)T(0.039)T(0.009)LK</t>
  </si>
  <si>
    <t>Q92830-2;Q92830</t>
  </si>
  <si>
    <t>HHNQPY(1)CGIAPYIR</t>
  </si>
  <si>
    <t>SAADEVDGLGVARPHY(0.789)GS(0.211)VLDNER</t>
  </si>
  <si>
    <t>CSDAAGYPHATHDLEGPPLDAY(0.925)S(0.071)IQGQHT(0.003)IS(0.001)PLDLAK</t>
  </si>
  <si>
    <t>AYGPYSVTNCGEHDT(0.214)T(0.148)EY(0.638)KLR</t>
  </si>
  <si>
    <t>NGY(0.981)IPS(0.009)NY(0.01)VAPADSIQAEEWYFGK</t>
  </si>
  <si>
    <t>ELKGELY(1)CLPCHDK</t>
  </si>
  <si>
    <t>P48059-3;P48059;P48059-4;P48059-2;P48059-5;Q7Z4I7;Q7Z4I7-3;Q7Z4I7-5;Q7Z4I7-2;A0A087X2F9;Q7Z4I7-4</t>
  </si>
  <si>
    <t>FY(1)GPQVNNISHTK</t>
  </si>
  <si>
    <t>ENSEELQLPENPY(0.969)AQPS(0.03)PIR</t>
  </si>
  <si>
    <t>Q0VF96</t>
  </si>
  <si>
    <t>FIY(1)GNQDLFATSQSK</t>
  </si>
  <si>
    <t>Q96J02-3;Q96J02-2;Q96J02</t>
  </si>
  <si>
    <t>SAFSNLFGGEPLS(0.092)Y(0.329)T(0.579)R</t>
  </si>
  <si>
    <t>Y(0.874)Y(0.126)DSRPGGYGYGYGR</t>
  </si>
  <si>
    <t>LVQSPNS(0.549)Y(0.451)FMDVK</t>
  </si>
  <si>
    <t>VS(0.003)QMAQY(0.994)FEPLT(0.003)LAAVGAASK</t>
  </si>
  <si>
    <t>INT(0.001)AS(0.014)DGKLY(0.835)VS(0.066)S(0.066)ES(0.018)R</t>
  </si>
  <si>
    <t>GEALY(0.996)GY(0.004)CNLKDK</t>
  </si>
  <si>
    <t>Q96H79</t>
  </si>
  <si>
    <t>LGAVY(1)GFVR</t>
  </si>
  <si>
    <t>RHPDY(0.964)S(0.036)VVLLLR</t>
  </si>
  <si>
    <t>CON__P02768-1;P02768;A0A0C4DGB6;B7WNR0;D6RHD5;C9JKR2;P02768-2</t>
  </si>
  <si>
    <t>QEDAPVVY(0.988)LGS(0.012)FR</t>
  </si>
  <si>
    <t>LKGCS(0.002)NEPY(0.975)FGS(0.024)LTALVCQHSITPLALPCK</t>
  </si>
  <si>
    <t>LLDAVDT(0.012)Y(0.988)IPVPAR</t>
  </si>
  <si>
    <t>P49411</t>
  </si>
  <si>
    <t>NKPTVYGVS(0.004)PNY(0.996)DKWEMER</t>
  </si>
  <si>
    <t>S(0.023)Y(0.977)GPLDMYR</t>
  </si>
  <si>
    <t>Q86Y82</t>
  </si>
  <si>
    <t>S(0.007)S(0.041)Y(0.951)AS(0.001)QHSQLGQDLR</t>
  </si>
  <si>
    <t>SGENPY(0.943)AS(0.057)IDISK</t>
  </si>
  <si>
    <t>Q9BYF1</t>
  </si>
  <si>
    <t>NLY(1)SGDYYR</t>
  </si>
  <si>
    <t>RLEPVVSDAIY(0.995)DS(0.004)KAPNASNLK</t>
  </si>
  <si>
    <t>P19838-3;P19838;P19838-2</t>
  </si>
  <si>
    <t>DKLESEMEDAY(1)HEHQANLLR</t>
  </si>
  <si>
    <t>YQDVY(1)VELSHIK</t>
  </si>
  <si>
    <t>Q9H2D6-5;Q9H2D6-7;Q9H2D6-3;Q9H2D6-2;Q9H2D6</t>
  </si>
  <si>
    <t>VT(0.001)WY(0.004)CCGPT(0.017)VY(0.977)DAS(0.002)HMGHAR</t>
  </si>
  <si>
    <t>B4DKY1;P49589-2;P49589;P49589-3</t>
  </si>
  <si>
    <t>NLHYFNSDSFASHPNY(0.016)PY(0.734)S(0.243)DEY(0.006)</t>
  </si>
  <si>
    <t>KESYSVYVY(1)K</t>
  </si>
  <si>
    <t>ERPISMINEASNYNVT(0.004)S(0.013)DY(0.958)AVHPMS(0.025)PVGR</t>
  </si>
  <si>
    <t>Q9HAU0-6;Q9HAU0-3;Q9HAU0-5;Q9HAU0;Q9HAU0-2;Q9HAU0-4;Q9HAU0-8</t>
  </si>
  <si>
    <t>ADFDT(0.225)Y(0.774)DDRAYSSFGGGR</t>
  </si>
  <si>
    <t>Q15056-2;Q15056</t>
  </si>
  <si>
    <t>CGY(1)PGHLTFECR</t>
  </si>
  <si>
    <t>A0A087WXZ8;Q8N9Q2</t>
  </si>
  <si>
    <t>GFGFVY(1)FQNHDAADK</t>
  </si>
  <si>
    <t>Q13151</t>
  </si>
  <si>
    <t>KEIADY(1)LAAGKDER</t>
  </si>
  <si>
    <t>P53990-2;P53990-3;P53990;P53990-4;P53990-5</t>
  </si>
  <si>
    <t>GIRPFPSEETTENDDDVY(1)R</t>
  </si>
  <si>
    <t>P52735-3;P52735-2;P52735</t>
  </si>
  <si>
    <t>YLY(1)EIAR</t>
  </si>
  <si>
    <t>CON__P02768-1;P02768;A0A0C4DGB6;B7WNR0;D6RHD5;CON__P02769</t>
  </si>
  <si>
    <t>DTQSEDRVELDSQSPHDEDPQAVT(0.238)Y(0.762)APVK</t>
  </si>
  <si>
    <t>A0A0G2JPE4;A0A0G2JLT7;A0A0G2JLR8;F8W6G6;A0A0G2JNB8;A0A0G2JN67;D3YTC4;F8WCY4;A0A0G2JPR9;A0A0G2JMG1;A0A0G2JQ21;A0A0G2JMM1;O75022;O75022-2</t>
  </si>
  <si>
    <t>LKET(0.054)GY(0.941)VVERPS(0.002)T(0.002)T(0.002)K</t>
  </si>
  <si>
    <t>E9PQN2;E9PKI6;E9PK91;Q9NYF8-3;Q9NYF8-2;Q9NYF8</t>
  </si>
  <si>
    <t>DDKHGS(0.209)Y(0.791)EDAVHSGALND</t>
  </si>
  <si>
    <t>LAAAVFS(1)LAIK</t>
  </si>
  <si>
    <t>Q8NBU5-2;Q8NBU5</t>
  </si>
  <si>
    <t>LVHGLVVKDPS(0.037)IY(0.344)DT(0.568)LES(0.051)VR</t>
  </si>
  <si>
    <t>GS(0.999)PHY(0.999)FS(0.002)PFRPY</t>
  </si>
  <si>
    <t>LHY(0.995)GDLT(0.004)DSTCLVK</t>
  </si>
  <si>
    <t>VIT(0.659)NQY(0.341)NNPAGLYSSENISNFNNALESK</t>
  </si>
  <si>
    <t>Y(1)EDICPSTHNMDVPNIK</t>
  </si>
  <si>
    <t>P63241;P63241-2;I3L504;Q6IS14;F8WCJ1;C9J7B5;Q9GZV4</t>
  </si>
  <si>
    <t>CNT(0.005)LY(0.995)FHKDHMDLR</t>
  </si>
  <si>
    <t>Q8TED9-4;Q8TED9-2;Q8TED9</t>
  </si>
  <si>
    <t>ESYS(0.017)IY(0.967)VY(0.016)K</t>
  </si>
  <si>
    <t>Q8N257;Q16778;P33778;P23527;P06899;Q6DRA6;Q6DN03</t>
  </si>
  <si>
    <t>LSLEGDHS(0.002)T(0.002)PPS(0.063)AY(0.989)GS(0.944)VK</t>
  </si>
  <si>
    <t>AT(0.505)T(0.505)PPNQGRPDS(0.99)PVY(1)ANLQELK</t>
  </si>
  <si>
    <t>KIGDEY(0.712)FT(0.288)FITDCKDPK</t>
  </si>
  <si>
    <t>B4DUR8;P49368-2;P49368</t>
  </si>
  <si>
    <t>T(0.008)VY(0.992)FAEEVQCEGNSFHK</t>
  </si>
  <si>
    <t>P21291;E9PS42</t>
  </si>
  <si>
    <t>Y(1)LLETSGNLDGLEYK</t>
  </si>
  <si>
    <t>LNFS(0.008)HGT(0.602)HEY(0.369)HAET(0.022)IK</t>
  </si>
  <si>
    <t>LY(1)VDFPQHLR</t>
  </si>
  <si>
    <t>P42226;Q5FBW6</t>
  </si>
  <si>
    <t>KTEIIS(0.022)Y(0.978)PRPNFK</t>
  </si>
  <si>
    <t>Q9ULD2-5;Q9ULD2-2;Q9ULD2</t>
  </si>
  <si>
    <t>SPLNS(0.001)CKDPY(0.996)GGS(0.003)EGTFSSR</t>
  </si>
  <si>
    <t>NQALNT(0.04)DNY(0.959)GHDLAS(0.001)VQALQR</t>
  </si>
  <si>
    <t>GFGGIY(1)GVGK</t>
  </si>
  <si>
    <t>Q8NDH3-2;Q8NDH3;Q8NDH3-3;Q8NDH3-5;Q8NDH3-4</t>
  </si>
  <si>
    <t>NAEDCLY(1)ELPENIR</t>
  </si>
  <si>
    <t>A0A087X2F5;Q9NZ63</t>
  </si>
  <si>
    <t>GRPDPY(1)AYIPLNR</t>
  </si>
  <si>
    <t>Q5JTH9-2;Q5JTH9-3;Q5JTH9</t>
  </si>
  <si>
    <t>LEET(0.552)KEY(0.448)QEPEVPESNQK</t>
  </si>
  <si>
    <t>P33981-2;P33981</t>
  </si>
  <si>
    <t>APSTWEES(0.544)GLRY(0.456)DK</t>
  </si>
  <si>
    <t>I3L0T6</t>
  </si>
  <si>
    <t>CSVVVS(0.002)QPNKENWCQDHLY(0.753)NS(0.245)LGR</t>
  </si>
  <si>
    <t>Q9ULL1</t>
  </si>
  <si>
    <t>ESEGLY(1)GQPGDETYQDIFR</t>
  </si>
  <si>
    <t>A0A087X1H5;Q15057</t>
  </si>
  <si>
    <t>AAY(0.027)FGIY(0.963)DT(0.01)AK</t>
  </si>
  <si>
    <t>IY(1)CKPHFNQLFK</t>
  </si>
  <si>
    <t>Q9UHB6;Q9UHB6-4;F8VS07;F8VQE1;Q9UHB6-3;Q9UHB6-2;Q9UHB6-5</t>
  </si>
  <si>
    <t>HAY(0.998)VS(0.002)FKPCMTR</t>
  </si>
  <si>
    <t>O43164-2;O43164</t>
  </si>
  <si>
    <t>Y(0.837)T(0.163)VQDESHSEWVSCVR</t>
  </si>
  <si>
    <t>P63244;J3KPE3;D6RHH4</t>
  </si>
  <si>
    <t>NQET(0.117)Y(0.892)ET(0.99)LKHEKPPQ</t>
  </si>
  <si>
    <t>Y(0.869)KCS(0.131)VCPDYDLCSVCEGK</t>
  </si>
  <si>
    <t>Q13501;E7EMC7;Q13501-2</t>
  </si>
  <si>
    <t>ASSES(0.007)S(0.193)Y(0.761)LS(0.039)ILPK</t>
  </si>
  <si>
    <t>G5E9V3;Q86SQ0-2;Q86SQ0-3;Q86SQ0;E9PGF6</t>
  </si>
  <si>
    <t>CHDY(0.785)Y(0.147)T(0.034)T(0.034)EFLYNLYSSEGK</t>
  </si>
  <si>
    <t>DLS(0.169)Y(0.827)CLS(0.004)GMYDHR</t>
  </si>
  <si>
    <t>KWY(0.993)T(0.007)IFK</t>
  </si>
  <si>
    <t>Q9BZL1</t>
  </si>
  <si>
    <t>EET(0.045)Y(0.955)DVPPAFAK</t>
  </si>
  <si>
    <t>LIVGLMRPPAY(1)CDAK</t>
  </si>
  <si>
    <t>P08133;P08133-2;E5RI05</t>
  </si>
  <si>
    <t>LRNY(0.024)Y(0.136)Y(0.84)DVVN</t>
  </si>
  <si>
    <t>QS(0.002)S(0.012)VT(0.012)VVS(0.015)QY(0.957)DNLEDY(0.001)HSLPQHQR</t>
  </si>
  <si>
    <t>A7KAX9-2;A7KAX9</t>
  </si>
  <si>
    <t>HVS(0.026)AY(0.953)GPGLS(0.021)HGMVNKPATFTIVTK</t>
  </si>
  <si>
    <t>Q14315;Q14315-2</t>
  </si>
  <si>
    <t>SNSAWQIY(1)LQR</t>
  </si>
  <si>
    <t>Q8N4C8-4;Q8N4C8</t>
  </si>
  <si>
    <t>LIAS(0.053)Y(0.947)CNVGDIEGASK</t>
  </si>
  <si>
    <t>P42704;B8ZZ38;A0A0C4DG06</t>
  </si>
  <si>
    <t>DT(0.088)IY(0.9)QVPPS(0.268)Y(0.268)QNQGIY(0.268)QVPT(0.088)GHGT(0.088)QEQEVY(0.032)QVPPSVQR</t>
  </si>
  <si>
    <t>VLGS(0.001)GAFGT(0.042)VY(0.957)K</t>
  </si>
  <si>
    <t>B4DTR1;J3QLU9;P04626-3;P04626-2;P04626-5;P04626-4;P04626;P00533;E9PFD7;Q504U8;A0A0A0MSE1;P04626-6</t>
  </si>
  <si>
    <t>FDFLCQY(0.994)HKPAS(0.006)K</t>
  </si>
  <si>
    <t>J3KQ32;Q9NTK5;Q9NTK5-3</t>
  </si>
  <si>
    <t>GY(0.999)S(0.001)FSLTTFSPSGK</t>
  </si>
  <si>
    <t>P25787;H3BT36</t>
  </si>
  <si>
    <t>EGNQEVPFDVPELWY(0.949)EDEKHS(0.046)LNS(0.002)S(0.001)S(0.001)AS(0.001)TTEPDFQK</t>
  </si>
  <si>
    <t>P42704</t>
  </si>
  <si>
    <t>ESHGKPGEYVLS(0.001)VY(0.946)S(0.053)DGQR</t>
  </si>
  <si>
    <t>P16591-2;P16591;W0S4B9;P16591-3</t>
  </si>
  <si>
    <t>Y(0.999)WY(0.001)KPEISR</t>
  </si>
  <si>
    <t>YVDEY(0.001)RNDY(0.999)CEGYVPR</t>
  </si>
  <si>
    <t>E7ES88;B7ZL31;A0A087WX74;Q9HAZ1</t>
  </si>
  <si>
    <t>VNNSTMLGAS(0.001)GDY(0.996)ADFQY(0.002)LK</t>
  </si>
  <si>
    <t>P28070</t>
  </si>
  <si>
    <t>HYAHTDCPGHADY(1)VK</t>
  </si>
  <si>
    <t>DYEIY(0.819)RDY(0.169)S(0.012)ADGQLLHYR</t>
  </si>
  <si>
    <t>YAPS(0.019)GFY(0.961)IAS(0.019)GDVSGK</t>
  </si>
  <si>
    <t>LAY(1)VAPTIPR</t>
  </si>
  <si>
    <t>O14974-5;O14974-4;O14974-3;O14974-2;O14974</t>
  </si>
  <si>
    <t>NSADGLNMFDGT(0.003)DS(0.225)CY(0.756)FHS(0.016)GPR</t>
  </si>
  <si>
    <t>QSPHDEDPQAVT(0.077)Y(0.923)AEVK</t>
  </si>
  <si>
    <t>D9IDM6;D9IDM5;A0A0G2JNQ6;A0A087WSV6;A0A0G2JP64;F6TER3;Q8NHL6-4;Q8NHL6-3;A0A0G2JPM8;A0A0G2JMX5</t>
  </si>
  <si>
    <t>AEQSDEAVKY(0.165)Y(0.807)T(0.027)LEEIQK</t>
  </si>
  <si>
    <t>LPTT(0.002)GY(0.995)LVY(0.002)R</t>
  </si>
  <si>
    <t>Q13671-2;Q13671;E9PNR2</t>
  </si>
  <si>
    <t>IDSIPHLNNSTPLVDPS(0.014)VY(0.189)GY(0.797)GVQK</t>
  </si>
  <si>
    <t>SPLAEHRPDAY(0.996)QDVS(0.004)IHGTLPR</t>
  </si>
  <si>
    <t>NLY(1)AGDY(0.406)Y(0.594)R</t>
  </si>
  <si>
    <t>NFAT(0.008)S(0.039)LY(0.76)S(0.193)MIK</t>
  </si>
  <si>
    <t>P08758;D6RBL5;D6RBE9</t>
  </si>
  <si>
    <t>ADELS(0.004)EKQVY(0.974)DAHT(0.022)K</t>
  </si>
  <si>
    <t>Q03135-2</t>
  </si>
  <si>
    <t>LVRPPVQVY(1)GIEGR</t>
  </si>
  <si>
    <t>P48047</t>
  </si>
  <si>
    <t>ERDYPFY(1)ER</t>
  </si>
  <si>
    <t>A0A087WWP4;Q96T37-4;Q96T37-2;Q96T37-3;Q96T37</t>
  </si>
  <si>
    <t>CTTDENKVPY(1)FNAPVYLENK</t>
  </si>
  <si>
    <t>Q9NY12-2;Q9NY12</t>
  </si>
  <si>
    <t>AKEIY(0.989)MT(0.01)FLSSK</t>
  </si>
  <si>
    <t>O43665-2;O43665;O43665-3</t>
  </si>
  <si>
    <t>Y(1)AMVYGYNAAYNR</t>
  </si>
  <si>
    <t>P08493;P08493-2</t>
  </si>
  <si>
    <t>GNNNVMS(0.078)NY(0.834)EAY(0.07)KPS(0.009)T(0.009)GAMGDR</t>
  </si>
  <si>
    <t>Q86XP3;Q86XP3-2;A0A0A0MSJ0</t>
  </si>
  <si>
    <t>KKQDLY(1)MWLSNSPHGPSAK</t>
  </si>
  <si>
    <t>Q8TDN6</t>
  </si>
  <si>
    <t>AQS(0.003)PS(0.217)Y(0.775)VIS(0.003)T(0.001)GVSPSR</t>
  </si>
  <si>
    <t>MTTTS(0.001)AAAY(0.909)GT(0.068)HLS(0.021)PHVPHR</t>
  </si>
  <si>
    <t>NY(0.939)GGVY(0.061)VGLPSEAVNMVSSQTK</t>
  </si>
  <si>
    <t>Y(1)NLPLDIQNR</t>
  </si>
  <si>
    <t>J3KQU4;I3L4I4;O75674-2;O75674;I3L3T4;I3NI44;O75674-3</t>
  </si>
  <si>
    <t>MREDY(0.469)DS(0.531)VEQDGDEPGPQR</t>
  </si>
  <si>
    <t>FY(1)EEVHDLER</t>
  </si>
  <si>
    <t>F8W0J6;F5H4R6;P55209-2;P55209;F8VV59;B7Z9C2;F8W543;P55209-3;Q99733;Q99733-2</t>
  </si>
  <si>
    <t>YGHPGYPALVTYSYGGAVPS(0.002)Y(0.007)CPAY(0.992)GR</t>
  </si>
  <si>
    <t>Q63HR2-5;Q63HR2-6;Q63HR2;Q63HR2-4</t>
  </si>
  <si>
    <t>DQLLLGPT(0.338)Y(0.647)AT(0.015)PK</t>
  </si>
  <si>
    <t>P55084-2;P55084;B5MD38;F5GZQ3</t>
  </si>
  <si>
    <t>Y(0.5)Y(0.5)ACEALYNIVK</t>
  </si>
  <si>
    <t>HPGAHQGNLASGLHSNAIAS(0.004)PGS(0.889)PS(0.107)LGR</t>
  </si>
  <si>
    <t>LYSNAY(1)LNDLAGCIK</t>
  </si>
  <si>
    <t>P00352;Q5SYQ9</t>
  </si>
  <si>
    <t>ENPY(0.999)ANAGKNPDEVS(0.001)YAGDNFVR</t>
  </si>
  <si>
    <t>O95391</t>
  </si>
  <si>
    <t>Y(0.999)PDAVAT(0.001)WLNPDPSQK</t>
  </si>
  <si>
    <t>INEWLGIKNET(0.016)EDQY(0.984)ALMEDEDDLPHHEER</t>
  </si>
  <si>
    <t>SCSSGPAGPY(0.978)LLS(0.022)K</t>
  </si>
  <si>
    <t>T(0.683)RDQY(0.317)LMWLTQK</t>
  </si>
  <si>
    <t>EFTPPVQAAY(1)QK</t>
  </si>
  <si>
    <t>P68871</t>
  </si>
  <si>
    <t>RGDVIY(1)ILSK</t>
  </si>
  <si>
    <t>GYFEY(1)IEENK</t>
  </si>
  <si>
    <t>LPLQDVY(1)KIGGIGTVPVGR</t>
  </si>
  <si>
    <t>P68104;A0A087WVQ9;P68104-2;Q5VTE0;Q05639</t>
  </si>
  <si>
    <t>TGLY(0.001)NY(0.044)Y(0.955)DDEKEK</t>
  </si>
  <si>
    <t>P50454;E9PPV6;E9PKH2</t>
  </si>
  <si>
    <t>NT(0.222)CEHIY(0.778)EFPQLSEDVIR</t>
  </si>
  <si>
    <t>A6NIH7</t>
  </si>
  <si>
    <t>Y(0.001)VS(0.013)LIT(0.015)S(0.053)Y(0.916)QPFS(0.001)LEK</t>
  </si>
  <si>
    <t>EGHPVY(0.041)PQLRPGY(0.959)IPIPVLHEGAENR</t>
  </si>
  <si>
    <t>VNFCPLPS(0.073)EQCY(0.927)QAPGGPEDR</t>
  </si>
  <si>
    <t>Q15654</t>
  </si>
  <si>
    <t>CEFQDAY(1)VLLSEKK</t>
  </si>
  <si>
    <t>T(0.004)T(0.004)S(0.015)S(0.034)AIY(0.936)MNLAS(0.007)HIQPGTVNR</t>
  </si>
  <si>
    <t>Q8WXI9</t>
  </si>
  <si>
    <t>SPEEGAET(0.001)PVY(0.999)LALLPPDAEGPHGQFVSEK</t>
  </si>
  <si>
    <t>P16152</t>
  </si>
  <si>
    <t>IVGS(0.008)KPLY(0.992)VALAQR</t>
  </si>
  <si>
    <t>B1ANR0;Q13310-2;Q13310;Q13310-3</t>
  </si>
  <si>
    <t>NNCPFSADENY(1)RPLAK</t>
  </si>
  <si>
    <t>LVQAS(0.034)EELLREHY(0.966)AELR</t>
  </si>
  <si>
    <t>Q13232</t>
  </si>
  <si>
    <t>QPHY(0.429)S(0.571)AFGSVGEWLR</t>
  </si>
  <si>
    <t>P54760</t>
  </si>
  <si>
    <t>PPYTVVY(1)FPVR</t>
  </si>
  <si>
    <t>P09211;A8MX94</t>
  </si>
  <si>
    <t>Y(1)MACCLLYR</t>
  </si>
  <si>
    <t>A6NHL2-2;A6NHL2;P68363;P68363-2;P68366-2;P68366;Q71U36;Q71U36-2;Q9BQE3;F5H5D3</t>
  </si>
  <si>
    <t>EFIY(0.992)Y(0.008)ADVKEPESFPFVILGNK</t>
  </si>
  <si>
    <t>P51151;Q9NP90</t>
  </si>
  <si>
    <t>IAGY(1)VTHLMK</t>
  </si>
  <si>
    <t>P0CW22;P08708;H0YN88;A0A075B716</t>
  </si>
  <si>
    <t>DIY(0.999)ETDYYR</t>
  </si>
  <si>
    <t>YLY(1)PNIDKDHAFGK</t>
  </si>
  <si>
    <t>EGWPS(0.019)S(0.069)AY(0.843)GVT(0.069)K</t>
  </si>
  <si>
    <t>GEVVRDFEIIDNHDY(0.665)S(0.183)Y(0.151)T(0.002)VK</t>
  </si>
  <si>
    <t>Y(0.672)S(0.143)T(0.143)LHT(0.032)QS(0.009)AEPPPPPEPAR</t>
  </si>
  <si>
    <t>Q8TCZ2-6;Q8TCZ2-3;Q8TCZ2-2;Q8TCZ2;Q8TCZ2-5</t>
  </si>
  <si>
    <t>LVQAAQMLQSDPY(0.001)S(0.003)VPARDY(0.935)LIDGS(0.06)R</t>
  </si>
  <si>
    <t>P18206-2;P18206;P18206-3</t>
  </si>
  <si>
    <t>DQPY(0.435)S(0.507)GAGDGS(0.058)GMGAVGGTPSDCR</t>
  </si>
  <si>
    <t>NSSYVHGGLDSNGKPADAVY(1)GQK</t>
  </si>
  <si>
    <t>Q13283;E5RJU8;Q13283-2</t>
  </si>
  <si>
    <t>HVAY(0.999)GGY(0.001)STPEDR</t>
  </si>
  <si>
    <t>GKYPDPSEDADS(0.007)S(0.029)Y(0.964)VR</t>
  </si>
  <si>
    <t>Q7Z698-2;Q7Z698</t>
  </si>
  <si>
    <t>MPEKEPPPPY(1)LPA</t>
  </si>
  <si>
    <t>Q15012</t>
  </si>
  <si>
    <t>Y(0.5)Y(0.5)EGYYAAGPGYGGR</t>
  </si>
  <si>
    <t>CLTTDEYDGHS(0.005)T(0.018)Y(0.012)PS(0.052)HQY(0.912)Q</t>
  </si>
  <si>
    <t>P30043;M0R192</t>
  </si>
  <si>
    <t>Y(1)QQPFEDFR</t>
  </si>
  <si>
    <t>TQILAAS(0.002)Y(0.006)ELHKFY(0.992)HDAK</t>
  </si>
  <si>
    <t>LGDLNYLIYVFPDRPKDEVY(0.366)S(0.634)K</t>
  </si>
  <si>
    <t>P51692</t>
  </si>
  <si>
    <t>NRPPFGQGYTQPGPGY(1)R</t>
  </si>
  <si>
    <t>Q92734-2;Q92734</t>
  </si>
  <si>
    <t>YALYDAT(0.007)Y(0.029)ET(0.963)K</t>
  </si>
  <si>
    <t>KNPDDY(0.794)T(0.206)PVNIDGAHAQR</t>
  </si>
  <si>
    <t>Q96JH7</t>
  </si>
  <si>
    <t>RHPY(0.943)FY(0.057)APELLFFAK</t>
  </si>
  <si>
    <t>CON__P02768-1;P02768;A0A0C4DGB6;B7WNR0;D6RHD5</t>
  </si>
  <si>
    <t>Y(0.982)S(0.018)EVVLDSEPK</t>
  </si>
  <si>
    <t>HS(0.002)S(0.008)VY(0.948)PT(0.042)QEELEAVQNMVSHTER</t>
  </si>
  <si>
    <t>Q12906;Q12906-7;Q12906-5;Q12906-4;Q12906-2;Q12906-6;Q12906-3;K7ENK6</t>
  </si>
  <si>
    <t>EGYVPQEEVPVY(1)ENK</t>
  </si>
  <si>
    <t>Q9BRP8-2;Q9BRP8</t>
  </si>
  <si>
    <t>GQES(0.629)EY(0.368)GNIT(0.002)YPPAMK</t>
  </si>
  <si>
    <t>DGSLASNPY(0.78)S(0.198)GDLT(0.021)K</t>
  </si>
  <si>
    <t>Q14157-4;Q14157-1;F8W726;Q14157-3;Q14157;Q14157-5</t>
  </si>
  <si>
    <t>ARPS(0.675)EY(0.325)DLLWVPGR</t>
  </si>
  <si>
    <t>A0A087WYL6;A0A087X1S9;Q8TEW8-6;Q8TEW8-3;Q8TEW8-2;Q8TEW8;A0A087WZG6;Q8TEW8-5</t>
  </si>
  <si>
    <t>CGLIKPCPANY(1)FAFK</t>
  </si>
  <si>
    <t>Q96BQ1</t>
  </si>
  <si>
    <t>GS(0.551)Y(0.449)GDLGGPIITTQVTIPK</t>
  </si>
  <si>
    <t>RPVS(0.15)PY(0.447)S(0.553)GY(0.848)NGQLLT(0.001)S(0.001)VYQPTEMALMHK</t>
  </si>
  <si>
    <t>LGPGGLDDRY(0.465)S(0.534)LVS(0.001)EQLEPAAT(0.021)S(0.341)T(0.341)Y(0.297)R</t>
  </si>
  <si>
    <t>RNHY(1)LDLAGIENYTSR</t>
  </si>
  <si>
    <t>Q969F2-2;Q969F2</t>
  </si>
  <si>
    <t>VY(1)FQSPPGAAGEGPGGADDEGPVRR</t>
  </si>
  <si>
    <t>Q96C90</t>
  </si>
  <si>
    <t>KGY(0.671)VS(0.205)LEDY(0.059)T(0.065)AFLIDKESENIK</t>
  </si>
  <si>
    <t>A0A087WZE4</t>
  </si>
  <si>
    <t>Y(0.006)QY(0.993)GGLNS(0.001)GRPVTPPR</t>
  </si>
  <si>
    <t>P62140</t>
  </si>
  <si>
    <t>APS(1)RQDVY(1)GPQPQVR</t>
  </si>
  <si>
    <t>SVDGDQGLGMEGPY(1)EVLK</t>
  </si>
  <si>
    <t>TGFSTSPES(0.074)PY(0.291)T(0.635)HWK</t>
  </si>
  <si>
    <t>WTEY(0.999)GLT(0.001)FTEK</t>
  </si>
  <si>
    <t>P21796</t>
  </si>
  <si>
    <t>DSNIPGS(0.185)DY(0.815)INANY(1)IK</t>
  </si>
  <si>
    <t>ADS(0.002)EY(0.811)T(0.21)DKLQHY(0.593)T(0.166)S(0.166)GHMT(0.05)PGMK</t>
  </si>
  <si>
    <t>DHVVEGEPY(0.5)AGY(0.5)DR</t>
  </si>
  <si>
    <t>HRLDLGEDY(1)PSGK</t>
  </si>
  <si>
    <t>O43143</t>
  </si>
  <si>
    <t>EAHNY(0.957)S(0.042)ALPFY(0.001)FR</t>
  </si>
  <si>
    <t>Q9NX94;Q9NX94-2</t>
  </si>
  <si>
    <t>T(0.048)LVY(0.952)GGIFLYPANKK</t>
  </si>
  <si>
    <t>P09467</t>
  </si>
  <si>
    <t>HNGT(0.01)GGKS(0.991)IY(0.999)GEKFEDENFILK</t>
  </si>
  <si>
    <t>GAY(1)CLSVSDFDNAK</t>
  </si>
  <si>
    <t>P12931;P12931-2</t>
  </si>
  <si>
    <t>YYEGY(0.873)Y(0.126)AAGPGY(0.001)GGR</t>
  </si>
  <si>
    <t>CESAPGCGVWQRPVIDNPNY(1)KGK</t>
  </si>
  <si>
    <t>P27824;P27824-2;P27824-3</t>
  </si>
  <si>
    <t>HIDY(1)FNNQIIVDLVEQQHK</t>
  </si>
  <si>
    <t>K7EIG7;O94832;J3QRN6</t>
  </si>
  <si>
    <t>KEY(0.993)NS(0.007)IGVSGFEIR</t>
  </si>
  <si>
    <t>Q8IW52</t>
  </si>
  <si>
    <t>INSDDS(0.013)NLY(0.927)LT(0.057)AS(0.003)K</t>
  </si>
  <si>
    <t>A8MYQ9;Q9BZG1-4;Q9BZG1-2;Q9BZG1</t>
  </si>
  <si>
    <t>KPSLFHQST(0.001)S(0.012)S(0.041)PY(0.926)VS(0.02)K</t>
  </si>
  <si>
    <t>Q9HCH5-15;Q9HCH5-14;Q9HCH5-6;Q9HCH5;Q9HCH5-13</t>
  </si>
  <si>
    <t>ISGLIY(0.972)EET(0.028)R</t>
  </si>
  <si>
    <t>WKAY(0.992)DAT(0.008)HLVK</t>
  </si>
  <si>
    <t>P10768;X6RA14</t>
  </si>
  <si>
    <t>AKEY(0.998)LS(0.002)DALLDKK</t>
  </si>
  <si>
    <t>Q9ULH0-5;Q9ULH0-2;Q9ULH0-4;Q9ULH0</t>
  </si>
  <si>
    <t>S(0.049)AY(0.951)EAGIQALKPPDAPGPDEAPK</t>
  </si>
  <si>
    <t>D3DTX6;Q96SB3</t>
  </si>
  <si>
    <t>LYDLDNDGY(0.938)IT(0.062)R</t>
  </si>
  <si>
    <t>P62166-2;P62166</t>
  </si>
  <si>
    <t>HQEALIGQS(0.001)FY(0.999)GK</t>
  </si>
  <si>
    <t>Q9Y3R5-2;Q9Y3R5</t>
  </si>
  <si>
    <t>MVSIS(0.059)NY(0.858)PLS(0.082)AALTCAK</t>
  </si>
  <si>
    <t>Q92979</t>
  </si>
  <si>
    <t>KEY(0.44)S(0.559)QNLTSEPTLLQHR</t>
  </si>
  <si>
    <t>HKAPGS(0.012)ADY(0.988)GFAPAAGR</t>
  </si>
  <si>
    <t>Q5T0Z8</t>
  </si>
  <si>
    <t>QITNFQLSIENLDQS(0.006)LAHY(0.993)GRPK</t>
  </si>
  <si>
    <t>F5H5P4;Q96D37;P15498;A0A0A0MR07;P15498-2</t>
  </si>
  <si>
    <t>YGEDS(0.003)GLMY(0.997)DLKDQGGELLSLR</t>
  </si>
  <si>
    <t>P49590-2;P49590</t>
  </si>
  <si>
    <t>FLDTS(0.001)HY(0.992)S(0.006)TAGSSSVR</t>
  </si>
  <si>
    <t>Q96A65;Q96A65-2</t>
  </si>
  <si>
    <t>KQPY(0.586)Y(0.41)Y(0.004)PPFDK</t>
  </si>
  <si>
    <t>P42338</t>
  </si>
  <si>
    <t>AS(0.006)FPDQAY(0.994)ANSQPAAS</t>
  </si>
  <si>
    <t>SPY(1)QEFTDHLVK</t>
  </si>
  <si>
    <t>P15880;E9PQD7</t>
  </si>
  <si>
    <t>VDRPY(0.948)DS(0.052)LPTSQTCFFQLR</t>
  </si>
  <si>
    <t>Q15751</t>
  </si>
  <si>
    <t>LDSYVNADHDLY(0.708)CNT(0.292)R</t>
  </si>
  <si>
    <t>Q9NWZ8</t>
  </si>
  <si>
    <t>NKKIT(0.048)FEDS(0.952)EIR</t>
  </si>
  <si>
    <t>Q99680</t>
  </si>
  <si>
    <t>HSFGPLDY(0.451)ES(0.549)LQQELALK</t>
  </si>
  <si>
    <t>Y(0.861)S(0.139)HEVLSEENFK</t>
  </si>
  <si>
    <t>C9J6P4;Q7Z2W4;Q7Z2W4-2;Q7Z2W4-3</t>
  </si>
  <si>
    <t>LS(0.071)QEY(0.688)ES(0.241)IDPGQQFTWEHSNLEVNKPK</t>
  </si>
  <si>
    <t>G8JL96;A0A0A0MR60;Q13332-7;Q13332-5;Q13332-6;Q13332-3;Q13332-4;Q13332-2;Q13332</t>
  </si>
  <si>
    <t>KLS(0.921)PT(0.098)EPKNY(0.274)GS(0.306)Y(0.274)S(0.096)T(0.031)QASAAAATAELLK</t>
  </si>
  <si>
    <t>QSPEDVY(0.406)FS(0.468)KS(0.126)EQLKPLK</t>
  </si>
  <si>
    <t>QSPEDVY(0.594)FS(0.54)KS(0.866)EQLKPLK</t>
  </si>
  <si>
    <t>IY(1)GADDIELLPEAQHK</t>
  </si>
  <si>
    <t>P11586;F5H2F4</t>
  </si>
  <si>
    <t>LTT(0.009)PT(0.52)Y(0.457)GDLNHLVS(0.013)AT(0.002)MSGVTTCLR</t>
  </si>
  <si>
    <t>P04350;Q5JP53;P07437;Q5ST81;P68371;Q13885;Q9BVA1</t>
  </si>
  <si>
    <t>T(0.023)Y(0.977)AVSYVPK</t>
  </si>
  <si>
    <t>REDGGY(0.963)T(0.037)FTATPEDFPK</t>
  </si>
  <si>
    <t>E9PF19;Q96E41;Q9Y4P3</t>
  </si>
  <si>
    <t>Y(1)RDPGVLPWGALEEEEEDGGR</t>
  </si>
  <si>
    <t>A0A0G2JMP8;A0A0G2JMM6;A0A087WVI4;A0A0G2JPL6;A0A0G2JP95;A0A087WT65;Q7Z404-1;Q7Z404</t>
  </si>
  <si>
    <t>S(0.999)LYAS(0.001)SPGGVY(0.92)AT(0.08)R</t>
  </si>
  <si>
    <t>DY(1)LVSLQHQR</t>
  </si>
  <si>
    <t>Q9UKE5-8;Q9UKE5-5;Q9UKE5-7;Q9UKE5-3;Q9UKE5-6;Q9UKE5-2;Q9UKE5-4;Q9UKE5</t>
  </si>
  <si>
    <t>GIT(0.001)HIGY(0.455)T(0.543)DLPS(0.002)R</t>
  </si>
  <si>
    <t>STLEENAYEDIVGDLPKENPY(1)EDVDLK</t>
  </si>
  <si>
    <t>E9PJC3;P78524-2;P78524;B4DDL8</t>
  </si>
  <si>
    <t>IFS(0.001)AY(0.999)IK</t>
  </si>
  <si>
    <t>O15143</t>
  </si>
  <si>
    <t>LSS(0.001)AT(0.003)ANALY(0.533)S(0.198)S(0.198)NLRDDT(0.066)K</t>
  </si>
  <si>
    <t>Q6ZRV2</t>
  </si>
  <si>
    <t>PCMEENELY(0.982)S(0.014)S(0.004)AVTVGPHK</t>
  </si>
  <si>
    <t>TTPS(0.034)Y(0.966)VAFTDTER</t>
  </si>
  <si>
    <t>P0DMV9;P0DMV8;A0A0G2JIW1;P0DMV8-2;P11142;E9PKE3;P11142-2;E9PNE6;P54652</t>
  </si>
  <si>
    <t>NLAMEAT(0.534)Y(0.456)INHNFS(0.01)QQCLR</t>
  </si>
  <si>
    <t>AGTFQAFEQFGQQLLAHGHY(0.392)AS(0.608)PEIK</t>
  </si>
  <si>
    <t>THEAEIVEGENHT(0.172)Y(0.828)CIR</t>
  </si>
  <si>
    <t>AIIEKEY(0.974)QPHVIVS(0.02)T(0.003)T(0.003)GPNPFTTLTDR</t>
  </si>
  <si>
    <t>E7EV99;E7ENY0;P35611-2;P35611-6;P35611;P35611-3;P35611-4</t>
  </si>
  <si>
    <t>SEPPVY(1)CNLVDLR</t>
  </si>
  <si>
    <t>Q9BRR9-4;Q9BRR9-3</t>
  </si>
  <si>
    <t>Y(1)LSLLDAVDNSK</t>
  </si>
  <si>
    <t>O15393-2</t>
  </si>
  <si>
    <t>S(0.001)GDLPY(0.999)DGRLLEEAVR</t>
  </si>
  <si>
    <t>AYSDPSTGEPAT(0.064)Y(0.936)GELQQR</t>
  </si>
  <si>
    <t>Y(1)LHENLPIPQR</t>
  </si>
  <si>
    <t>P54886-2;P54886</t>
  </si>
  <si>
    <t>AMYPDY(1)FAK</t>
  </si>
  <si>
    <t>E7EWZ0;E9PF49;Q9Y6M9;E9PH64</t>
  </si>
  <si>
    <t>GPAPVLEY(1)DYYGAYGSR</t>
  </si>
  <si>
    <t>A0A0A0MT55;Q9UL12-2;Q9UL12</t>
  </si>
  <si>
    <t>RS(0.589)S(0.411)PAADVQEENLY(1)AAVK</t>
  </si>
  <si>
    <t>A0A0G2JPE4;A0A0G2JLT7;A0A0G2JLR8;F8W6G6;A0A0G2JNB8;A0A0G2JN67;A0A0G2JPW8;A0A0G2JNB3;A0A0G2JMP4;A0A0G2JM77;A0A0G2JM50;D3YTC4;F8WCY4;A0A0G2JPR9;A0A0G2JMG1;A0A0G2JQ25;A0A0G2JPW1;A0A0G2JM46;A0A0G2JQ21;A0A0G2JMM1;A0A0G2JMZ3;O75022;O75022-2;O75022-3</t>
  </si>
  <si>
    <t>YAIAVNDLGT(0.658)EY(0.342)VHR</t>
  </si>
  <si>
    <t>APGAIGPY(0.31)S(0.69)QAVLVDR</t>
  </si>
  <si>
    <t>SLQEAEKLY(1)AK</t>
  </si>
  <si>
    <t>Q5VW32-2;Q5VW32;F5GXQ0</t>
  </si>
  <si>
    <t>AQESVGIY(0.782)EVT(0.218)HQFVK</t>
  </si>
  <si>
    <t>Q9NWV4</t>
  </si>
  <si>
    <t>FVFHQEQVY(1)CPDCAK</t>
  </si>
  <si>
    <t>Q13642-1;Q13642-5;Q13642-4</t>
  </si>
  <si>
    <t>FHDLLSQLDDQY(0.787)S(0.213)R</t>
  </si>
  <si>
    <t>P42224;P42224-2;J3KPM9;D2KFR9</t>
  </si>
  <si>
    <t>QAT(0.004)Y(0.01)GY(0.098)Y(0.888)LGNPAEFHDSSDHHTFKK</t>
  </si>
  <si>
    <t>Q15293;Q15293-2</t>
  </si>
  <si>
    <t>HEVT(0.005)ICNY(0.995)EAS(0.001)ANPADHR</t>
  </si>
  <si>
    <t>Q9GZP4-2;Q9GZP4;X6R8S9</t>
  </si>
  <si>
    <t>ATFFAVT(0.203)Y(0.797)QIPNTQK</t>
  </si>
  <si>
    <t>Q9BY89</t>
  </si>
  <si>
    <t>S(0.126)Y(0.871)DY(0.003)HQNWGR</t>
  </si>
  <si>
    <t>Q9H2U1-3;Q9H2U1-2;Q9H2U1</t>
  </si>
  <si>
    <t>VTVS(0.01)PY(0.948)T(0.041)EIHLK</t>
  </si>
  <si>
    <t>Q13287</t>
  </si>
  <si>
    <t>AREEFRPT(0.07)IY(0.875)S(0.054)NVIK</t>
  </si>
  <si>
    <t>Q14344</t>
  </si>
  <si>
    <t>QEQIDNQY(0.917)HS(0.083)LLELGEK</t>
  </si>
  <si>
    <t>A0A0D9SF54;Q13813-3</t>
  </si>
  <si>
    <t>LRS(1)Y(1)EDMIGEEVPSDQYYWAPLAQHER</t>
  </si>
  <si>
    <t>KQFQLY(1)EEPDTK</t>
  </si>
  <si>
    <t>O43823</t>
  </si>
  <si>
    <t>QAVTNPNNT(0.011)FY(0.946)AT(0.043)KR</t>
  </si>
  <si>
    <t>P38646</t>
  </si>
  <si>
    <t>VSHDPFAQQRPY(0.917)ENFQNT(0.083)EGK</t>
  </si>
  <si>
    <t>RPHLDAY(0.774)S(0.216)S(0.009)FGQPSDCQPR</t>
  </si>
  <si>
    <t>Q6UXM1-2;Q6UXM1</t>
  </si>
  <si>
    <t>GPNVKGEY(0.999)DVT(0.001)MPK</t>
  </si>
  <si>
    <t>Q09666</t>
  </si>
  <si>
    <t>Y(0.884)S(0.116)LTELNMAGCNK</t>
  </si>
  <si>
    <t>I3VM54;Q9Y2K7-4;Q9Y2K7-5;Q9Y2K7-2;Q9Y2K7</t>
  </si>
  <si>
    <t>RGFFICDQPY(0.999)EPVS(0.001)PYSCK</t>
  </si>
  <si>
    <t>EVT(0.001)T(0.001)VLQADS(0.541)AEY(0.457)AQPLVGGIVGTLHQR</t>
  </si>
  <si>
    <t>VKPQDPQGQEAT(0.005)DS(0.045)EY(0.446)S(0.505)EIK</t>
  </si>
  <si>
    <t>C9JT30;Q9NYZ4-2;Q9NYZ4</t>
  </si>
  <si>
    <t>LQHIQAPLSWELVRPHIY(0.213)GY(0.787)AVK</t>
  </si>
  <si>
    <t>Q9H8H3</t>
  </si>
  <si>
    <t>SNTSPEELGPLANQLT(0.021)S(0.071)DY(0.908)GR</t>
  </si>
  <si>
    <t>S(0.025)Y(0.009)S(0.96)PY(0.503)DY(0.503)QPCLAGPNQDFHSK</t>
  </si>
  <si>
    <t>DGWLY(1)GEHDVSK</t>
  </si>
  <si>
    <t>VSTHSQEMDS(0.001)GT(0.003)EY(0.946)GMGS(0.031)S(0.013)T(0.007)K</t>
  </si>
  <si>
    <t>NSQEAEVSCPFIDNT(0.131)Y(0.628)S(0.225)CS(0.017)GK</t>
  </si>
  <si>
    <t>A6PVK0;Q9BYM8-3;Q9BYM8</t>
  </si>
  <si>
    <t>LQDEANY(0.002)HLY(0.373)GS(0.626)R</t>
  </si>
  <si>
    <t>EVGY(1)LEFTGPPQKPPR</t>
  </si>
  <si>
    <t>Q14289-2;Q14289</t>
  </si>
  <si>
    <t>LHEVECS(0.005)VFY(0.013)RDECIY(0.982)QK</t>
  </si>
  <si>
    <t>Q96KN1</t>
  </si>
  <si>
    <t>NIT(0.031)Y(0.969)EELR</t>
  </si>
  <si>
    <t>Q9NX40;D6RBN5</t>
  </si>
  <si>
    <t>ALDVDSGPLENVY(0.946)ES(0.054)IR</t>
  </si>
  <si>
    <t>Q9H400-2;Q9H400</t>
  </si>
  <si>
    <t>KSLTETELTKPNY(0.408)LY(0.592)LLPTEK</t>
  </si>
  <si>
    <t>NIY(0.999)Y(0.001)LCAPNR</t>
  </si>
  <si>
    <t>Q12931-2;Q12931;I3L0K7</t>
  </si>
  <si>
    <t>AEFNY(0.74)S(0.26)VGFK</t>
  </si>
  <si>
    <t>Q7Z5R6;Q7Z5R6-2</t>
  </si>
  <si>
    <t>S(0.004)VVGT(0.016)PAY(0.98)LAPEVLLNQGYNR</t>
  </si>
  <si>
    <t>B4DTS2;Q9BZL6-2;Q9BZL6</t>
  </si>
  <si>
    <t>AGS(1)LPNY(0.977)AT(0.023)INGK</t>
  </si>
  <si>
    <t>HIAEDS(0.549)DRKY(0.451)EEVAR</t>
  </si>
  <si>
    <t>IDY(0.007)GEY(0.993)MDKNNVR</t>
  </si>
  <si>
    <t>GLAY(1)PARPAQLR</t>
  </si>
  <si>
    <t>Q8NC56</t>
  </si>
  <si>
    <t>SYDY(1)EAWAK</t>
  </si>
  <si>
    <t>Q9H6T3-2;Q9H6T3</t>
  </si>
  <si>
    <t>IDFYFDENPY(1)FENK</t>
  </si>
  <si>
    <t>A0A0C4DFV9;A0A087X027;Q01105-3;Q01105-4;Q01105-2;Q01105;P0DME0</t>
  </si>
  <si>
    <t>SPHDEDPQAVT(0.236)Y(0.764)AEVK</t>
  </si>
  <si>
    <t>A8MVE2;A0A0G2JQ46;A0A0B4J1W1;A0A0G2JQ44;A0A087WSX8;A0A0G2JNM2;A0A0G2JQ15;Q8NHL6;Q8NHL6-2</t>
  </si>
  <si>
    <t>DKS(0.549)KY(0.45)DEIFYNLAPADGK</t>
  </si>
  <si>
    <t>Q9NZN4;Q9NZN4-2</t>
  </si>
  <si>
    <t>GVNT(0.001)GAVGS(0.201)Y(0.179)IY(0.619)DRDPEGK</t>
  </si>
  <si>
    <t>VIDRELY(1)QQLQR</t>
  </si>
  <si>
    <t>VAAILQGVY(1)K</t>
  </si>
  <si>
    <t>F8W1I9;Q6JQN1-3;Q6JQN1-2;Q6JQN1;Q6JQN1-5</t>
  </si>
  <si>
    <t>IADPEHDHT(0.598)GFLT(0.44)EY(0.942)VAT(0.02)R</t>
  </si>
  <si>
    <t>LT(0.025)LY(0.899)DIAHT(0.075)PGVAADLSHIETK</t>
  </si>
  <si>
    <t>P40926;P40926-2</t>
  </si>
  <si>
    <t>LAY(1)INPDLALEEK</t>
  </si>
  <si>
    <t>P31948;P31948-2;P31948-3</t>
  </si>
  <si>
    <t>ELISNASDALDKIRY(0.368)ES(0.589)LT(0.039)DPS(0.004)K</t>
  </si>
  <si>
    <t>MDT(0.002)ES(0.05)T(0.05)Y(0.872)S(0.011)GY(0.012)S(0.001)Y(0.001)YSSHSK</t>
  </si>
  <si>
    <t>Q8TAA9-2;Q8TAA9</t>
  </si>
  <si>
    <t>GGSPHSPAWNGY(0.951)T(0.049)PLHIAAK</t>
  </si>
  <si>
    <t>P16157-2;P16157-11;P16157-9;P16157-6;P16157-7;P16157-4;P16157-13;P16157-10;P16157-15;P16157-8;P16157-5;P16157-16;P16157-3;P16157;P16157-21;P16157-12;P16157-14</t>
  </si>
  <si>
    <t>SLY(1)PSLEDLK</t>
  </si>
  <si>
    <t>AAASEAPQDVT(0.238)Y(0.758)AQLHS(0.002)LT(0.002)LR</t>
  </si>
  <si>
    <t>A0A0G2JNY7;O75023-2;O75023;O75023-3</t>
  </si>
  <si>
    <t>QASEQNWANY(0.951)S(0.049)AEQNR</t>
  </si>
  <si>
    <t>IVSS(0.001)S(0.001)DVGHDEY(0.113)S(0.128)T(0.128)QS(0.629)LVKK</t>
  </si>
  <si>
    <t>AATS(0.001)DLEHY(0.929)DKT(0.07)R</t>
  </si>
  <si>
    <t>E9PKG6;Q2L696;V9HW75;A0A087WSV8;P80303-2;P80303</t>
  </si>
  <si>
    <t>THAS(0.038)PADLCHY(0.447)HS(0.51)QES(0.004)DGLVCLLK</t>
  </si>
  <si>
    <t>VGQGY(0.051)VY(0.949)EAAQPEQDEY(1)DIPR</t>
  </si>
  <si>
    <t>AY(1)GPYSVTNCGEHDTTEYK</t>
  </si>
  <si>
    <t>FNECGHVLY(1)ADIK</t>
  </si>
  <si>
    <t>A0A087X0X3;P52272-2;P52272</t>
  </si>
  <si>
    <t>MPLSNGQMGQPLRPQANY(0.78)S(0.211)QIHHPPQAS(0.009)VAR</t>
  </si>
  <si>
    <t>KPS(0.57)VPDS(0.287)AS(0.143)PADDS(0.016)FVDPGERLY(0.712)DLNMPAY(0.271)VK</t>
  </si>
  <si>
    <t>LKLY(0.998)ALY(0.002)K</t>
  </si>
  <si>
    <t>A0A0C4DGA2;O75521-2;O75521;F8WAW4;F8W6J1;F1LLU7</t>
  </si>
  <si>
    <t>IIY(0.999)EVDDPS(0.001)LPNDEGITALHNAVCAGHTEIVK</t>
  </si>
  <si>
    <t>Q13625-2;Q13625;Q13625-3</t>
  </si>
  <si>
    <t>NDLY(1)PNPKPEVLHMIYMR</t>
  </si>
  <si>
    <t>E9PP32;E9PQC4;Q9BZD4</t>
  </si>
  <si>
    <t>FYIDPY(1)KLLPLQR</t>
  </si>
  <si>
    <t>LWVLET(0.993)KEVY(0.007)R</t>
  </si>
  <si>
    <t>Q15061</t>
  </si>
  <si>
    <t>MY(1)IDCWVK</t>
  </si>
  <si>
    <t>O00458-2;O00458</t>
  </si>
  <si>
    <t>TTGFGMIYDS(0.004)LDY(0.996)AKK</t>
  </si>
  <si>
    <t>E7ETK0;A0A087WUS0;P62847-2;P62847-3;P62847;P62847-4</t>
  </si>
  <si>
    <t>LNLHY(1)AVVSK</t>
  </si>
  <si>
    <t>P47897;P47897-2</t>
  </si>
  <si>
    <t>T(0.002)FS(0.989)PT(0.008)Y(0.001)GLLR</t>
  </si>
  <si>
    <t>Y(0.996)KPMMIIT(0.004)EYMENGALDK</t>
  </si>
  <si>
    <t>STTNYVDFY(0.663)S(0.168)T(0.168)K</t>
  </si>
  <si>
    <t>SVSPTTEMVSNES(0.004)VDY(0.996)R</t>
  </si>
  <si>
    <t>IS(0.004)CY(0.935)EAS(0.013)Y(0.048)QPLDPDKCDR</t>
  </si>
  <si>
    <t>F2Z2I2;Q5W015;Q5VX20;Q16875-3;Q16875-2;Q16875;Q16875-4</t>
  </si>
  <si>
    <t>HRPELIDY(1)GK</t>
  </si>
  <si>
    <t>VDCT(0.537)QHY(0.462)ELCSGNQVR</t>
  </si>
  <si>
    <t>Q8NBS9;Q86UY0;Q8NBS9-2</t>
  </si>
  <si>
    <t>LQIT(0.003)HENIY(0.997)LWDIHNPR</t>
  </si>
  <si>
    <t>H3BQ19;Q8TEW6</t>
  </si>
  <si>
    <t>AVSPQS(0.001)T(0.003)KPMAES(0.029)IT(0.24)Y(0.727)AAVAR</t>
  </si>
  <si>
    <t>A8MZ84;A0A0G2JNK8;A0A0G2JMI0;A0A0G2JNU6;D3YTC8;A0A0G2JQ50;A0A0G2JP18;A0A0G2JLV7;Q6GTX8-3;Q6GTX8-2;Q6GTX8</t>
  </si>
  <si>
    <t>GY(1)AQQDTQEFLR</t>
  </si>
  <si>
    <t>Q9Y2K6</t>
  </si>
  <si>
    <t>T(0.001)DY(0.999)IPLLDVDEK</t>
  </si>
  <si>
    <t>E7EVA0;P27816-2;P27816-6;P27816;P27816-5;P27816-7</t>
  </si>
  <si>
    <t>LQAGEY(0.986)VS(0.014)LGK</t>
  </si>
  <si>
    <t>O60488-2;O60488;O95573</t>
  </si>
  <si>
    <t>ELY(1)ERPPHLYAVANAAYK</t>
  </si>
  <si>
    <t>B0I1T2;B0I1T2-4;B0I1T2-3;F8WEW9;B0I1T2-2</t>
  </si>
  <si>
    <t>GHSPPTSSLVQPQS(0.232)QY(0.672)QLS(0.091)QMT(0.004)FHK</t>
  </si>
  <si>
    <t>P52333-2;P52333;P52333-4</t>
  </si>
  <si>
    <t>AIRDEAIY(1)HFR</t>
  </si>
  <si>
    <t>H0YL22;Q9Y375</t>
  </si>
  <si>
    <t>S(0.536)REY(0.463)QLNDS(0.002)AAY(0.79)Y(0.209)LNDLER</t>
  </si>
  <si>
    <t>P04899;P04899-4;P04899-6;P04899-3;P04899-5;P04899-2</t>
  </si>
  <si>
    <t>S(0.005)HPS(0.011)LS(0.011)T(0.024)T(0.051)NQQMS(0.649)PIIQS(0.106)GS(0.147)S(0.147)KPS(0.282)PIY(0.268)IS(0.123)S(0.057)Y(0.062)S(0.029)S(0.029)PAR</t>
  </si>
  <si>
    <t>EGY(0.123)Y(0.826)GY(0.048)T(0.003)GAFR</t>
  </si>
  <si>
    <t>VIT(0.252)NQY(0.748)NNPAGLYSSENISNFNNALESK</t>
  </si>
  <si>
    <t>HRPELIEY(1)DKLR</t>
  </si>
  <si>
    <t>O43707</t>
  </si>
  <si>
    <t>FAQHGTFEY(0.999)EY(0.001)SQR</t>
  </si>
  <si>
    <t>TEVTPAAQVDVLY(0.349)S(0.651)R</t>
  </si>
  <si>
    <t>GTGLVLDGDT(0.123)S(0.123)Y(0.108)T(0.123)Y(0.522)HLVCMGPEASGWGQDEPQTWPTDHR</t>
  </si>
  <si>
    <t>Q8IVT2</t>
  </si>
  <si>
    <t>CY(0.007)Y(0.993)CNGPILDK</t>
  </si>
  <si>
    <t>VS(0.001)AGNGGS(0.001)S(0.004)LS(0.018)Y(0.905)T(0.07)NPAVAATSANL</t>
  </si>
  <si>
    <t>A0A0C4DGW3;A0A087X2A4;A0A087WWM1;P15941-7;P15941-11;P15941-8;P15941-4;P15941-3;P15941;P15941-2;A6ZIE4;A6ZIE3;B1AVQ7;A0A087X0L2;A0A0A0MRB3;P15941-12;P15941-16;P15941-9;P15941-10;P15941-15;P15941-6</t>
  </si>
  <si>
    <t>VKIEPGVDPDDT(0.06)Y(0.929)NET(0.005)PY(0.006)EK</t>
  </si>
  <si>
    <t>LLY(0.998)NS(0.001)TDPTLR</t>
  </si>
  <si>
    <t>B0I1T2;B0I1T2-4</t>
  </si>
  <si>
    <t>DRPQSSIY(1)DPFAGMK</t>
  </si>
  <si>
    <t>LSIFDANESGFES(0.041)Y(0.959)EALPQHK</t>
  </si>
  <si>
    <t>P26358-3;P26358;P26358-2</t>
  </si>
  <si>
    <t>LIY(0.978)EDY(0.02)VS(0.002)ILSPK</t>
  </si>
  <si>
    <t>P49795</t>
  </si>
  <si>
    <t>RPWHEY(1)EHNFQIMYK</t>
  </si>
  <si>
    <t>Y(1)LNTQFIK</t>
  </si>
  <si>
    <t>A0A0A0MTN0;Q13617;Q13617-2;Q5T2B5</t>
  </si>
  <si>
    <t>S(0.793)REY(0.207)DQLYEEYTR</t>
  </si>
  <si>
    <t>NELES(0.039)Y(0.143)AY(0.645)S(0.173)LK</t>
  </si>
  <si>
    <t>P11021</t>
  </si>
  <si>
    <t>VHY(0.765)ARPS(0.235)HPPPDPPILEGAVGGNEAR</t>
  </si>
  <si>
    <t>DY(0.996)LS(0.004)SATDNPTASSLFAQR</t>
  </si>
  <si>
    <t>B0I1T2</t>
  </si>
  <si>
    <t>QNQFY(0.989)DT(0.011)QVIK</t>
  </si>
  <si>
    <t>HTLY(1)AKPALQEQLRK</t>
  </si>
  <si>
    <t>Q07283</t>
  </si>
  <si>
    <t>IY(1)QFTAASPK</t>
  </si>
  <si>
    <t>PGT(0.002)Y(0.998)VIYVR</t>
  </si>
  <si>
    <t>CS(0.014)Y(0.986)VVTNGLGINVFKDPVADPNKR</t>
  </si>
  <si>
    <t>P43490</t>
  </si>
  <si>
    <t>GGQVFY(0.01)NS(0.071)EY(0.798)GELS(0.084)EPS(0.031)EEDHCS(0.005)PS(0.002)AR</t>
  </si>
  <si>
    <t>P35916-3;P35916</t>
  </si>
  <si>
    <t>QLQQAVTGIS(0.001)NAAQAT(0.021)AS(0.162)DDAS(0.525)QHQGGGGGELAY(0.292)ALNNFDK</t>
  </si>
  <si>
    <t>SSGSPYGGGYGSGGGS(0.001)GGY(0.909)GS(0.09)R</t>
  </si>
  <si>
    <t>P51991-2;P51991</t>
  </si>
  <si>
    <t>T(0.076)DLHNEGY(0.924)ILELDCCSSLDHPTDQK</t>
  </si>
  <si>
    <t>G3XAJ6;Q14699</t>
  </si>
  <si>
    <t>KGY(0.912)EVIY(0.086)LT(0.001)EPVDEYCIQALPEFDGKR</t>
  </si>
  <si>
    <t>TFGENY(1)VQELLEK</t>
  </si>
  <si>
    <t>O94903</t>
  </si>
  <si>
    <t>NLLHADS(0.002)NGY(0.998)T(0.001)NLPDVVQPSHSPTENSK</t>
  </si>
  <si>
    <t>Q8N4C8-4;Q8N4C8;Q8N4C8-5;Q8N4C8-2;Q8N4C8-3</t>
  </si>
  <si>
    <t>S(0.251)DY(0.699)S(0.035)T(0.015)GGPPPGPPPPAGGGGGAGGAGGGPPPGPPGAGDR</t>
  </si>
  <si>
    <t>A0A087WTP3;Q92945</t>
  </si>
  <si>
    <t>SYEDMIGEEVPS(0.067)DQY(0.205)Y(0.728)WAPLAQHER</t>
  </si>
  <si>
    <t>DNNGS(0.03)Y(0.97)ALCLLHEGK</t>
  </si>
  <si>
    <t>KNVS(0.005)INT(0.013)VT(0.093)Y(0.889)EWAPPVQNQALAR</t>
  </si>
  <si>
    <t>ALSTANENDGY(1)VDMSSFNAFESK</t>
  </si>
  <si>
    <t>B7ZM68;Q6ZNL6</t>
  </si>
  <si>
    <t>VEY(0.999)VSSLSSSVR</t>
  </si>
  <si>
    <t>T(0.061)ALLNY(0.939)ENLPSLPPVWEAR</t>
  </si>
  <si>
    <t>Y(1)ATLSLFNTYK</t>
  </si>
  <si>
    <t>E7EPN9;Q9Y520-3;Q9Y520-6;Q9Y520-4;Q9Y520-5;Q9Y520;Q9Y520-7</t>
  </si>
  <si>
    <t>HY(1)LFDVQR</t>
  </si>
  <si>
    <t>Q5QNZ2;P24539</t>
  </si>
  <si>
    <t>DLEKPFLLPVEAVY(0.772)S(0.228)VPGR</t>
  </si>
  <si>
    <t>GY(1)ADLISSGR</t>
  </si>
  <si>
    <t>O43520</t>
  </si>
  <si>
    <t>AQS(0.991)PS(0.534)Y(0.46)VIS(0.012)T(0.004)GVSPSR</t>
  </si>
  <si>
    <t>IPPY(0.5)HY(0.5)IHVLDQNSNVSR</t>
  </si>
  <si>
    <t>H3BPZ2;H3BUP3;H3BQE7</t>
  </si>
  <si>
    <t>S(0.145)Y(0.851)T(0.003)PGVGGDPAQLAQR</t>
  </si>
  <si>
    <t>O15400-2;O15400</t>
  </si>
  <si>
    <t>RVY(0.999)ELHGS(0.001)SPAVSSEECTPSR</t>
  </si>
  <si>
    <t>Q15058</t>
  </si>
  <si>
    <t>T(0.166)Y(0.834)AYLFK</t>
  </si>
  <si>
    <t>Q5HYI5;Q8WUD1;E9PE37</t>
  </si>
  <si>
    <t>TSLGSGFGSPSVTDPRPLNPS(0.007)AY(0.71)S(0.195)S(0.062)T(0.02)T(0.007)LPAAR</t>
  </si>
  <si>
    <t>LIAS(0.545)Y(0.455)CNVGDIEGASK</t>
  </si>
  <si>
    <t>HAY(1)GLGEHYNSVTR</t>
  </si>
  <si>
    <t>A0A087X0W9;Q8N6M0-2;Q8N6M0</t>
  </si>
  <si>
    <t>AFEQQY(0.805)S(0.195)PIPR</t>
  </si>
  <si>
    <t>Q9Y5S8-3;Q9Y5S8;A6NGA6</t>
  </si>
  <si>
    <t>VGNYETDT(0.001)NS(0.004)S(0.01)VDQEKFY(0.856)AELS(0.13)DLKR</t>
  </si>
  <si>
    <t>Q8NDI1-3;Q8NDI1-2;Q8NDI1</t>
  </si>
  <si>
    <t>MPRPENCPEELY(1)NIMMR</t>
  </si>
  <si>
    <t>NFAIGY(0.883)Y(0.117)LK</t>
  </si>
  <si>
    <t>VASMPLISSTCDMVS(0.003)AAY(0.971)AS(0.013)T(0.013)K</t>
  </si>
  <si>
    <t>IQVPAPFDLS(0.163)Y(0.837)K</t>
  </si>
  <si>
    <t>T(0.148)KEY(0.703)T(0.148)ACELMNIYK</t>
  </si>
  <si>
    <t>Q9NSD9;Q9NSD9-2</t>
  </si>
  <si>
    <t>KIY(0.425)GS(0.575)QPNFNMQYIPR</t>
  </si>
  <si>
    <t>P51813</t>
  </si>
  <si>
    <t>HIVIDGSNVAMVHGLQHY(0.644)FS(0.178)S(0.178)R</t>
  </si>
  <si>
    <t>O15037</t>
  </si>
  <si>
    <t>DFY(1)ELEPEK</t>
  </si>
  <si>
    <t>SEFRDES(0.004)QY(0.996)FR</t>
  </si>
  <si>
    <t>Q8TCU6-3;Q8TCU6</t>
  </si>
  <si>
    <t>LSDS(0.106)Y(0.876)S(0.085)NT(0.933)LPVRK</t>
  </si>
  <si>
    <t>LPELAPT(0.019)APLPY(0.981)PAPEASGPPAVAPR</t>
  </si>
  <si>
    <t>Q9H9H4</t>
  </si>
  <si>
    <t>AVDPTS(0.002)GQLY(0.998)GLAR</t>
  </si>
  <si>
    <t>Q8TEM1</t>
  </si>
  <si>
    <t>S(0.076)S(0.076)S(0.076)S(0.076)NLGADDGY(0.694)MPMT(0.002)PGAALAGSGSGSCR</t>
  </si>
  <si>
    <t>DKPT(0.54)Y(0.46)DEIFY(0.001)TLSPVNGK</t>
  </si>
  <si>
    <t>VKEGYVPQEEVPVY(0.5)ENKY(0.5)VK</t>
  </si>
  <si>
    <t>GPAVGIDLGT(0.054)T(0.18)Y(0.712)S(0.054)CVGVFQHGK</t>
  </si>
  <si>
    <t>P11142;E9PKE3;P11142-2;E9PNE6</t>
  </si>
  <si>
    <t>QALDY(1)VELSPLTQASPQR</t>
  </si>
  <si>
    <t>Q9H2D6-5;Q9H2D6-7;Q9H2D6-3;Q9H2D6-2;Q9H2D6;Q9H2D6-6</t>
  </si>
  <si>
    <t>SATLLY(1)DQPLQVFTGSSSSSDLISGTK</t>
  </si>
  <si>
    <t>VPNAY(0.689)DKT(0.311)ALALEVGELVK</t>
  </si>
  <si>
    <t>P46108</t>
  </si>
  <si>
    <t>NGNGGPGPY(1)VGQAGTATLPR</t>
  </si>
  <si>
    <t>KTAAGVMPSAPAIPGT(0.047)NMY(0.663)NT(0.29)ER</t>
  </si>
  <si>
    <t>Q9BYE9</t>
  </si>
  <si>
    <t>SGLAY(1)CPNDYHQLFSPR</t>
  </si>
  <si>
    <t>O60711;O60711-2;B7Z5P7</t>
  </si>
  <si>
    <t>GAVY(0.991)S(0.009)FDPVGSYQR</t>
  </si>
  <si>
    <t>P20618</t>
  </si>
  <si>
    <t>GHQQLY(0.998)WS(0.002)HPR</t>
  </si>
  <si>
    <t>P62273;P62273-2</t>
  </si>
  <si>
    <t>SQEQLAAELAEY(0.348)T(0.652)AK</t>
  </si>
  <si>
    <t>KES(0.008)Y(0.947)S(0.044)VY(0.001)VYK</t>
  </si>
  <si>
    <t>GLLPSQYGQEVY(0.983)DT(0.017)PPMAVK</t>
  </si>
  <si>
    <t>DY(1)ALHWLVLGTHTSDEQNHLVVAR</t>
  </si>
  <si>
    <t>E9PC52;Q16576;Q16576-2</t>
  </si>
  <si>
    <t>NVY(1)ATTVGTPYK</t>
  </si>
  <si>
    <t>Q13439-3;Q13439-4;Q13439;Q13439-5</t>
  </si>
  <si>
    <t>IY(1)GFYDECK</t>
  </si>
  <si>
    <t>P62136;P62136-2;P62136-3;F8VYE8;F8W0W8;P36873;P36873-2;F8VR82;P62140</t>
  </si>
  <si>
    <t>KPES(0.01)PY(0.99)GNLCDAPDSPRPVK</t>
  </si>
  <si>
    <t>Q9UKA4</t>
  </si>
  <si>
    <t>AHFDY(0.001)DPS(0.003)DDPY(0.996)VPCR</t>
  </si>
  <si>
    <t>Y(0.972)LPS(0.004)T(0.004)PRPGREEVEY(0.015)Y(0.005)QSEAEGLLECHK</t>
  </si>
  <si>
    <t>J3KSM2;Q96A59;Q96A59-2</t>
  </si>
  <si>
    <t>VIQY(0.994)LAY(0.006)VASSHK</t>
  </si>
  <si>
    <t>GDNIY(1)EWR</t>
  </si>
  <si>
    <t>A0A087X283;B7Z306;R4GND1;P51965-2;P51965-3;P51965;Q96LR5;Q969T4</t>
  </si>
  <si>
    <t>Y(1)APLHLVPLIER</t>
  </si>
  <si>
    <t>E7EVJ5;Q96F07-2;Q96F07;H7C229;E7EW33;Q7L576;Q7L576-3;Q7L576-2</t>
  </si>
  <si>
    <t>YESS(0.003)S(0.164)Y(0.669)T(0.164)DQFSR</t>
  </si>
  <si>
    <t>EY(0.966)VKQT(0.034)WNLQGQALEQAIISQKPQLEK</t>
  </si>
  <si>
    <t>AIVAGDQNVEY(0.932)KGT(0.068)VWHK</t>
  </si>
  <si>
    <t>FERPMDY(0.059)Y(0.941)EDLK</t>
  </si>
  <si>
    <t>Q9NQS3</t>
  </si>
  <si>
    <t>YNVS(0.002)T(0.009)T(0.034)PY(0.751)LQS(0.204)VK</t>
  </si>
  <si>
    <t>Q8WWK9-6;Q8WWK9-5;Q8WWK9</t>
  </si>
  <si>
    <t>Y(1)KLLGGLAVR</t>
  </si>
  <si>
    <t>P23396;P23396-2;E9PL09;F2Z2S8</t>
  </si>
  <si>
    <t>Y(0.759)GKDAT(0.241)NVGDEGGFAPNILENK</t>
  </si>
  <si>
    <t>HAASYSS(0.001)DS(0.002)ENQGS(0.201)Y(0.724)S(0.071)GVIPPPPGR</t>
  </si>
  <si>
    <t>E9PMG1;Q96D71-2;Q96D71-4;Q96D71-3;Q96D71;F2Z3L2</t>
  </si>
  <si>
    <t>EDGKEDISDPMDPNPCS(0.006)AT(0.055)Y(0.7)S(0.231)NLGQS(0.008)R</t>
  </si>
  <si>
    <t>Q9H792</t>
  </si>
  <si>
    <t>VYKEFCDFY(1)AK</t>
  </si>
  <si>
    <t>P48059-3;A0A0A6YYD2;P0CW19-2;P0CW20;P0CW19</t>
  </si>
  <si>
    <t>LADKNKIY(0.984)ES(0.016)IEEAK</t>
  </si>
  <si>
    <t>O75116;E9PF63;Q14DU5</t>
  </si>
  <si>
    <t>AT(0.013)ENDIY(0.986)NFFSPLNPVR</t>
  </si>
  <si>
    <t>E9PCY7;G8JLB6;P31943;P52597</t>
  </si>
  <si>
    <t>FDPY(0.996)EHEALFHT(0.004)PVEGK</t>
  </si>
  <si>
    <t>Q9HAV7</t>
  </si>
  <si>
    <t>FSKPPEDDDANS(0.057)Y(0.943)ENVLICK</t>
  </si>
  <si>
    <t>Q9GZY6</t>
  </si>
  <si>
    <t>IFGAGLAS(0.011)GANY(0.989)K</t>
  </si>
  <si>
    <t>Q5U651;A0A087WVG2</t>
  </si>
  <si>
    <t>WPTVDAS(0.574)Y(0.364)Y(0.062)GGR</t>
  </si>
  <si>
    <t>J3KPY9;P58335-2;P58335-4;P58335;Q9H6X2-5;Q9H6X2</t>
  </si>
  <si>
    <t>LY(1)EEDDLDRLEQMEDSEGTVR</t>
  </si>
  <si>
    <t>DKY(0.196)GNEGY(0.804)IPSNYVTGK</t>
  </si>
  <si>
    <t>P42680</t>
  </si>
  <si>
    <t>NRPPFGQGY(0.997)T(0.003)QPGPGYR</t>
  </si>
  <si>
    <t>AQPSAS(0.001)LGVGY(0.999)R</t>
  </si>
  <si>
    <t>FGY(1)HIIMVEGR</t>
  </si>
  <si>
    <t>Q9Y237;Q9Y237-2</t>
  </si>
  <si>
    <t>DIMNDS(0.044)NY(0.956)IVK</t>
  </si>
  <si>
    <t>P07333</t>
  </si>
  <si>
    <t>YHVS(0.011)EKPY(0.989)GIVEK</t>
  </si>
  <si>
    <t>O95139</t>
  </si>
  <si>
    <t>NWYVDDPY(0.95)QKY(0.05)HDR</t>
  </si>
  <si>
    <t>Q9NZE8</t>
  </si>
  <si>
    <t>S(0.532)GES(0.468)VEEVPLY(0.978)GNLHY(0.02)LQT(0.002)GR</t>
  </si>
  <si>
    <t>TLVYGGIFLY(1)PANKK</t>
  </si>
  <si>
    <t>SLYAS(0.183)S(0.816)PGGVYAT(0.001)R</t>
  </si>
  <si>
    <t>AGVENGKPT(0.002)HFT(0.027)VY(0.365)T(0.605)K</t>
  </si>
  <si>
    <t>QGY(1)ENLCCLR</t>
  </si>
  <si>
    <t>C9JNV2;P41223;P41223-2;C9JCD9</t>
  </si>
  <si>
    <t>HTDDEMT(0.946)GY(0.447)VAT(0.607)R</t>
  </si>
  <si>
    <t>AIY(1)DFTDTVIR</t>
  </si>
  <si>
    <t>Q15118</t>
  </si>
  <si>
    <t>T(0.012)AVY(0.988)KVPPFTFHVK</t>
  </si>
  <si>
    <t>KPQTVAASSIY(0.999)S(0.001)MYTQQQAPGK</t>
  </si>
  <si>
    <t>AIT(0.006)NNQY(0.994)EIV</t>
  </si>
  <si>
    <t>A0A087WYV6;O43657</t>
  </si>
  <si>
    <t>LVDPLY(0.427)S(0.573)IK</t>
  </si>
  <si>
    <t>P46926;P46926-2</t>
  </si>
  <si>
    <t>Y(0.827)S(0.173)AFQLAPFQDHGLPAVSVDSPVR</t>
  </si>
  <si>
    <t>X6RAB3;Q92738;Q92738-2</t>
  </si>
  <si>
    <t>ESEGLYGQPGDET(0.063)Y(0.937)QDIFR</t>
  </si>
  <si>
    <t>NSNVDSSYLES(0.012)LY(0.976)QS(0.012)CPR</t>
  </si>
  <si>
    <t>C9J6P4;Q7Z2W4;Q7Z2W4-2;Q7Z2W4-4;Q7Z2W4-5</t>
  </si>
  <si>
    <t>TNADVMT(0.001)ALS(0.186)QGY(0.813)R</t>
  </si>
  <si>
    <t>NTQPAES(0.544)RIY(0.455)DEILQS(0.001)K</t>
  </si>
  <si>
    <t>GYYS(0.001)PY(0.943)S(0.052)VS(0.004)GSGSTAGSR</t>
  </si>
  <si>
    <t>SPFIY(0.978)S(0.022)PIIAHNR</t>
  </si>
  <si>
    <t>Q96Q05-3;Q96Q05;Q96Q05-2</t>
  </si>
  <si>
    <t>HLQT(0.176)Y(0.768)GEHY(0.055)PLDHFDK</t>
  </si>
  <si>
    <t>F5H5P2;P12694;P12694-2</t>
  </si>
  <si>
    <t>Y(0.84)T(0.16)LFSASSEGQNHSR</t>
  </si>
  <si>
    <t>Q8TEQ6</t>
  </si>
  <si>
    <t>ARPS(0.2)EY(0.8)DLLWVPGR</t>
  </si>
  <si>
    <t>ATEDGT(0.003)PY(0.025)DPY(0.972)KALWFER</t>
  </si>
  <si>
    <t>P22059</t>
  </si>
  <si>
    <t>DSAY(1)QSITHYRPVSASR</t>
  </si>
  <si>
    <t>FEEPAPLS(0.176)Y(0.775)DS(0.049)RPR</t>
  </si>
  <si>
    <t>VQLVDNVY(1)CIGQR</t>
  </si>
  <si>
    <t>EGYIPS(0.159)NY(0.84)VAR</t>
  </si>
  <si>
    <t>LCRPCQAAVEY(0.748)Y(0.252)IK</t>
  </si>
  <si>
    <t>Q5SNT2-2;Q5SNT2</t>
  </si>
  <si>
    <t>EEIIPVAAEY(0.643)DKT(0.269)GEY(0.088)PVPLIR</t>
  </si>
  <si>
    <t>B7Z9I1;Q5T4U5;P11310;P11310-2;E9PJM9</t>
  </si>
  <si>
    <t>TPSAAY(1)LWVGTGASEAEK</t>
  </si>
  <si>
    <t>P06396-2;A0A0A0MS51;A0A0A0MT01;P06396-4;P06396-3;P06396;Q5T0H9;Q5T0H8</t>
  </si>
  <si>
    <t>Y(0.995)LY(0.005)EIAR</t>
  </si>
  <si>
    <t>IAAY(0.316)AY(0.677)S(0.007)ALSQIR</t>
  </si>
  <si>
    <t>LKGTEDEVEKY(0.824)S(0.133)ES(0.043)VK</t>
  </si>
  <si>
    <t>P07951-2;Q5TCU3;CON__Q3SX28;Q5TCU8;P07951</t>
  </si>
  <si>
    <t>DPPDPY(0.462)VS(0.538)LLLLPDKNR</t>
  </si>
  <si>
    <t>NTDY(0.814)T(0.186)ELHQQNTDLIYQTGPK</t>
  </si>
  <si>
    <t>Q8TBA6-2;Q8TBA6</t>
  </si>
  <si>
    <t>DWS(0.021)HY(0.979)FK</t>
  </si>
  <si>
    <t>T(0.538)Y(0.462)EEGLKHEANNPQLK</t>
  </si>
  <si>
    <t>P31948;P31948-2;F5H783;F5GXD8</t>
  </si>
  <si>
    <t>S(0.019)S(0.019)GS(0.019)PY(0.943)GGGY(0.001)GSGGGSGGYGSR</t>
  </si>
  <si>
    <t>TSHVENDY(0.992)IDNPS(0.007)LALTTGPK</t>
  </si>
  <si>
    <t>A0A0C4DFS6;Q9C004-2;Q9C004</t>
  </si>
  <si>
    <t>LPSPPGPQELLDSPPALY(0.998)AEPLDS(0.002)LR</t>
  </si>
  <si>
    <t>VLGFCHY(0.85)Y(0.15)LPEEQFPK</t>
  </si>
  <si>
    <t>DGLNDDDFEPY(0.943)LS(0.057)PQAR</t>
  </si>
  <si>
    <t>A0A087WXZ3;Q9Y5A9</t>
  </si>
  <si>
    <t>SSGEIVY(1)CGQVFEK</t>
  </si>
  <si>
    <t>M0R1A7;M0R117;Q02543;M0R0P7</t>
  </si>
  <si>
    <t>IQNSGDFY(0.012)DLY(0.988)GGEK</t>
  </si>
  <si>
    <t>HLDTLTEHY(1)DIPK</t>
  </si>
  <si>
    <t>K7EIY1;Q9Y421-3;Q9Y421</t>
  </si>
  <si>
    <t>NQY(0.999)VPY(0.001)PHAPGSQR</t>
  </si>
  <si>
    <t>QATTNVYQVQT(0.003)GS(0.196)EY(0.583)T(0.196)DT(0.016)S(0.005)NHS(0.001)SLK</t>
  </si>
  <si>
    <t>F8WAK2;F8VXI9;Q14161-9;Q14161-10;Q14161-8;Q14161-4;Q14161-5;Q14161-3;Q14161</t>
  </si>
  <si>
    <t>HIDRNY(1)EPLKTQPK</t>
  </si>
  <si>
    <t>GY(1)DVIAQAQSGTGK</t>
  </si>
  <si>
    <t>E7EQG2;Q14240;Q14240-2;P60842;J3KT12;P60842-2</t>
  </si>
  <si>
    <t>AFMPS(0.025)ILQNET(0.5)Y(0.458)GALLS(0.008)GS(0.008)PPPAQPAAPSTTSAPPLPPR</t>
  </si>
  <si>
    <t>O43150-2;O43150</t>
  </si>
  <si>
    <t>VHFPASTDYST(0.002)QY(0.998)GLK</t>
  </si>
  <si>
    <t>MRPGAYSTGYGGYEEY(0.001)S(0.009)GLS(0.089)DGY(0.863)GFT(0.028)T(0.009)DLFGR</t>
  </si>
  <si>
    <t>TAT(0.001)PIY(0.951)EELLY(0.048)SDANIYCQIDHK</t>
  </si>
  <si>
    <t>O75871</t>
  </si>
  <si>
    <t>Y(0.001)EY(0.815)KS(0.184)DQWKPLNLEEK</t>
  </si>
  <si>
    <t>E7EX73;E9PGM1;E7EUU4;Q04637-6;Q04637-7;Q04637-5;Q04637-4;Q04637-3;Q04637;Q04637-8;Q04637-9;A0A0A0MR52</t>
  </si>
  <si>
    <t>Y(0.999)ET(0.001)VIMPVFGIATPFHIATIK</t>
  </si>
  <si>
    <t>Q9Y5B9</t>
  </si>
  <si>
    <t>KKEADS(0.002)VY(0.998)GEWVPVEK</t>
  </si>
  <si>
    <t>P18583-10;P18583-3;P18583-4;P18583-7;P18583;P18583-5;P18583-9;J3QSZ5;P18583-2</t>
  </si>
  <si>
    <t>ALY(1)LIATNGTPELQNPEK</t>
  </si>
  <si>
    <t>E9PM17;B3KNX7;Q13153;Q13153-2</t>
  </si>
  <si>
    <t>KLYQT(1)FKDR</t>
  </si>
  <si>
    <t>O75665-2;O75665-3;O75665</t>
  </si>
  <si>
    <t>KMGVPY(1)CIIK</t>
  </si>
  <si>
    <t>P62424;Q5T8U2</t>
  </si>
  <si>
    <t>ELFDDPS(0.545)Y(0.455)VNVQNLDK</t>
  </si>
  <si>
    <t>LISWYDNEFGY(0.793)S(0.207)NR</t>
  </si>
  <si>
    <t>P04406;P04406-2;E7EUT5</t>
  </si>
  <si>
    <t>LY(1)DAYELK</t>
  </si>
  <si>
    <t>AKAPAPAPAES(0.978)GES(0.022)LAY(1)WPDR</t>
  </si>
  <si>
    <t>AGES(0.145)Y(0.658)T(0.197)HIQYLFEQESFDHVPALVR</t>
  </si>
  <si>
    <t>Q8N5H7-6;Q8N5H7-5;Q8N5H7-2;Q8N5H7-4;Q8N5H7</t>
  </si>
  <si>
    <t>LFLS(0.001)Y(0.032)DY(0.967)AVK</t>
  </si>
  <si>
    <t>Q9UHG3;Q9UHG3-2</t>
  </si>
  <si>
    <t>NLQY(0.794)Y(0.191)DIS(0.015)AK</t>
  </si>
  <si>
    <t>ASEEHLKQHY(1)IDLK</t>
  </si>
  <si>
    <t>Q32Q12;P22392-2;J3KPD9;P22392;F6XY72;O60361</t>
  </si>
  <si>
    <t>KDLY(1)ANNVLSGGTTMYPGIADR</t>
  </si>
  <si>
    <t>P62736;P63267;P63267-2;P68032</t>
  </si>
  <si>
    <t>DLPHS(0.002)VIDNDNY(0.998)LNFSSLSSGALPYK</t>
  </si>
  <si>
    <t>G5E9V3;Q86SQ0-2;Q86SQ0-3;Q86SQ0;E9PDY7</t>
  </si>
  <si>
    <t>AY(1)QCVVLLQGK</t>
  </si>
  <si>
    <t>P54136;P54136-2</t>
  </si>
  <si>
    <t>VY(1)KEFCDFYAK</t>
  </si>
  <si>
    <t>IQESY(0.002)GDVY(0.918)GICT(0.079)K</t>
  </si>
  <si>
    <t>P20020-6;P20020-3;P20020-4;P20020;P20020-5;P20020-2</t>
  </si>
  <si>
    <t>GSLS(0.006)T(0.021)DKDT(0.017)AY(0.899)GS(0.058)FQNGHGIK</t>
  </si>
  <si>
    <t>A6NIW2;Q5JSL3</t>
  </si>
  <si>
    <t>FT(0.003)Y(0.993)CS(0.004)QVLGLHCYK</t>
  </si>
  <si>
    <t>GPAS(0.502)DY(0.452)GPEPT(0.045)PPGPAAPAGTDTTSQLSYENYEK</t>
  </si>
  <si>
    <t>SFSAPAT(0.058)QAY(0.942)GHEIPLR</t>
  </si>
  <si>
    <t>VPNAY(0.322)DKT(0.678)ALALEVGELVK</t>
  </si>
  <si>
    <t>MEY(0.802)GPRPADT(0.262)PPAPS(0.686)PPPT(0.25)PAPVPVPLPPSTPAPVPVSK</t>
  </si>
  <si>
    <t>IDKT(0.156)DY(0.844)MVGSYGPR</t>
  </si>
  <si>
    <t>J3QQX2;P52565</t>
  </si>
  <si>
    <t>STAYEDY(0.017)Y(0.852)Y(0.131)HPPPR</t>
  </si>
  <si>
    <t>Y(1)LFTGLK</t>
  </si>
  <si>
    <t>A6NJA2;P54578-2;P54578-3;P54578</t>
  </si>
  <si>
    <t>ETDTSALAAGSS(0.002)QEVT(0.242)Y(0.756)AQLDHWALTQR</t>
  </si>
  <si>
    <t>S(0.022)QY(0.901)AY(0.078)AAQNLLSHHDSHSSVILK</t>
  </si>
  <si>
    <t>O60563</t>
  </si>
  <si>
    <t>SWT(0.212)Y(0.727)GIT(0.061)R</t>
  </si>
  <si>
    <t>Q9HAU0-6;Q9HAU0-3;Q9HAU0-5;Q9HAU0;Q9HAU0-2;Q9HAU0-4;Q9HAU0-7</t>
  </si>
  <si>
    <t>HLFSTIPELINY(0.979)HQHNS(0.006)AGLIS(0.014)R</t>
  </si>
  <si>
    <t>U3NG26;Q06187;Q06187-2</t>
  </si>
  <si>
    <t>LIPIKY(1)K</t>
  </si>
  <si>
    <t>A0A0A0MSI9;A0A0A0MS70;A0A0A0MST0;Q99836-2;Q99836-5;Q99836;Q99836-6</t>
  </si>
  <si>
    <t>LLPLDKDY(0.85)Y(0.15)VVR</t>
  </si>
  <si>
    <t>P52333-2;P52333</t>
  </si>
  <si>
    <t>SNHYDPEEDEEY(0.5)Y(0.5)RK</t>
  </si>
  <si>
    <t>TIAQDY(1)GVLK</t>
  </si>
  <si>
    <t>Q06830</t>
  </si>
  <si>
    <t>DLLHNEDRHDDY(1)FQER</t>
  </si>
  <si>
    <t>Q8N684-2;Q8N684;Q8N684-3</t>
  </si>
  <si>
    <t>VKGEEIY(1)SMDEGIR</t>
  </si>
  <si>
    <t>Q96P70</t>
  </si>
  <si>
    <t>QLLY(0.91)S(0.086)ENKT(0.004)GSFLIR</t>
  </si>
  <si>
    <t>EAEY(1)FELPELVR</t>
  </si>
  <si>
    <t>Q96CX2</t>
  </si>
  <si>
    <t>FLEDDPS(0.001)DPT(0.059)Y(0.844)T(0.059)S(0.018)S(0.018)LGGK</t>
  </si>
  <si>
    <t>P54753</t>
  </si>
  <si>
    <t>YLLETSGNLDGLEY(0.998)KLHDFGY(0.001)R</t>
  </si>
  <si>
    <t>LY(1)EDSDDLKNWINKK</t>
  </si>
  <si>
    <t>Y(1)ETSSTSAGDRYDSLLGR</t>
  </si>
  <si>
    <t>AY(1)PLLEVR</t>
  </si>
  <si>
    <t>Q9Y5P6-2</t>
  </si>
  <si>
    <t>DINS(0.003)LY(0.99)DVS(0.007)R</t>
  </si>
  <si>
    <t>Y(0.999)DS(0.001)PINSASHIPSSK</t>
  </si>
  <si>
    <t>F8W8M4;A0A0A0MRL6;O14639-2;O14639-6;O14639;O14639-3;O14639-5;J3QSX6;O14639-4</t>
  </si>
  <si>
    <t>IADPEHDHT(0.001)GFLT(0.039)EY(0.389)VAT(0.571)R</t>
  </si>
  <si>
    <t>TTAVEIDY(0.798)DS(0.202)LK</t>
  </si>
  <si>
    <t>O15117-2;O15117-3;O15117</t>
  </si>
  <si>
    <t>DKPTYDEIFY(0.999)T(0.001)LSPVNGK</t>
  </si>
  <si>
    <t>IITIT(0.001)GT(0.001)QDQIQNAQY(0.998)LLQNS(0.001)VK</t>
  </si>
  <si>
    <t>LS(0.001)PQGNY(0.999)VFQR</t>
  </si>
  <si>
    <t>G5E9Y3;Q8WWN8</t>
  </si>
  <si>
    <t>VSGDYGHPVYIVQEMPPQSPANIY(0.378)Y(0.621)KV</t>
  </si>
  <si>
    <t>T(0.021)Y(0.978)YSPVYR</t>
  </si>
  <si>
    <t>NLIPMDPNGLS(0.055)DPY(0.945)VK</t>
  </si>
  <si>
    <t>P05129-2;P05129;P17252;J3KRN5</t>
  </si>
  <si>
    <t>DKHLGPATAFLQRPY(0.763)FDS(0.237)K</t>
  </si>
  <si>
    <t>S(0.517)AY(0.448)QT(0.034)IDSAEAPADPFAVPEGR</t>
  </si>
  <si>
    <t>LRPEDGLY(1)LIHWSTSHPYR</t>
  </si>
  <si>
    <t>VVY(0.942)ENAY(0.058)GQFIGPHR</t>
  </si>
  <si>
    <t>SPGLMS(0.032)EDS(0.52)NLHY(0.448)ADIQVCSRPHAR</t>
  </si>
  <si>
    <t>QY(1)WCTFK</t>
  </si>
  <si>
    <t>RT(0.044)DY(0.956)VSPTASALR</t>
  </si>
  <si>
    <t>KLFSDLGS(0.007)S(0.03)Y(0.963)AK</t>
  </si>
  <si>
    <t>GVIS(0.026)Y(0.969)QT(0.005)LPR</t>
  </si>
  <si>
    <t>QFY(1)INVER</t>
  </si>
  <si>
    <t>Y(0.998)IS(0.002)PDQLADLYK</t>
  </si>
  <si>
    <t>HGS(0.808)GADS(0.24)DY(0.944)ENT(0.007)QSGDPLLGLEGK</t>
  </si>
  <si>
    <t>FNWY(1)VDGVEVHNAK</t>
  </si>
  <si>
    <t>A0A087WV47;A0A087X079;A0A087X1C7;A0A0G2JNK4;A0A087X010;A0A087WYC5;A0A087WYE1</t>
  </si>
  <si>
    <t>Y(0.788)PS(0.171)PPMGS(0.039)VS(0.002)APNLPTAEDNLEYVR</t>
  </si>
  <si>
    <t>GWQYSDHMENVY(0.833)GY(0.167)LMK</t>
  </si>
  <si>
    <t>Q9BXB4</t>
  </si>
  <si>
    <t>LY(1)EAYLPETFR</t>
  </si>
  <si>
    <t>A0A087WV97;Q8WU79-3;Q8WU79-2;Q8WU79</t>
  </si>
  <si>
    <t>IKEPLLLPEDDT(0.007)RDNVFY(0.752)Y(0.241)GEEGGGEEDQDYDITQLHR</t>
  </si>
  <si>
    <t>FELAQEEY(1)QQLHK</t>
  </si>
  <si>
    <t>A0A0A0MSQ8;Q9ULE0-2;Q9ULE0</t>
  </si>
  <si>
    <t>QY(1)HEQEETPEMMAAR</t>
  </si>
  <si>
    <t>Q12929</t>
  </si>
  <si>
    <t>Y(1)PALTKPENQDIDWTLLEGETR</t>
  </si>
  <si>
    <t>A0A0A0MSQ0;P13797-3;P13797-2;P13797</t>
  </si>
  <si>
    <t>T(0.24)VY(0.76)CNVHKHEPLVLFCESCDTLTCR</t>
  </si>
  <si>
    <t>IHNAENIQPGEQKY(0.649)EY(0.351)K</t>
  </si>
  <si>
    <t>RDPT(0.001)PT(0.014)Y(0.913)S(0.058)AT(0.006)EDT(0.008)FK</t>
  </si>
  <si>
    <t>PIGEQEEEEY(0.986)ET(0.014)KGGR</t>
  </si>
  <si>
    <t>A0A087X2H1;Q9ULT8</t>
  </si>
  <si>
    <t>QVAPAS(0.176)GY(0.649)LT(0.176)FER</t>
  </si>
  <si>
    <t>Q86UD0</t>
  </si>
  <si>
    <t>IS(0.004)VY(0.194)Y(0.798)NEAT(0.004)GGK</t>
  </si>
  <si>
    <t>FSISPDEDSSSYSSNSDFNY(0.05)S(0.21)Y(0.683)PT(0.057)K</t>
  </si>
  <si>
    <t>ADRDES(0.052)S(0.052)PY(0.897)AAMLAAQDVAQR</t>
  </si>
  <si>
    <t>P62263;E5RH77</t>
  </si>
  <si>
    <t>AY(0.97)Y(0.03)LPKDDEYYQFCYVDEDGVVR</t>
  </si>
  <si>
    <t>Q13137-5;Q13137-2;Q13137;Q13137-3;Q13137-4</t>
  </si>
  <si>
    <t>VY(0.992)T(0.008)DVQQVASSLTHPR</t>
  </si>
  <si>
    <t>Q14166</t>
  </si>
  <si>
    <t>LKDWQEGGY(0.925)T(0.075)INDKPNPR</t>
  </si>
  <si>
    <t>O60488-2;O60488</t>
  </si>
  <si>
    <t>NKPT(0.003)VY(0.167)GVS(0.798)PNY(0.032)DKWEMER</t>
  </si>
  <si>
    <t>YALY(0.994)DAS(0.003)FET(0.003)K</t>
  </si>
  <si>
    <t>F6RFD5;P60981-2;P60981</t>
  </si>
  <si>
    <t>ALQQY(0.814)T(0.174)LEPS(0.012)EKPFDLK</t>
  </si>
  <si>
    <t>Q9Y678</t>
  </si>
  <si>
    <t>DVYDKVDY(0.969)LS(0.024)S(0.007)LGK</t>
  </si>
  <si>
    <t>J3QLD9;E7EMK3;Q14254</t>
  </si>
  <si>
    <t>SETGALGENY(0.809)S(0.191)WQIPINHNDFK</t>
  </si>
  <si>
    <t>Q8IXQ6-3;Q8IXQ6-2;Q8IXQ6</t>
  </si>
  <si>
    <t>YFEITDES(0.025)PY(0.39)VHY(0.574)LNT(0.009)FS(0.001)S(0.001)K</t>
  </si>
  <si>
    <t>DVKPENLLY(0.965)T(0.029)S(0.006)KEK</t>
  </si>
  <si>
    <t>Q16644</t>
  </si>
  <si>
    <t>CTNSEVTVQPS(0.099)PY(0.879)LS(0.005)Y(0.017)R</t>
  </si>
  <si>
    <t>X6RA30;O75794</t>
  </si>
  <si>
    <t>ANANHHS(0.001)FQMY(0.941)T(0.058)FDK</t>
  </si>
  <si>
    <t>ELEQVCNPIIS(0.064)GLY(0.936)QGAGGPGPGGFGAQGPK</t>
  </si>
  <si>
    <t>P0DMV9;P0DMV8;A0A0G2JIW1;P0DMV8-2;V9GZ37</t>
  </si>
  <si>
    <t>YKPAVNQIECHPY(0.465)LT(0.535)QEK</t>
  </si>
  <si>
    <t>RHPY(0.161)FY(0.839)APELLFFAK</t>
  </si>
  <si>
    <t>GGPIY(1)IITEYCR</t>
  </si>
  <si>
    <t>P09619</t>
  </si>
  <si>
    <t>GY(1)FEYIEENKYSR</t>
  </si>
  <si>
    <t>FY(0.998)GPT(0.002)NFSPIVNHVAR</t>
  </si>
  <si>
    <t>Q96FN4-2;Q96FN4</t>
  </si>
  <si>
    <t>GFGDGYNGYGGGPGGGNFGGS(0.061)PGY(0.939)GGGR</t>
  </si>
  <si>
    <t>AAEAT(0.002)NDY(0.989)ET(0.009)LVKR</t>
  </si>
  <si>
    <t>B5MDQ0;Q2NKX8</t>
  </si>
  <si>
    <t>LQAEAQELLGY(1)QVDPR</t>
  </si>
  <si>
    <t>Q8TAE8</t>
  </si>
  <si>
    <t>IT(0.003)NDY(0.997)IF</t>
  </si>
  <si>
    <t>Q8NC54</t>
  </si>
  <si>
    <t>Y(0.85)S(0.15)DKELQYIDAISNK</t>
  </si>
  <si>
    <t>Q9UQB8-3;Q9UQB8-5;Q9UQB8-4;Q9UQB8-6;Q9UQB8-2;Q9UQB8;I3L4C2</t>
  </si>
  <si>
    <t>Y(0.998)GDS(0.002)EFTVQSTTGHCVHMR</t>
  </si>
  <si>
    <t>GFY(1)PWGQYNR</t>
  </si>
  <si>
    <t>LQHDLSWT(0.021)PY(0.979)EDIEKQDAK</t>
  </si>
  <si>
    <t>Q9BV19</t>
  </si>
  <si>
    <t>TALAEAELEY(0.998)NPEHVS(0.002)R</t>
  </si>
  <si>
    <t>Q9NSE4</t>
  </si>
  <si>
    <t>LDSYVNADHDLY(0.344)CNT(0.656)R</t>
  </si>
  <si>
    <t>T(0.142)GCIPS(0.516)NY(0.342)VAPVDSIQAEEWYFGK</t>
  </si>
  <si>
    <t>IEEFVY(1)EKLDR</t>
  </si>
  <si>
    <t>A0A087WW40;Q9Y371;Q9Y371-2</t>
  </si>
  <si>
    <t>ALIES(0.2)Y(0.791)QNLT(0.009)R</t>
  </si>
  <si>
    <t>S(0.015)LY(0.98)QS(0.006)AGVAPESFEYIEAHGTGTK</t>
  </si>
  <si>
    <t>P49327</t>
  </si>
  <si>
    <t>Y(0.998)HS(0.001)LAPMYYR</t>
  </si>
  <si>
    <t>P20339-2;P20339;P51148;P51148-2;K7ERI8;P61020-2;P61020</t>
  </si>
  <si>
    <t>ANEY(0.922)S(0.078)FKVPEFDGK</t>
  </si>
  <si>
    <t>Q9P0J1;Q9P0J1-2</t>
  </si>
  <si>
    <t>TSGS(0.001)VY(0.992)IT(0.007)LK</t>
  </si>
  <si>
    <t>P37108;H0YLA2</t>
  </si>
  <si>
    <t>GHEGPVWQVAWAHPMYGNILAS(0.015)CS(0.52)Y(0.465)DRK</t>
  </si>
  <si>
    <t>A8MXL6;A0A0C4DFR6;P55735-2;P55735;P55735-3</t>
  </si>
  <si>
    <t>VGY(1)LTGLPTTNSR</t>
  </si>
  <si>
    <t>T(0.005)KPPEGY(0.671)DT(0.321)VT(0.003)LYPK</t>
  </si>
  <si>
    <t>Q53GG5-2;A0A087WYF8;A0A0A0MQY0;Q53GG5</t>
  </si>
  <si>
    <t>SKESGWVENEIY(0.99)GY(0.01)</t>
  </si>
  <si>
    <t>Q6UX15-3;Q6UX15-2;Q6UX15</t>
  </si>
  <si>
    <t>GWQDVTATS(0.002)AY(0.997)K</t>
  </si>
  <si>
    <t>F5H0B0;H0YC42;P55327-2;P55327-4;P55327;P55327-7;P55327-5;P55327-6;P55327-3</t>
  </si>
  <si>
    <t>T(0.01)ECNHY(0.99)NNIMALYLK</t>
  </si>
  <si>
    <t>F5GY55;Q16531;Q16531-2</t>
  </si>
  <si>
    <t>Y(0.462)KCS(0.538)VCPDYDLCSVCEGK</t>
  </si>
  <si>
    <t>NWPSLEDSSPQEAPSQPPAT(0.193)Y(0.173)S(0.634)LVNK</t>
  </si>
  <si>
    <t>Q6UWF3-3;Q6UWF3</t>
  </si>
  <si>
    <t>EGS(0.003)DS(0.04)Y(0.954)AIT(0.003)FR</t>
  </si>
  <si>
    <t>GPVSGTEPEPVYSMEAADY(1)R</t>
  </si>
  <si>
    <t>AFQNTATACAPVS(0.574)HY(0.425)R</t>
  </si>
  <si>
    <t>Q9H814</t>
  </si>
  <si>
    <t>Y(0.004)CLT(0.005)PEY(0.991)PELGEPAHNHHAHNYYNSA</t>
  </si>
  <si>
    <t>AEADKIY(0.651)S(0.259)FT(0.09)DNAPSPSIGGSSR</t>
  </si>
  <si>
    <t>O15014</t>
  </si>
  <si>
    <t>T(0.031)Y(0.968)S(0.001)EKVEEYNLR</t>
  </si>
  <si>
    <t>Y(1)LGLLENLR</t>
  </si>
  <si>
    <t>F5H6E2;O00159-2;O00159-3;O00159</t>
  </si>
  <si>
    <t>Y(1)ASNAVSEALIR</t>
  </si>
  <si>
    <t>E7ETB3;Q9ULA0;E7EMB6</t>
  </si>
  <si>
    <t>SSPEQS(0.225)Y(0.771)QGDMY(0.003)PTR</t>
  </si>
  <si>
    <t>VDQETLTEMVKPS(0.18)IDY(0.82)VR</t>
  </si>
  <si>
    <t>Q9NS86</t>
  </si>
  <si>
    <t>KQAT(0.004)T(0.004)NVY(0.977)QVQT(0.004)GS(0.004)EY(0.004)T(0.001)DT(0.001)S(0.001)NHSSLK</t>
  </si>
  <si>
    <t>T(0.001)LY(0.994)S(0.005)FFSPSPAR</t>
  </si>
  <si>
    <t>P13051</t>
  </si>
  <si>
    <t>GHY(0.001)FCS(0.008)VY(0.992)GAR</t>
  </si>
  <si>
    <t>Q96LJ7</t>
  </si>
  <si>
    <t>Y(0.002)GIY(0.998)AVENEHMNR</t>
  </si>
  <si>
    <t>Q9UEU0-2;Q9UEU0</t>
  </si>
  <si>
    <t>SQERPGNFY(0.999)VS(0.009)S(0.108)ES(0.884)IR</t>
  </si>
  <si>
    <t>LQPFHS(0.009)T(0.009)ELEDDAIY(0.401)S(0.581)VHVPAGLYR</t>
  </si>
  <si>
    <t>T(0.236)RT(0.236)Y(0.528)ENFQYLENK</t>
  </si>
  <si>
    <t>J3KR22;Q8IUN9-3;Q8IUN9-2;Q8IUN9</t>
  </si>
  <si>
    <t>WFSIQNNQLVY(1)QK</t>
  </si>
  <si>
    <t>QQQMVVAHQY(0.773)S(0.227)FAPDGEAR</t>
  </si>
  <si>
    <t>IEFY(1)ELDKK</t>
  </si>
  <si>
    <t>H3BV55;O15305</t>
  </si>
  <si>
    <t>GPAIGIDLGT(0.007)T(0.032)Y(0.929)S(0.032)CVGVFQHGK</t>
  </si>
  <si>
    <t>P54652</t>
  </si>
  <si>
    <t>MY(1)APGGAGLPGGR</t>
  </si>
  <si>
    <t>O75204</t>
  </si>
  <si>
    <t>AENY(1)WWR</t>
  </si>
  <si>
    <t>AYALCVLY(1)R</t>
  </si>
  <si>
    <t>Q92835-2;Q92835</t>
  </si>
  <si>
    <t>Y(0.5)Y(0.5)TPVPCESATAK</t>
  </si>
  <si>
    <t>MLNSNTESPY(1)LIWNNSTR</t>
  </si>
  <si>
    <t>O75165</t>
  </si>
  <si>
    <t>MDTCS(0.001)S(0.004)NLNNS(0.053)IY(0.941)KK</t>
  </si>
  <si>
    <t>P25116</t>
  </si>
  <si>
    <t>Y(1)LNFFTK</t>
  </si>
  <si>
    <t>P12004</t>
  </si>
  <si>
    <t>KIY(0.907)GS(0.093)QPNFNMQYIPR</t>
  </si>
  <si>
    <t>QGTLT(0.024)EY(0.789)CGT(0.184)LMS(0.003)LPTK</t>
  </si>
  <si>
    <t>P14598;P14598-2;A6NI72</t>
  </si>
  <si>
    <t>SSATVY(0.993)FQT(0.007)VK</t>
  </si>
  <si>
    <t>Q86UY5-2;Q86UY5-3;Q86UY5</t>
  </si>
  <si>
    <t>HLY(0.462)T(0.538)LDGGDIINALCFSPNR</t>
  </si>
  <si>
    <t>P63244;J3KPE3;D6RAC2;D6RF23</t>
  </si>
  <si>
    <t>FPY(0.091)Y(0.897)LS(0.012)R</t>
  </si>
  <si>
    <t>Q8NAF0</t>
  </si>
  <si>
    <t>RHPDY(0.446)S(0.554)VVLLLR</t>
  </si>
  <si>
    <t>S(0.551)LY(0.448)HDIS(0.001)GDTSGDYRK</t>
  </si>
  <si>
    <t>VVQDT(0.02)Y(0.98)QIMK</t>
  </si>
  <si>
    <t>LLGS(0.006)GY(0.993)GGLTGGSSR</t>
  </si>
  <si>
    <t>F8WA11</t>
  </si>
  <si>
    <t>T(0.005)S(0.005)CGS(0.004)PNY(0.986)AAPEVISGR</t>
  </si>
  <si>
    <t>A0A087WXX9;P54646;Q13131;Q13131-2;Q96E92</t>
  </si>
  <si>
    <t>KLDVEEPDSANS(0.007)S(0.02)FY(0.847)S(0.063)T(0.063)R</t>
  </si>
  <si>
    <t>A0A087WY61;Q14980-2;Q14980;Q14980-5</t>
  </si>
  <si>
    <t>YAGEVY(1)GMIR</t>
  </si>
  <si>
    <t>J3KN10;P42356</t>
  </si>
  <si>
    <t>VY(0.998)MGHGGKPWVS(0.002)DFSHPHYLAGR</t>
  </si>
  <si>
    <t>ACQS(0.011)IY(0.989)PLHDVFVR</t>
  </si>
  <si>
    <t>TSVLY(0.994)QY(0.005)T(0.001)DGK</t>
  </si>
  <si>
    <t>P51159-2;P51159</t>
  </si>
  <si>
    <t>Y(1)FDGSGGNNHAVEHYR</t>
  </si>
  <si>
    <t>P45974-2;P45974</t>
  </si>
  <si>
    <t>QAT(0.021)Y(0.07)GY(0.89)Y(0.019)LGNPAEFHDSSDHHTFKK</t>
  </si>
  <si>
    <t>YEEIVKEVS(0.111)T(0.544)Y(0.344)IKK</t>
  </si>
  <si>
    <t>VVVFIKPT(0.191)CPY(0.809)CR</t>
  </si>
  <si>
    <t>P35754</t>
  </si>
  <si>
    <t>IHENHDS(0.004)VY(0.915)Y(0.069)T(0.006)Y(0.006)EDYAK</t>
  </si>
  <si>
    <t>YS(0.001)EEGVY(0.972)NVQY(0.02)S(0.007)FIK</t>
  </si>
  <si>
    <t>Q9NUJ1;Q9NUJ1-2</t>
  </si>
  <si>
    <t>DIICQIAY(1)AR</t>
  </si>
  <si>
    <t>P46777</t>
  </si>
  <si>
    <t>GALY(1)CELCYEK</t>
  </si>
  <si>
    <t>Q96HC4;Q96HC4-7;Q96HC4-4;Q96HC4-6;A0A0A0MSP3</t>
  </si>
  <si>
    <t>ELNGT(0.037)Y(0.963)AIAGGR</t>
  </si>
  <si>
    <t>Y(0.051)LY(0.932)HGQT(0.017)LET(0.001)LGGK</t>
  </si>
  <si>
    <t>GIKDEDGY(1)FQFMGR</t>
  </si>
  <si>
    <t>Q08AH3;F5GWL3;Q68CK6;H3BTX9</t>
  </si>
  <si>
    <t>SLEDPY(0.967)S(0.033)QQIR</t>
  </si>
  <si>
    <t>Q9NVH2-4;Q9NVH2-3;Q9NVH2-2;Q9NVH2</t>
  </si>
  <si>
    <t>YSDKELQY(1)IDAISNK</t>
  </si>
  <si>
    <t>IWPY(0.783)VY(0.17)T(0.046)LFS(0.001)NK</t>
  </si>
  <si>
    <t>P27144;D3DQ64</t>
  </si>
  <si>
    <t>AAPGAPAEY(0.452)GY(0.548)IR</t>
  </si>
  <si>
    <t>LT(0.312)DPKEDPIY(0.688)DEPEGLAPVPPQGLY(1)DLPR</t>
  </si>
  <si>
    <t>EDQLLCT(0.001)DCY(0.012)S(0.011)NEY(0.826)S(0.075)S(0.075)K</t>
  </si>
  <si>
    <t>J3KNW4;A0A0A0MSG2;Q14192</t>
  </si>
  <si>
    <t>CSDAAGY(0.467)PHAT(0.533)HDLEGPPLDAYSIQGQHTISPLDLAK</t>
  </si>
  <si>
    <t>HEY(0.001)ALPLAPPEPEY(0.344)AT(0.655)PIVER</t>
  </si>
  <si>
    <t>EIHPPFKPAT(0.005)GRPEDT(0.005)FY(0.99)FDPEFTAK</t>
  </si>
  <si>
    <t>P51812</t>
  </si>
  <si>
    <t>DT(0.001)CY(0.427)S(0.559)PKPS(0.012)VY(0.001)LSTPSSASK</t>
  </si>
  <si>
    <t>NNY(0.01)Y(0.799)S(0.383)S(0.383)RFS(0.383)PDS(0.033)QY(0.009)IDNR</t>
  </si>
  <si>
    <t>FYGPAGPY(1)GIFAGR</t>
  </si>
  <si>
    <t>O15173;O15173-2</t>
  </si>
  <si>
    <t>GPAY(0.986)GLS(0.014)AEVK</t>
  </si>
  <si>
    <t>P51911</t>
  </si>
  <si>
    <t>S(0.001)QS(0.002)S(0.006)HS(0.109)Y(0.774)DDS(0.048)T(0.062)LPLIDR</t>
  </si>
  <si>
    <t>HLY(0.838)T(0.162)LDGGDIINALCFSPNR</t>
  </si>
  <si>
    <t>TEVNS(0.001)GFFY(0.999)K</t>
  </si>
  <si>
    <t>P40227;P40227-2;Q92526;Q92526-2</t>
  </si>
  <si>
    <t>TSSAQVEGGVHS(0.03)LHS(0.529)Y(0.441)EK</t>
  </si>
  <si>
    <t>P12268</t>
  </si>
  <si>
    <t>AKEIY(0.343)MT(0.633)FLS(0.01)S(0.014)K</t>
  </si>
  <si>
    <t>KLDS(0.001)GGFY(0.998)IT(0.001)SR</t>
  </si>
  <si>
    <t>CGSGPVHISGQHLVAVEEDAES(1)EDEEEEDVK</t>
  </si>
  <si>
    <t>LGEGT(0.17)Y(0.632)AT(0.17)VY(0.028)K</t>
  </si>
  <si>
    <t>A0A087WZU2;F5H6Z0;Q00536;Q00536-3;Q00537-2;Q00537;Q00536-2</t>
  </si>
  <si>
    <t>HSQFLGYPIT(0.016)LY(0.984)LEKER</t>
  </si>
  <si>
    <t>KSWTSSSSLSDTY(0.002)EPNY(0.751)GT(0.247)VK</t>
  </si>
  <si>
    <t>A0A0A6YYB7;A0A0A0MR23;E9PCH4;Q8TEU7-5;Q8TEU7-3;Q8TEU7;Q8TEU7-4</t>
  </si>
  <si>
    <t>GPASDYGPEPTPPGPAAPAGT(0.031)DT(0.031)T(0.031)S(0.088)QLS(0.214)Y(0.582)ENY(0.024)EK</t>
  </si>
  <si>
    <t>HVAY(0.034)GGY(0.962)S(0.211)T(0.792)PEDR</t>
  </si>
  <si>
    <t>KIAPEDLPDKY(0.066)S(0.059)IY(0.875)NEK</t>
  </si>
  <si>
    <t>Q7RTY1</t>
  </si>
  <si>
    <t>IDDPIY(0.992)GT(0.006)Y(0.001)YVDHINR</t>
  </si>
  <si>
    <t>A0A0D9SGF2;A0A0D9SET0;A0A0D9SGF8;A0A0D9SEY4;E7EWI0;A0A0E3D6M1;A0A0D9SGI1;Q86UL8-2;Q86UL8</t>
  </si>
  <si>
    <t>Y(1)VVVTGITPTPLGEGK</t>
  </si>
  <si>
    <t>T(0.003)T(0.003)PS(0.609)Y(0.381)VAFT(0.003)DTER</t>
  </si>
  <si>
    <t>GLCTSPAEHQYFMT(0.009)EY(0.397)VAT(0.593)R</t>
  </si>
  <si>
    <t>TTEDEVHICHNQDGY(0.044)S(0.191)Y(0.574)PS(0.191)R</t>
  </si>
  <si>
    <t>ELY(0.052)ERPPHLY(0.948)AVANAAYK</t>
  </si>
  <si>
    <t>LY(1)GSVCDLR</t>
  </si>
  <si>
    <t>Q8N9U0-2;Q8N9U0</t>
  </si>
  <si>
    <t>TIY(0.989)T(0.005)Y(0.006)IMASR</t>
  </si>
  <si>
    <t>GNFNY(1)VEFTR</t>
  </si>
  <si>
    <t>P24844;P24844-2</t>
  </si>
  <si>
    <t>TET(0.004)IRPAS(0.236)VY(0.595)T(0.166)KR</t>
  </si>
  <si>
    <t>P23786</t>
  </si>
  <si>
    <t>IFYPET(0.005)T(0.023)DVY(0.972)DRK</t>
  </si>
  <si>
    <t>F5H7S7;Q13576</t>
  </si>
  <si>
    <t>TPCNAGT(0.015)FS(0.015)QPEKVY(0.66)T(0.221)LS(0.068)VS(0.022)GDR</t>
  </si>
  <si>
    <t>O43684-2;O43684</t>
  </si>
  <si>
    <t>LS(0.169)S(0.169)AY(0.661)LLGVPGSEQPDR</t>
  </si>
  <si>
    <t>LKQPADCLDGLY(0.988)ALMS(0.012)R</t>
  </si>
  <si>
    <t>FELLEKDPY(1)ALDVPNTAFGR</t>
  </si>
  <si>
    <t>G3V599;O15320-9;O15320-8;O15320-6;O15320-4;O15320-3;O15320-10;O15320;O15320-5;O15320-7;O15320-2</t>
  </si>
  <si>
    <t>HMLAY(0.002)MQLLEDY(0.753)S(0.236)EPQPS(0.004)MFY(0.004)QT(0.001)PQNEHIYQQK</t>
  </si>
  <si>
    <t>Q13905-2;Q13905;Q13905-4;Q13905-3</t>
  </si>
  <si>
    <t>ARVY(1)AEVNSLR</t>
  </si>
  <si>
    <t>QNVPVINIT(0.061)Y(0.916)DS(0.018)T(0.005)PEDVK</t>
  </si>
  <si>
    <t>QMDTEAAASEAPQDVT(0.215)Y(0.784)AR</t>
  </si>
  <si>
    <t>A0A0G2JM38;A0A0G2JPC7;A0A0G2JP84;A0A0A0MSZ8;A0A0G2JQ20;A0A0G2JQ10;A0A0G2JP25;A0A0G2JNE9;A0A0G2JPX5;A0A0G2JMH7;A0A0A0MS20</t>
  </si>
  <si>
    <t>Y(0.857)LHVGY(0.143)IVPPAPEK</t>
  </si>
  <si>
    <t>O60749;O60749-2</t>
  </si>
  <si>
    <t>S(0.534)Y(0.462)ADQS(0.002)T(0.002)LHAEDPLSITFMDQHNFSPR</t>
  </si>
  <si>
    <t>MTLDT(0.012)LS(0.214)IY(0.714)ET(0.057)PS(0.004)MGLLDKK</t>
  </si>
  <si>
    <t>P55884;P55884-2</t>
  </si>
  <si>
    <t>S(0.002)QEVEDKT(0.529)KEY(0.469)ELLS(0.001)DELNQK</t>
  </si>
  <si>
    <t>P33176</t>
  </si>
  <si>
    <t>AVY(0.934)EDRPPGS(0.066)VVPTSAAEASR</t>
  </si>
  <si>
    <t>Q9H1Z4-2;Q9H1Z4</t>
  </si>
  <si>
    <t>NEPADY(0.945)AT(0.053)LY(0.002)YR</t>
  </si>
  <si>
    <t>O15049</t>
  </si>
  <si>
    <t>SNGT(0.001)NT(0.001)S(0.002)APQDIY(0.994)AVNGIAFHPVHGT(0.001)LAT(0.001)VGSDGR</t>
  </si>
  <si>
    <t>E9PQ57;P78406</t>
  </si>
  <si>
    <t>WCEY(0.987)GLT(0.012)FT(0.001)EK</t>
  </si>
  <si>
    <t>P45880-2;P45880;P45880-1</t>
  </si>
  <si>
    <t>SCSS(0.001)GPAGPY(0.307)LLS(0.692)K</t>
  </si>
  <si>
    <t>NFGS(0.005)Y(0.988)VT(0.007)HETK</t>
  </si>
  <si>
    <t>Q96FJ2;P63167</t>
  </si>
  <si>
    <t>Y(1)FPLTASEVLSMRPR</t>
  </si>
  <si>
    <t>VKEQY(1)QDVPMPEEK</t>
  </si>
  <si>
    <t>SLSQSFENLLDEPAY(1)GLIQK</t>
  </si>
  <si>
    <t>Q8TC07-2;Q8TC07-3</t>
  </si>
  <si>
    <t>YESSALPSGQLT(0.001)S(0.001)LS(0.039)EY(0.389)AS(0.57)R</t>
  </si>
  <si>
    <t>HTHLDDPIAEVEPTDS(0.002)EPY(0.635)S(0.182)CS(0.182)K</t>
  </si>
  <si>
    <t>GSLTGS(0.015)ET(0.001)DNEDVY(0.76)T(0.223)FK</t>
  </si>
  <si>
    <t>SPAAPY(0.996)FLGS(0.003)S(0.001)FSPVR</t>
  </si>
  <si>
    <t>P30291</t>
  </si>
  <si>
    <t>VADWTGAT(0.208)Y(0.792)QDKR</t>
  </si>
  <si>
    <t>Y(0.835)RS(0.165)DIHTEAVQAALAK</t>
  </si>
  <si>
    <t>Q9P265</t>
  </si>
  <si>
    <t>Y(1)GQFSGLNPGGRPIT(1)PPR</t>
  </si>
  <si>
    <t>SNVCINGNHVY(1)LEQPEAK</t>
  </si>
  <si>
    <t>E7EX40;Q6WKZ4-2;Q6WKZ4-3;Q6WKZ4</t>
  </si>
  <si>
    <t>VPSVELTNLY(0.015)PY(0.725)CDY(0.26)EMK</t>
  </si>
  <si>
    <t>YSGS(0.001)Y(0.002)NDY(0.997)LR</t>
  </si>
  <si>
    <t>TQLY(0.973)EY(0.027)LQNR</t>
  </si>
  <si>
    <t>Q9Y2X3</t>
  </si>
  <si>
    <t>LWLKPY(1)VDLQAYEDPAQGALDFTR</t>
  </si>
  <si>
    <t>SHSLSRPGPTEGDAEGEAEGPVGST(0.001)LGS(0.557)Y(0.394)AT(0.043)LT(0.005)R</t>
  </si>
  <si>
    <t>Q8WXE0-2;Q8WXE0</t>
  </si>
  <si>
    <t>NPLQGY(0.849)Y(0.151)QVR</t>
  </si>
  <si>
    <t>O94910-2;O94910</t>
  </si>
  <si>
    <t>DITNVS(0.03)LY(0.97)PVVK</t>
  </si>
  <si>
    <t>Q5FBB7-5;Q5FBB7-4;Q5FBB7-3;Q5FBB7-2;Q5FBB7-6;Q5FBB7</t>
  </si>
  <si>
    <t>NGIDVDKWDY(1)FAR</t>
  </si>
  <si>
    <t>Q9Y3Z3;Q9Y3Z3-2;Q9Y3Z3-4</t>
  </si>
  <si>
    <t>KLAQQY(0.196)Y(0.8)LVY(0.004)QEPIPTAQLVQR</t>
  </si>
  <si>
    <t>AVIY(1)NPATQADWTAK</t>
  </si>
  <si>
    <t>P35580;P35580-5;P35580-2;P35580-3;P35580-4</t>
  </si>
  <si>
    <t>TWKPFIGY(0.936)DS(0.064)LR</t>
  </si>
  <si>
    <t>Q8NEL9-2;Q8NEL9;Q8NEL9-4</t>
  </si>
  <si>
    <t>Y(0.997)GGPY(0.003)HIGGSPFK</t>
  </si>
  <si>
    <t>S(0.041)VT(0.173)DY(0.787)AQQNPAAQIPAR</t>
  </si>
  <si>
    <t>A0A0A0MRM8;Q9UM54-6</t>
  </si>
  <si>
    <t>DLY(1)DVLAKEPVQR</t>
  </si>
  <si>
    <t>Q8TDZ2-2;Q8TDZ2;Q8TDZ2-4</t>
  </si>
  <si>
    <t>T(0.109)Y(0.891)SFEQPWPNAR</t>
  </si>
  <si>
    <t>AAASEAPQDVT(0.527)Y(0.457)AQLHS(0.012)LT(0.004)LR</t>
  </si>
  <si>
    <t>VQLNVFDEQGEEDS(0.229)Y(0.771)DLKGR</t>
  </si>
  <si>
    <t>RLCDLY(0.966)Y(0.034)INSPELELEELNAK</t>
  </si>
  <si>
    <t>Q15118;Q15118-2</t>
  </si>
  <si>
    <t>ERVT(0.001)PPEGY(0.997)EVVT(0.002)VFPK</t>
  </si>
  <si>
    <t>AS(0.002)NLENS(0.062)T(0.062)Y(0.851)DLY(0.021)T(0.002)IPK</t>
  </si>
  <si>
    <t>ELEQVCNPIIS(0.532)GLY(0.468)QGAGGPGPGGFGAQGPK</t>
  </si>
  <si>
    <t>EAHNY(0.437)S(0.563)ALPFYFR</t>
  </si>
  <si>
    <t>VVALY(0.988)DY(0.012)MPMNANDLQLR</t>
  </si>
  <si>
    <t>U3NG26;Q06187;Q06187-2;Q5JY90</t>
  </si>
  <si>
    <t>ASTDVAGQAVT(0.001)INLVPT(0.082)EEQAKPY(0.917)R</t>
  </si>
  <si>
    <t>TAVEDS(0.011)DKAY(0.989)MLHIGTLDK</t>
  </si>
  <si>
    <t>Q9H939-2;Q9H939</t>
  </si>
  <si>
    <t>VLY(1)NLFTK</t>
  </si>
  <si>
    <t>A0A087WZB5;Q9HBI1-3;Q9HBI1;Q9HBI1-2;J3KNQ4;Q9NVD7</t>
  </si>
  <si>
    <t>TLIY(1)QMAPAVSK</t>
  </si>
  <si>
    <t>P25054-2;P25054</t>
  </si>
  <si>
    <t>CNKPTVY(1)GVSPIHDK</t>
  </si>
  <si>
    <t>P42684-7;P42684-8;P42684-4;P42684-10;P42684-5;P42684-6;P42684-2;P42684-3;P42684</t>
  </si>
  <si>
    <t>Y(0.001)Y(0.004)NY(0.996)CLIHNVQR</t>
  </si>
  <si>
    <t>Q8WUA2</t>
  </si>
  <si>
    <t>AY(0.04)GPY(0.444)S(0.503)VT(0.013)NCGEHDTTEYK</t>
  </si>
  <si>
    <t>AGASGQPPSGPPGT(0.03)GNEY(0.857)GVS(0.113)PR</t>
  </si>
  <si>
    <t>APSASVDS(0.117)S(0.528)LY(0.355)NLPR</t>
  </si>
  <si>
    <t>LKEEEMADT(0.007)S(0.072)Y(0.848)GT(0.072)VK</t>
  </si>
  <si>
    <t>Q96EP9</t>
  </si>
  <si>
    <t>TQILAAS(0.627)Y(0.373)ELHK</t>
  </si>
  <si>
    <t>GY(1)GFGLIK</t>
  </si>
  <si>
    <t>S(0.528)REY(0.466)QLNDS(0.005)ASYYLNDLDR</t>
  </si>
  <si>
    <t>P08754</t>
  </si>
  <si>
    <t>FY(1)VHNDIFR</t>
  </si>
  <si>
    <t>Q13283</t>
  </si>
  <si>
    <t>IDSPGFKPAS(0.008)QQVY(0.992)R</t>
  </si>
  <si>
    <t>A0A087X0K9;G5E9E7;Q07157-2</t>
  </si>
  <si>
    <t>SVDEVNY(1)WDKQDHPISR</t>
  </si>
  <si>
    <t>YIDEY(0.157)RNDY(0.6)T(0.243)QGCEPGHR</t>
  </si>
  <si>
    <t>F8WBF5;A0A087WVK0;P49759-2;P49759;P49759-3</t>
  </si>
  <si>
    <t>Y(1)NEQHVPGSPFTAR</t>
  </si>
  <si>
    <t>LGHDPY(0.453)RLT(0.547)PDPYR</t>
  </si>
  <si>
    <t>Y(0.043)GY(0.957)LSLPKPMK</t>
  </si>
  <si>
    <t>Q9UBT7-3;Q9UBT7-2;Q9UBT7</t>
  </si>
  <si>
    <t>EGY(1)IPSNYVAR</t>
  </si>
  <si>
    <t>IY(1)EPLDVK</t>
  </si>
  <si>
    <t>P47712</t>
  </si>
  <si>
    <t>GY(0.972)Y(0.027)S(0.002)PYSVSGSGSTAGSR</t>
  </si>
  <si>
    <t>S(0.145)Y(0.854)S(0.001)YVCGISSK</t>
  </si>
  <si>
    <t>P49915-2;P49915</t>
  </si>
  <si>
    <t>CEDCGGLLS(0.005)EGDNQGCY(0.995)PLDGHILCK</t>
  </si>
  <si>
    <t>A0A087WZF1;Q93052</t>
  </si>
  <si>
    <t>IS(0.007)QS(0.024)NY(0.97)IPTQQDVLR</t>
  </si>
  <si>
    <t>YAMVY(0.989)GY(0.011)NAAYNR</t>
  </si>
  <si>
    <t>LSDAQIY(1)VDKVK</t>
  </si>
  <si>
    <t>O14879</t>
  </si>
  <si>
    <t>NGPALQEAY(1)VR</t>
  </si>
  <si>
    <t>Q9UJU6;Q9UJU6-2;Q9UJU6-3;Q9UJU6-6;F8WBG8;B4DDD6;F2Z2V3;F8WB73;F8WCK3;F2Z3E3;F8WC20;F8WBB2;F8WFE1</t>
  </si>
  <si>
    <t>Y(0.861)KS(0.139)NLPLTEINK</t>
  </si>
  <si>
    <t>Q9H1D9</t>
  </si>
  <si>
    <t>IKY(0.034)S(0.026)Y(0.94)DALEK</t>
  </si>
  <si>
    <t>Q9HD20-2;Q9HD20</t>
  </si>
  <si>
    <t>MSAQESTPIMNGVT(0.001)GPDGEDY(0.743)S(0.256)PWADRK</t>
  </si>
  <si>
    <t>MVVNEGS(0.002)DGGQS(0.071)VY(0.927)HVHLHVLGGR</t>
  </si>
  <si>
    <t>P49773</t>
  </si>
  <si>
    <t>LAGDKANY(1)WWLR</t>
  </si>
  <si>
    <t>Y(0.221)KVEY(0.767)PIMY(0.01)S(0.002)T(0.001)DPENGHIFNCIQR</t>
  </si>
  <si>
    <t>Q5VV89;O14880;Q5VV87</t>
  </si>
  <si>
    <t>Y(0.001)ANNS(0.54)NY(0.46)KNDVMIR</t>
  </si>
  <si>
    <t>T(0.548)Y(0.444)S(0.008)YLTPDLWK</t>
  </si>
  <si>
    <t>LNDGHFMPVLGFGT(0.073)Y(0.927)APPEVPR</t>
  </si>
  <si>
    <t>A0A0A0MSS8;P42330;P17516</t>
  </si>
  <si>
    <t>LGPTTLLNGELRPY(0.466)HT(0.534)PLR</t>
  </si>
  <si>
    <t>Y(0.5)Y(0.5)VPSYEEVMNTNYSEAR</t>
  </si>
  <si>
    <t>Q9NW97</t>
  </si>
  <si>
    <t>GITINAAHVEY(0.649)S(0.175)T(0.175)AAR</t>
  </si>
  <si>
    <t>RPGPGT(0.544)LY(0.456)DVPR</t>
  </si>
  <si>
    <t>RHQS(0.5)LS(0.5)PNHPPPQLGQSVGS(0.005)QNDAY(0.995)DVPR</t>
  </si>
  <si>
    <t>S(0.175)GES(0.825)VEEVPLY(0.997)GNLHY(0.003)LQTGR</t>
  </si>
  <si>
    <t>HAIY(1)DKLDDDGLIAPGVR</t>
  </si>
  <si>
    <t>C9J4M6;C9J2Y9;P30876</t>
  </si>
  <si>
    <t>LSYLSAPGSEY(0.002)S(0.006)MY(0.88)S(0.075)T(0.027)DS(0.01)R</t>
  </si>
  <si>
    <t>AVY(0.998)T(0.002)LTSLYR</t>
  </si>
  <si>
    <t>A0A024RBT2;Q9NR28-2;Q9NR28</t>
  </si>
  <si>
    <t>KNILLT(0.002)IGS(0.181)Y(0.817)K</t>
  </si>
  <si>
    <t>F8VPD4;P27708</t>
  </si>
  <si>
    <t>YQGVNLY(1)VK</t>
  </si>
  <si>
    <t>P11940;A0A087WTT1;E7EQV3;P11940-2;E7ERJ7;Q4VXU2;Q4VXU2-2</t>
  </si>
  <si>
    <t>Y(1)FHLVLPTDELAEPK</t>
  </si>
  <si>
    <t>Q9Y4D7-2;Q9Y4D7</t>
  </si>
  <si>
    <t>AAAIGIDLGT(0.053)T(0.196)Y(0.683)S(0.067)CVGVFQHGK</t>
  </si>
  <si>
    <t>FERPMDY(0.5)Y(0.5)EDLK</t>
  </si>
  <si>
    <t>HFSIHT(0.01)GEKPY(0.99)ECVECGK</t>
  </si>
  <si>
    <t>Q14592-2;Q14592;Q08ER8;O43296</t>
  </si>
  <si>
    <t>CVAPY(0.694)PS(0.212)LLS(0.068)S(0.025)EDNADDEVDTRPASFWETS</t>
  </si>
  <si>
    <t>YRPYDGAAS(0.002)AY(0.988)AQNY(0.01)R</t>
  </si>
  <si>
    <t>F1T0I1;J3KNL6;O15027-2;O15027-4;O15027-3;O15027;O15027-5</t>
  </si>
  <si>
    <t>IHY(0.967)LDT(0.028)T(0.004)T(0.002)LIEPVSR</t>
  </si>
  <si>
    <t>P46108;P46108-2;I3L297</t>
  </si>
  <si>
    <t>VDDVY(0.812)S(0.188)VLR</t>
  </si>
  <si>
    <t>Q9GZU7-3;Q9GZU7-2;Q9GZU7</t>
  </si>
  <si>
    <t>TDLEMQIEGLKEELAY(1)LKK</t>
  </si>
  <si>
    <t>NKGVY(0.647)S(0.154)S(0.154)T(0.044)NELTTDSTPK</t>
  </si>
  <si>
    <t>O75113</t>
  </si>
  <si>
    <t>GPNGVY(1)DFSQAHNAK</t>
  </si>
  <si>
    <t>Q9Y5V3;Q9Y5V3-2</t>
  </si>
  <si>
    <t>NLEHLT(0.019)HGGY(0.968)VES(0.005)T(0.005)T(0.002)LQIRPATK</t>
  </si>
  <si>
    <t>Y(0.155)Y(0.845)GYTGAFR</t>
  </si>
  <si>
    <t>RLS(0.417)T(0.526)EHS(0.043)S(0.019)VS(0.028)EY(0.085)HPADGY(0.879)AFS(0.001)SNIYTR</t>
  </si>
  <si>
    <t>LY(1)VPVKEYPDFNFVGR</t>
  </si>
  <si>
    <t>Q96PU8-5;Q96PU8-9;Q96PU8-8;Q96PU8-6;Q96PU8-3;Q96PU8</t>
  </si>
  <si>
    <t>IDY(1)PPEFHQRPGYLK</t>
  </si>
  <si>
    <t>J3QR07;Q96MU7-2;Q96MU7</t>
  </si>
  <si>
    <t>TES(0.003)AY(0.996)DWT(0.001)SLSSSSIK</t>
  </si>
  <si>
    <t>C9J164;C9K0J5;Q70E73-5;Q70E73-2;Q70E73-8;Q70E73-7;Q70E73-4;Q70E73-3;Q70E73-9;Q70E73-6;Q70E73</t>
  </si>
  <si>
    <t>LY(1)LVKHLS(1)</t>
  </si>
  <si>
    <t>LRPLS(0.02)Y(0.978)PQT(0.002)VGETYGK</t>
  </si>
  <si>
    <t>LCRPCQAAVEY(0.5)Y(0.5)IK</t>
  </si>
  <si>
    <t>EVEEDEY(0.001)KAFY(0.999)K</t>
  </si>
  <si>
    <t>GDHSHLFDS(0.001)KDPPIY(0.948)S(0.05)VGAFENFR</t>
  </si>
  <si>
    <t>LKDWQEGGY(0.46)T(0.54)INDKPNPR</t>
  </si>
  <si>
    <t>FPY(0.52)Y(0.472)LS(0.008)R</t>
  </si>
  <si>
    <t>GIS(0.075)T(0.075)KPVY(0.851)IPEVELNHK</t>
  </si>
  <si>
    <t>GY(0.004)NDDY(0.792)Y(0.201)EES(0.001)Y(0.001)FTTR</t>
  </si>
  <si>
    <t>Y(0.466)S(0.533)DKELQY(0.001)IDAISNK</t>
  </si>
  <si>
    <t>VY(1)NLDFNPPHVHGIDDVTGEPLVQQEDDKPEAVAAR</t>
  </si>
  <si>
    <t>GSSVVAY(0.904)EGQS(0.073)WHDY(0.022)CFHCK</t>
  </si>
  <si>
    <t>SSSTGNLLDKDDLAIPPPDY(0.474)GAAS(0.526)R</t>
  </si>
  <si>
    <t>NDS(0.002)DPT(0.539)Y(0.459)GQQGHPNTWK</t>
  </si>
  <si>
    <t>Y(0.999)ALY(0.001)DATYETK</t>
  </si>
  <si>
    <t>Y(0.59)KVEY(0.41)PIMYSTDPENGHIFNCIQR</t>
  </si>
  <si>
    <t>HATNTVY(0.999)ET(0.001)TCTPISK</t>
  </si>
  <si>
    <t>Q4KWH8-2;Q4KWH8</t>
  </si>
  <si>
    <t>FIY(1)EAWQGVER</t>
  </si>
  <si>
    <t>I3L2L5;I3L4Q0;C9JLW8;I3L317</t>
  </si>
  <si>
    <t>ALEVAEY(0.977)LT(0.023)PVLK</t>
  </si>
  <si>
    <t>Q9NT62-2;Q9NT62;F8WDI0</t>
  </si>
  <si>
    <t>YLENY(1)DAIR</t>
  </si>
  <si>
    <t>A0A087WTB8;P15374</t>
  </si>
  <si>
    <t>VDDS(0.041)AY(0.959)ESLGLRPR</t>
  </si>
  <si>
    <t>O75808</t>
  </si>
  <si>
    <t>FIPT(0.171)Y(0.65)KY(0.141)DS(0.038)K</t>
  </si>
  <si>
    <t>Q01968-2;Q01968</t>
  </si>
  <si>
    <t>VWIKPGAEQS(0.001)FLY(0.999)GNHVLK</t>
  </si>
  <si>
    <t>Q9Y221</t>
  </si>
  <si>
    <t>QAIELS(0.01)PDNQY(0.99)VK</t>
  </si>
  <si>
    <t>YQSS(0.001)PAKPDS(0.166)S(0.166)FY(0.666)K</t>
  </si>
  <si>
    <t>P02730</t>
  </si>
  <si>
    <t>DNGNGT(0.178)Y(0.63)S(0.178)CS(0.011)Y(0.002)VPR</t>
  </si>
  <si>
    <t>ACTQPRPNY(0.945)AS(0.055)NFSVIGAR</t>
  </si>
  <si>
    <t>O14976-2;O14976;A0A087X1U9</t>
  </si>
  <si>
    <t>CNVQFNLLDPLKY(1)HMK</t>
  </si>
  <si>
    <t>Q8ND82</t>
  </si>
  <si>
    <t>MLLY(0.792)T(0.196)EVT(0.012)R</t>
  </si>
  <si>
    <t>P31150;G5E9U5;P50395</t>
  </si>
  <si>
    <t>IY(1)VGNASVAQDIPK</t>
  </si>
  <si>
    <t>P51452</t>
  </si>
  <si>
    <t>NFLY(1)AWCGK</t>
  </si>
  <si>
    <t>Q08211</t>
  </si>
  <si>
    <t>GQEAT(0.001)DT(0.009)EY(0.952)S(0.038)EIKIHR</t>
  </si>
  <si>
    <t>Q9Y336</t>
  </si>
  <si>
    <t>S(0.139)Y(0.86)S(0.001)MPISIEFQR</t>
  </si>
  <si>
    <t>C9J5J4;Q5TKA1-3;Q5TKA1;Q5TKA1-2</t>
  </si>
  <si>
    <t>Y(0.861)Y(0.139)FEGIK</t>
  </si>
  <si>
    <t>O95433</t>
  </si>
  <si>
    <t>VFNPY(0.971)T(0.029)EFK</t>
  </si>
  <si>
    <t>Q96C19</t>
  </si>
  <si>
    <t>S(0.665)NY(0.265)Y(0.07)DAYQAQPLATR</t>
  </si>
  <si>
    <t>MEGSPIPVLT(0.024)VPT(0.215)APY(0.761)EDQRPAGGGGLR</t>
  </si>
  <si>
    <t>AEDPSQPDS(0.024)AGY(0.441)T(0.522)ALHY(0.01)AS(0.003)R</t>
  </si>
  <si>
    <t>THSVNGITEEADPT(0.043)IY(0.447)S(0.51)GK</t>
  </si>
  <si>
    <t>O75534-2;O75534;O75534-3;O75534-4;E9PLT0</t>
  </si>
  <si>
    <t>T(0.001)Y(0.004)GGCEGPDAMY(0.994)VK</t>
  </si>
  <si>
    <t>Q15369;R4GMY8</t>
  </si>
  <si>
    <t>ATAPY(0.019)NY(0.324)S(0.567)Y(0.09)IFK</t>
  </si>
  <si>
    <t>P61106</t>
  </si>
  <si>
    <t>KLY(0.462)T(0.538)GPGLAIHCMQVHK</t>
  </si>
  <si>
    <t>VQDPS(0.028)Y(0.972)APPKGPFR</t>
  </si>
  <si>
    <t>QEQAPVEDAGPT(0.005)GANEDDS(0.01)DVPAVVPLS(0.614)EY(0.372)DAVER</t>
  </si>
  <si>
    <t>Q02952-3;Q02952-2;Q02952</t>
  </si>
  <si>
    <t>S(0.027)LLS(0.088)HEFQDET(0.821)DT(0.063)EEET(0.059)LY(0.564)S(0.188)S(0.188)KH</t>
  </si>
  <si>
    <t>APQET(0.541)Y(0.459)ADIGGLDNQIQEIK</t>
  </si>
  <si>
    <t>KS(0.527)EY(0.472)LLPVAPS(0.001)KPT(0.001)APIFLQGLSDLK</t>
  </si>
  <si>
    <t>Q15746-4;Q15746-2;Q15746-3;Q15746;Q15746-5;Q15746-6</t>
  </si>
  <si>
    <t>NGY(0.999)VTVSEIK</t>
  </si>
  <si>
    <t>Q96H20</t>
  </si>
  <si>
    <t>IQNS(0.019)GDFY(0.921)DLY(0.06)GGEK</t>
  </si>
  <si>
    <t>S(0.001)ALVQIY(0.998)ELEEHKIET(0.001)WR</t>
  </si>
  <si>
    <t>F8VYY9;P54619-2;P54619;P54619-3</t>
  </si>
  <si>
    <t>HY(0.938)GFQLY(0.06)QS(0.002)DPSGNYGGWK</t>
  </si>
  <si>
    <t>P25789;H0YLC2;H0YN18;P25789-2;H0YMV3</t>
  </si>
  <si>
    <t>VGAENTIT(0.184)Y(0.632)S(0.184)LLMHPDALEEPDDQNRI</t>
  </si>
  <si>
    <t>P31994-2;P31994-3;P31994</t>
  </si>
  <si>
    <t>TILKEDPANT(0.002)VY(0.909)S(0.067)T(0.021)VEIPK</t>
  </si>
  <si>
    <t>B4DW98;Q9NQ25-7;Q9NQ25-6;Q9NQ25-2;Q9NQ25</t>
  </si>
  <si>
    <t>RNEGVVGGEDY(1)EEVDR</t>
  </si>
  <si>
    <t>H3BQQ2;Q86UK7-2;Q86UK7-3;Q86UK7</t>
  </si>
  <si>
    <t>TKPSDEEMLFIY(0.5)GHY(0.5)K</t>
  </si>
  <si>
    <t>DSAPY(0.01)GEY(0.675)GS(0.157)WY(0.157)K</t>
  </si>
  <si>
    <t>A8MZ87;Q9H0B6-2;Q9H0B6</t>
  </si>
  <si>
    <t>AY(0.002)CEPCY(0.993)INT(0.004)LEQCNVCSKPIMER</t>
  </si>
  <si>
    <t>QRQY(1)LELECR</t>
  </si>
  <si>
    <t>Q7L7X3</t>
  </si>
  <si>
    <t>ATAPVPT(0.001)VGEGY(0.166)GY(0.735)GHES(0.089)ELS(0.008)QASAAAR</t>
  </si>
  <si>
    <t>Q9BWF3</t>
  </si>
  <si>
    <t>YSGAY(1)GASVSDEELK</t>
  </si>
  <si>
    <t>C9JRZ6;Q9NX63;F8WAR4</t>
  </si>
  <si>
    <t>WIY(1)EDVER</t>
  </si>
  <si>
    <t>O43852-13;O43852-14;O43852-11;O43852-10;O43852-5;O43852-6;O43852;O43852-3</t>
  </si>
  <si>
    <t>CPETLFQPS(0.002)FIGMES(0.015)AGIHET(0.077)T(0.114)Y(0.246)NS(0.547)IMK</t>
  </si>
  <si>
    <t>HYVVCSTPQS(0.187)QY(0.654)Y(0.158)LAEK</t>
  </si>
  <si>
    <t>RPHGDIY(1)GINQALGATAK</t>
  </si>
  <si>
    <t>P23743</t>
  </si>
  <si>
    <t>KGPGLY(0.395)Y(0.605)VDEHGTR</t>
  </si>
  <si>
    <t>ALQY(1)ACGNALVCDNVEDARR</t>
  </si>
  <si>
    <t>G8JLG1;Q14683</t>
  </si>
  <si>
    <t>Y(0.989)LY(0.011)PNIDKDHAFGK</t>
  </si>
  <si>
    <t>RPDLY(1)GNLGHPLS</t>
  </si>
  <si>
    <t>Q86X76-2;Q86X76-4;Q86X76;Q86X76-3</t>
  </si>
  <si>
    <t>QIT(0.009)S(0.109)Y(0.342)GET(0.518)CPGLEQY(0.021)AIKK</t>
  </si>
  <si>
    <t>KLDELY(0.165)GT(0.835)WR</t>
  </si>
  <si>
    <t>P36578;H3BM89</t>
  </si>
  <si>
    <t>EEIY(0.997)QLNS(0.003)DKIIESNK</t>
  </si>
  <si>
    <t>D6RB81;Q9UHK6;Q9UHK6-5</t>
  </si>
  <si>
    <t>GLEVTAY(0.952)S(0.042)PLGS(0.003)S(0.003)DR</t>
  </si>
  <si>
    <t>P14550</t>
  </si>
  <si>
    <t>ESSSPLSSNQSEPGSIALNS(0.317)Y(0.148)HS(0.535)R</t>
  </si>
  <si>
    <t>TMSVS(0.033)DFNY(0.418)S(0.549)R</t>
  </si>
  <si>
    <t>LLPLDKDY(0.5)Y(0.5)VVR</t>
  </si>
  <si>
    <t>DS(0.024)LY(0.972)KDAMQY(0.003)AS(0.001)ESK</t>
  </si>
  <si>
    <t>RPGQAPPDQEALQVVY(1)ER</t>
  </si>
  <si>
    <t>Q9UJY4</t>
  </si>
  <si>
    <t>LILDVQPS(0.003)HPGLLNY(0.018)S(0.245)PY(0.734)ENVCK</t>
  </si>
  <si>
    <t>E9PFB9;Q5T9S5-2;Q5T9S5</t>
  </si>
  <si>
    <t>ISLNS(0.004)LCY(0.996)GDMDK</t>
  </si>
  <si>
    <t>KHVLY(1)VEHR</t>
  </si>
  <si>
    <t>Q9BQ70;Q9H7D3</t>
  </si>
  <si>
    <t>EIKDEKY(1)IDNLEK</t>
  </si>
  <si>
    <t>P23229-5;P23229-3;P23229</t>
  </si>
  <si>
    <t>KNPDDY(0.462)T(0.538)PVNIDGAHAQR</t>
  </si>
  <si>
    <t>TTAVEIDY(0.452)DS(0.548)LK</t>
  </si>
  <si>
    <t>FLSLEY(0.006)S(0.026)PAGKEY(0.968)VR</t>
  </si>
  <si>
    <t>ALSNLES(0.014)IPGGY(0.986)NALRR</t>
  </si>
  <si>
    <t>Q9NRR5;Q9UMX0-2;Q9UMX0;Q9UMX0-3</t>
  </si>
  <si>
    <t>EEIDHAEY(0.998)Y(0.002)LYK</t>
  </si>
  <si>
    <t>D6RJC7;G5EA06;Q92552;Q92552-2;E5RJ73</t>
  </si>
  <si>
    <t>YKETDLLILFKDDY(1)FAK</t>
  </si>
  <si>
    <t>P05455</t>
  </si>
  <si>
    <t>KFY(1)GPEGPYGVFAGR</t>
  </si>
  <si>
    <t>EAEAAIY(1)HLQLFEELRR</t>
  </si>
  <si>
    <t>P14618;B4DNK4;P14618-3</t>
  </si>
  <si>
    <t>AY(0.97)QHGGVT(0.03)GLSQY</t>
  </si>
  <si>
    <t>Q92900-2;Q92900</t>
  </si>
  <si>
    <t>Y(1)REANGLPIMESNCFDPSK</t>
  </si>
  <si>
    <t>Q9NX14;Q9NX14-2</t>
  </si>
  <si>
    <t>AVLEALGS(0.009)CLNNKY(0.747)S(0.231)EGY(0.013)PGQR</t>
  </si>
  <si>
    <t>NSEGWEQNGLY(1)EFFR</t>
  </si>
  <si>
    <t>Q8IWX8;J3QK89</t>
  </si>
  <si>
    <t>ALS(0.572)DHHIY(0.425)LEGT(0.003)LLKPNMVTPGHACTQK</t>
  </si>
  <si>
    <t>VTENYLCKPEDNIY(0.739)S(0.238)IDFT(0.022)R</t>
  </si>
  <si>
    <t>LFHEDGECWVY(1)DEPLLKR</t>
  </si>
  <si>
    <t>Q96SU4-7;Q96SU4-2;Q96SU4;Q96SU4-6;Q96SU4-5;Q96SU4-4;Q96SU4-3</t>
  </si>
  <si>
    <t>QEVPSWLENMAY(0.006)EHHY(0.994)K</t>
  </si>
  <si>
    <t>SDVY(0.001)S(0.003)DLNT(0.168)QRPY(0.684)Y(0.144)K</t>
  </si>
  <si>
    <t>LSLEGDHST(0.001)PPS(0.526)AY(0.329)GS(0.144)VK</t>
  </si>
  <si>
    <t>LPACVVDCGT(0.587)GY(0.324)T(0.089)K</t>
  </si>
  <si>
    <t>NVALLS(0.061)QLY(0.877)HS(0.061)PAR</t>
  </si>
  <si>
    <t>Q15717;Q15717-2</t>
  </si>
  <si>
    <t>LY(1)SVSYLLK</t>
  </si>
  <si>
    <t>GPVY(1)IGELPQDFLR</t>
  </si>
  <si>
    <t>Q9H0E2;F2Z2Y8;E9PNS3</t>
  </si>
  <si>
    <t>HHEGGT(0.003)PY(0.997)AEYGGWYK</t>
  </si>
  <si>
    <t>Q9NSK0-5;Q9NSK0;Q9NSK0-3</t>
  </si>
  <si>
    <t>AFPY(0.998)GNVAFPHLPGS(0.001)APSWPSLVDTSK</t>
  </si>
  <si>
    <t>Q6UN15-3;Q6UN15-5;Q6UN15</t>
  </si>
  <si>
    <t>RFTAQGLPDLNHS(0.069)QVY(0.931)AVK</t>
  </si>
  <si>
    <t>DIYET(0.015)DY(0.422)Y(0.563)R</t>
  </si>
  <si>
    <t>VLQAS(1)FRGVR</t>
  </si>
  <si>
    <t>Q8IZT6</t>
  </si>
  <si>
    <t>LYLQS(0.006)PHS(0.066)Y(0.202)EDPY(0.726)FDDR</t>
  </si>
  <si>
    <t>QMDTEAAASEASQDVT(0.069)Y(0.913)AQLHS(0.008)LT(0.01)LR</t>
  </si>
  <si>
    <t>SQWY(1)ELQQLDSK</t>
  </si>
  <si>
    <t>MVS(0.002)IS(0.512)NY(0.444)PLS(0.039)AALT(0.004)CAK</t>
  </si>
  <si>
    <t>GFACSLCPFAT(0.045)HY(0.955)PNHLAR</t>
  </si>
  <si>
    <t>Q8N8E2-3;Q8N8E2-2;Q8N8E2</t>
  </si>
  <si>
    <t>ENS(0.001)Y(0.036)PWPY(0.963)GR</t>
  </si>
  <si>
    <t>J3KRF8;Q96GD4-3;Q96GD4-2;Q96GD4;Q96GD4-5</t>
  </si>
  <si>
    <t>EKY(0.5)GIVDY(0.5)MIEQSGPPSK</t>
  </si>
  <si>
    <t>VCNY(0.945)GLT(0.055)FT(0.001)QK</t>
  </si>
  <si>
    <t>Q9Y277;Q9Y277-2;E5RHE1;E5RFP6</t>
  </si>
  <si>
    <t>RGFLGSGYSSSATT(0.002)QQENS(0.199)Y(0.799)GK</t>
  </si>
  <si>
    <t>DLIHDQDEDEEEEEGQRFY(0.907)AGGS(0.093)ER</t>
  </si>
  <si>
    <t>Q9UNZ2;F2Z2K0;Q9UNZ2-4</t>
  </si>
  <si>
    <t>EIFGLY(0.755)GQT(0.2)T(0.045)GK</t>
  </si>
  <si>
    <t>Q9NR31;Q9NR31-2</t>
  </si>
  <si>
    <t>SDGDY(0.033)DY(0.967)LIK</t>
  </si>
  <si>
    <t>AGEY(1)IFER</t>
  </si>
  <si>
    <t>Q02252-2;Q02252</t>
  </si>
  <si>
    <t>GS(1)PHYFS(0.004)PFRPY(0.996)</t>
  </si>
  <si>
    <t>AYQHGGVTGLS(0.017)QY(0.982)</t>
  </si>
  <si>
    <t>Y(1)EAPQATDGLAGALDAR</t>
  </si>
  <si>
    <t>O60784-3;O60784-4;O60784;O60784-2</t>
  </si>
  <si>
    <t>LFPQLQT(0.042)Y(0.921)VPY(0.037)RPHPPQLR</t>
  </si>
  <si>
    <t>E9PKC0;Q6IQ23;Q6IQ23-2;Q6IQ23-3</t>
  </si>
  <si>
    <t>GNLY(0.925)S(0.074)FGCPEYGQLGHNSDGK</t>
  </si>
  <si>
    <t>Q9P258</t>
  </si>
  <si>
    <t>DALQEIY(1)NQK</t>
  </si>
  <si>
    <t>Q9NRZ7-2;Q9NRZ7;Q9NRZ7-3</t>
  </si>
  <si>
    <t>GY(0.998)IS(0.001)PYFINTSK</t>
  </si>
  <si>
    <t>EKPY(0.001)FPIPEEY(0.46)T(0.54)FIQNVPLEDR</t>
  </si>
  <si>
    <t>DGS(0.033)S(0.033)QQLQGY(0.933)IPS(0.128)NY(0.873)VAEDR</t>
  </si>
  <si>
    <t>SGPKPFS(0.003)APKPQT(0.762)S(0.186)PS(0.049)PK</t>
  </si>
  <si>
    <t>Q01518-2;Q01518</t>
  </si>
  <si>
    <t>ADHQPLT(0.038)EAS(0.516)Y(0.446)VNLPTIALCNTDSPLR</t>
  </si>
  <si>
    <t>YAMVY(0.002)GY(0.996)NAAY(0.002)NR</t>
  </si>
  <si>
    <t>SYEDMIGEEVPS(0.164)DQY(0.651)Y(0.185)WAPLAQHER</t>
  </si>
  <si>
    <t>ATTGLKPVDSGCVAY(1)VLR</t>
  </si>
  <si>
    <t>GLCTS(0.001)PAEHQY(0.002)FMT(0.989)EY(0.935)VAT(0.073)R</t>
  </si>
  <si>
    <t>NHQLY(1)CNDCYLR</t>
  </si>
  <si>
    <t>TEGTY(0.003)DLPY(0.997)WDR</t>
  </si>
  <si>
    <t>MS(0.009)Y(0.952)T(0.039)LQHVPIPR</t>
  </si>
  <si>
    <t>Q6IB77</t>
  </si>
  <si>
    <t>SPT(0.003)EY(0.022)HEPVY(0.964)ANPFY(0.005)RPT(0.003)T(0.003)PQR</t>
  </si>
  <si>
    <t>S4R313;Q9NP74-3;Q9NP74-2;Q9NP74</t>
  </si>
  <si>
    <t>SYIGSNHSSLGSMSPS(0.005)NMEGY(0.465)S(0.53)K</t>
  </si>
  <si>
    <t>DKGNFY(1)EASDWFK</t>
  </si>
  <si>
    <t>Q6PD62</t>
  </si>
  <si>
    <t>FYCDY(0.034)CDT(0.156)Y(0.756)LT(0.053)HDS(0.001)PSVR</t>
  </si>
  <si>
    <t>P09234;A0A0A0MRR7</t>
  </si>
  <si>
    <t>GY(0.999)STWLK</t>
  </si>
  <si>
    <t>P35241;P35241-5</t>
  </si>
  <si>
    <t>VKGEY(0.998)DVT(0.002)VPK</t>
  </si>
  <si>
    <t>QVLKY(1)DDFLK</t>
  </si>
  <si>
    <t>AIALCHNVTPVY(0.002)ES(0.005)NGVT(0.216)DQAEAEKQY(0.686)EDS(0.092)CR</t>
  </si>
  <si>
    <t>A0A0A0MR22;O75110-2;O75110</t>
  </si>
  <si>
    <t>LYHEADKT(0.185)Y(0.814)MLR</t>
  </si>
  <si>
    <t>O75663</t>
  </si>
  <si>
    <t>SENQEFY(0.996)QDT(0.004)FGQQWK</t>
  </si>
  <si>
    <t>O60506-2;O60506</t>
  </si>
  <si>
    <t>SET(0.001)GALGENY(0.467)S(0.532)WQIPINHNDFK</t>
  </si>
  <si>
    <t>VT(0.207)RY(0.793)PILGIPQAHR</t>
  </si>
  <si>
    <t>NINSINFDNPVY(1)QK</t>
  </si>
  <si>
    <t>P01130-3;P01130-6;P01130-4;P01130;P01130-2;P01130-5</t>
  </si>
  <si>
    <t>ANHS(0.014)S(0.014)HQEDT(0.201)Y(0.77)GALDFTLSR</t>
  </si>
  <si>
    <t>LLDEELY(0.807)S(0.193)R</t>
  </si>
  <si>
    <t>P41226</t>
  </si>
  <si>
    <t>YIEDEDY(0.852)Y(0.333)KAS(0.647)VT(0.168)RLPIK</t>
  </si>
  <si>
    <t>Y(1)FDSGDYNMAK</t>
  </si>
  <si>
    <t>H3BQ52;H3BMD8;A6NMQ3;Q5T5H1;P56211-2;P56211;O43768-6;O43768-5;O43768-2;O43768;O43768-9;O43768-7;O43768-3;O43768-4</t>
  </si>
  <si>
    <t>SLIY(0.953)T(0.038)DT(0.009)LVR</t>
  </si>
  <si>
    <t>Q5SYE7-2</t>
  </si>
  <si>
    <t>DSAEGNDS(0.107)Y(0.825)PS(0.068)GIHLELQR</t>
  </si>
  <si>
    <t>P50443</t>
  </si>
  <si>
    <t>RGWDSSHEDDLPVY(0.848)LARPGT(0.076)T(0.076)DQVPR</t>
  </si>
  <si>
    <t>Q14195-2</t>
  </si>
  <si>
    <t>Y(1)IGFTWK</t>
  </si>
  <si>
    <t>Q9NWB7</t>
  </si>
  <si>
    <t>DY(0.003)NPY(0.731)NY(0.196)S(0.062)DS(0.006)IS(0.002)PFNK</t>
  </si>
  <si>
    <t>E7ERI8;E7EW49;O75122-3;E3W994;J3KR49;O75122</t>
  </si>
  <si>
    <t>TQAVFNHT(0.044)EDY(0.956)VLLPDER</t>
  </si>
  <si>
    <t>Q05048</t>
  </si>
  <si>
    <t>VQLY(0.977)GPT(0.022)NVAPIIS(0.001)K</t>
  </si>
  <si>
    <t>Q9UBL6-2;Q9UBL6</t>
  </si>
  <si>
    <t>YLANMNY(1)VHR</t>
  </si>
  <si>
    <t>T(0.002)KPPEGY(0.369)DT(0.622)VT(0.007)LYPK</t>
  </si>
  <si>
    <t>RMDS(0.008)EDVY(0.992)DDVETIPMK</t>
  </si>
  <si>
    <t>O43490-2;O43490;O43490-4;O43490-7</t>
  </si>
  <si>
    <t>MQQY(0.008)T(0.002)EHFMAAGY(0.93)T(0.061)AIEK</t>
  </si>
  <si>
    <t>LT(0.002)RDET(0.009)NY(0.988)GIPQR</t>
  </si>
  <si>
    <t>P63244;D6RHH4;D6RAC2;D6RAU2;E9PD14;D6R909;D6RGK8</t>
  </si>
  <si>
    <t>LSMKEGDPAIY(1)AER</t>
  </si>
  <si>
    <t>DREDY(1)VPYTGEK</t>
  </si>
  <si>
    <t>Q9NYL9</t>
  </si>
  <si>
    <t>EAVY(0.825)S(0.175)DKLQHY(0.671)S(0.164)T(0.164)GR</t>
  </si>
  <si>
    <t>P54762-5;P54762</t>
  </si>
  <si>
    <t>EAMEHPY(0.01)FY(0.946)T(0.044)VVK</t>
  </si>
  <si>
    <t>E7EU96;Q5U5J2;P68400;Q8NEV1;P68400-2</t>
  </si>
  <si>
    <t>TLEDIEKNY(0.991)MS(0.009)PLR</t>
  </si>
  <si>
    <t>LAY(1)EQLDKFPR</t>
  </si>
  <si>
    <t>F5GX51;Q9Y4F9</t>
  </si>
  <si>
    <t>Y(0.004)LEQLHQLY(0.755)S(0.236)DS(0.005)FPMELR</t>
  </si>
  <si>
    <t>P40763-3;P40763;P40763-2</t>
  </si>
  <si>
    <t>QDFDVDCY(1)AQR</t>
  </si>
  <si>
    <t>KPES(0.535)PY(0.465)GNLCDAPDS(1)PRPVK</t>
  </si>
  <si>
    <t>SYGAADHY(0.995)GPDPT(0.005)K</t>
  </si>
  <si>
    <t>LTEQVFNEAPGIS(0.001)CNPVQGAMY(0.745)S(0.254)FPR</t>
  </si>
  <si>
    <t>P24298</t>
  </si>
  <si>
    <t>HGDEIIT(0.003)S(0.006)T(0.015)T(0.015)S(0.038)NY(0.856)ET(0.038)QT(0.018)FS(0.004)S(0.005)K</t>
  </si>
  <si>
    <t>YGWLAAPQAY(0.457)VS(0.543)EK</t>
  </si>
  <si>
    <t>ALY(0.998)DT(0.002)FSAFGNILSCK</t>
  </si>
  <si>
    <t>B1ANR0;Q13310-2;Q13310;Q13310-3;P11940;A0A087WTT1;E7EQV3;P11940-2</t>
  </si>
  <si>
    <t>VCY(0.999)LPLNT(0.001)FLLRPLHR</t>
  </si>
  <si>
    <t>C9JME2;Q9Y4F1;Q9Y4F1-2</t>
  </si>
  <si>
    <t>NKPGPY(0.767)S(0.116)S(0.116)VPPPSAPPPKK</t>
  </si>
  <si>
    <t>Q14978;Q14978-3;Q14978-2</t>
  </si>
  <si>
    <t>FSGFY(0.744)S(0.256)MQK</t>
  </si>
  <si>
    <t>TKDIEDVFY(1)K</t>
  </si>
  <si>
    <t>J3KTL2;Q07955-3;Q07955;Q07955-2;J3QQV5;J3KSW7</t>
  </si>
  <si>
    <t>FS(0.053)AHY(0.947)DAVEAELK</t>
  </si>
  <si>
    <t>Q14320;Q9Y247</t>
  </si>
  <si>
    <t>FELS(0.03)CY(0.441)S(0.529)LAPQIK</t>
  </si>
  <si>
    <t>P00966</t>
  </si>
  <si>
    <t>NCDYQQEADNS(0.005)CIY(0.995)VNK</t>
  </si>
  <si>
    <t>P36954;K7EKS1</t>
  </si>
  <si>
    <t>NFAT(0.001)S(0.005)LY(0.448)S(0.546)MIK</t>
  </si>
  <si>
    <t>DKPVY(0.995)DELFY(0.003)T(0.001)LSPINGK</t>
  </si>
  <si>
    <t>A0A087WUA5;Q9H223</t>
  </si>
  <si>
    <t>SLSLSLADS(0.001)GHLPDVHGFNS(0.52)Y(0.359)GS(0.12)HR</t>
  </si>
  <si>
    <t>CY(0.996)Y(0.004)CNGPILDK</t>
  </si>
  <si>
    <t>ALSVGNIDDALQCY(0.941)S(0.059)EAIK</t>
  </si>
  <si>
    <t>P31948;P31948-2;P31948-3;F5H783;F5GXD8</t>
  </si>
  <si>
    <t>KLY(1)AHEVVAHWIAESR</t>
  </si>
  <si>
    <t>Q709F0;Q709F0-3</t>
  </si>
  <si>
    <t>FNQT(0.184)Y(0.811)QLAHGT(0.005)AEEK</t>
  </si>
  <si>
    <t>Y(0.984)LS(0.015)RPLPGDLGSWK</t>
  </si>
  <si>
    <t>E9PKC0</t>
  </si>
  <si>
    <t>S(0.002)HPPLHEY(0.998)ADLNQLTQGDQEK</t>
  </si>
  <si>
    <t>Q8WUH2</t>
  </si>
  <si>
    <t>KGFPHVIY(1)AR</t>
  </si>
  <si>
    <t>K7EIU8;K7ES96</t>
  </si>
  <si>
    <t>EVADRWY(0.446)S(0.554)EIK</t>
  </si>
  <si>
    <t>Q9H4G4</t>
  </si>
  <si>
    <t>LLGAEEKEY(1)HAEGGKVPIK</t>
  </si>
  <si>
    <t>P00533;E9PFD7;Q504U8</t>
  </si>
  <si>
    <t>IELET(0.015)Y(0.985)KLK</t>
  </si>
  <si>
    <t>Q16204</t>
  </si>
  <si>
    <t>EGQRPTQPVY(1)QIQNR</t>
  </si>
  <si>
    <t>Q9H0W8-2;Q9H0W8</t>
  </si>
  <si>
    <t>IQES(0.048)Y(0.878)GDVY(0.074)GICT(0.001)K</t>
  </si>
  <si>
    <t>RPGY(0.001)GAY(0.999)DAFK</t>
  </si>
  <si>
    <t>P05198</t>
  </si>
  <si>
    <t>GAAPNVVY(0.694)T(0.051)Y(0.241)T(0.014)GKR</t>
  </si>
  <si>
    <t>F8WJN3;Q16630-3;Q16630;Q16630-2;F8W084</t>
  </si>
  <si>
    <t>NTDY(0.462)T(0.534)ELHQQNT(0.003)DLIYQTGPK</t>
  </si>
  <si>
    <t>YANET(0.001)VNPY(0.999)LVIK</t>
  </si>
  <si>
    <t>Q9Y6Q1</t>
  </si>
  <si>
    <t>S(0.521)HY(0.479)ADVDPENQNFLLESNLGK</t>
  </si>
  <si>
    <t>YEDLY(0.974)AFS(0.014)Y(0.012)NPK</t>
  </si>
  <si>
    <t>Q9Y217-2;Q9Y217</t>
  </si>
  <si>
    <t>LKLDY(1)EEITPCLK</t>
  </si>
  <si>
    <t>Q86TI0-2;Q86TI0;A0JNU9</t>
  </si>
  <si>
    <t>MEDMNEY(0.942)S(0.058)NIEEFAEGSK</t>
  </si>
  <si>
    <t>O14979-3;O14979-2;A0A087WUK2;O14979;A0A087WU03</t>
  </si>
  <si>
    <t>NSADGLNMFDGT(0.008)DS(0.53)CY(0.453)FHS(0.01)GPR</t>
  </si>
  <si>
    <t>Y(1)WLCAATGPSIK</t>
  </si>
  <si>
    <t>NILS(0.007)S(0.024)ADY(0.969)VER</t>
  </si>
  <si>
    <t>Q12846-2;Q12846</t>
  </si>
  <si>
    <t>TDDYLDQPCY(0.449)ET(0.551)INR</t>
  </si>
  <si>
    <t>Y(0.997)QY(0.003)GGLNSGRPVTPPR</t>
  </si>
  <si>
    <t>T(0.041)Y(0.959)DRCPLELVR</t>
  </si>
  <si>
    <t>K7EK35;P42229</t>
  </si>
  <si>
    <t>TLNPVY(1)NEILR</t>
  </si>
  <si>
    <t>Q9HCH5-15;Q9HCH5-14;Q9HCH5-6;Q9HCH5;Q9HCH5-13;Q9HCH5-4;Q9HCH5-9;Q9HCH5-2;Q9HCH5-12;Q9HCH5-11;Q9HCH5-7;Q9HCH5-8</t>
  </si>
  <si>
    <t>AY(0.736)HEQLT(0.262)VAEIT(0.002)NACFEPANQMVK</t>
  </si>
  <si>
    <t>Q9BQE3;F5H5D3</t>
  </si>
  <si>
    <t>Y(0.114)NEENY(0.843)GVVS(0.013)T(0.013)Y(0.012)DS(0.002)S(0.003)LS(0.001)SYTVPLER</t>
  </si>
  <si>
    <t>F8WB06;F8VQP2;V9GY86;Q99700-2;Q99700-5;Q99700-4;Q99700</t>
  </si>
  <si>
    <t>LILADALCY(0.937)AHT(0.063)FNPK</t>
  </si>
  <si>
    <t>P28838-2;P28838</t>
  </si>
  <si>
    <t>Y(0.998)AAS(0.002)SYLSLTPEQWK</t>
  </si>
  <si>
    <t>A0A087WWC9;A0A087WXC3;A0A087WWU7;A0A087WYN7;A0A087WWT5;A0A087WX49;A0A0B4J231;A0A087WU42;A0A087X2A1;A0A087WYR4;P0CG04;B9A064;P0CG05;P0CF74;A0M8Q6</t>
  </si>
  <si>
    <t>GQVLNS(0.001)DELQELY(0.999)EGLR</t>
  </si>
  <si>
    <t>O00764;F2Z2Y4;O00764-2</t>
  </si>
  <si>
    <t>Y(0.839)Y(0.161)VLNALK</t>
  </si>
  <si>
    <t>SEAPNWAT(0.001)QDS(0.01)GFY(0.989)</t>
  </si>
  <si>
    <t>HIDS(0.692)AHLY(0.308)NNEEQVGLAIR</t>
  </si>
  <si>
    <t>WEQGQADY(0.999)MGADS(0.001)FDNIKR</t>
  </si>
  <si>
    <t>P46976-2;P46976</t>
  </si>
  <si>
    <t>FGPY(0.753)ES(0.192)Y(0.052)DS(0.003)R</t>
  </si>
  <si>
    <t>Q5BKZ1</t>
  </si>
  <si>
    <t>WLNS(0.001)PNT(0.133)Y(0.865)MK</t>
  </si>
  <si>
    <t>A0A087WX08;Q9UEY8-2;Q9UEY8</t>
  </si>
  <si>
    <t>YADIESSNYMAPY(0.121)DNY(0.877)VPS(0.003)APER</t>
  </si>
  <si>
    <t>QVVDCQLADVNNIGKY(1)R</t>
  </si>
  <si>
    <t>KHT(0.021)LS(0.087)Y(0.892)VDVGTGK</t>
  </si>
  <si>
    <t>GY(1)FFLDER</t>
  </si>
  <si>
    <t>P50479</t>
  </si>
  <si>
    <t>RS(0.5)S(0.5)PAADVQEENLY(1)AAVK</t>
  </si>
  <si>
    <t>GHLSRPEAQSLS(0.011)PY(0.678)T(0.203)T(0.054)S(0.054)ANR</t>
  </si>
  <si>
    <t>O94776;O94776-2</t>
  </si>
  <si>
    <t>Y(0.439)RS(0.561)DIHTEAVQAALAK</t>
  </si>
  <si>
    <t>ISIEMNGTLEDQLS(0.195)HLKQY(0.805)ER</t>
  </si>
  <si>
    <t>O43707;O43707-2;F5GXS2;O43707-3</t>
  </si>
  <si>
    <t>WDCESICSTY(0.001)S(0.031)NLY(0.968)NHPQLIK</t>
  </si>
  <si>
    <t>T(0.532)Y(0.468)QELLVNQNPIAQPLASR</t>
  </si>
  <si>
    <t>Q9NX24;J3QSY4</t>
  </si>
  <si>
    <t>GHFGCVY(0.966)HGT(0.034)LLDNDGKK</t>
  </si>
  <si>
    <t>KGADS(0.005)LEDFLY(0.03)HEGY(0.944)ACT(0.014)S(0.005)IHGDR</t>
  </si>
  <si>
    <t>IGITNHDEY(0.45)S(0.55)LVR</t>
  </si>
  <si>
    <t>Y(1)VLLNDQPDDDDGNPNEHR</t>
  </si>
  <si>
    <t>Q8NEU8-2;Q8NEU8;Q8NEU8-3;F8VS86</t>
  </si>
  <si>
    <t>T(0.527)HCPY(0.472)AVALPEVAPAQPLTEALR</t>
  </si>
  <si>
    <t>Q6PJG6;Q6PJG6-3</t>
  </si>
  <si>
    <t>Y(0.999)MPAVTSTPTVNQHETSTSK</t>
  </si>
  <si>
    <t>TLSFGSDLNY(0.798)AT(0.202)R</t>
  </si>
  <si>
    <t>Q14152-2;Q14152</t>
  </si>
  <si>
    <t>NPY(0.937)Y(0.061)GGES(0.002)ASITPLEDLYKR</t>
  </si>
  <si>
    <t>EKDY(0.949)WT(0.051)CFEVNER</t>
  </si>
  <si>
    <t>AGAY(0.999)DFPS(0.001)PEWDTVTPEAK</t>
  </si>
  <si>
    <t>Q5SWX3;A0A0A0MS52;A0A0A0MT11;Q13555-10;Q13555-3;Q13555-5;Q13555-4;Q13555-7;Q13555-9;Q13555-2;Q13555-8;Q13555;Q13555-6;D6R938;E9PBG7;E9PF82;Q13557-8;Q13557-12;Q13557-9;Q13557-10;Q13557-5;Q13557;Q13557-3;Q13557-6;Q13557-4;Q13557-11;H7BXS4;Q13554-7;Q9UQM7;Q13554-4;Q9UQM7-2;Q13554-6;Q13554-3;Q13554-8;Q13554-5;Q13554-2;Q13554</t>
  </si>
  <si>
    <t>LHLY(0.504)NS(0.417)LT(0.079)R</t>
  </si>
  <si>
    <t>B4DKY1;P49589-2;P49589;P49589-3;C9JLN0;E9PRS8;E9PLP0</t>
  </si>
  <si>
    <t>KAVSEQSGAIIY(1)CPVNR</t>
  </si>
  <si>
    <t>S(0.002)DGDY(0.963)DY(0.035)LIK</t>
  </si>
  <si>
    <t>NLY(0.998)S(0.006)GDY(0.897)Y(0.099)R</t>
  </si>
  <si>
    <t>Y(1)AFLLDK</t>
  </si>
  <si>
    <t>SLGDLPEGPEDQAVT(0.08)EY(0.82)VAT(0.1)R</t>
  </si>
  <si>
    <t>Q8TD08-2;Q8TD08-3;Q8TD08</t>
  </si>
  <si>
    <t>ELY(0.011)DRY(0.989)GEQGLR</t>
  </si>
  <si>
    <t>O60884</t>
  </si>
  <si>
    <t>KHEALMSDLS(0.002)AY(0.958)GS(0.03)S(0.011)IQALR</t>
  </si>
  <si>
    <t>TTYQALPCLPS(0.014)MY(0.192)GY(0.794)PNR</t>
  </si>
  <si>
    <t>KLPIS(0.003)EEEQIY(0.997)PWDTCAAVHDVR</t>
  </si>
  <si>
    <t>Q6ZT12;Q6ZT12-2;Q6ZT12-4</t>
  </si>
  <si>
    <t>IINDY(1)EEFSKER</t>
  </si>
  <si>
    <t>Q14790-7;Q14790;Q14790-9;Q14790-5</t>
  </si>
  <si>
    <t>DLS(0.549)Y(0.45)CLS(0.001)GMYDHR</t>
  </si>
  <si>
    <t>T(0.005)S(0.018)AY(0.921)S(0.056)LEHADLGAGYYR</t>
  </si>
  <si>
    <t>F6RY50;Q96FS4</t>
  </si>
  <si>
    <t>GVTTSLQIS(0.01)GDHS(0.029)INAT(0.029)QPS(0.253)KPY(0.679)AEPVR</t>
  </si>
  <si>
    <t>Q52LW3</t>
  </si>
  <si>
    <t>MDSY(0.001)T(0.003)S(0.185)Y(0.806)CNAVS(0.005)DLHSASEIDMSVK</t>
  </si>
  <si>
    <t>WYAPECINY(0.854)Y(0.146)K</t>
  </si>
  <si>
    <t>EGS(0.008)DS(0.592)Y(0.392)AIT(0.007)FR</t>
  </si>
  <si>
    <t>T(0.006)S(0.006)IDAY(0.983)DNFDNIS(0.004)LAQR</t>
  </si>
  <si>
    <t>GVY(1)AIPPSACR</t>
  </si>
  <si>
    <t>QNCELFEQLGEY(1)KFQNALLVR</t>
  </si>
  <si>
    <t>CON__P02768-1;P02768;A0A0C4DGB6;B7WNR0;D6RHD5;A0A087WWT3;P02768-3;C9JKR2;P02768-2</t>
  </si>
  <si>
    <t>VY(0.956)LS(0.044)RGDEDLGDMGEDEEAQFR</t>
  </si>
  <si>
    <t>Q9BSW2;Q9BSW2-2</t>
  </si>
  <si>
    <t>T(0.05)RPDY(0.743)PGS(0.208)LAEPNYPR</t>
  </si>
  <si>
    <t>LPEPSCPQLATLT(0.002)S(0.005)QCLT(0.189)Y(0.555)EPT(0.189)QRPS(0.059)FR</t>
  </si>
  <si>
    <t>E9PM19;P29597</t>
  </si>
  <si>
    <t>NNAY(0.999)LAQS(0.001)PQLYK</t>
  </si>
  <si>
    <t>P14868;P14868-2</t>
  </si>
  <si>
    <t>Y(1)VAVMPPHIGDQPLTGAYTVTLDGR</t>
  </si>
  <si>
    <t>P30043</t>
  </si>
  <si>
    <t>MHLPSPTDS(0.004)NFY(0.996)R</t>
  </si>
  <si>
    <t>QMDTEAAAS(0.002)EAPQDVT(0.232)Y(0.637)AQLHS(0.095)LT(0.034)LR</t>
  </si>
  <si>
    <t>D9IDM6;D9IDM5;A0A0G2JNQ6;A0A087WSV6;A0A0G2JP64;F6TER3;Q8NHL6-4;Q8NHL6-3;A8MVE2;A0A0G2JQ46;A0A0B4J1W1;A0A0G2JQ44;A0A087WSX8;A0A0G2JNM2;A0A0G2JQ15;Q8NHL6;Q8NHL6-2;A0A0G2JPM8;A0A0G2JNP3</t>
  </si>
  <si>
    <t>LQNT(0.006)GVADGY(0.994)PVRLECR</t>
  </si>
  <si>
    <t>Q8WX93-3;Q8WX93;Q8WX93-4;Q8WX93-8;Q8WX93-5;Q8WX93-7;Q8WX93-2;Q8WX93-9</t>
  </si>
  <si>
    <t>DHLY(0.998)LPLEPS(0.001)Y(0.001)R</t>
  </si>
  <si>
    <t>Q12968-5;I3L3K7;Q12968-6;Q12968-4;Q12968-3;Q12968-2;Q12968</t>
  </si>
  <si>
    <t>GFGHIGIAVPDVY(0.38)S(0.62)ACK</t>
  </si>
  <si>
    <t>Q04760-2;Q04760</t>
  </si>
  <si>
    <t>NS(0.001)NY(0.999)CLPSYTAYK</t>
  </si>
  <si>
    <t>GGY(0.158)DGY(0.564)RPS(0.195)FS(0.062)NT(0.021)PNSGYTQSQFSAPR</t>
  </si>
  <si>
    <t>Q14444-2;Q14444;G3V153</t>
  </si>
  <si>
    <t>HGEPVATAVPGY(0.444)S(0.538)LT(0.018)</t>
  </si>
  <si>
    <t>E9PSF9;Q6ZSM3</t>
  </si>
  <si>
    <t>YGLLPS(0.016)HAS(0.172)Y(0.811)L</t>
  </si>
  <si>
    <t>Q86U90</t>
  </si>
  <si>
    <t>SFDLT(0.005)T(0.024)PY(0.971)R</t>
  </si>
  <si>
    <t>Y(0.846)S(0.154)VPQAELQGR</t>
  </si>
  <si>
    <t>Q8IYJ3-2;Q8IYJ3</t>
  </si>
  <si>
    <t>INVY(0.19)Y(0.795)NEAT(0.014)GGK</t>
  </si>
  <si>
    <t>P68371</t>
  </si>
  <si>
    <t>YYADGEDAY(1)AMKR</t>
  </si>
  <si>
    <t>P41227;F8W808;A8MWP7;P41227-2;Q9BSU3</t>
  </si>
  <si>
    <t>KALINGDENLACQIY(1)ENNPQLK</t>
  </si>
  <si>
    <t>Q9P2G1</t>
  </si>
  <si>
    <t>ERPISMINEAS(0.03)NY(0.955)NVT(0.008)S(0.003)DY(0.003)AVHPMSPVGR</t>
  </si>
  <si>
    <t>QLIIEDPY(0.346)Y(0.088)GNDS(0.565)DFET(0.001)VYQQCVR</t>
  </si>
  <si>
    <t>Y(0.171)Y(0.829)DAIACLK</t>
  </si>
  <si>
    <t>O00170</t>
  </si>
  <si>
    <t>Y(0.006)QY(0.993)AIDEYYR</t>
  </si>
  <si>
    <t>Q8N128;Q8N128-2</t>
  </si>
  <si>
    <t>T(0.572)Y(0.426)S(0.002)FEQPWPNAR</t>
  </si>
  <si>
    <t>S(0.552)Y(0.448)EQVPPQGFTSR</t>
  </si>
  <si>
    <t>YAMVYGY(0.002)NAAY(0.998)NR</t>
  </si>
  <si>
    <t>FYCDY(0.019)CDT(0.518)Y(0.433)LT(0.03)HDS(0.001)PSVR</t>
  </si>
  <si>
    <t>DSGIT(0.221)Y(0.779)LGIK</t>
  </si>
  <si>
    <t>P51452;P51452-2</t>
  </si>
  <si>
    <t>YQYAIDEY(0.5)Y(0.5)R</t>
  </si>
  <si>
    <t>ALLYEDALY(0.826)T(0.174)VLHR</t>
  </si>
  <si>
    <t>Q70J99;Q70J99-3;Q70J99-2</t>
  </si>
  <si>
    <t>Y(1)LEPGIPPEQPHQR</t>
  </si>
  <si>
    <t>Q8TE67-2;Q8TE67;Q8TE67-3</t>
  </si>
  <si>
    <t>T(0.041)HY(0.787)S(0.173)NIEANESEEVR</t>
  </si>
  <si>
    <t>K7ELJ7;A0A0C4DGQ5;P04632</t>
  </si>
  <si>
    <t>IEGY(1)PDPEVVWFK</t>
  </si>
  <si>
    <t>Q15746-4;Q15746-2;Q15746-3;Q15746;Q15746-5;Q15746-7;Q15746-9;Q15746-8;Q15746-6;Q15746-11;Q15746-10</t>
  </si>
  <si>
    <t>SQQWDPLIY(0.731)S(0.214)S(0.055)IFECKPQR</t>
  </si>
  <si>
    <t>Q86TI0-2;Q86TI0;B5MCJ2</t>
  </si>
  <si>
    <t>T(0.204)Y(0.791)AT(0.004)ALGQGAFLPAELSLQHPETQIHAE</t>
  </si>
  <si>
    <t>NLY(1)IISVK</t>
  </si>
  <si>
    <t>P62829;J3KT29;B9ZVP7</t>
  </si>
  <si>
    <t>AGLY(1)GLPR</t>
  </si>
  <si>
    <t>ALALDES(0.028)PY(0.972)GVR</t>
  </si>
  <si>
    <t>M0R2R3;Q9BPX1</t>
  </si>
  <si>
    <t>LHSLY(0.995)T(0.005)PVIK</t>
  </si>
  <si>
    <t>Y(1)RIKDDLTTIR</t>
  </si>
  <si>
    <t>Q5VY60;Q7Z4H7-2;Q7Z4H7</t>
  </si>
  <si>
    <t>EY(1)VNASEVSSGKPVSAR</t>
  </si>
  <si>
    <t>O15231-2;O15231-5;O15231-4;O15231-7;O15231;O15231-3;O15231-8;O15231-6;O15231-9</t>
  </si>
  <si>
    <t>ACT(0.007)QPRPNY(0.363)AS(0.554)NFS(0.076)VIGAR</t>
  </si>
  <si>
    <t>SLEDLQDEY(1)DFKCK</t>
  </si>
  <si>
    <t>NY(0.041)GS(0.204)Y(0.687)S(0.052)T(0.016)QAS(0.001)AAAATAELLK</t>
  </si>
  <si>
    <t>AVEY(1)GLIQPNQDGE</t>
  </si>
  <si>
    <t>Q9H3U1-2;Q9H3U1;Q9H3U1-3</t>
  </si>
  <si>
    <t>S(0.558)AHY(0.44)IELGS(0.001)YQYWPVLVPR</t>
  </si>
  <si>
    <t>D6RDU4;F8W784;Q6TCH7-4;Q6TCH7-3;Q6TCH7-2;Q6TCH7</t>
  </si>
  <si>
    <t>IVLPGNFLY(0.037)CT(0.531)FY(0.405)GRPY(0.027)K</t>
  </si>
  <si>
    <t>Q8NB90-3;Q8NB90-2;Q8NB90</t>
  </si>
  <si>
    <t>ALEVY(1)DLIR</t>
  </si>
  <si>
    <t>H0YKV4;Q9H5X1;Q9H5X1-2</t>
  </si>
  <si>
    <t>DQGGELLS(0.511)LRY(0.447)DLT(0.042)VPFAR</t>
  </si>
  <si>
    <t>B3KWE1;P12081-3;P12081-2;P12081-4;P12081</t>
  </si>
  <si>
    <t>NGQGWVPS(0.194)NY(0.801)IT(0.005)PVNSLEK</t>
  </si>
  <si>
    <t>P00519;P00519-2;P42684-7;P42684-8;P42684-4;P42684-10;P42684-5;P42684-6;P42684-2;P42684-3;P42684</t>
  </si>
  <si>
    <t>TFLLDS(0.037)DY(0.963)ER</t>
  </si>
  <si>
    <t>G5E933;O95248;O95248-4;A0A087WZP7;Q86WG5</t>
  </si>
  <si>
    <t>EIISFGS(0.058)GY(0.725)GGNS(0.217)LLGK</t>
  </si>
  <si>
    <t>Q16822;B4DW73;H0YML5;H0YM31;A0A0A0MS74;Q16822-2;P35558</t>
  </si>
  <si>
    <t>MT(0.001)ELY(0.85)DY(0.149)PK</t>
  </si>
  <si>
    <t>P48147</t>
  </si>
  <si>
    <t>EY(0.718)GS(0.049)CS(0.049)HHY(0.184)QQLLQSLEQGAQEESR</t>
  </si>
  <si>
    <t>RGDS(0.195)Y(0.805)DLKDFVNLHSFQVR</t>
  </si>
  <si>
    <t>KLEAAEDIAY(0.459)QLS(0.541)R</t>
  </si>
  <si>
    <t>Y(0.006)Y(0.006)VPS(0.529)Y(0.459)EEVMNT(0.001)NYSEAR</t>
  </si>
  <si>
    <t>AFADS(0.059)S(0.206)Y(0.735)LLR</t>
  </si>
  <si>
    <t>H3BS42;Q9H5H4</t>
  </si>
  <si>
    <t>HY(0.009)EEIPEY(0.991)ENLPFIMAIR</t>
  </si>
  <si>
    <t>F8VY01;Q6ZV73-2;Q6ZV73</t>
  </si>
  <si>
    <t>T(0.002)Y(0.003)S(0.198)Y(0.751)LT(0.046)PDLWK</t>
  </si>
  <si>
    <t>QY(0.928)Y(0.032)T(0.039)LLNQAPDMLHR</t>
  </si>
  <si>
    <t>Q13283;E5RJU8;Q13283-2;E5RH00</t>
  </si>
  <si>
    <t>LSIPT(0.216)Y(0.766)GLQCT(0.018)R</t>
  </si>
  <si>
    <t>IHFPLAT(0.537)Y(0.454)APVIS(0.009)AEK</t>
  </si>
  <si>
    <t>QADT(0.004)T(0.012)QY(0.984)VPMLER</t>
  </si>
  <si>
    <t>SQIDDLY(0.64)S(0.18)T(0.18)IKV</t>
  </si>
  <si>
    <t>E7EPM6;P33121-2;P33121-3;P33121;B7Z3Z9</t>
  </si>
  <si>
    <t>NEY(0.993)S(0.007)LTGLCNR</t>
  </si>
  <si>
    <t>Q9BXY0</t>
  </si>
  <si>
    <t>GY(1)LGPEQLPDCLK</t>
  </si>
  <si>
    <t>VIKVY(0.994)S(0.006)EDETSR</t>
  </si>
  <si>
    <t>Q14449-2;Q14449</t>
  </si>
  <si>
    <t>Y(1)AFVNWINK</t>
  </si>
  <si>
    <t>A0A0A0MSQ0;P13797-3;P13797-2;P13797;P13796</t>
  </si>
  <si>
    <t>Y(1)RCNVENLPR</t>
  </si>
  <si>
    <t>Q92896;Q92896-3;Q92896-2;H3BM42</t>
  </si>
  <si>
    <t>LEDEGVNS(0.004)S(0.052)PY(0.717)S(0.176)KPT(0.052)IAVK</t>
  </si>
  <si>
    <t>VVLAY(0.998)EPVWAIGT(0.002)GK</t>
  </si>
  <si>
    <t>P60174-1;P60174;P60174-4</t>
  </si>
  <si>
    <t>Y(1)ILDKVEEGAFVK</t>
  </si>
  <si>
    <t>Q9H4E7</t>
  </si>
  <si>
    <t>VGFY(0.99)ES(0.01)DVMGR</t>
  </si>
  <si>
    <t>P01023</t>
  </si>
  <si>
    <t>DVKPENLLY(0.924)T(0.057)S(0.019)K</t>
  </si>
  <si>
    <t>P49137-2;P49137</t>
  </si>
  <si>
    <t>LAALPENPPAIDWAY(0.82)Y(0.18)K</t>
  </si>
  <si>
    <t>O75947-2;O75947;F5H608</t>
  </si>
  <si>
    <t>VLEILY(1)EFPR</t>
  </si>
  <si>
    <t>A0A087X0M0;Q7Z5L2-2;Q7Z5L2</t>
  </si>
  <si>
    <t>Y(0.999)GDGGS(0.001)SFQSTTGHCVHMR</t>
  </si>
  <si>
    <t>P55795</t>
  </si>
  <si>
    <t>VT(0.001)LEY(0.999)RPVIDK</t>
  </si>
  <si>
    <t>DQEPS(0.001)LS(0.003)S(0.003)HVDPT(0.199)KVY(0.793)R</t>
  </si>
  <si>
    <t>G3V1L9;Q07157</t>
  </si>
  <si>
    <t>ILQY(0.381)S(0.112)EPY(0.507)K</t>
  </si>
  <si>
    <t>SWT(0.048)Y(0.185)GIT(0.767)R</t>
  </si>
  <si>
    <t>LTLHGLQQY(0.156)Y(0.844)VK</t>
  </si>
  <si>
    <t>O00148;O00148-2;Q13838;Q13838-2;Q5STU3</t>
  </si>
  <si>
    <t>FAELVY(0.784)T(0.197)GFWHS(0.019)PECEFVR</t>
  </si>
  <si>
    <t>VS(0.011)Y(0.988)DVS(0.001)GFCER</t>
  </si>
  <si>
    <t>O00160</t>
  </si>
  <si>
    <t>VADPDHDHTGFLT(0.037)EY(0.446)VAT(0.517)R</t>
  </si>
  <si>
    <t>Y(0.939)ADIES(0.02)S(0.02)NY(0.022)MAPYDNYVPSAPER</t>
  </si>
  <si>
    <t>TSVLY(0.952)QY(0.794)T(0.253)DGKFNS(0.001)K</t>
  </si>
  <si>
    <t>GQMPENPY(0.453)S(0.547)EVGK</t>
  </si>
  <si>
    <t>Y(0.452)KGT(0.505)AFVT(0.042)LLNGEQAEAAINAFHQSR</t>
  </si>
  <si>
    <t>A0A087WZ13;E9PAU2;Q8IY67-2;Q8IY67</t>
  </si>
  <si>
    <t>Y(0.976)S(0.024)DFEWLR</t>
  </si>
  <si>
    <t>O60493-3;O60493;O60493-4</t>
  </si>
  <si>
    <t>ACGSSEAS(0.026)AY(0.973)LDELR</t>
  </si>
  <si>
    <t>Q8TD43-2;Q8TD43;Q8TD43-3</t>
  </si>
  <si>
    <t>IIY(0.997)GDPVT(0.003)FLPHLPR</t>
  </si>
  <si>
    <t>A0A0A0MTR7;A0A0A0MTC1;Q63HN8;Q63HN8-4;Q63HN8-6</t>
  </si>
  <si>
    <t>RHPY(0.814)FY(0.186)APELLYYANK</t>
  </si>
  <si>
    <t>CON__P02769</t>
  </si>
  <si>
    <t>S(0.001)T(0.001)LEENAY(0.999)EDIVGDLPK</t>
  </si>
  <si>
    <t>E9PJC3;P78524-2;P78524</t>
  </si>
  <si>
    <t>ILAMT(0.013)PES(0.056)IY(0.874)S(0.056)NPS(0.002)IQGCK</t>
  </si>
  <si>
    <t>E9PPJ1;Q8NG31-3;Q8NG31-4;Q8NG31-2;Q8NG31</t>
  </si>
  <si>
    <t>EAGDVCY(0.998)ADVY(0.002)R</t>
  </si>
  <si>
    <t>J3KTL2;Q07955-3;Q07955;Q07955-2</t>
  </si>
  <si>
    <t>LDDFLDLNHKY(1)WER</t>
  </si>
  <si>
    <t>Q8WVY7</t>
  </si>
  <si>
    <t>VGKT(0.167)Y(0.833)ELLNCDK</t>
  </si>
  <si>
    <t>GWLY(0.379)Y(0.621)EAGQR</t>
  </si>
  <si>
    <t>GQEAT(0.009)DT(0.109)EY(0.348)S(0.534)EIKIHR</t>
  </si>
  <si>
    <t>Y(1)GPLPGPAVPR</t>
  </si>
  <si>
    <t>S(0.002)S(0.009)AY(0.988)ES(0.002)LMEIVK</t>
  </si>
  <si>
    <t>Q14974;Q14974-2</t>
  </si>
  <si>
    <t>HICY(1)FQIDKK</t>
  </si>
  <si>
    <t>P27487</t>
  </si>
  <si>
    <t>DMY(0.045)DKEY(0.851)Y(0.515)S(0.59)VHNK</t>
  </si>
  <si>
    <t>LCY(0.961)Y(0.039)IGATDDAATK</t>
  </si>
  <si>
    <t>A8K878;P55145</t>
  </si>
  <si>
    <t>KY(0.538)PDY(0.462)IQIAMPTESR</t>
  </si>
  <si>
    <t>CQVDET(0.001)EEPDVHLPQPY(0.999)AVAR</t>
  </si>
  <si>
    <t>Q86W33</t>
  </si>
  <si>
    <t>IY(1)LDLPQNFK</t>
  </si>
  <si>
    <t>Q9UBS8;D6RBK4</t>
  </si>
  <si>
    <t>AKY(0.506)PDY(0.394)EVT(0.1)WANDGY</t>
  </si>
  <si>
    <t>NIDNPALADIY(0.793)T(0.207)EHAHQVVVAK</t>
  </si>
  <si>
    <t>HFDWLY(1)AR</t>
  </si>
  <si>
    <t>Q96RF0-2;Q96RF0-3;Q96RF0</t>
  </si>
  <si>
    <t>ILEHY(0.999)QWDLSAASR</t>
  </si>
  <si>
    <t>NNEY(0.046)GDT(0.052)VY(0.851)T(0.052)IEVPFHGK</t>
  </si>
  <si>
    <t>J3QLM1;Q14849-2;Q14849-3;Q14849</t>
  </si>
  <si>
    <t>YLDEDT(0.037)IY(0.96)HLQPS(0.003)GR</t>
  </si>
  <si>
    <t>P31153;P31153-2</t>
  </si>
  <si>
    <t>TQNNLES(0.168)DY(0.832)LAR</t>
  </si>
  <si>
    <t>Q6ZSR9</t>
  </si>
  <si>
    <t>STLNEIY(1)FGK</t>
  </si>
  <si>
    <t>B1AK87;B1AK88;P47756-2;P47756</t>
  </si>
  <si>
    <t>IGY(0.986)S(0.013)S(0.001)PLTLSDQSSK</t>
  </si>
  <si>
    <t>MT(0.052)HDCGY(0.948)EELLTS</t>
  </si>
  <si>
    <t>E9PSA9;Q9H2W1</t>
  </si>
  <si>
    <t>KKEQWY(0.89)AGINPS(0.109)DGINS(0.001)EVLEAIR</t>
  </si>
  <si>
    <t>VDS(0.003)AAT(0.081)S(0.27)GY(0.646)EIGNPPDYR</t>
  </si>
  <si>
    <t>P24666;G5E9R5;P24666-4</t>
  </si>
  <si>
    <t>VVALY(0.5)DY(0.5)MPMNANDLQLR</t>
  </si>
  <si>
    <t>EY(1)LSPNQLSR</t>
  </si>
  <si>
    <t>B7Z3B5;F2Z2J1;Q15349;Q15349-3;Q15349-2</t>
  </si>
  <si>
    <t>NGMEDAGDT(0.002)EEFQS(0.007)DPKPS(0.819)QY(0.172)R</t>
  </si>
  <si>
    <t>LDLIT(0.008)S(0.025)DMADY(0.967)QQPLMIGTGTVTR</t>
  </si>
  <si>
    <t>MAGNEY(1)VGFSNATFQSER</t>
  </si>
  <si>
    <t>RPGY(0.5)GAY(0.5)DAFK</t>
  </si>
  <si>
    <t>DNNLT(0.007)T(0.028)GKIY(0.817)QY(0.148)VINK</t>
  </si>
  <si>
    <t>P17812</t>
  </si>
  <si>
    <t>DLKPS(0.006)NILY(0.993)VDESGNPECLR</t>
  </si>
  <si>
    <t>E9PGT3;Q15418-3;Q15418-4;Q15418;Q15418-2</t>
  </si>
  <si>
    <t>FKKY(1)EEIDNAPEER</t>
  </si>
  <si>
    <t>HLS(0.524)PY(0.448)AT(0.028)LTVGDSSHK</t>
  </si>
  <si>
    <t>Y(0.5)Y(0.5)TPTISR</t>
  </si>
  <si>
    <t>P49721;A0A087WVV1</t>
  </si>
  <si>
    <t>VVQEY(0.001)IDAFS(0.534)DY(0.466)ANFK</t>
  </si>
  <si>
    <t>NSLES(0.027)Y(0.973)AFNMK</t>
  </si>
  <si>
    <t>P11142;E9PKE3;E9PNE6;A8K7Q2</t>
  </si>
  <si>
    <t>AT(0.004)GLGEPVY(0.978)GLS(0.018)EDEGESR</t>
  </si>
  <si>
    <t>Q96PU5-3;Q96PU5-2;Q96PU5-5;Q96PU5</t>
  </si>
  <si>
    <t>ISGLIY(0.168)EET(0.832)R</t>
  </si>
  <si>
    <t>YRDDMVKDDY(0.996)EDDS(0.004)HVFR</t>
  </si>
  <si>
    <t>Q5JVS0-2;Q5JVS0</t>
  </si>
  <si>
    <t>QLHEY(0.462)ET(0.538)ELEDERK</t>
  </si>
  <si>
    <t>DFAY(0.987)GET(0.013)DPLIR</t>
  </si>
  <si>
    <t>Y(1)GEGHQAWIIGIVEK</t>
  </si>
  <si>
    <t>P49903-3;P49903;P49903-2</t>
  </si>
  <si>
    <t>ELLY(1)GGTSPTAETILK</t>
  </si>
  <si>
    <t>A0A087X1A5;O95793-2;O95793;Q5JW30;O95793-3</t>
  </si>
  <si>
    <t>IY(1)AMHWGTDSR</t>
  </si>
  <si>
    <t>E7EP32;P62879;P62873-2;P62873</t>
  </si>
  <si>
    <t>QNPGLAY(0.898)GNPY(0.074)S(0.027)GIQESSSPSPLSIK</t>
  </si>
  <si>
    <t>Y(0.805)S(0.195)EGIKHVLQTFGPIPEFSR</t>
  </si>
  <si>
    <t>Q9Y2S2-2;Q9Y2S2</t>
  </si>
  <si>
    <t>YYVPS(0.147)Y(0.853)EEVMNTNYSEAR</t>
  </si>
  <si>
    <t>HYFYADLPAGY(0.98)QIT(0.02)QQR</t>
  </si>
  <si>
    <t>D6RDU9;D6REA0;O75879</t>
  </si>
  <si>
    <t>AY(1)ALCVLYR</t>
  </si>
  <si>
    <t>Y(1)AVFKNPQNFYLDNR</t>
  </si>
  <si>
    <t>HS(0.074)VNNPY(0.69)S(0.235)QFQDEYSLDEVMASK</t>
  </si>
  <si>
    <t>P22307-4;P22307-7;P22307-8;P22307;E9PLD1;P22307-3</t>
  </si>
  <si>
    <t>VS(0.003)ET(0.183)EY(0.631)S(0.183)ALEQSTK</t>
  </si>
  <si>
    <t>P25106</t>
  </si>
  <si>
    <t>S(0.11)RPAMY(0.886)DVS(0.004)PIAYEDYSPDDKPLVTLIK</t>
  </si>
  <si>
    <t>Q8NFT8</t>
  </si>
  <si>
    <t>T(0.004)T(0.004)EY(0.97)QLS(0.018)T(0.005)LEER</t>
  </si>
  <si>
    <t>CON__P35900;P35900</t>
  </si>
  <si>
    <t>HIDCAY(0.998)VY(0.002)QNEHEVGEAIQEK</t>
  </si>
  <si>
    <t>O60218</t>
  </si>
  <si>
    <t>LGDVY(1)VNDAFGTAHR</t>
  </si>
  <si>
    <t>P00558;P00558-2;P07205</t>
  </si>
  <si>
    <t>Y(0.999)KEEY(0.001)AVLISEAQAIK</t>
  </si>
  <si>
    <t>Q14204</t>
  </si>
  <si>
    <t>T(0.001)PWLY(0.999)EQEGEVEKPFIK</t>
  </si>
  <si>
    <t>Y(0.459)AGS(0.541)ALQYEDVSTAVQNLQK</t>
  </si>
  <si>
    <t>Y(1)LPALGYSK</t>
  </si>
  <si>
    <t>P54577;A0A0C4DGZ5</t>
  </si>
  <si>
    <t>IS(0.06)HLGT(0.06)PLY(0.879)LACENQQR</t>
  </si>
  <si>
    <t>Q96DX5-2;Q96DX5;Q96DX5-3</t>
  </si>
  <si>
    <t>GT(0.024)Y(0.976)GIVYAGR</t>
  </si>
  <si>
    <t>E7EWI5;Q6ZN16-2;Q6ZN16-3;Q6ZN16;Q99683</t>
  </si>
  <si>
    <t>HDY(0.021)NY(0.072)PY(0.904)VDS(0.002)S(0.001)DFGLGEDPK</t>
  </si>
  <si>
    <t>FY(0.971)Y(0.028)T(0.001)AGS(0.351)S(0.233)S(0.398)PT(0.018)HAK</t>
  </si>
  <si>
    <t>O75508</t>
  </si>
  <si>
    <t>VLGFCHY(0.173)Y(0.827)LPEEQFPK</t>
  </si>
  <si>
    <t>Y(1)EGFFSLWK</t>
  </si>
  <si>
    <t>Q02978;Q02978-2</t>
  </si>
  <si>
    <t>FVETSPS(0.001)GLDPNAS(0.245)VY(0.754)QPLKK</t>
  </si>
  <si>
    <t>Q8N5G2-2;Q8N5G2-3;Q8N5G2</t>
  </si>
  <si>
    <t>QADS(0.117)EMT(0.893)GY(0.971)VVT(0.019)R</t>
  </si>
  <si>
    <t>AY(1)VNRLDLLDQVFYCK</t>
  </si>
  <si>
    <t>F8W1R0;B7Z493;E9PJX4;F8VWL3;Q96M96</t>
  </si>
  <si>
    <t>PAYEEFY(1)NCR</t>
  </si>
  <si>
    <t>LLETECPQY(1)IR</t>
  </si>
  <si>
    <t>P05109</t>
  </si>
  <si>
    <t>FIINS(0.114)Y(0.886)PK</t>
  </si>
  <si>
    <t>Q96EY7</t>
  </si>
  <si>
    <t>Y(0.996)LQDDT(0.002)S(0.001)DPTYTSSLGGK</t>
  </si>
  <si>
    <t>VHAY(0.001)IIS(0.035)Y(0.964)LKK</t>
  </si>
  <si>
    <t>SIHDIENVLLKPENLY(1)N</t>
  </si>
  <si>
    <t>Q16602</t>
  </si>
  <si>
    <t>SHPSLSTTNQQMSPIIQS(0.002)GS(0.006)S(0.001)KPS(0.003)PIY(0.005)IS(0.028)S(0.185)Y(0.401)S(0.185)S(0.185)PAR</t>
  </si>
  <si>
    <t>CY(1)LFWSSSK</t>
  </si>
  <si>
    <t>GY(1)ELLFQPEVVR</t>
  </si>
  <si>
    <t>LYDLDNDGY(0.36)IT(0.64)R</t>
  </si>
  <si>
    <t>QAY(1)EPPPPPAYR</t>
  </si>
  <si>
    <t>Q15654;A0A0D9SFS2</t>
  </si>
  <si>
    <t>KGDY(0.074)AS(0.024)Y(0.22)Y(0.682)QGLWDCHGDQPDELSFQR</t>
  </si>
  <si>
    <t>Q86WV1-2</t>
  </si>
  <si>
    <t>Y(1)MAPEVLDESLNK</t>
  </si>
  <si>
    <t>P36894</t>
  </si>
  <si>
    <t>KAPMDSLFDY(0.909)GT(0.045)Y(0.045)R</t>
  </si>
  <si>
    <t>F5H6Q4;Q9HBA0-6;Q9HBA0-2;Q9HBA0-4;Q9HBA0-5;Q9HBA0-3;Q9HBA0</t>
  </si>
  <si>
    <t>NVALLS(0.773)QLY(0.21)HS(0.017)PAR</t>
  </si>
  <si>
    <t>EADPSNFANFS(0.087)AY(0.892)PS(0.022)EEDMIEWAK</t>
  </si>
  <si>
    <t>B1AUU8;P42566;P42566-2</t>
  </si>
  <si>
    <t>HVAY(0.137)GGY(0.855)S(0.504)T(0.504)PEDR</t>
  </si>
  <si>
    <t>DKPVY(0.009)DELFY(0.975)T(0.016)LSPINGK</t>
  </si>
  <si>
    <t>KAEAFQLY(1)QEAAQLDMLLEK</t>
  </si>
  <si>
    <t>FS(0.003)Y(0.997)VNSFTK</t>
  </si>
  <si>
    <t>Q6ZU80</t>
  </si>
  <si>
    <t>RLEFLY(1)DKLR</t>
  </si>
  <si>
    <t>D6REX3;O94979-6;O94979-3;O94979-10;O94979-4;O94979-9;O94979-2;O94979;O94979-8;H7BXG7;O94979-7</t>
  </si>
  <si>
    <t>GNAGQS(0.197)NY(0.803)GFANSAMER</t>
  </si>
  <si>
    <t>T(0.003)LNHQY(0.194)DY(0.794)T(0.009)FDWTMLK</t>
  </si>
  <si>
    <t>P48729-3;P48729;P48729-2;U3KPX3;D6REM4;E7ETM0;U3KQ83;Q8N752</t>
  </si>
  <si>
    <t>IGAFGY(0.999)MECS(0.001)AK</t>
  </si>
  <si>
    <t>P61586</t>
  </si>
  <si>
    <t>EPS(0.004)S(0.005)Y(0.004)DFVY(0.865)HY(0.122)G</t>
  </si>
  <si>
    <t>Q5JVZ5;Q96JJ3;Q96JJ3-3</t>
  </si>
  <si>
    <t>AEAES(0.517)MY(0.452)QIKY(0.03)EELQSLAGK</t>
  </si>
  <si>
    <t>QQGLAS(0.185)Y(0.683)DY(0.131)VR</t>
  </si>
  <si>
    <t>VHQLY(1)ETIQR</t>
  </si>
  <si>
    <t>Q13561;Q13561-3;Q13561-2</t>
  </si>
  <si>
    <t>VDGEY(1)DLKVPR</t>
  </si>
  <si>
    <t>F5H008;Q9H267-2;Q9H267</t>
  </si>
  <si>
    <t>SVTAPY(0.5)KY(0.5)PR</t>
  </si>
  <si>
    <t>Q08AH3;F5GWL3;Q68CK6;H3BTX9;Q08AH1</t>
  </si>
  <si>
    <t>VGWFPANYVEEDY(0.011)S(0.011)EY(0.978)C</t>
  </si>
  <si>
    <t>Y(0.836)T(0.16)VIY(0.004)PYTAR</t>
  </si>
  <si>
    <t>A1X283;G3V144</t>
  </si>
  <si>
    <t>T(0.001)Y(0.001)S(0.584)Y(0.39)LT(0.024)PDLWK</t>
  </si>
  <si>
    <t>IAQS(0.022)DY(0.978)IPTQQDVLR</t>
  </si>
  <si>
    <t>Y(0.999)LGY(0.001)LEQLLR</t>
  </si>
  <si>
    <t>CON__P02662</t>
  </si>
  <si>
    <t>Y(0.815)KT(0.185)PDFESTGLYSAMPR</t>
  </si>
  <si>
    <t>LYEAGLAY(1)QK</t>
  </si>
  <si>
    <t>E9PHM2;Q15031</t>
  </si>
  <si>
    <t>GMY(0.001)DGPVY(0.983)EVPAT(0.015)PK</t>
  </si>
  <si>
    <t>E9PD68;Q14194;Q14194-2</t>
  </si>
  <si>
    <t>Y(1)ALSVGYR</t>
  </si>
  <si>
    <t>AAEDS(0.017)PY(0.957)WVS(0.023)PAY(0.002)S(0.001)K</t>
  </si>
  <si>
    <t>Q9NW82</t>
  </si>
  <si>
    <t>Y(1)ALSGGNWDSISDAAK</t>
  </si>
  <si>
    <t>Y(1)FMAPLKR</t>
  </si>
  <si>
    <t>Q9UKW4-2;Q9UKW4;Q9UKW4-4</t>
  </si>
  <si>
    <t>LY(1)AQDADGCPIDIK</t>
  </si>
  <si>
    <t>CNNVLY(1)IR</t>
  </si>
  <si>
    <t>P62306</t>
  </si>
  <si>
    <t>SYLY(0.95)FT(0.049)QFK</t>
  </si>
  <si>
    <t>S(0.17)Y(0.83)EQVPPQGFTSR</t>
  </si>
  <si>
    <t>VNSMVAY(1)KIPVND</t>
  </si>
  <si>
    <t>Q13257</t>
  </si>
  <si>
    <t>WEY(1)VPLGPFLGK</t>
  </si>
  <si>
    <t>P16930;P16930-2</t>
  </si>
  <si>
    <t>SFTS(0.044)LY(0.956)KDR</t>
  </si>
  <si>
    <t>Q5SW79-2;Q5SW79-3;Q5SW79</t>
  </si>
  <si>
    <t>GGY(1)IGSTYFER</t>
  </si>
  <si>
    <t>P61081</t>
  </si>
  <si>
    <t>HIGLVY(0.443)S(0.539)GMGPDY(0.017)R</t>
  </si>
  <si>
    <t>IIY(0.954)GGS(0.043)VT(0.003)GATCK</t>
  </si>
  <si>
    <t>NIY(1)DILPWR</t>
  </si>
  <si>
    <t>Q8IWV1-2;Q8IWV1-3;Q8IWV1</t>
  </si>
  <si>
    <t>ELLSNVDEGIY(1)QLEK</t>
  </si>
  <si>
    <t>V9GYM8;Q92974-3;Q92974-2;Q92974</t>
  </si>
  <si>
    <t>HSTGSYIAGY(1)LK</t>
  </si>
  <si>
    <t>NY(0.022)Y(0.978)EQWGK</t>
  </si>
  <si>
    <t>P22626;P22626-2;A0A087WUI2</t>
  </si>
  <si>
    <t>Y(1)KLFGELYK</t>
  </si>
  <si>
    <t>CVHY(0.001)WPT(0.002)EEET(0.215)Y(0.783)GPFQIR</t>
  </si>
  <si>
    <t>P35236;P35236-2;P35236-3</t>
  </si>
  <si>
    <t>WLNS(0.018)PNT(0.597)Y(0.385)MK</t>
  </si>
  <si>
    <t>VLHIPEFY(0.999)VGS(0.001)ILR</t>
  </si>
  <si>
    <t>A0A0A0MRF4;P49406</t>
  </si>
  <si>
    <t>Y(1)KDLDEDELLGNLSETELK</t>
  </si>
  <si>
    <t>T(0.001)GY(0.001)ES(0.086)GEY(0.912)EMLGEGLGVK</t>
  </si>
  <si>
    <t>Q13561;Q13561-3;Q13561-2;F8W1I6</t>
  </si>
  <si>
    <t>LDGLVETPT(0.178)GY(0.644)IES(0.178)LPR</t>
  </si>
  <si>
    <t>F8W0J6;F5H4R6;P55209-2;P55209;F8VV59;B7Z9C2;P55209-3</t>
  </si>
  <si>
    <t>Y(0.954)S(0.046)VFRPGVLLCDR</t>
  </si>
  <si>
    <t>Q9BUP3-3;Q9BUP3;E9PI87</t>
  </si>
  <si>
    <t>FSDFLGLY(1)EK</t>
  </si>
  <si>
    <t>Q13596-2;Q13596;Q13596-3</t>
  </si>
  <si>
    <t>IY(1)CNALALR</t>
  </si>
  <si>
    <t>Q8IYB7</t>
  </si>
  <si>
    <t>KFGY(1)VDFESAEDLEK</t>
  </si>
  <si>
    <t>MYVPMT(0.001)EDIY(0.982)NAIS(0.016)AK</t>
  </si>
  <si>
    <t>O14975-2;O14975;G3V1R7</t>
  </si>
  <si>
    <t>VICDIY(1)ENLDLR</t>
  </si>
  <si>
    <t>O94929-2;O94929-3</t>
  </si>
  <si>
    <t>NLIAFS(0.001)EDGS(0.195)DPY(0.804)VR</t>
  </si>
  <si>
    <t>A0A087WXU3;A0FGR8-2;A0FGR8;A0FGR8-6;A0FGR8-5</t>
  </si>
  <si>
    <t>SEWIY(0.773)DT(0.214)PVS(0.013)PGK</t>
  </si>
  <si>
    <t>Q9NQ75-2;Q9NQ75</t>
  </si>
  <si>
    <t>QNHESVQWCY(0.999)DNFINY(0.001)R</t>
  </si>
  <si>
    <t>ERDY(1)IAPWER</t>
  </si>
  <si>
    <t>Y(1)HPDVPYVK</t>
  </si>
  <si>
    <t>P02730;A0A0A0MS98</t>
  </si>
  <si>
    <t>HGSLQEY(0.999)LQNDTGSK</t>
  </si>
  <si>
    <t>LY(1)EALTPVH</t>
  </si>
  <si>
    <t>G5E9W3</t>
  </si>
  <si>
    <t>DFLPKEY(1)VK</t>
  </si>
  <si>
    <t>ILQY(0.387)S(0.555)EPY(0.058)K</t>
  </si>
  <si>
    <t>GPNAAY(0.969)DFS(0.031)QAATTGELAANK</t>
  </si>
  <si>
    <t>VVHSYEELEENY(0.91)T(0.09)R</t>
  </si>
  <si>
    <t>E9PRE7;P11498-2;P11498</t>
  </si>
  <si>
    <t>HVFY(0.942)S(0.029)T(0.029)IDWNK</t>
  </si>
  <si>
    <t>NT(0.532)Y(0.465)NQT(0.003)ALDIVNQFTTSQASR</t>
  </si>
  <si>
    <t>LLDEELY(0.43)S(0.57)R</t>
  </si>
  <si>
    <t>NELES(0.023)Y(0.071)AY(0.316)S(0.591)LK</t>
  </si>
  <si>
    <t>TLDLPIY(0.45)VT(0.55)R</t>
  </si>
  <si>
    <t>Y(1)VEVFFPQFK</t>
  </si>
  <si>
    <t>O75635-2;O75635</t>
  </si>
  <si>
    <t>LEY(0.946)Y(0.041)S(0.012)FY(0.001)QSAR</t>
  </si>
  <si>
    <t>Q7Z2Q7</t>
  </si>
  <si>
    <t>YQQQYLQPLPLT(0.534)HY(0.463)ELVT(0.003)DAFGHR</t>
  </si>
  <si>
    <t>Positions within proteins</t>
  </si>
  <si>
    <t>Protein names</t>
  </si>
  <si>
    <t>15;15</t>
  </si>
  <si>
    <t>15;15;15;15</t>
  </si>
  <si>
    <t>279;197;216;216</t>
  </si>
  <si>
    <t>705;705;607</t>
  </si>
  <si>
    <t>14;14</t>
  </si>
  <si>
    <t>14;14;14;14</t>
  </si>
  <si>
    <t>24;42;24;24;24;24</t>
  </si>
  <si>
    <t>187;187</t>
  </si>
  <si>
    <t>413;413;441</t>
  </si>
  <si>
    <t>789;789;798;798</t>
  </si>
  <si>
    <t>204;204;204;204;90;204</t>
  </si>
  <si>
    <t>414;414;442</t>
  </si>
  <si>
    <t>117;240;241</t>
  </si>
  <si>
    <t>1020;968;990;997;1034;1043;1064;1077;1080</t>
  </si>
  <si>
    <t>116;118;118;118</t>
  </si>
  <si>
    <t>304;304</t>
  </si>
  <si>
    <t>85;85</t>
  </si>
  <si>
    <t>104;167;197;467;467</t>
  </si>
  <si>
    <t>185;185</t>
  </si>
  <si>
    <t>359;483;483;493;483;483</t>
  </si>
  <si>
    <t>62;62;62</t>
  </si>
  <si>
    <t>141;141;141;141</t>
  </si>
  <si>
    <t>94;34;94</t>
  </si>
  <si>
    <t>100;101;147</t>
  </si>
  <si>
    <t>859;827;905</t>
  </si>
  <si>
    <t>153;153</t>
  </si>
  <si>
    <t>86;88;88;88</t>
  </si>
  <si>
    <t>251;278;220;193</t>
  </si>
  <si>
    <t>1577;1604;1604;1604;1577</t>
  </si>
  <si>
    <t>487;508</t>
  </si>
  <si>
    <t>822;832</t>
  </si>
  <si>
    <t>153;174</t>
  </si>
  <si>
    <t>207;208</t>
  </si>
  <si>
    <t>1832;1811</t>
  </si>
  <si>
    <t>198;213;272;317;318;427;428</t>
  </si>
  <si>
    <t>46;46;67;46;46</t>
  </si>
  <si>
    <t>1234;1252</t>
  </si>
  <si>
    <t>891;859;937</t>
  </si>
  <si>
    <t>251;148;142;148;128;148</t>
  </si>
  <si>
    <t>245;163;199;199</t>
  </si>
  <si>
    <t>815;861;905;489;171;169</t>
  </si>
  <si>
    <t>549;517;595</t>
  </si>
  <si>
    <t>41;41</t>
  </si>
  <si>
    <t>1172;1127</t>
  </si>
  <si>
    <t>193;193;198;198;198;134;193;198;198;215;198;198;193;198</t>
  </si>
  <si>
    <t>208;208;213;213;213;149;208;213;213;230;213;213;208;213</t>
  </si>
  <si>
    <t>202;202;202;202;88;202</t>
  </si>
  <si>
    <t>56;56</t>
  </si>
  <si>
    <t>478;477;478</t>
  </si>
  <si>
    <t>217;280;310;580;580</t>
  </si>
  <si>
    <t>574;574</t>
  </si>
  <si>
    <t>791;754;91;91;91;791;91;91;93;93;93</t>
  </si>
  <si>
    <t>="POTE ankyrin domain family member I;POTE ankyrin domain family member J;Actin, cytoplasmic 1;Actin, cytoplasmic 1, N-terminally processed;Actin, cytoplasmic 2;Actin, cytoplasmic 2, N-terminally processed;POTE ankyrin domain family member E;Putative beta</t>
  </si>
  <si>
    <t>944;1326;615;720;1102;328</t>
  </si>
  <si>
    <t>268;268</t>
  </si>
  <si>
    <t>1168;1166;1125</t>
  </si>
  <si>
    <t>61;183;61</t>
  </si>
  <si>
    <t>550;518;596</t>
  </si>
  <si>
    <t>366;366;366</t>
  </si>
  <si>
    <t>243;243;243;243;243</t>
  </si>
  <si>
    <t>1085;1095;1118;1149</t>
  </si>
  <si>
    <t>949;949;949;909;949;949;989;949</t>
  </si>
  <si>
    <t>185;185;185;185;185;185;185</t>
  </si>
  <si>
    <t>369;324;336;9</t>
  </si>
  <si>
    <t>41;105</t>
  </si>
  <si>
    <t>171;253;253</t>
  </si>
  <si>
    <t>279;279;279</t>
  </si>
  <si>
    <t>864;865;652</t>
  </si>
  <si>
    <t>169;169</t>
  </si>
  <si>
    <t>240;240;240;240;240</t>
  </si>
  <si>
    <t>79;19;79;79</t>
  </si>
  <si>
    <t>182;182;104</t>
  </si>
  <si>
    <t>139;221;82;221</t>
  </si>
  <si>
    <t>308;218;116</t>
  </si>
  <si>
    <t>238;98</t>
  </si>
  <si>
    <t>296;276;214</t>
  </si>
  <si>
    <t>385;387;387;405;405;433;239;405</t>
  </si>
  <si>
    <t>231;231;231;231;231</t>
  </si>
  <si>
    <t>209;213</t>
  </si>
  <si>
    <t>879;925;969;553;938;235;233;752</t>
  </si>
  <si>
    <t>126;128;128;146;146;174;128</t>
  </si>
  <si>
    <t>672;682;411</t>
  </si>
  <si>
    <t>545;554;545;554</t>
  </si>
  <si>
    <t>948;971</t>
  </si>
  <si>
    <t>90;91;111;85</t>
  </si>
  <si>
    <t>635;635</t>
  </si>
  <si>
    <t>246;246</t>
  </si>
  <si>
    <t>265;246;246;246;246;181</t>
  </si>
  <si>
    <t>662;662;662;706;706;719;706;719;719;436;719;706;719;719;157</t>
  </si>
  <si>
    <t>341;276;236;289;289</t>
  </si>
  <si>
    <t>227;222;213;213;213</t>
  </si>
  <si>
    <t>36;36</t>
  </si>
  <si>
    <t>580;580;326</t>
  </si>
  <si>
    <t>750;764</t>
  </si>
  <si>
    <t>464;464</t>
  </si>
  <si>
    <t>238;256;238</t>
  </si>
  <si>
    <t>318;336;318</t>
  </si>
  <si>
    <t>323;300</t>
  </si>
  <si>
    <t>255;250;285</t>
  </si>
  <si>
    <t>1021;1022;809</t>
  </si>
  <si>
    <t>144;165</t>
  </si>
  <si>
    <t>185;78;78;78;185;185;185;223;185;185;185;223</t>
  </si>
  <si>
    <t>1415;1408;1415;1408;1415</t>
  </si>
  <si>
    <t>251;281</t>
  </si>
  <si>
    <t>951;968;968;941;968</t>
  </si>
  <si>
    <t>647;707;740</t>
  </si>
  <si>
    <t>294;294</t>
  </si>
  <si>
    <t>638;634;634</t>
  </si>
  <si>
    <t>332;332</t>
  </si>
  <si>
    <t>354;354</t>
  </si>
  <si>
    <t>1104;1104;1100;1104;1104;1104;1104;1104;1104</t>
  </si>
  <si>
    <t>92;92;92</t>
  </si>
  <si>
    <t>97;127;127;127</t>
  </si>
  <si>
    <t>1391;1404;1383;1034;515</t>
  </si>
  <si>
    <t>342;398</t>
  </si>
  <si>
    <t>209;243</t>
  </si>
  <si>
    <t>247;144;138;144;124;144</t>
  </si>
  <si>
    <t>347;282;242;295;295</t>
  </si>
  <si>
    <t>280;309;309;328;172;260;291</t>
  </si>
  <si>
    <t>345;343;345;345;345;345</t>
  </si>
  <si>
    <t>392;428;464;392;477;477</t>
  </si>
  <si>
    <t>503;533;549</t>
  </si>
  <si>
    <t>393;313;393;393;393;111;111;111;111</t>
  </si>
  <si>
    <t>476;529</t>
  </si>
  <si>
    <t>480;533</t>
  </si>
  <si>
    <t>39;39</t>
  </si>
  <si>
    <t>58;58;12;58;58;58;58;58;58</t>
  </si>
  <si>
    <t>524;543;545</t>
  </si>
  <si>
    <t>928;928;928;888;928;928;968;928</t>
  </si>
  <si>
    <t>140;123;178</t>
  </si>
  <si>
    <t>579;579;325</t>
  </si>
  <si>
    <t>39;85;29;30;46;71;90;29</t>
  </si>
  <si>
    <t>580;584</t>
  </si>
  <si>
    <t>195;195;200;200;200;136;195;200;200;217;200;200;195;200</t>
  </si>
  <si>
    <t>558;63;129</t>
  </si>
  <si>
    <t>1136;1149;1128;779;260</t>
  </si>
  <si>
    <t>144;139;139</t>
  </si>
  <si>
    <t>379;341;227</t>
  </si>
  <si>
    <t>95;175;185</t>
  </si>
  <si>
    <t>806;619</t>
  </si>
  <si>
    <t>83;83;83</t>
  </si>
  <si>
    <t>148;74;133;148;148</t>
  </si>
  <si>
    <t>321;321;321;312;321;273;273;273</t>
  </si>
  <si>
    <t>556;659;689</t>
  </si>
  <si>
    <t>316;284;347;284</t>
  </si>
  <si>
    <t>139;262;263;113</t>
  </si>
  <si>
    <t>107;292;292</t>
  </si>
  <si>
    <t>358;358</t>
  </si>
  <si>
    <t>542;537</t>
  </si>
  <si>
    <t>470;469;470</t>
  </si>
  <si>
    <t>823;823;818;818</t>
  </si>
  <si>
    <t>83;85;85;85</t>
  </si>
  <si>
    <t>601;877;191;267;847;862;877</t>
  </si>
  <si>
    <t>173;194</t>
  </si>
  <si>
    <t>597;590;597</t>
  </si>
  <si>
    <t>715;729</t>
  </si>
  <si>
    <t>31;31;47;31;31</t>
  </si>
  <si>
    <t>391;391</t>
  </si>
  <si>
    <t>196;301;307;354</t>
  </si>
  <si>
    <t>797;610</t>
  </si>
  <si>
    <t>141;142</t>
  </si>
  <si>
    <t>336;336;336</t>
  </si>
  <si>
    <t>44;44;44;44;44;44</t>
  </si>
  <si>
    <t>126;126;126</t>
  </si>
  <si>
    <t>685;570;124</t>
  </si>
  <si>
    <t>34;34;34;34</t>
  </si>
  <si>
    <t>432;387;399;72</t>
  </si>
  <si>
    <t>479;506;506;506;479</t>
  </si>
  <si>
    <t>19;19</t>
  </si>
  <si>
    <t>190;88;190;88;88;86</t>
  </si>
  <si>
    <t>317;317;168</t>
  </si>
  <si>
    <t>646;646</t>
  </si>
  <si>
    <t>239;268;181</t>
  </si>
  <si>
    <t>491;231</t>
  </si>
  <si>
    <t>451;446;385;437;440;439;445</t>
  </si>
  <si>
    <t>1235;1253</t>
  </si>
  <si>
    <t>282;200;219;219</t>
  </si>
  <si>
    <t>758;792</t>
  </si>
  <si>
    <t>692;692</t>
  </si>
  <si>
    <t>249;249</t>
  </si>
  <si>
    <t>57;80;113</t>
  </si>
  <si>
    <t>317;335;317</t>
  </si>
  <si>
    <t>275;304;304;323;167;255;286</t>
  </si>
  <si>
    <t>727;732</t>
  </si>
  <si>
    <t>1110;1065</t>
  </si>
  <si>
    <t>1156;1154;1113</t>
  </si>
  <si>
    <t>345;345;196</t>
  </si>
  <si>
    <t>754;618</t>
  </si>
  <si>
    <t>796;796;796;447</t>
  </si>
  <si>
    <t>701;701;703</t>
  </si>
  <si>
    <t>514;687;699;743;753;755</t>
  </si>
  <si>
    <t>855;615</t>
  </si>
  <si>
    <t>110;111</t>
  </si>
  <si>
    <t>657;616</t>
  </si>
  <si>
    <t>324;353;353;372;216;304</t>
  </si>
  <si>
    <t>50;50;71;50;50;44</t>
  </si>
  <si>
    <t>11;11</t>
  </si>
  <si>
    <t>609;577;396;266</t>
  </si>
  <si>
    <t>68;100;100</t>
  </si>
  <si>
    <t>66;66;373;373;373;373;373;373;373</t>
  </si>
  <si>
    <t>103;103;103;103;84;24</t>
  </si>
  <si>
    <t>1139;1137;1096</t>
  </si>
  <si>
    <t>90;133;91;101;102</t>
  </si>
  <si>
    <t>544;389;320</t>
  </si>
  <si>
    <t>804;849</t>
  </si>
  <si>
    <t>453;453;453</t>
  </si>
  <si>
    <t>77;77;77;77;77;77</t>
  </si>
  <si>
    <t>2408;2403;2449;2423;2428</t>
  </si>
  <si>
    <t>3;3;3;57</t>
  </si>
  <si>
    <t>1477;723</t>
  </si>
  <si>
    <t>20;20</t>
  </si>
  <si>
    <t>95;95;95;95;95;95</t>
  </si>
  <si>
    <t>1009;1019</t>
  </si>
  <si>
    <t>1210;1206;1206;143</t>
  </si>
  <si>
    <t>432;441;1219;212;221;230;1200;1209;1212;1221;146;170;186;196;198;239;116;123;125;160;181;187;221</t>
  </si>
  <si>
    <t>497;536;538;536</t>
  </si>
  <si>
    <t>17;17;52;17</t>
  </si>
  <si>
    <t>89;72;127;72;89</t>
  </si>
  <si>
    <t>956;956;956;916;956;956;996;956</t>
  </si>
  <si>
    <t>10;39;10;10;10;10;10;10;10;10;10</t>
  </si>
  <si>
    <t>1171;1171;1171;1158</t>
  </si>
  <si>
    <t>407;375;409;423;242</t>
  </si>
  <si>
    <t>232;234;234;252;252;280;86;234</t>
  </si>
  <si>
    <t>430;268;268;396</t>
  </si>
  <si>
    <t>295;317;317</t>
  </si>
  <si>
    <t>117;119;119;119</t>
  </si>
  <si>
    <t>287;194</t>
  </si>
  <si>
    <t>408;410;410;428;428;456;262;428</t>
  </si>
  <si>
    <t>497;355</t>
  </si>
  <si>
    <t>384;421;384</t>
  </si>
  <si>
    <t>241;241;92</t>
  </si>
  <si>
    <t>50;50</t>
  </si>
  <si>
    <t>500;504</t>
  </si>
  <si>
    <t>548;548;524</t>
  </si>
  <si>
    <t>336;324</t>
  </si>
  <si>
    <t>287;36;287;287</t>
  </si>
  <si>
    <t>158;158;158</t>
  </si>
  <si>
    <t>1207;1207;1207;1207</t>
  </si>
  <si>
    <t>445;445;445;489;489;489;489;489;489;219;489;489;489;489</t>
  </si>
  <si>
    <t>347;335</t>
  </si>
  <si>
    <t>1137;1150;1129;780;261</t>
  </si>
  <si>
    <t>29;29;29</t>
  </si>
  <si>
    <t>57;57</t>
  </si>
  <si>
    <t>780;540</t>
  </si>
  <si>
    <t>1138;1093</t>
  </si>
  <si>
    <t>820;644;886</t>
  </si>
  <si>
    <t>44;44</t>
  </si>
  <si>
    <t>786;787;791</t>
  </si>
  <si>
    <t>71;70;71;71;71;70;70</t>
  </si>
  <si>
    <t>156;156;81</t>
  </si>
  <si>
    <t>608;590;590</t>
  </si>
  <si>
    <t>266;266;266;266</t>
  </si>
  <si>
    <t>68;51;106</t>
  </si>
  <si>
    <t>871;885;858;859;859;875</t>
  </si>
  <si>
    <t>495;496;500</t>
  </si>
  <si>
    <t>76;76;21</t>
  </si>
  <si>
    <t>93;92;49</t>
  </si>
  <si>
    <t>415;415;415</t>
  </si>
  <si>
    <t>93;131;131;181;200;281;93;131;175;183;230;246;281</t>
  </si>
  <si>
    <t>306;317;262</t>
  </si>
  <si>
    <t>807;620</t>
  </si>
  <si>
    <t>370;296;355;370;205</t>
  </si>
  <si>
    <t>650;650</t>
  </si>
  <si>
    <t>818;736;797</t>
  </si>
  <si>
    <t>1164;1177;1189</t>
  </si>
  <si>
    <t>37;32</t>
  </si>
  <si>
    <t>598;584;598;607</t>
  </si>
  <si>
    <t>266;266;266;266;250;261;264;264</t>
  </si>
  <si>
    <t>261;241;211</t>
  </si>
  <si>
    <t>188;190;188;189;189;146;190;190</t>
  </si>
  <si>
    <t>="Actin, cytoplasmic 1;Actin, cytoplasmic 1, N-terminally processed;Actin, aortic smooth muscle;Actin, cytoplasmic 2;Actin, cytoplasmic 2, N-terminally processed;Beta-actin-like protein 2;Actin, gamma-enteric smooth muscle;Actin, alpha cardiac muscle 1;Ac</t>
  </si>
  <si>
    <t>2361;2380;2388;2348;2056</t>
  </si>
  <si>
    <t>159;159;159</t>
  </si>
  <si>
    <t>338;377;379;377</t>
  </si>
  <si>
    <t>1067;1015;1037;1044;1081;1090;1111;1124;1127</t>
  </si>
  <si>
    <t>241;256;212;139;75</t>
  </si>
  <si>
    <t>228;223;214;214;214</t>
  </si>
  <si>
    <t>376;458</t>
  </si>
  <si>
    <t>28;28</t>
  </si>
  <si>
    <t>461;483;547;544;647;663</t>
  </si>
  <si>
    <t>159;159</t>
  </si>
  <si>
    <t>30;48;30;30;30;30</t>
  </si>
  <si>
    <t>251;273;273</t>
  </si>
  <si>
    <t>40;40;40</t>
  </si>
  <si>
    <t>677;724;804;845;667</t>
  </si>
  <si>
    <t>525;564;566</t>
  </si>
  <si>
    <t>52;52;52;52;52;52</t>
  </si>
  <si>
    <t>316;334;316</t>
  </si>
  <si>
    <t>5;5;5;59</t>
  </si>
  <si>
    <t>415;370;382;55</t>
  </si>
  <si>
    <t>287;327;327;351</t>
  </si>
  <si>
    <t>822;822</t>
  </si>
  <si>
    <t>109;131</t>
  </si>
  <si>
    <t>294;304</t>
  </si>
  <si>
    <t>147;147</t>
  </si>
  <si>
    <t>392;570;169</t>
  </si>
  <si>
    <t>40;40;42;42</t>
  </si>
  <si>
    <t>512;379;345</t>
  </si>
  <si>
    <t>40;40;40;40</t>
  </si>
  <si>
    <t>487;515;516;535;379;467;477</t>
  </si>
  <si>
    <t>151;213;207;213;162;207;207;213</t>
  </si>
  <si>
    <t>1177;1176;1176;1176</t>
  </si>
  <si>
    <t>449;438;448;615</t>
  </si>
  <si>
    <t>208;209;187;188;208;209</t>
  </si>
  <si>
    <t>297;334;297</t>
  </si>
  <si>
    <t>563;553;553;553;553</t>
  </si>
  <si>
    <t>1211;1211;1406</t>
  </si>
  <si>
    <t>687;340;268;340;322;340;268;340;340;340;340</t>
  </si>
  <si>
    <t>244;164;244;244;244</t>
  </si>
  <si>
    <t>492;316</t>
  </si>
  <si>
    <t>95;95;95</t>
  </si>
  <si>
    <t>55;55;32;55;55;57</t>
  </si>
  <si>
    <t>250;192;192;192</t>
  </si>
  <si>
    <t>56;56;77;56;56;50</t>
  </si>
  <si>
    <t>324;326;326;344;344;372;178;344</t>
  </si>
  <si>
    <t>1343;1359;1355;1435;1435</t>
  </si>
  <si>
    <t>286;286</t>
  </si>
  <si>
    <t>403;358;370;43</t>
  </si>
  <si>
    <t>203;158</t>
  </si>
  <si>
    <t>94;94;94;94;94;94;94;94</t>
  </si>
  <si>
    <t>263;309;281;285;291;299;223</t>
  </si>
  <si>
    <t>316;379;409;679;687</t>
  </si>
  <si>
    <t>4244;4242</t>
  </si>
  <si>
    <t>766;766;766;417</t>
  </si>
  <si>
    <t>247;249;249;267;267;295;101;249</t>
  </si>
  <si>
    <t>16;16;16</t>
  </si>
  <si>
    <t>372;372;372</t>
  </si>
  <si>
    <t>73;73;40</t>
  </si>
  <si>
    <t>270;270;270;270;270;134</t>
  </si>
  <si>
    <t>37;37;37;37;37</t>
  </si>
  <si>
    <t>238;238</t>
  </si>
  <si>
    <t>472;332</t>
  </si>
  <si>
    <t>203;155</t>
  </si>
  <si>
    <t>748;644;656;709;727;747;749;760;773;782</t>
  </si>
  <si>
    <t>331;319</t>
  </si>
  <si>
    <t>774;774</t>
  </si>
  <si>
    <t>183;76;76;76;183;183;183;221;183;183;183;221</t>
  </si>
  <si>
    <t>303;304;310;309</t>
  </si>
  <si>
    <t>177;177;177</t>
  </si>
  <si>
    <t>298;331</t>
  </si>
  <si>
    <t>1738;1738;1738;1738;1738;1379</t>
  </si>
  <si>
    <t>843;852</t>
  </si>
  <si>
    <t>86;86;87;86;86;87;179;50;38;131</t>
  </si>
  <si>
    <t>82;82</t>
  </si>
  <si>
    <t>105;105;105;105;86;26</t>
  </si>
  <si>
    <t>5307;5450</t>
  </si>
  <si>
    <t>282;282;310;242</t>
  </si>
  <si>
    <t>460;460</t>
  </si>
  <si>
    <t>648;664</t>
  </si>
  <si>
    <t>771;771</t>
  </si>
  <si>
    <t>222;244;244</t>
  </si>
  <si>
    <t>120;135;120</t>
  </si>
  <si>
    <t>482;489</t>
  </si>
  <si>
    <t>397;397;441;397;216;216;216</t>
  </si>
  <si>
    <t>166;166</t>
  </si>
  <si>
    <t>641;641</t>
  </si>
  <si>
    <t>464;331;297</t>
  </si>
  <si>
    <t>364;339;319;364;332;364</t>
  </si>
  <si>
    <t>90;118</t>
  </si>
  <si>
    <t>49;49;50;48;49;50;54;48;48;48</t>
  </si>
  <si>
    <t>105;255</t>
  </si>
  <si>
    <t>18;18</t>
  </si>
  <si>
    <t>462;329;295</t>
  </si>
  <si>
    <t>278;196;215;215</t>
  </si>
  <si>
    <t>200;199;156;200;200</t>
  </si>
  <si>
    <t>73;73</t>
  </si>
  <si>
    <t>237;276;278;276</t>
  </si>
  <si>
    <t>308;321</t>
  </si>
  <si>
    <t>417;436;363</t>
  </si>
  <si>
    <t>604;726</t>
  </si>
  <si>
    <t>884;884;880;884;884;884;884;884;884</t>
  </si>
  <si>
    <t>1168;1168;1168;1155</t>
  </si>
  <si>
    <t>349;731;20</t>
  </si>
  <si>
    <t>352;329</t>
  </si>
  <si>
    <t>505;505;505;506;505;505;538;368</t>
  </si>
  <si>
    <t>167;56;169;167</t>
  </si>
  <si>
    <t>1094;1092</t>
  </si>
  <si>
    <t>1370;292</t>
  </si>
  <si>
    <t>338;198</t>
  </si>
  <si>
    <t>77;151</t>
  </si>
  <si>
    <t>369;369</t>
  </si>
  <si>
    <t>467;1187</t>
  </si>
  <si>
    <t>177;156;156;177;177</t>
  </si>
  <si>
    <t>190;190</t>
  </si>
  <si>
    <t>362;317;329</t>
  </si>
  <si>
    <t>565;565</t>
  </si>
  <si>
    <t>32;32;32</t>
  </si>
  <si>
    <t>523;683;603;659</t>
  </si>
  <si>
    <t>652;706</t>
  </si>
  <si>
    <t>272;156;257;272;272;237;272;272;272;272;342</t>
  </si>
  <si>
    <t>162;162;162;162;162;204;162;162;126;126;162;126;126;126;106;36</t>
  </si>
  <si>
    <t>1189;1230;1237;1214;1230;1213;1213;1230;1229</t>
  </si>
  <si>
    <t>346;373;373;373;346</t>
  </si>
  <si>
    <t>30;30;30;30;30</t>
  </si>
  <si>
    <t>496;196;517</t>
  </si>
  <si>
    <t>298;136;136;264</t>
  </si>
  <si>
    <t>17;17</t>
  </si>
  <si>
    <t>535;557;621;618;721;737</t>
  </si>
  <si>
    <t>510;483;506;537;483;506;506</t>
  </si>
  <si>
    <t>527;516;533;154</t>
  </si>
  <si>
    <t>2189;2208;2216;2176</t>
  </si>
  <si>
    <t>966;1348;637;742;1124;350</t>
  </si>
  <si>
    <t>171;171</t>
  </si>
  <si>
    <t>614;596;596</t>
  </si>
  <si>
    <t>359;226</t>
  </si>
  <si>
    <t>180;180;102</t>
  </si>
  <si>
    <t>19;19;19;19</t>
  </si>
  <si>
    <t>282;189</t>
  </si>
  <si>
    <t>71;71;38</t>
  </si>
  <si>
    <t>87;74;74;74</t>
  </si>
  <si>
    <t>176;76</t>
  </si>
  <si>
    <t>473;173;494</t>
  </si>
  <si>
    <t>293;323</t>
  </si>
  <si>
    <t>294;324</t>
  </si>
  <si>
    <t>1576;1603;1603;1603;1576</t>
  </si>
  <si>
    <t>183;183;183;183;183;183;183</t>
  </si>
  <si>
    <t>409;446;409</t>
  </si>
  <si>
    <t>157;157</t>
  </si>
  <si>
    <t>662;647;668;683</t>
  </si>
  <si>
    <t>206;158</t>
  </si>
  <si>
    <t>262;301;303;301</t>
  </si>
  <si>
    <t>253;248;283</t>
  </si>
  <si>
    <t>485;225</t>
  </si>
  <si>
    <t>179;179;179</t>
  </si>
  <si>
    <t>357;481;481;491;481;481</t>
  </si>
  <si>
    <t>492;492;492;493;492;492;525;355</t>
  </si>
  <si>
    <t>302;270;95</t>
  </si>
  <si>
    <t>45;45;45;45;48</t>
  </si>
  <si>
    <t>104;889</t>
  </si>
  <si>
    <t>518;557;559</t>
  </si>
  <si>
    <t>201;201;205;205</t>
  </si>
  <si>
    <t>818;834;830;830;830</t>
  </si>
  <si>
    <t>783;783</t>
  </si>
  <si>
    <t>65;65</t>
  </si>
  <si>
    <t>1115;1113;1072</t>
  </si>
  <si>
    <t>283;336</t>
  </si>
  <si>
    <t>892;860;938</t>
  </si>
  <si>
    <t>657;657;657;504;166</t>
  </si>
  <si>
    <t>594;553</t>
  </si>
  <si>
    <t>12;12</t>
  </si>
  <si>
    <t>133;133</t>
  </si>
  <si>
    <t>17;17;17;17;17</t>
  </si>
  <si>
    <t>654;82</t>
  </si>
  <si>
    <t>59;82;115</t>
  </si>
  <si>
    <t>786;927</t>
  </si>
  <si>
    <t>337;337;337;337;337;337;370;200</t>
  </si>
  <si>
    <t>176;191</t>
  </si>
  <si>
    <t>914;914;914;874;914;914;954;914</t>
  </si>
  <si>
    <t>101;117;208</t>
  </si>
  <si>
    <t>204;204;232;164</t>
  </si>
  <si>
    <t>38;91</t>
  </si>
  <si>
    <t>5;5;5;5;5;5</t>
  </si>
  <si>
    <t>165;279;290;296</t>
  </si>
  <si>
    <t>162;162;162;137;59;67</t>
  </si>
  <si>
    <t>1241;1254;1233;884;365</t>
  </si>
  <si>
    <t>126;150</t>
  </si>
  <si>
    <t>41;41;41;41;41;41;41;41;41;41;41</t>
  </si>
  <si>
    <t>353;339</t>
  </si>
  <si>
    <t>145;145;145;136;145</t>
  </si>
  <si>
    <t>387;245</t>
  </si>
  <si>
    <t>572;577;578;577</t>
  </si>
  <si>
    <t>105;90;105;105</t>
  </si>
  <si>
    <t>160;184;180;184</t>
  </si>
  <si>
    <t>197;197;197</t>
  </si>
  <si>
    <t>196;196;196;196;170</t>
  </si>
  <si>
    <t>821;821;816;816</t>
  </si>
  <si>
    <t>701;701</t>
  </si>
  <si>
    <t>545;431</t>
  </si>
  <si>
    <t>172;193</t>
  </si>
  <si>
    <t>236;236</t>
  </si>
  <si>
    <t>49;49</t>
  </si>
  <si>
    <t>126;126;126;110;126;126;126;101;163;163;36;126;162</t>
  </si>
  <si>
    <t>2170;2189;2197;2157</t>
  </si>
  <si>
    <t>130;83;110;188;202</t>
  </si>
  <si>
    <t>75;107;107</t>
  </si>
  <si>
    <t>1092;1047</t>
  </si>
  <si>
    <t>581;581</t>
  </si>
  <si>
    <t>353;353</t>
  </si>
  <si>
    <t>51;51;52;50;51;52;56;50;50;50</t>
  </si>
  <si>
    <t>798;798;798;449</t>
  </si>
  <si>
    <t>81;81;81;93;81</t>
  </si>
  <si>
    <t>545;580;632</t>
  </si>
  <si>
    <t>277;318;318;318</t>
  </si>
  <si>
    <t>402;370;404;418;237</t>
  </si>
  <si>
    <t>429;438;1216;209;218;227;1197;1206;1209;1218;143;167;183;193;195;236;113;120;122;157;178;184;218</t>
  </si>
  <si>
    <t>48;48</t>
  </si>
  <si>
    <t>166;166;17</t>
  </si>
  <si>
    <t>103;103;88;103;103;68;103;103;103;103;173</t>
  </si>
  <si>
    <t>484;260</t>
  </si>
  <si>
    <t>342;376</t>
  </si>
  <si>
    <t>118;118;118</t>
  </si>
  <si>
    <t>507;537;553</t>
  </si>
  <si>
    <t>291;291;291;291;291;291</t>
  </si>
  <si>
    <t>211;245</t>
  </si>
  <si>
    <t>51;51;30;30;51;51</t>
  </si>
  <si>
    <t>251;251</t>
  </si>
  <si>
    <t>59;59;59</t>
  </si>
  <si>
    <t>313;341;313;341;373;57;85</t>
  </si>
  <si>
    <t>297;325;297;325;357;41;69</t>
  </si>
  <si>
    <t>43;11;43</t>
  </si>
  <si>
    <t>977;977</t>
  </si>
  <si>
    <t>857;864;931;931;938;1000</t>
  </si>
  <si>
    <t>13;13</t>
  </si>
  <si>
    <t>34;34</t>
  </si>
  <si>
    <t>487;479</t>
  </si>
  <si>
    <t>304;306;306;324;324;352;158</t>
  </si>
  <si>
    <t>513;380;346</t>
  </si>
  <si>
    <t>439;366</t>
  </si>
  <si>
    <t>764;768</t>
  </si>
  <si>
    <t>284;406;276;198</t>
  </si>
  <si>
    <t>255;235;173</t>
  </si>
  <si>
    <t>103;150</t>
  </si>
  <si>
    <t>94;237</t>
  </si>
  <si>
    <t>609;609;609;260</t>
  </si>
  <si>
    <t>297;297</t>
  </si>
  <si>
    <t>199;194;185;185;185;180</t>
  </si>
  <si>
    <t>174;284;285</t>
  </si>
  <si>
    <t>5270;5413</t>
  </si>
  <si>
    <t>48;48;49;24</t>
  </si>
  <si>
    <t>524;627;657</t>
  </si>
  <si>
    <t>424;424</t>
  </si>
  <si>
    <t>172;155;67</t>
  </si>
  <si>
    <t>22;22</t>
  </si>
  <si>
    <t>244;142</t>
  </si>
  <si>
    <t>389;247</t>
  </si>
  <si>
    <t>209;283</t>
  </si>
  <si>
    <t>311;227</t>
  </si>
  <si>
    <t>101;31</t>
  </si>
  <si>
    <t>96;218</t>
  </si>
  <si>
    <t>109;231</t>
  </si>
  <si>
    <t>227;402</t>
  </si>
  <si>
    <t>81;95</t>
  </si>
  <si>
    <t>2111;1891;1891;1981;2199</t>
  </si>
  <si>
    <t>357;241;342;357;357;322;357;357;357;357;427</t>
  </si>
  <si>
    <t>462;455;490;390</t>
  </si>
  <si>
    <t>72;72</t>
  </si>
  <si>
    <t>79;122;80;90;91</t>
  </si>
  <si>
    <t>371;326;338;11</t>
  </si>
  <si>
    <t>166;166;166</t>
  </si>
  <si>
    <t>581;705;705;715;705;705</t>
  </si>
  <si>
    <t>416;458;458;458;458</t>
  </si>
  <si>
    <t>2410;2405;2451;2425;2430</t>
  </si>
  <si>
    <t>386;386;386;391</t>
  </si>
  <si>
    <t>99;99</t>
  </si>
  <si>
    <t>449;482</t>
  </si>
  <si>
    <t>70;53;108</t>
  </si>
  <si>
    <t>277;277</t>
  </si>
  <si>
    <t>1230;1230;1226;1230;1271;1278;469</t>
  </si>
  <si>
    <t>153;155;185</t>
  </si>
  <si>
    <t>335;337;338;427;495;141</t>
  </si>
  <si>
    <t>449;458;1236;229;238;247;1217;1226;1229;1238;163;187;203;213;215;256;133;140;142;177;198;204;238</t>
  </si>
  <si>
    <t>631;587;631</t>
  </si>
  <si>
    <t>146;146</t>
  </si>
  <si>
    <t>512;492</t>
  </si>
  <si>
    <t>763;797</t>
  </si>
  <si>
    <t>483;504</t>
  </si>
  <si>
    <t>344;344;344;388;388;388;388;388;388;118;388;388;388;388</t>
  </si>
  <si>
    <t>663;694;182;664;699</t>
  </si>
  <si>
    <t>11;11;11;11;11;11</t>
  </si>
  <si>
    <t>466;434;468;482;301</t>
  </si>
  <si>
    <t>445;537;537</t>
  </si>
  <si>
    <t>449;541;541</t>
  </si>
  <si>
    <t>108;230</t>
  </si>
  <si>
    <t>393;429;465;393;478;478</t>
  </si>
  <si>
    <t>24;24;24;24;24;24;24</t>
  </si>
  <si>
    <t>598;857;866</t>
  </si>
  <si>
    <t>329;373;364;364;373</t>
  </si>
  <si>
    <t>1805;1807;1805;1792</t>
  </si>
  <si>
    <t>171;115;171</t>
  </si>
  <si>
    <t>319;324</t>
  </si>
  <si>
    <t>289;290</t>
  </si>
  <si>
    <t>76;48</t>
  </si>
  <si>
    <t>15;45;45;56;58</t>
  </si>
  <si>
    <t>193;57;193</t>
  </si>
  <si>
    <t>246;279</t>
  </si>
  <si>
    <t>348;325</t>
  </si>
  <si>
    <t>12;262;293;300;331;291</t>
  </si>
  <si>
    <t>20;270;301;308;339;299</t>
  </si>
  <si>
    <t>1138;1136;1095</t>
  </si>
  <si>
    <t>1665;58</t>
  </si>
  <si>
    <t>398;259</t>
  </si>
  <si>
    <t>64;73;95;42;44;57;64;76;82;88;95</t>
  </si>
  <si>
    <t>109;109</t>
  </si>
  <si>
    <t>198;308;309</t>
  </si>
  <si>
    <t>283;323;323;347</t>
  </si>
  <si>
    <t>395;431</t>
  </si>
  <si>
    <t>5;5</t>
  </si>
  <si>
    <t>282;166;267;282;282;247;282;282;282</t>
  </si>
  <si>
    <t>216;216</t>
  </si>
  <si>
    <t>192;211</t>
  </si>
  <si>
    <t>480;507;507;507;480</t>
  </si>
  <si>
    <t>147;117;537;50;9</t>
  </si>
  <si>
    <t>820;667;748</t>
  </si>
  <si>
    <t>646;627;660;418;418;437</t>
  </si>
  <si>
    <t>319;299</t>
  </si>
  <si>
    <t>73;107;130;107</t>
  </si>
  <si>
    <t>336;200;322;353</t>
  </si>
  <si>
    <t>615;615</t>
  </si>
  <si>
    <t>48;112</t>
  </si>
  <si>
    <t>276;276;276</t>
  </si>
  <si>
    <t>168;226</t>
  </si>
  <si>
    <t>171;170;127;171;171</t>
  </si>
  <si>
    <t>23;23</t>
  </si>
  <si>
    <t>621;635</t>
  </si>
  <si>
    <t>366;283;283;348;366;399;366;399;399;399;348;399</t>
  </si>
  <si>
    <t>22;27;22</t>
  </si>
  <si>
    <t>118;118</t>
  </si>
  <si>
    <t>492;431;497;492;497;737;737</t>
  </si>
  <si>
    <t>90;36;36;36;36;36;26;36</t>
  </si>
  <si>
    <t>11;11;11</t>
  </si>
  <si>
    <t>380;380;356</t>
  </si>
  <si>
    <t>58;58;58</t>
  </si>
  <si>
    <t>419;441;505;502;605;621</t>
  </si>
  <si>
    <t>1440;1440;1510</t>
  </si>
  <si>
    <t>149;165;178;149;165;149</t>
  </si>
  <si>
    <t>278;320;214;216</t>
  </si>
  <si>
    <t>528;517;534;155</t>
  </si>
  <si>
    <t>262;262;271;271</t>
  </si>
  <si>
    <t>226;245</t>
  </si>
  <si>
    <t>507;484</t>
  </si>
  <si>
    <t>231;180</t>
  </si>
  <si>
    <t>212;253;253;252;253;252;252;253;252</t>
  </si>
  <si>
    <t>96;99;99;127;130;133;32</t>
  </si>
  <si>
    <t>476;476</t>
  </si>
  <si>
    <t>422;422;422;422;357</t>
  </si>
  <si>
    <t>2;2</t>
  </si>
  <si>
    <t>397;317;397;397;397;115;115;115;115</t>
  </si>
  <si>
    <t>699;699;701</t>
  </si>
  <si>
    <t>734;664;676;606;593;559;734;323;365</t>
  </si>
  <si>
    <t>312;312;309;173</t>
  </si>
  <si>
    <t>59;59;83</t>
  </si>
  <si>
    <t>411;477;478;523</t>
  </si>
  <si>
    <t>257;210;237;315;329</t>
  </si>
  <si>
    <t>431;434;393;333;292</t>
  </si>
  <si>
    <t>23;23;23;23;23</t>
  </si>
  <si>
    <t>61;61;61</t>
  </si>
  <si>
    <t>1306;1322;1318;1398;1398</t>
  </si>
  <si>
    <t>419;33;49;96;417;451;417;33;417;49</t>
  </si>
  <si>
    <t>1341;1357;1353;1433;1433</t>
  </si>
  <si>
    <t>538;560;624;621;724;740</t>
  </si>
  <si>
    <t>211;211;172;211</t>
  </si>
  <si>
    <t>83;40;40</t>
  </si>
  <si>
    <t>84;99</t>
  </si>
  <si>
    <t>16;16;16;16</t>
  </si>
  <si>
    <t>559;581;645;642;745;761</t>
  </si>
  <si>
    <t>301;301;301;301;285;296;299</t>
  </si>
  <si>
    <t>768;761;768;761;768;761;770;777;782;792</t>
  </si>
  <si>
    <t>1680;1682;1680;1667</t>
  </si>
  <si>
    <t>97;98</t>
  </si>
  <si>
    <t>935;935;935;895;935;935;975;935</t>
  </si>
  <si>
    <t>21;16</t>
  </si>
  <si>
    <t>583;583</t>
  </si>
  <si>
    <t>513;686;698;742;752;754</t>
  </si>
  <si>
    <t>423;432;1210;203;212;221;1191;1200;1203;1212;137;161;177;187;189;230;107;114;116;151;172;178;212</t>
  </si>
  <si>
    <t>33;33;33;33;33;33</t>
  </si>
  <si>
    <t>169;262;431;262;439;543</t>
  </si>
  <si>
    <t>867;929;942;929;943;916;917;917;933</t>
  </si>
  <si>
    <t>248;338;365;371;259;304;365;371;316</t>
  </si>
  <si>
    <t>767;771</t>
  </si>
  <si>
    <t>714;728</t>
  </si>
  <si>
    <t>126;133</t>
  </si>
  <si>
    <t>10;10;10</t>
  </si>
  <si>
    <t>522;683;520;681;635</t>
  </si>
  <si>
    <t>191;191;191</t>
  </si>
  <si>
    <t>223;223;227;277</t>
  </si>
  <si>
    <t>74;53;74;74;53</t>
  </si>
  <si>
    <t>115;115;115;115</t>
  </si>
  <si>
    <t>114;114</t>
  </si>
  <si>
    <t>103;104</t>
  </si>
  <si>
    <t>239;241;239;939;240;239;240;197;241;241</t>
  </si>
  <si>
    <t>="Actin, cytoplasmic 1;Actin, cytoplasmic 1, N-terminally processed;Actin, aortic smooth muscle;Actin, cytoplasmic 2;Actin, cytoplasmic 2, N-terminally processed;POTE ankyrin domain family member E;Beta-actin-like protein 2;Putative beta-actin-like protei</t>
  </si>
  <si>
    <t>671;671;671;715;715;728;715;728;728;445;728;715;728;728;166</t>
  </si>
  <si>
    <t>96;96;96</t>
  </si>
  <si>
    <t>434;430;430</t>
  </si>
  <si>
    <t>195;210</t>
  </si>
  <si>
    <t>747;686;752;747;752;992;992;232;232</t>
  </si>
  <si>
    <t>321;329;329;322;538;917</t>
  </si>
  <si>
    <t>403;103;424</t>
  </si>
  <si>
    <t>1121;1134;1113;764;245</t>
  </si>
  <si>
    <t>7;7</t>
  </si>
  <si>
    <t>806;816;805;806;806;806</t>
  </si>
  <si>
    <t>14;14;14;14;14</t>
  </si>
  <si>
    <t>139;139;139</t>
  </si>
  <si>
    <t>462;462;462;462;462;462;462;462;321;462</t>
  </si>
  <si>
    <t>279;301;301</t>
  </si>
  <si>
    <t>166;133</t>
  </si>
  <si>
    <t>87;87</t>
  </si>
  <si>
    <t>117;97</t>
  </si>
  <si>
    <t>462;70</t>
  </si>
  <si>
    <t>245;249;274</t>
  </si>
  <si>
    <t>112;112</t>
  </si>
  <si>
    <t>107;107;107;107;88;28</t>
  </si>
  <si>
    <t>83;57</t>
  </si>
  <si>
    <t>66;66;66</t>
  </si>
  <si>
    <t>173;132</t>
  </si>
  <si>
    <t>184;184;161;65</t>
  </si>
  <si>
    <t>6;6;6;6;6</t>
  </si>
  <si>
    <t>89;152;182;452;452</t>
  </si>
  <si>
    <t>426;430;449;456;96</t>
  </si>
  <si>
    <t>3193;3203;3211;3225;3225;3229;3248;3252;3362</t>
  </si>
  <si>
    <t>1687;1687;1687;1687;1687;1718;1518;1518;1687;1687</t>
  </si>
  <si>
    <t>531;256</t>
  </si>
  <si>
    <t>374;390;452;485</t>
  </si>
  <si>
    <t>242;373</t>
  </si>
  <si>
    <t>726;737;682</t>
  </si>
  <si>
    <t>651;705</t>
  </si>
  <si>
    <t>363;230</t>
  </si>
  <si>
    <t>248;267</t>
  </si>
  <si>
    <t>111;111;222</t>
  </si>
  <si>
    <t>285;390</t>
  </si>
  <si>
    <t>292;292</t>
  </si>
  <si>
    <t>156;156</t>
  </si>
  <si>
    <t>281;343;312;246;281;343</t>
  </si>
  <si>
    <t>60;89;89;129;129;105;130</t>
  </si>
  <si>
    <t>872;857;842;886;886;932;916;929;932;645;899;886;898;929</t>
  </si>
  <si>
    <t>272;313;313;313</t>
  </si>
  <si>
    <t>477;476;477</t>
  </si>
  <si>
    <t>103;103</t>
  </si>
  <si>
    <t>531;531</t>
  </si>
  <si>
    <t>198;198</t>
  </si>
  <si>
    <t>414;375</t>
  </si>
  <si>
    <t>52;12</t>
  </si>
  <si>
    <t>92;1132;1189;1238</t>
  </si>
  <si>
    <t>300;261</t>
  </si>
  <si>
    <t>713;643;655;585;572</t>
  </si>
  <si>
    <t>312;312;312;249</t>
  </si>
  <si>
    <t>333;389</t>
  </si>
  <si>
    <t>1234;1261;1261;1261;1234</t>
  </si>
  <si>
    <t>239;239;239;103</t>
  </si>
  <si>
    <t>269;303;318</t>
  </si>
  <si>
    <t>132;132;132;132;82;132;132</t>
  </si>
  <si>
    <t>404;398;398;398;398;398;290;156</t>
  </si>
  <si>
    <t>194;52</t>
  </si>
  <si>
    <t>409;270</t>
  </si>
  <si>
    <t>498;238</t>
  </si>
  <si>
    <t>8;8;8;8;8;8</t>
  </si>
  <si>
    <t>315;176</t>
  </si>
  <si>
    <t>208;169</t>
  </si>
  <si>
    <t>428;429</t>
  </si>
  <si>
    <t>24;24;24;24;24</t>
  </si>
  <si>
    <t>285;317</t>
  </si>
  <si>
    <t>67;67;67;67</t>
  </si>
  <si>
    <t>185;299;310;316</t>
  </si>
  <si>
    <t>53;53;53;53;53;53</t>
  </si>
  <si>
    <t>116;229</t>
  </si>
  <si>
    <t>338;384</t>
  </si>
  <si>
    <t>101;145;45;145</t>
  </si>
  <si>
    <t>82;108;108;108;108</t>
  </si>
  <si>
    <t>177;177;28</t>
  </si>
  <si>
    <t>343;377</t>
  </si>
  <si>
    <t>549;673;673;683;673;673</t>
  </si>
  <si>
    <t>438;476</t>
  </si>
  <si>
    <t>146;146;146</t>
  </si>
  <si>
    <t>170;204;204</t>
  </si>
  <si>
    <t>28;71</t>
  </si>
  <si>
    <t>148;212</t>
  </si>
  <si>
    <t>5;5;49;5;5;5</t>
  </si>
  <si>
    <t>1510;1526;1522;1602;1602</t>
  </si>
  <si>
    <t>60;24</t>
  </si>
  <si>
    <t>85;68;123;68;85</t>
  </si>
  <si>
    <t>342;442;442</t>
  </si>
  <si>
    <t>353;371;156</t>
  </si>
  <si>
    <t>406;361;373;46</t>
  </si>
  <si>
    <t>475;500;280;116</t>
  </si>
  <si>
    <t>658;658;658;702;702;715;702;715;715;432;715;702;715;715;153</t>
  </si>
  <si>
    <t>1472;1391;1472;1189;468</t>
  </si>
  <si>
    <t>651;643;69</t>
  </si>
  <si>
    <t>759;759</t>
  </si>
  <si>
    <t>541;573;597</t>
  </si>
  <si>
    <t>311;321;329;343;343;347;366;370;480</t>
  </si>
  <si>
    <t>467;489;553;550;653;669</t>
  </si>
  <si>
    <t>284;361</t>
  </si>
  <si>
    <t>519;555</t>
  </si>
  <si>
    <t>142;142;142;142</t>
  </si>
  <si>
    <t>167;114;124;155;167</t>
  </si>
  <si>
    <t>662;695;586;649;650;677</t>
  </si>
  <si>
    <t>69;122</t>
  </si>
  <si>
    <t>120;135;194;239;239;349;349</t>
  </si>
  <si>
    <t>121;136;195;240;240;350;350</t>
  </si>
  <si>
    <t>359;353;353;353;353;353;245;111</t>
  </si>
  <si>
    <t>1020;1020;1020;1020;1020</t>
  </si>
  <si>
    <t>106;106</t>
  </si>
  <si>
    <t>299;331</t>
  </si>
  <si>
    <t>705;222;368;673</t>
  </si>
  <si>
    <t>219;256;137</t>
  </si>
  <si>
    <t>24;24;24;24</t>
  </si>
  <si>
    <t>167;132</t>
  </si>
  <si>
    <t>523;604;556;459;459</t>
  </si>
  <si>
    <t>141;141;141</t>
  </si>
  <si>
    <t>53;54</t>
  </si>
  <si>
    <t>851;897;941;525;907;207;205;724</t>
  </si>
  <si>
    <t>398;79;410</t>
  </si>
  <si>
    <t>729;773;752;764;773</t>
  </si>
  <si>
    <t>778;1018</t>
  </si>
  <si>
    <t>95;17</t>
  </si>
  <si>
    <t>776;1016</t>
  </si>
  <si>
    <t>248;248;248</t>
  </si>
  <si>
    <t>509;526;509</t>
  </si>
  <si>
    <t>591;596;597;596;155;594</t>
  </si>
  <si>
    <t>114;114;114;114</t>
  </si>
  <si>
    <t>533;533;534;534;550;583;533;534;517;517;533;534;534;550;551;533;534</t>
  </si>
  <si>
    <t>522;556</t>
  </si>
  <si>
    <t>287;288</t>
  </si>
  <si>
    <t>364;364;103</t>
  </si>
  <si>
    <t>162;162;162;162;162;126</t>
  </si>
  <si>
    <t>333;355;355</t>
  </si>
  <si>
    <t>261;290;290;309;272</t>
  </si>
  <si>
    <t>32;50</t>
  </si>
  <si>
    <t>210;225</t>
  </si>
  <si>
    <t>79;79;79</t>
  </si>
  <si>
    <t>244;307;337;607</t>
  </si>
  <si>
    <t>38;38;38;39;39;39</t>
  </si>
  <si>
    <t>272;252;222</t>
  </si>
  <si>
    <t>484;485;584;585;637;637</t>
  </si>
  <si>
    <t>80;180</t>
  </si>
  <si>
    <t>507;507</t>
  </si>
  <si>
    <t>247;247</t>
  </si>
  <si>
    <t>411;412;412;413;442;411;412;413</t>
  </si>
  <si>
    <t>432;432;432;146</t>
  </si>
  <si>
    <t>468;468</t>
  </si>
  <si>
    <t>341;387</t>
  </si>
  <si>
    <t>442;457</t>
  </si>
  <si>
    <t>641;835;641;829;835</t>
  </si>
  <si>
    <t>132;89;89</t>
  </si>
  <si>
    <t>180;128</t>
  </si>
  <si>
    <t>204;164;204;204</t>
  </si>
  <si>
    <t>330;343</t>
  </si>
  <si>
    <t>195;195;195</t>
  </si>
  <si>
    <t>132;98;132</t>
  </si>
  <si>
    <t>110;179;247;570</t>
  </si>
  <si>
    <t>326;326</t>
  </si>
  <si>
    <t>520;488;522;536;355</t>
  </si>
  <si>
    <t>448;448</t>
  </si>
  <si>
    <t>164;159</t>
  </si>
  <si>
    <t>441;441;485;69;441;260;260;69;260</t>
  </si>
  <si>
    <t>205;125;205;205;205</t>
  </si>
  <si>
    <t>74;74;74</t>
  </si>
  <si>
    <t>225;298</t>
  </si>
  <si>
    <t>570;570;614;198;570;418;418;418</t>
  </si>
  <si>
    <t>180;180;180;42</t>
  </si>
  <si>
    <t>604;654;604;238;214;195;219</t>
  </si>
  <si>
    <t>620;360</t>
  </si>
  <si>
    <t>407;426;353</t>
  </si>
  <si>
    <t>87;88</t>
  </si>
  <si>
    <t>105;108</t>
  </si>
  <si>
    <t>185;185;107</t>
  </si>
  <si>
    <t>376;392;454;487</t>
  </si>
  <si>
    <t>1327;1343;1339;1419;1419</t>
  </si>
  <si>
    <t>1213;338;431;308;218;236</t>
  </si>
  <si>
    <t>381;418;381</t>
  </si>
  <si>
    <t>1393;1406;1385;1036;517</t>
  </si>
  <si>
    <t>3;3;3</t>
  </si>
  <si>
    <t>338;373;338;373;275;221</t>
  </si>
  <si>
    <t>434;437;396;336;295</t>
  </si>
  <si>
    <t>156;259;259</t>
  </si>
  <si>
    <t>261;261;203;203;203;261</t>
  </si>
  <si>
    <t>39;140</t>
  </si>
  <si>
    <t>603;562</t>
  </si>
  <si>
    <t>604;573;604;604</t>
  </si>
  <si>
    <t>247;235</t>
  </si>
  <si>
    <t>448;569;685;1269;1328</t>
  </si>
  <si>
    <t>1376;1129</t>
  </si>
  <si>
    <t>52;77;77;52;52;77;52</t>
  </si>
  <si>
    <t>462;462;462;462;446;457;460</t>
  </si>
  <si>
    <t>178;178</t>
  </si>
  <si>
    <t>33;33;33;33</t>
  </si>
  <si>
    <t>9;9</t>
  </si>
  <si>
    <t>708;708;610</t>
  </si>
  <si>
    <t>1502;1552;1506;1556</t>
  </si>
  <si>
    <t>401;308</t>
  </si>
  <si>
    <t>63;63</t>
  </si>
  <si>
    <t>155;167;167;167</t>
  </si>
  <si>
    <t>119;119</t>
  </si>
  <si>
    <t>304;313</t>
  </si>
  <si>
    <t>410;421;410;510;510;396</t>
  </si>
  <si>
    <t>256;251;286</t>
  </si>
  <si>
    <t>50;50;50;50</t>
  </si>
  <si>
    <t>329;363;365;328;345;400;401;406</t>
  </si>
  <si>
    <t>686;339;267;339;321;339;267;339;339;339;339</t>
  </si>
  <si>
    <t>210;210;215;215;215;151;210;215;215;232;215;215;210;215</t>
  </si>
  <si>
    <t>161;156;156</t>
  </si>
  <si>
    <t>775;780;781;780</t>
  </si>
  <si>
    <t>228;228;228;228</t>
  </si>
  <si>
    <t>23;23;23;23</t>
  </si>
  <si>
    <t>81;81</t>
  </si>
  <si>
    <t>135;135</t>
  </si>
  <si>
    <t>103;119;210</t>
  </si>
  <si>
    <t>222;263;263;262;263;262;262;263;262</t>
  </si>
  <si>
    <t>10;30;29;30</t>
  </si>
  <si>
    <t>228;259;267;258;157;302</t>
  </si>
  <si>
    <t>84;84;84</t>
  </si>
  <si>
    <t>579;547;581;595;414</t>
  </si>
  <si>
    <t>611;638;696</t>
  </si>
  <si>
    <t>74;84;80;74;59;70;73;76;128;136;176</t>
  </si>
  <si>
    <t>932;936</t>
  </si>
  <si>
    <t>171;187;349;379;408;409;411;440;411</t>
  </si>
  <si>
    <t>1517;1513;1513;450</t>
  </si>
  <si>
    <t>1244;1278;1282;1306;1307</t>
  </si>
  <si>
    <t>1264;1387;1620;1657;1338;1672</t>
  </si>
  <si>
    <t>597;602;603;602;161;600</t>
  </si>
  <si>
    <t>102;102</t>
  </si>
  <si>
    <t>452;473</t>
  </si>
  <si>
    <t>321;321;269;284;305;305;320;320;268</t>
  </si>
  <si>
    <t>95;123</t>
  </si>
  <si>
    <t>1091;1103;1127;1139</t>
  </si>
  <si>
    <t>121;121;151</t>
  </si>
  <si>
    <t>1091;1091;1091</t>
  </si>
  <si>
    <t>333;333;333;377;377;377;377;377;377;107;377;377;377;377</t>
  </si>
  <si>
    <t>670;779;779;834;812;834;728;765;779;779;811;833</t>
  </si>
  <si>
    <t>363;210</t>
  </si>
  <si>
    <t>262;262</t>
  </si>
  <si>
    <t>538;513</t>
  </si>
  <si>
    <t>494;528</t>
  </si>
  <si>
    <t>830;851;830;825;851;851;878</t>
  </si>
  <si>
    <t>192;192</t>
  </si>
  <si>
    <t>196;196;173;77</t>
  </si>
  <si>
    <t>261;261;377;377</t>
  </si>
  <si>
    <t>324;734</t>
  </si>
  <si>
    <t>38;38;38</t>
  </si>
  <si>
    <t>351;390;392;390</t>
  </si>
  <si>
    <t>146;141</t>
  </si>
  <si>
    <t>242;180;184;192;217;185;180;207;209;93;33</t>
  </si>
  <si>
    <t>269;379;420</t>
  </si>
  <si>
    <t>21;21</t>
  </si>
  <si>
    <t>30;30;46;30;30</t>
  </si>
  <si>
    <t>185;204</t>
  </si>
  <si>
    <t>310;363</t>
  </si>
  <si>
    <t>365;365;365;250;215;173;173</t>
  </si>
  <si>
    <t>1256;1016</t>
  </si>
  <si>
    <t>232;251</t>
  </si>
  <si>
    <t>390;390;390</t>
  </si>
  <si>
    <t>60;240;241</t>
  </si>
  <si>
    <t>527;527</t>
  </si>
  <si>
    <t>553;612;2153;2227;2325</t>
  </si>
  <si>
    <t>73;60;60;143</t>
  </si>
  <si>
    <t>319;319;296;200</t>
  </si>
  <si>
    <t>43;43;43;43;43;43;43;43;43;43;43</t>
  </si>
  <si>
    <t>134;134;134;134;134;134;26</t>
  </si>
  <si>
    <t>43;43;43;43;56</t>
  </si>
  <si>
    <t>142;142;142</t>
  </si>
  <si>
    <t>164;164;164;49;14;163</t>
  </si>
  <si>
    <t>543;543;543;555;560;560;543;560;560;560;560;560;543;560</t>
  </si>
  <si>
    <t>464;466;466;464;464;466</t>
  </si>
  <si>
    <t>545;390;321</t>
  </si>
  <si>
    <t>179;179</t>
  </si>
  <si>
    <t>96;239</t>
  </si>
  <si>
    <t>54;84</t>
  </si>
  <si>
    <t>69;99;69;69;69;69;69</t>
  </si>
  <si>
    <t>61;446;446</t>
  </si>
  <si>
    <t>41;41;41;41;41;41;41</t>
  </si>
  <si>
    <t>26;44;26;26;26;26</t>
  </si>
  <si>
    <t>230;230;230;230;230</t>
  </si>
  <si>
    <t>314;321;359</t>
  </si>
  <si>
    <t>175;175</t>
  </si>
  <si>
    <t>80;80;80</t>
  </si>
  <si>
    <t>502;502;502</t>
  </si>
  <si>
    <t>137;137;137;137;137</t>
  </si>
  <si>
    <t>1241;1241;1261;1261;1261</t>
  </si>
  <si>
    <t>229;229;229;181;201</t>
  </si>
  <si>
    <t>72;147</t>
  </si>
  <si>
    <t>1151;1190;1251</t>
  </si>
  <si>
    <t>371;371</t>
  </si>
  <si>
    <t>741;742</t>
  </si>
  <si>
    <t>437;438;134;276;135;277;278</t>
  </si>
  <si>
    <t>42;42</t>
  </si>
  <si>
    <t>140;96;140</t>
  </si>
  <si>
    <t>140;140;56</t>
  </si>
  <si>
    <t>567;567;594;567;153</t>
  </si>
  <si>
    <t>633;680</t>
  </si>
  <si>
    <t>325;327;327;345;345;373;179;345</t>
  </si>
  <si>
    <t>95;63;95</t>
  </si>
  <si>
    <t>631;608</t>
  </si>
  <si>
    <t>1674;2023</t>
  </si>
  <si>
    <t>1865;1832</t>
  </si>
  <si>
    <t>686;706</t>
  </si>
  <si>
    <t>207;207;207</t>
  </si>
  <si>
    <t>106;106;106</t>
  </si>
  <si>
    <t>459;735;49;125;705;720;735;727;682;682;674;719</t>
  </si>
  <si>
    <t>97;77;77</t>
  </si>
  <si>
    <t>6;6</t>
  </si>
  <si>
    <t>322;497;86;128</t>
  </si>
  <si>
    <t>1449;1462;1441;1092;573</t>
  </si>
  <si>
    <t>80;80;80;80</t>
  </si>
  <si>
    <t>186;186</t>
  </si>
  <si>
    <t>409;496;496;496;496</t>
  </si>
  <si>
    <t>310;269</t>
  </si>
  <si>
    <t>563;563;564;564;580;613;563;564;555;547</t>
  </si>
  <si>
    <t>12;12;12</t>
  </si>
  <si>
    <t>636;698;532</t>
  </si>
  <si>
    <t>651;651</t>
  </si>
  <si>
    <t>297;237;197</t>
  </si>
  <si>
    <t>292;292;336;336;336</t>
  </si>
  <si>
    <t>97;97</t>
  </si>
  <si>
    <t>80;86;94</t>
  </si>
  <si>
    <t>82;107</t>
  </si>
  <si>
    <t>682;563;563</t>
  </si>
  <si>
    <t>224;224;224</t>
  </si>
  <si>
    <t>1399;1399;1469;1399</t>
  </si>
  <si>
    <t>109;102;109;109;74;32;32</t>
  </si>
  <si>
    <t>55;56</t>
  </si>
  <si>
    <t>96;96;96;96;55;55;33;55;85;85</t>
  </si>
  <si>
    <t>678;802;802;812</t>
  </si>
  <si>
    <t>1166;1121</t>
  </si>
  <si>
    <t>335;357;234;342</t>
  </si>
  <si>
    <t>111;111</t>
  </si>
  <si>
    <t>1284;1297;1276;927;408</t>
  </si>
  <si>
    <t>36;36;36;36</t>
  </si>
  <si>
    <t>483;518;570</t>
  </si>
  <si>
    <t>213;276;306;576;576</t>
  </si>
  <si>
    <t>241;260</t>
  </si>
  <si>
    <t>254;233;233;254;254</t>
  </si>
  <si>
    <t>246;246;29</t>
  </si>
  <si>
    <t>364;364;364;364</t>
  </si>
  <si>
    <t>966;965;965;965</t>
  </si>
  <si>
    <t>8;8</t>
  </si>
  <si>
    <t>279;319;312;196;297;312;312;277;312;382</t>
  </si>
  <si>
    <t>107;107</t>
  </si>
  <si>
    <t>53;53;53;53</t>
  </si>
  <si>
    <t>1160;1173;1185</t>
  </si>
  <si>
    <t>668;668;670</t>
  </si>
  <si>
    <t>926;926</t>
  </si>
  <si>
    <t>170;171;194;243;253</t>
  </si>
  <si>
    <t>107;107;34</t>
  </si>
  <si>
    <t>784;829</t>
  </si>
  <si>
    <t>56;56;56</t>
  </si>
  <si>
    <t>1310;1323;1302;953;434</t>
  </si>
  <si>
    <t>248;251</t>
  </si>
  <si>
    <t>274;296;296</t>
  </si>
  <si>
    <t>275;297;297</t>
  </si>
  <si>
    <t>205;162</t>
  </si>
  <si>
    <t>1253;1254</t>
  </si>
  <si>
    <t>1811;1813;1811;1798</t>
  </si>
  <si>
    <t>395;399</t>
  </si>
  <si>
    <t>91;74;129;74;91</t>
  </si>
  <si>
    <t>172;172;172;57;22</t>
  </si>
  <si>
    <t>148;176</t>
  </si>
  <si>
    <t>22;22;22;22;22;22;22;22</t>
  </si>
  <si>
    <t>44;45</t>
  </si>
  <si>
    <t>495;534;536;534</t>
  </si>
  <si>
    <t>851;858;869;858;858;858</t>
  </si>
  <si>
    <t>911;918;985;985;992;1054;879;953</t>
  </si>
  <si>
    <t>379;379;355</t>
  </si>
  <si>
    <t>404;359;371;44</t>
  </si>
  <si>
    <t>196;211</t>
  </si>
  <si>
    <t>264;310;282;286;292;300;224</t>
  </si>
  <si>
    <t>267;306;308;306</t>
  </si>
  <si>
    <t>579;584;585;584</t>
  </si>
  <si>
    <t>90;111</t>
  </si>
  <si>
    <t>77;17;77;77</t>
  </si>
  <si>
    <t>187;193</t>
  </si>
  <si>
    <t>278;300;300</t>
  </si>
  <si>
    <t>379;414;271</t>
  </si>
  <si>
    <t>347;435;435</t>
  </si>
  <si>
    <t>248;225;239;247</t>
  </si>
  <si>
    <t>258;352;400;400;401</t>
  </si>
  <si>
    <t>202;173</t>
  </si>
  <si>
    <t>344;1473;1553;1572</t>
  </si>
  <si>
    <t>97;115</t>
  </si>
  <si>
    <t>1295;1295</t>
  </si>
  <si>
    <t>17;17;17;17</t>
  </si>
  <si>
    <t>344;345;400;400;368</t>
  </si>
  <si>
    <t>91;116</t>
  </si>
  <si>
    <t>188;216</t>
  </si>
  <si>
    <t>266;208</t>
  </si>
  <si>
    <t>560;65;131</t>
  </si>
  <si>
    <t>108;108;108;108</t>
  </si>
  <si>
    <t>950;954;950;979;1359;1377;1388;1388;1397</t>
  </si>
  <si>
    <t>76;50</t>
  </si>
  <si>
    <t>834;890</t>
  </si>
  <si>
    <t>221;203;221;149;221;221;221</t>
  </si>
  <si>
    <t>336;336</t>
  </si>
  <si>
    <t>138;174;174</t>
  </si>
  <si>
    <t>45;45;45;51;51;51;45;51</t>
  </si>
  <si>
    <t>470;470;499;499;470;470;499;499</t>
  </si>
  <si>
    <t>243;374</t>
  </si>
  <si>
    <t>111;81;501;14</t>
  </si>
  <si>
    <t>41;41;42;41;41;41;41;41;42</t>
  </si>
  <si>
    <t>268;302;317</t>
  </si>
  <si>
    <t>1393;1393;1413;1413;1413</t>
  </si>
  <si>
    <t>2171;2190;2198;2158</t>
  </si>
  <si>
    <t>550;581;550;581;550;581;581</t>
  </si>
  <si>
    <t>538;566;567;586;430;518;528</t>
  </si>
  <si>
    <t>3160;3170;3178;3192;3192;3196;3215;3219;3329</t>
  </si>
  <si>
    <t>780;782</t>
  </si>
  <si>
    <t>118;118;118;107</t>
  </si>
  <si>
    <t>242;354;522</t>
  </si>
  <si>
    <t>514;514;514;526;531;531;514;514;514;514;514;514;531;531;531;514;514;514;531;531;531;514;531;514</t>
  </si>
  <si>
    <t>302;302</t>
  </si>
  <si>
    <t>249;281;281</t>
  </si>
  <si>
    <t>272;288;301</t>
  </si>
  <si>
    <t>428;383;395;68</t>
  </si>
  <si>
    <t>68;68;70;68</t>
  </si>
  <si>
    <t>148;97</t>
  </si>
  <si>
    <t>188;189;76</t>
  </si>
  <si>
    <t>1053;1053</t>
  </si>
  <si>
    <t>380;426</t>
  </si>
  <si>
    <t>993;1053</t>
  </si>
  <si>
    <t>1077;552;655;788;1094</t>
  </si>
  <si>
    <t>618;632</t>
  </si>
  <si>
    <t>362;378;471</t>
  </si>
  <si>
    <t>794;794;794;445</t>
  </si>
  <si>
    <t>871;879;900;908;926;934;955;963</t>
  </si>
  <si>
    <t>160;288;330</t>
  </si>
  <si>
    <t>343;389</t>
  </si>
  <si>
    <t>807;849</t>
  </si>
  <si>
    <t>199;172</t>
  </si>
  <si>
    <t>159;254</t>
  </si>
  <si>
    <t>445;498;289</t>
  </si>
  <si>
    <t>45;45</t>
  </si>
  <si>
    <t>717;560;717</t>
  </si>
  <si>
    <t>1387;1400;1379;1030;511</t>
  </si>
  <si>
    <t>158;158;158;158;158;122</t>
  </si>
  <si>
    <t>90;90</t>
  </si>
  <si>
    <t>122;146;121;124;133;146;156</t>
  </si>
  <si>
    <t>546;546;562;563;563;579;580;562;563</t>
  </si>
  <si>
    <t>451;315</t>
  </si>
  <si>
    <t>198;272</t>
  </si>
  <si>
    <t>2965;2975;2983;2997;2997;3001;3020;3024;3134</t>
  </si>
  <si>
    <t>566;168;566;566;597</t>
  </si>
  <si>
    <t>198;198;198;198;84;198</t>
  </si>
  <si>
    <t>354;401;330</t>
  </si>
  <si>
    <t>58;58</t>
  </si>
  <si>
    <t>502;502;502;514;519;519;502;502;502;502;502;502;519;519;519;502;502;502;519;519;519;502;519;502</t>
  </si>
  <si>
    <t>603;603;603;603;603;603;603;603;603;603;603;603;603;603;636;603;603</t>
  </si>
  <si>
    <t>4;4;25;4;4;4</t>
  </si>
  <si>
    <t>454;455;554;555</t>
  </si>
  <si>
    <t>781;781;781;768</t>
  </si>
  <si>
    <t>169;169;169;169;169;169</t>
  </si>
  <si>
    <t>93;93</t>
  </si>
  <si>
    <t>222;224;224;242;242;270;76;224</t>
  </si>
  <si>
    <t>335;374;376;374</t>
  </si>
  <si>
    <t>681;642;681</t>
  </si>
  <si>
    <t>1229;1229;1225;1229;1270;1277;468</t>
  </si>
  <si>
    <t>21;85</t>
  </si>
  <si>
    <t>36;31;66;36;66;66</t>
  </si>
  <si>
    <t>824;947;953</t>
  </si>
  <si>
    <t>37;37;37</t>
  </si>
  <si>
    <t>149;149</t>
  </si>
  <si>
    <t>314;364</t>
  </si>
  <si>
    <t>81;81;81;81;81;81</t>
  </si>
  <si>
    <t>491;480</t>
  </si>
  <si>
    <t>429;429;429;143</t>
  </si>
  <si>
    <t>1172;1170;1129</t>
  </si>
  <si>
    <t>1003;1021</t>
  </si>
  <si>
    <t>194;194;194;174;194;194;208</t>
  </si>
  <si>
    <t>193;193;193;193;128</t>
  </si>
  <si>
    <t>248;176;140</t>
  </si>
  <si>
    <t>165;165</t>
  </si>
  <si>
    <t>263;263;263;270;280;280;280;281;263;264;281</t>
  </si>
  <si>
    <t>47;47;47;47;47;47</t>
  </si>
  <si>
    <t>541;582;591</t>
  </si>
  <si>
    <t>72;72;72;72;72</t>
  </si>
  <si>
    <t>506;506;506</t>
  </si>
  <si>
    <t>92;92</t>
  </si>
  <si>
    <t>144;144;92;107;128;128</t>
  </si>
  <si>
    <t>488;488</t>
  </si>
  <si>
    <t>106;201</t>
  </si>
  <si>
    <t>417;385;419;433;252</t>
  </si>
  <si>
    <t>463;472;1250;243;252;261;1231;1240;1243;1252;177;201;217;227;229;147;154;156;191;212;218</t>
  </si>
  <si>
    <t>409;370</t>
  </si>
  <si>
    <t>548;548</t>
  </si>
  <si>
    <t>416;594;193</t>
  </si>
  <si>
    <t>63;399;415</t>
  </si>
  <si>
    <t>1494;1544;1498;1548</t>
  </si>
  <si>
    <t>120;107;126;107</t>
  </si>
  <si>
    <t>457;457</t>
  </si>
  <si>
    <t>826;847;826;821;847;847;874</t>
  </si>
  <si>
    <t>11;22;11;111;111;68</t>
  </si>
  <si>
    <t>1684;1684;1684;1684;1684;1715;1515;1515;1684;1684</t>
  </si>
  <si>
    <t>804;1337</t>
  </si>
  <si>
    <t>351;373</t>
  </si>
  <si>
    <t>86;122</t>
  </si>
  <si>
    <t>886;906;849;869;877</t>
  </si>
  <si>
    <t>4;4</t>
  </si>
  <si>
    <t>203;203</t>
  </si>
  <si>
    <t>102;111</t>
  </si>
  <si>
    <t>579;820</t>
  </si>
  <si>
    <t>1208;1557</t>
  </si>
  <si>
    <t>17;17;17;17;17;17;17</t>
  </si>
  <si>
    <t>104;165</t>
  </si>
  <si>
    <t>223;223;223</t>
  </si>
  <si>
    <t>13;13;13</t>
  </si>
  <si>
    <t>15;15;15</t>
  </si>
  <si>
    <t>3;3</t>
  </si>
  <si>
    <t>261;261;261</t>
  </si>
  <si>
    <t>206;206;206</t>
  </si>
  <si>
    <t>302;171;272</t>
  </si>
  <si>
    <t>373;373;336</t>
  </si>
  <si>
    <t>550;550;585</t>
  </si>
  <si>
    <t>486;487;465;466;486;487</t>
  </si>
  <si>
    <t>393;393</t>
  </si>
  <si>
    <t>46;46;46</t>
  </si>
  <si>
    <t>221;79</t>
  </si>
  <si>
    <t>192;93</t>
  </si>
  <si>
    <t>592;592</t>
  </si>
  <si>
    <t>340;340;340;340;340;340;373;203</t>
  </si>
  <si>
    <t>461;447</t>
  </si>
  <si>
    <t>48;49</t>
  </si>
  <si>
    <t>173;232;1773;1847;1945;232</t>
  </si>
  <si>
    <t>920;920;916;920;920;920;920;920;920</t>
  </si>
  <si>
    <t>198;203;178</t>
  </si>
  <si>
    <t>425;425</t>
  </si>
  <si>
    <t>38;38;38;38;38;38;38;38;38;38;38</t>
  </si>
  <si>
    <t>265;267;267;285;285;313;119;267</t>
  </si>
  <si>
    <t>60;60;104</t>
  </si>
  <si>
    <t>2141;2148;2148;2163</t>
  </si>
  <si>
    <t>134;145;90;134;143;134;134;134;133</t>
  </si>
  <si>
    <t>329;363</t>
  </si>
  <si>
    <t>163;163;163</t>
  </si>
  <si>
    <t>190;54;190</t>
  </si>
  <si>
    <t>10;44;91;44;60;77;85;91</t>
  </si>
  <si>
    <t>1027;1053;1078;917;857;1054;248;623</t>
  </si>
  <si>
    <t>974;990;986;1066;1066</t>
  </si>
  <si>
    <t>131;131</t>
  </si>
  <si>
    <t>117;133;146;117;133;117</t>
  </si>
  <si>
    <t>550;598;599</t>
  </si>
  <si>
    <t>107;123;95;107</t>
  </si>
  <si>
    <t>200;107</t>
  </si>
  <si>
    <t>126;126;126;126;126;126</t>
  </si>
  <si>
    <t>58;58;58;58;58</t>
  </si>
  <si>
    <t>722;479;37</t>
  </si>
  <si>
    <t>306;306;306;306</t>
  </si>
  <si>
    <t>161;161</t>
  </si>
  <si>
    <t>1132;1130;1089</t>
  </si>
  <si>
    <t>302;276;379;379;381;381</t>
  </si>
  <si>
    <t>945;798;920;951</t>
  </si>
  <si>
    <t>388;392</t>
  </si>
  <si>
    <t>122;147</t>
  </si>
  <si>
    <t>80;108</t>
  </si>
  <si>
    <t>872;872;872;872;872;872;703;703;872;872</t>
  </si>
  <si>
    <t>68;97;97;56</t>
  </si>
  <si>
    <t>316;226;124</t>
  </si>
  <si>
    <t>487;610;616</t>
  </si>
  <si>
    <t>126;242</t>
  </si>
  <si>
    <t>271;194</t>
  </si>
  <si>
    <t>787;764;781</t>
  </si>
  <si>
    <t>749;750</t>
  </si>
  <si>
    <t>764;642;642;103;103</t>
  </si>
  <si>
    <t>439;460</t>
  </si>
  <si>
    <t>162;276;287;293</t>
  </si>
  <si>
    <t>4446;4456;4464;4478;4478;4482;4501;4505;4615</t>
  </si>
  <si>
    <t>564;573;671</t>
  </si>
  <si>
    <t>468;434;437</t>
  </si>
  <si>
    <t>913;920;987;987;994;1056;881;955</t>
  </si>
  <si>
    <t>161;126</t>
  </si>
  <si>
    <t>1048;1064;1060;1140;1140</t>
  </si>
  <si>
    <t>131;132;110;111;131;132</t>
  </si>
  <si>
    <t>173;173</t>
  </si>
  <si>
    <t>31;67;67;71;67</t>
  </si>
  <si>
    <t>552;569;588;560;563;603;334;28</t>
  </si>
  <si>
    <t>162;162;162;47;12;161</t>
  </si>
  <si>
    <t>60;60;60;60;60</t>
  </si>
  <si>
    <t>1011;1021</t>
  </si>
  <si>
    <t>129;129</t>
  </si>
  <si>
    <t>94;141;94;94</t>
  </si>
  <si>
    <t>338;360</t>
  </si>
  <si>
    <t>75;52;52</t>
  </si>
  <si>
    <t>296;157</t>
  </si>
  <si>
    <t>518;548;548;559;561</t>
  </si>
  <si>
    <t>37;37</t>
  </si>
  <si>
    <t>34;63;63;24</t>
  </si>
  <si>
    <t>25;64;66;64</t>
  </si>
  <si>
    <t>85;83;103</t>
  </si>
  <si>
    <t>444;441;411;444;457;442;492;477;492</t>
  </si>
  <si>
    <t>525;265</t>
  </si>
  <si>
    <t>71;71;72;70;70;70</t>
  </si>
  <si>
    <t>762;762</t>
  </si>
  <si>
    <t>1160;1158;1117</t>
  </si>
  <si>
    <t>432;509;556;400;400;432;509;556;596;596;603;400</t>
  </si>
  <si>
    <t>2192;2192;2192;2152;2192;2192;2232;220;1873</t>
  </si>
  <si>
    <t>376;474;474;474</t>
  </si>
  <si>
    <t>26;26;26</t>
  </si>
  <si>
    <t>181;66</t>
  </si>
  <si>
    <t>197;212;271;316;317;426;427</t>
  </si>
  <si>
    <t>320;278;245</t>
  </si>
  <si>
    <t>91;31;91</t>
  </si>
  <si>
    <t>118;120;121;210;278</t>
  </si>
  <si>
    <t>427;350</t>
  </si>
  <si>
    <t>163;146;58</t>
  </si>
  <si>
    <t>192;167;167;52;52;37</t>
  </si>
  <si>
    <t>296;295;252;296</t>
  </si>
  <si>
    <t>301;301;328;301;301</t>
  </si>
  <si>
    <t>291;219</t>
  </si>
  <si>
    <t>51;51;51;51;51</t>
  </si>
  <si>
    <t>57;57;57;57;57;57</t>
  </si>
  <si>
    <t>1223;1223</t>
  </si>
  <si>
    <t>473;495;559;556;659;675</t>
  </si>
  <si>
    <t>1042;1055;1034;685;166</t>
  </si>
  <si>
    <t>625;365</t>
  </si>
  <si>
    <t>613;353</t>
  </si>
  <si>
    <t>144;144</t>
  </si>
  <si>
    <t>435;438;397;337;296</t>
  </si>
  <si>
    <t>239;250;274;285</t>
  </si>
  <si>
    <t>233;233;233;240;250;250;250;251;233;234;251</t>
  </si>
  <si>
    <t>18;18;18;18;18;18;18</t>
  </si>
  <si>
    <t>361;361;395</t>
  </si>
  <si>
    <t>225;270;278;212;236;257;265</t>
  </si>
  <si>
    <t>980;980</t>
  </si>
  <si>
    <t>1262;1278;1274;1354;1354</t>
  </si>
  <si>
    <t>1263;1279;1275;1355;1355</t>
  </si>
  <si>
    <t>442;451;494</t>
  </si>
  <si>
    <t>188;188</t>
  </si>
  <si>
    <t>803;831;834;890;890</t>
  </si>
  <si>
    <t>753;753</t>
  </si>
  <si>
    <t>578;606;578;608;638;287;315;261;261</t>
  </si>
  <si>
    <t>207;207;207;207;93;207</t>
  </si>
  <si>
    <t>571;581;571</t>
  </si>
  <si>
    <t>467;453</t>
  </si>
  <si>
    <t>449;449;425</t>
  </si>
  <si>
    <t>225;303</t>
  </si>
  <si>
    <t>331;344</t>
  </si>
  <si>
    <t>420;420;420</t>
  </si>
  <si>
    <t>82;195;195;195</t>
  </si>
  <si>
    <t>4234;4232</t>
  </si>
  <si>
    <t>124;131</t>
  </si>
  <si>
    <t>286;471;471</t>
  </si>
  <si>
    <t>89;127;127;177;196;277;89;127;171;179;226;242;277</t>
  </si>
  <si>
    <t>395;395;395</t>
  </si>
  <si>
    <t>442;436;436;436;436;436;328;194</t>
  </si>
  <si>
    <t>251;251;252;250;250;250</t>
  </si>
  <si>
    <t>270;177</t>
  </si>
  <si>
    <t>592;578;592;601</t>
  </si>
  <si>
    <t>297;304;293;295;295;306;306</t>
  </si>
  <si>
    <t>88;13;63;93</t>
  </si>
  <si>
    <t>700;700</t>
  </si>
  <si>
    <t>181;57;57</t>
  </si>
  <si>
    <t>364;332;364;377</t>
  </si>
  <si>
    <t>126;208</t>
  </si>
  <si>
    <t>430;507;554;398;398;430;507;554;594;594;601;398</t>
  </si>
  <si>
    <t>1755;1751</t>
  </si>
  <si>
    <t>33;51</t>
  </si>
  <si>
    <t>30;30</t>
  </si>
  <si>
    <t>24;96;96;117;120</t>
  </si>
  <si>
    <t>466;507</t>
  </si>
  <si>
    <t>229;248</t>
  </si>
  <si>
    <t>85;68;85</t>
  </si>
  <si>
    <t>163;218;163</t>
  </si>
  <si>
    <t>25;25;60</t>
  </si>
  <si>
    <t>199;304;310;357</t>
  </si>
  <si>
    <t>260;301</t>
  </si>
  <si>
    <t>519;519;529</t>
  </si>
  <si>
    <t>611;611;612;556;446</t>
  </si>
  <si>
    <t>174;174;174;59;24</t>
  </si>
  <si>
    <t>238;257</t>
  </si>
  <si>
    <t>306;408</t>
  </si>
  <si>
    <t>262;250</t>
  </si>
  <si>
    <t>1077;1200</t>
  </si>
  <si>
    <t>157;157;157;157;157;157;190</t>
  </si>
  <si>
    <t>23;23;23;23;23;23;23;23;23;23;23;23;23;23</t>
  </si>
  <si>
    <t>="Fatty acid synthase;[Acyl-carrier-protein] S-acetyltransferase;[Acyl-carrier-protein] S-malonyltransferase;3-oxoacyl-[acyl-carrier-protein] synthase;3-oxoacyl-[acyl-carrier-protein] reductase;3-hydroxyacyl-[acyl-carrier-protein] dehydratase;Enoyl-[acyl-</t>
  </si>
  <si>
    <t>68;82;83;116;83;82;82</t>
  </si>
  <si>
    <t>94;119</t>
  </si>
  <si>
    <t>27;27</t>
  </si>
  <si>
    <t>64;81;64;78;124</t>
  </si>
  <si>
    <t>307;188;267;355</t>
  </si>
  <si>
    <t>227;372;380</t>
  </si>
  <si>
    <t>136;136;96;96;136;136;136;136;160</t>
  </si>
  <si>
    <t>906;906;217</t>
  </si>
  <si>
    <t>143;143;59</t>
  </si>
  <si>
    <t>101;108</t>
  </si>
  <si>
    <t>680;680</t>
  </si>
  <si>
    <t>416;453;416</t>
  </si>
  <si>
    <t>278;258;228</t>
  </si>
  <si>
    <t>172;172;172;172;172</t>
  </si>
  <si>
    <t>624;613;629;648</t>
  </si>
  <si>
    <t>399;381;316</t>
  </si>
  <si>
    <t>357;312;324</t>
  </si>
  <si>
    <t>436;433;403;436;449;434;484;469;484</t>
  </si>
  <si>
    <t>54;115</t>
  </si>
  <si>
    <t>397;575;174</t>
  </si>
  <si>
    <t>546;555;546;555</t>
  </si>
  <si>
    <t>5;5;5;5</t>
  </si>
  <si>
    <t>297;298</t>
  </si>
  <si>
    <t>601;361</t>
  </si>
  <si>
    <t>118;145</t>
  </si>
  <si>
    <t>455;423;486;423</t>
  </si>
  <si>
    <t>46;46</t>
  </si>
  <si>
    <t>97;97;98</t>
  </si>
  <si>
    <t>138;138;138</t>
  </si>
  <si>
    <t>229;185;181;13</t>
  </si>
  <si>
    <t>366;366;366;251;216;174;174</t>
  </si>
  <si>
    <t>447;480</t>
  </si>
  <si>
    <t>132;132</t>
  </si>
  <si>
    <t>179;179;190;205;181</t>
  </si>
  <si>
    <t>1820;1822;1836;700</t>
  </si>
  <si>
    <t>1154;1096</t>
  </si>
  <si>
    <t>377;293</t>
  </si>
  <si>
    <t>168;205;86</t>
  </si>
  <si>
    <t>223;223</t>
  </si>
  <si>
    <t>147;96</t>
  </si>
  <si>
    <t>176;155;155;176;176</t>
  </si>
  <si>
    <t>215;58</t>
  </si>
  <si>
    <t>466;363;357;495;141</t>
  </si>
  <si>
    <t>74;74</t>
  </si>
  <si>
    <t>455;376;455;376</t>
  </si>
  <si>
    <t>886;915;921;935</t>
  </si>
  <si>
    <t>164;164;164;164;164;164;197</t>
  </si>
  <si>
    <t>205;153</t>
  </si>
  <si>
    <t>362;223</t>
  </si>
  <si>
    <t>377;238</t>
  </si>
  <si>
    <t>207;213;97</t>
  </si>
  <si>
    <t>334;334;334;378;378;378;378;378;378;108;378;378;378;378</t>
  </si>
  <si>
    <t>143;167</t>
  </si>
  <si>
    <t>228;184;180;12</t>
  </si>
  <si>
    <t>250;205;250;205</t>
  </si>
  <si>
    <t>82;88;96</t>
  </si>
  <si>
    <t>216;222</t>
  </si>
  <si>
    <t>125;125;125</t>
  </si>
  <si>
    <t>128;150;176;182;203;203;250</t>
  </si>
  <si>
    <t>1455;1461;1497;1455;1460;1447;1455</t>
  </si>
  <si>
    <t>498;520;584;581;684;700</t>
  </si>
  <si>
    <t>1313;1326;1305;956;437</t>
  </si>
  <si>
    <t>139;199;199;199;362;224;224;362;362</t>
  </si>
  <si>
    <t>371;427</t>
  </si>
  <si>
    <t>40;40;41;40;40;40;40;40;41</t>
  </si>
  <si>
    <t>142;224;85;224</t>
  </si>
  <si>
    <t>679;726;806;847;669</t>
  </si>
  <si>
    <t>79;79;79;79;79</t>
  </si>
  <si>
    <t>154;154</t>
  </si>
  <si>
    <t>148;262;273;279</t>
  </si>
  <si>
    <t>156;102</t>
  </si>
  <si>
    <t>87;137</t>
  </si>
  <si>
    <t>141;141</t>
  </si>
  <si>
    <t>186;186;191;186;191;431;431</t>
  </si>
  <si>
    <t>511;770;779</t>
  </si>
  <si>
    <t>1038;465;423;428;503;474;491;503;508;474;503</t>
  </si>
  <si>
    <t>522;561;578;579</t>
  </si>
  <si>
    <t>723;463</t>
  </si>
  <si>
    <t>401;411;411;411;412;412;412;412;413;413;413</t>
  </si>
  <si>
    <t>198;81</t>
  </si>
  <si>
    <t>805;815;804;805;805;805</t>
  </si>
  <si>
    <t>449;449</t>
  </si>
  <si>
    <t>36;128</t>
  </si>
  <si>
    <t>274;274</t>
  </si>
  <si>
    <t>67;78;93</t>
  </si>
  <si>
    <t>486;521;573</t>
  </si>
  <si>
    <t>659;615;659</t>
  </si>
  <si>
    <t>215;223</t>
  </si>
  <si>
    <t>435;488;279</t>
  </si>
  <si>
    <t>1419;1425;1461;1419;1424;1411;1419</t>
  </si>
  <si>
    <t>255;293</t>
  </si>
  <si>
    <t>50;50;50</t>
  </si>
  <si>
    <t>320;331;276</t>
  </si>
  <si>
    <t>177;177;325;325</t>
  </si>
  <si>
    <t>1189;1189;1189;1189</t>
  </si>
  <si>
    <t>743;825</t>
  </si>
  <si>
    <t>1435;1440</t>
  </si>
  <si>
    <t>181;198;181;198;450;450</t>
  </si>
  <si>
    <t>315;291;315</t>
  </si>
  <si>
    <t>98;28</t>
  </si>
  <si>
    <t>22;22;22;22;22</t>
  </si>
  <si>
    <t>185;185;185</t>
  </si>
  <si>
    <t>2474;2493;2501;2461;2169</t>
  </si>
  <si>
    <t>1114;1146</t>
  </si>
  <si>
    <t>397;483;502</t>
  </si>
  <si>
    <t>1117;1065;1087;1094;1131;1140;1161;1174;1177</t>
  </si>
  <si>
    <t>453;454;553;554</t>
  </si>
  <si>
    <t>330;374;365;365;374</t>
  </si>
  <si>
    <t>243;263</t>
  </si>
  <si>
    <t>608;608;609;553;443</t>
  </si>
  <si>
    <t>91;112</t>
  </si>
  <si>
    <t>223;223;257;223</t>
  </si>
  <si>
    <t>462;462</t>
  </si>
  <si>
    <t>191;191</t>
  </si>
  <si>
    <t>279;317;354;387;402;362</t>
  </si>
  <si>
    <t>2544;2645</t>
  </si>
  <si>
    <t>251;251;236;257;272;251;236;257;272</t>
  </si>
  <si>
    <t>339;378;380;378</t>
  </si>
  <si>
    <t>154;257;257</t>
  </si>
  <si>
    <t>1804;1806;1804;1791</t>
  </si>
  <si>
    <t>911;927;923</t>
  </si>
  <si>
    <t>387;353;356</t>
  </si>
  <si>
    <t>80;80;80;80;122</t>
  </si>
  <si>
    <t>1911;1930;1938;1898;1911</t>
  </si>
  <si>
    <t>959;959;959;919;959;959;999;959</t>
  </si>
  <si>
    <t>452;536;536</t>
  </si>
  <si>
    <t>126;127;105;106;126;127</t>
  </si>
  <si>
    <t>4442;4452;4460;4474;4474;4478;4497;4501;4611</t>
  </si>
  <si>
    <t>427;526</t>
  </si>
  <si>
    <t>563;585</t>
  </si>
  <si>
    <t>86;111</t>
  </si>
  <si>
    <t>16;16;16;16;16;16;16;16;16;16;16;16;16</t>
  </si>
  <si>
    <t>63;181</t>
  </si>
  <si>
    <t>310;310;310;310;310;310;343;173</t>
  </si>
  <si>
    <t>463;464</t>
  </si>
  <si>
    <t>54;40;40</t>
  </si>
  <si>
    <t>38;38;40;40</t>
  </si>
  <si>
    <t>247;189</t>
  </si>
  <si>
    <t>24;24;24</t>
  </si>
  <si>
    <t>383;385;385;403;403;431;237;403</t>
  </si>
  <si>
    <t>296;296;147</t>
  </si>
  <si>
    <t>298;298;149</t>
  </si>
  <si>
    <t>83;111</t>
  </si>
  <si>
    <t>770;838;845</t>
  </si>
  <si>
    <t>821;837;833;833;833</t>
  </si>
  <si>
    <t>35;55;108</t>
  </si>
  <si>
    <t>1259;1322</t>
  </si>
  <si>
    <t>297;272;252;297;265;297;297</t>
  </si>
  <si>
    <t>1673;1673</t>
  </si>
  <si>
    <t>15;15;16;15;15</t>
  </si>
  <si>
    <t>435;476;479;483</t>
  </si>
  <si>
    <t>1365;1383</t>
  </si>
  <si>
    <t>1209;1209;1031;1031;1031;1031;1031</t>
  </si>
  <si>
    <t>108;108;108</t>
  </si>
  <si>
    <t>250;250;251</t>
  </si>
  <si>
    <t>213;213</t>
  </si>
  <si>
    <t>92;148</t>
  </si>
  <si>
    <t>112;81;112;112</t>
  </si>
  <si>
    <t>522;541;543</t>
  </si>
  <si>
    <t>477;217</t>
  </si>
  <si>
    <t>87;87;87;87;87;87</t>
  </si>
  <si>
    <t>553;535;553</t>
  </si>
  <si>
    <t>524;576;524;524;549;551;549;551;576;576;524</t>
  </si>
  <si>
    <t>313;377</t>
  </si>
  <si>
    <t>307;371</t>
  </si>
  <si>
    <t>174;174</t>
  </si>
  <si>
    <t>519;519</t>
  </si>
  <si>
    <t>467;508</t>
  </si>
  <si>
    <t>94;59</t>
  </si>
  <si>
    <t>158;158;158;158;158;158;191</t>
  </si>
  <si>
    <t>136;84</t>
  </si>
  <si>
    <t>240;256;269</t>
  </si>
  <si>
    <t>475;475;475;476;475;475;508;338</t>
  </si>
  <si>
    <t>294;316;316</t>
  </si>
  <si>
    <t>82;65;120;65;82</t>
  </si>
  <si>
    <t>50;36;36</t>
  </si>
  <si>
    <t>1237;1275</t>
  </si>
  <si>
    <t>36;62;41;41</t>
  </si>
  <si>
    <t>18;18;18</t>
  </si>
  <si>
    <t>105;141</t>
  </si>
  <si>
    <t>477;477</t>
  </si>
  <si>
    <t>704;731;731;731;704</t>
  </si>
  <si>
    <t>1070;1149;254</t>
  </si>
  <si>
    <t>93;93;93</t>
  </si>
  <si>
    <t>357;341;376;392</t>
  </si>
  <si>
    <t>16;16</t>
  </si>
  <si>
    <t>567;598;613;644;468</t>
  </si>
  <si>
    <t>46;46;46;46;49</t>
  </si>
  <si>
    <t>1261;1209;1231;1238;1275;1284;1305;1318;1321</t>
  </si>
  <si>
    <t>745;752;850</t>
  </si>
  <si>
    <t>1368;1121</t>
  </si>
  <si>
    <t>183;110</t>
  </si>
  <si>
    <t>540;540;609;609;609;609</t>
  </si>
  <si>
    <t>22;61;63;61</t>
  </si>
  <si>
    <t>56;75;107;116</t>
  </si>
  <si>
    <t>143;143;112;72;55</t>
  </si>
  <si>
    <t>273;285;292</t>
  </si>
  <si>
    <t>210;157;173;197;304</t>
  </si>
  <si>
    <t>251;306;306;306</t>
  </si>
  <si>
    <t>42;88;32;33;49;74;93;32</t>
  </si>
  <si>
    <t>295;357;434</t>
  </si>
  <si>
    <t>447;469</t>
  </si>
  <si>
    <t>53;53;53</t>
  </si>
  <si>
    <t>106;114;106;106;106;106;106;114</t>
  </si>
  <si>
    <t>283;282;239;283;283</t>
  </si>
  <si>
    <t>344;344;378</t>
  </si>
  <si>
    <t>161;185;181;185</t>
  </si>
  <si>
    <t>589;611</t>
  </si>
  <si>
    <t>666;666;668</t>
  </si>
  <si>
    <t>283;304;319;336</t>
  </si>
  <si>
    <t>410;429;356</t>
  </si>
  <si>
    <t>266;172</t>
  </si>
  <si>
    <t>350;365;365</t>
  </si>
  <si>
    <t>1165;1165;1161;1165;1165;1165;1165;1165;1165</t>
  </si>
  <si>
    <t>981;981</t>
  </si>
  <si>
    <t>1538;1534;1534;471</t>
  </si>
  <si>
    <t>81;81;81</t>
  </si>
  <si>
    <t>1066;1071;1110</t>
  </si>
  <si>
    <t>573;583;573</t>
  </si>
  <si>
    <t>394;394</t>
  </si>
  <si>
    <t>279;269;269;92</t>
  </si>
  <si>
    <t>34;34;90;90;90</t>
  </si>
  <si>
    <t>390;316;375</t>
  </si>
  <si>
    <t>1107;1118</t>
  </si>
  <si>
    <t>128;138</t>
  </si>
  <si>
    <t>73;73;73;73</t>
  </si>
  <si>
    <t>714;725</t>
  </si>
  <si>
    <t>218;218;222;272</t>
  </si>
  <si>
    <t>706;710;723;733;545;558;613</t>
  </si>
  <si>
    <t>580;580;580;580;564;575;578</t>
  </si>
  <si>
    <t>99;142;100;110;111</t>
  </si>
  <si>
    <t>22;40;22;22;22;22</t>
  </si>
  <si>
    <t>14;14;14</t>
  </si>
  <si>
    <t>200;227</t>
  </si>
  <si>
    <t>2587;2606;2614;2574;2282</t>
  </si>
  <si>
    <t>369;446;464</t>
  </si>
  <si>
    <t>352;420;426</t>
  </si>
  <si>
    <t>477;488</t>
  </si>
  <si>
    <t>1165;1178;1190</t>
  </si>
  <si>
    <t>1143;1141;1100</t>
  </si>
  <si>
    <t>595;595;595;607;612;612;596;596;596;596;596;595;612;612;612;596;596;596;612;612;613;595;612;596</t>
  </si>
  <si>
    <t>5;5;7;5</t>
  </si>
  <si>
    <t>37;309;371</t>
  </si>
  <si>
    <t>12;12;12;12;12</t>
  </si>
  <si>
    <t>67;68;67;68</t>
  </si>
  <si>
    <t>415;415;415;129</t>
  </si>
  <si>
    <t>154;111</t>
  </si>
  <si>
    <t>255;268</t>
  </si>
  <si>
    <t>1118;1129</t>
  </si>
  <si>
    <t>341;353;386;386</t>
  </si>
  <si>
    <t>888;888;888;462</t>
  </si>
  <si>
    <t>226;288;308</t>
  </si>
  <si>
    <t>455;474</t>
  </si>
  <si>
    <t>306;307</t>
  </si>
  <si>
    <t>143;138;138</t>
  </si>
  <si>
    <t>88;113</t>
  </si>
  <si>
    <t>295;413</t>
  </si>
  <si>
    <t>137;219;80;219</t>
  </si>
  <si>
    <t>1259;1382;1615;1652;1333;1667</t>
  </si>
  <si>
    <t>569;569</t>
  </si>
  <si>
    <t>262;87;182;262</t>
  </si>
  <si>
    <t>273;314;314;314</t>
  </si>
  <si>
    <t>12;33</t>
  </si>
  <si>
    <t>55;55</t>
  </si>
  <si>
    <t>352;367;488</t>
  </si>
  <si>
    <t>579;614</t>
  </si>
  <si>
    <t>26;26;61</t>
  </si>
  <si>
    <t>660;707;787;828;650;828</t>
  </si>
  <si>
    <t>991;991;813;813;813;813;813</t>
  </si>
  <si>
    <t>583;583;329</t>
  </si>
  <si>
    <t>18;78;87;80;43;59;60;60;64;64;80;76;80;87</t>
  </si>
  <si>
    <t>1241;1242;1243;1001;1021;1022</t>
  </si>
  <si>
    <t>408;483</t>
  </si>
  <si>
    <t>309;190;269;357</t>
  </si>
  <si>
    <t>819;828;819;828</t>
  </si>
  <si>
    <t>52;52;52;52;52;52;52</t>
  </si>
  <si>
    <t>242;251</t>
  </si>
  <si>
    <t>136;575</t>
  </si>
  <si>
    <t>143;582</t>
  </si>
  <si>
    <t>325;325;325;325;189</t>
  </si>
  <si>
    <t>219;219;224</t>
  </si>
  <si>
    <t>1022;1043</t>
  </si>
  <si>
    <t>22;22;22</t>
  </si>
  <si>
    <t>290;329;346;347</t>
  </si>
  <si>
    <t>605;564</t>
  </si>
  <si>
    <t>116;116;116;116;116;91;71;116</t>
  </si>
  <si>
    <t>675;675;675</t>
  </si>
  <si>
    <t>289;290;299</t>
  </si>
  <si>
    <t>37;37;37;37;37;37</t>
  </si>
  <si>
    <t>53;53</t>
  </si>
  <si>
    <t>54;54</t>
  </si>
  <si>
    <t>298;238;198</t>
  </si>
  <si>
    <t>450;451</t>
  </si>
  <si>
    <t>302;317</t>
  </si>
  <si>
    <t>1315;1328;1307;958;439</t>
  </si>
  <si>
    <t>416;384;418;432;251</t>
  </si>
  <si>
    <t>27;74;27;27;27</t>
  </si>
  <si>
    <t>665;545</t>
  </si>
  <si>
    <t>95;95</t>
  </si>
  <si>
    <t>869;824;824</t>
  </si>
  <si>
    <t>74;74;74;74;74</t>
  </si>
  <si>
    <t>43;43</t>
  </si>
  <si>
    <t>108;108</t>
  </si>
  <si>
    <t>854;760;24</t>
  </si>
  <si>
    <t>7;7;126;126;7</t>
  </si>
  <si>
    <t>308;267</t>
  </si>
  <si>
    <t>246;202;198;30</t>
  </si>
  <si>
    <t>249;251</t>
  </si>
  <si>
    <t>205;160</t>
  </si>
  <si>
    <t>98;98</t>
  </si>
  <si>
    <t>514;664;672;696;697;98;127;138;655;994;1018;1034</t>
  </si>
  <si>
    <t>282;352</t>
  </si>
  <si>
    <t>144;144;249;409;120;409;409</t>
  </si>
  <si>
    <t>346;377</t>
  </si>
  <si>
    <t>191;192;193;194;194;195;175;194;195;195;66;174;66;66;66</t>
  </si>
  <si>
    <t>66;26;66</t>
  </si>
  <si>
    <t>445;352</t>
  </si>
  <si>
    <t>51;51;28;51;51;53</t>
  </si>
  <si>
    <t>315;332</t>
  </si>
  <si>
    <t>444;446;446</t>
  </si>
  <si>
    <t>425;456</t>
  </si>
  <si>
    <t>548;629;581;484;484</t>
  </si>
  <si>
    <t>503;503;503;515;520;520;503;503;503;503;503;503;520;520;520;503;503;503;520;520;520;503;520;503</t>
  </si>
  <si>
    <t>437;264</t>
  </si>
  <si>
    <t>693;474;303;303</t>
  </si>
  <si>
    <t>1093;1111</t>
  </si>
  <si>
    <t>466;466;466;466;450;461;464</t>
  </si>
  <si>
    <t>597;640;646;83</t>
  </si>
  <si>
    <t>671;141</t>
  </si>
  <si>
    <t>155;155;103;118;139;139</t>
  </si>
  <si>
    <t>789;788;788;788</t>
  </si>
  <si>
    <t>465;499</t>
  </si>
  <si>
    <t>38;38</t>
  </si>
  <si>
    <t>974;913;979;974;979;1219;1219;459;459</t>
  </si>
  <si>
    <t>231;231;231;231;231;231;231;231;231;231;231;231;231;231;231;231;231;231;231;231;231;231;231;231;231;231;231;231;230;231;230;231;231;231;231;231;231</t>
  </si>
  <si>
    <t>="Calcium/calmodulin-dependent protein kinase type II subunit gamma;Calcium/calmodulin-dependent protein kinase type II subunit delta;Calcium/calmodulin-dependent protein kinase type II subunit beta;Calcium/calmodulin-dependent protein kinase type II subu</t>
  </si>
  <si>
    <t>45;32;32;115;32;32;115</t>
  </si>
  <si>
    <t>156;158;159;248;316</t>
  </si>
  <si>
    <t>367;368;423;423;391</t>
  </si>
  <si>
    <t>177;194;177</t>
  </si>
  <si>
    <t>942;942;942;942;942</t>
  </si>
  <si>
    <t>982;991</t>
  </si>
  <si>
    <t>1284;105;1284</t>
  </si>
  <si>
    <t>178;178;237;178</t>
  </si>
  <si>
    <t>207;207</t>
  </si>
  <si>
    <t>546;523</t>
  </si>
  <si>
    <t>679;679</t>
  </si>
  <si>
    <t>1491;1487;1487;424</t>
  </si>
  <si>
    <t>223;223;74</t>
  </si>
  <si>
    <t>425;425;425;310;275;212;212;233;233</t>
  </si>
  <si>
    <t>65;65;65</t>
  </si>
  <si>
    <t>666;851</t>
  </si>
  <si>
    <t>245;145</t>
  </si>
  <si>
    <t>998;953;953</t>
  </si>
  <si>
    <t>615;615;616;616;632;665;615;616;598;598;614;615;615;631;632;614;615;607;607</t>
  </si>
  <si>
    <t>867;1249;538;643;1025;251;1025;1042</t>
  </si>
  <si>
    <t>150;150;150;150;150;150;150</t>
  </si>
  <si>
    <t>122;137</t>
  </si>
  <si>
    <t>234;238;263</t>
  </si>
  <si>
    <t>639;639;558</t>
  </si>
  <si>
    <t>514;484</t>
  </si>
  <si>
    <t>259;259;264;259;264;504;504</t>
  </si>
  <si>
    <t>324;336</t>
  </si>
  <si>
    <t>145;145;145;130;145</t>
  </si>
  <si>
    <t>128;128;128;128;128;128;20</t>
  </si>
  <si>
    <t>137;103;137</t>
  </si>
  <si>
    <t>134;157</t>
  </si>
  <si>
    <t>1116;1064;1086;1093;1130;1139;1160;1173;1176</t>
  </si>
  <si>
    <t>1106;1122;1118;1198;1198</t>
  </si>
  <si>
    <t>92;117</t>
  </si>
  <si>
    <t>11;32</t>
  </si>
  <si>
    <t>85;44</t>
  </si>
  <si>
    <t>139;162</t>
  </si>
  <si>
    <t>140;163</t>
  </si>
  <si>
    <t>183;183;184</t>
  </si>
  <si>
    <t>87;87;87</t>
  </si>
  <si>
    <t>1715;1766;1784;1835;1762;913;635;75;1834;912;74</t>
  </si>
  <si>
    <t>90;90;90</t>
  </si>
  <si>
    <t>1712;2061</t>
  </si>
  <si>
    <t>151;175</t>
  </si>
  <si>
    <t>525;525</t>
  </si>
  <si>
    <t>220;356;356</t>
  </si>
  <si>
    <t>344;360;522;552;581;582;584;613;219</t>
  </si>
  <si>
    <t>1072;1151;256</t>
  </si>
  <si>
    <t>170;170;172;170</t>
  </si>
  <si>
    <t>86;60</t>
  </si>
  <si>
    <t>919;934;212</t>
  </si>
  <si>
    <t>182;182;182</t>
  </si>
  <si>
    <t>41;41;41</t>
  </si>
  <si>
    <t>57;86;86;126;126</t>
  </si>
  <si>
    <t>102;127</t>
  </si>
  <si>
    <t>115;134;140;140;125;146;161;140;125;146;161</t>
  </si>
  <si>
    <t>1530;1529;1555;1471;1518</t>
  </si>
  <si>
    <t>253;119;119;265;253;253;235</t>
  </si>
  <si>
    <t>926;936;944;958;958;962;981;985;1095</t>
  </si>
  <si>
    <t>385;386;441;441;409</t>
  </si>
  <si>
    <t>300;331</t>
  </si>
  <si>
    <t>760;760;760</t>
  </si>
  <si>
    <t>250;192</t>
  </si>
  <si>
    <t>271;155;256;271;271;236;271;271;271;271;341</t>
  </si>
  <si>
    <t>502;742</t>
  </si>
  <si>
    <t>659;683;693;693;522</t>
  </si>
  <si>
    <t>80;80</t>
  </si>
  <si>
    <t>26;113</t>
  </si>
  <si>
    <t>105;82;105;127;124</t>
  </si>
  <si>
    <t>383;372;383;383</t>
  </si>
  <si>
    <t>165;202;83</t>
  </si>
  <si>
    <t>194;194</t>
  </si>
  <si>
    <t>218;218;218</t>
  </si>
  <si>
    <t>560;641;593;496;496</t>
  </si>
  <si>
    <t>1003;1003</t>
  </si>
  <si>
    <t>84;184</t>
  </si>
  <si>
    <t>21;21;21;21;21;21;21</t>
  </si>
  <si>
    <t>265;265;266;281;266</t>
  </si>
  <si>
    <t>29;29</t>
  </si>
  <si>
    <t>394;402;402;395;611;990</t>
  </si>
  <si>
    <t>95;112;95;95</t>
  </si>
  <si>
    <t>71;71;49</t>
  </si>
  <si>
    <t>219;393;393</t>
  </si>
  <si>
    <t>4719;4768;4719;4768;69</t>
  </si>
  <si>
    <t>98;68;488</t>
  </si>
  <si>
    <t>417;417;417;417;443</t>
  </si>
  <si>
    <t>149;149;149;149</t>
  </si>
  <si>
    <t>4349;4359;4367;4381;4381;4385;4404;4408;4518</t>
  </si>
  <si>
    <t>489;489;311;311;311;311;311</t>
  </si>
  <si>
    <t>529;384</t>
  </si>
  <si>
    <t>1236;1254</t>
  </si>
  <si>
    <t>79;76</t>
  </si>
  <si>
    <t>320;320;320</t>
  </si>
  <si>
    <t>646;651</t>
  </si>
  <si>
    <t>246;254;272;272</t>
  </si>
  <si>
    <t>242;179</t>
  </si>
  <si>
    <t>220;261;232;232</t>
  </si>
  <si>
    <t>301;342</t>
  </si>
  <si>
    <t>270;242</t>
  </si>
  <si>
    <t>225;225;259;225</t>
  </si>
  <si>
    <t>588;702;677;685;702</t>
  </si>
  <si>
    <t>242;336;384;384;385</t>
  </si>
  <si>
    <t>370;370</t>
  </si>
  <si>
    <t>532;451;527;543;552</t>
  </si>
  <si>
    <t>820;830</t>
  </si>
  <si>
    <t>146;29</t>
  </si>
  <si>
    <t>147;30</t>
  </si>
  <si>
    <t>787;787;796;796</t>
  </si>
  <si>
    <t>545;526;399;309</t>
  </si>
  <si>
    <t>10;10;10;10</t>
  </si>
  <si>
    <t>234;339</t>
  </si>
  <si>
    <t>1610;1603;1610;1603;1610</t>
  </si>
  <si>
    <t>278;345;274</t>
  </si>
  <si>
    <t>377;380;461;378;386</t>
  </si>
  <si>
    <t>15;59;59;59</t>
  </si>
  <si>
    <t>304;334;376;397;400</t>
  </si>
  <si>
    <t>233;255</t>
  </si>
  <si>
    <t>150;150;150</t>
  </si>
  <si>
    <t>40;40</t>
  </si>
  <si>
    <t>116;153;173;197;197;153</t>
  </si>
  <si>
    <t>384;384</t>
  </si>
  <si>
    <t>161;133;161</t>
  </si>
  <si>
    <t>1214;1213;1213;1213</t>
  </si>
  <si>
    <t>254;281;223;196</t>
  </si>
  <si>
    <t>172;172;162</t>
  </si>
  <si>
    <t>495;98;138;663;691</t>
  </si>
  <si>
    <t>265;268</t>
  </si>
  <si>
    <t>519;549;549;560;562</t>
  </si>
  <si>
    <t>272;221</t>
  </si>
  <si>
    <t>301;432;659</t>
  </si>
  <si>
    <t>93;173;183</t>
  </si>
  <si>
    <t>128;306;333;358;221</t>
  </si>
  <si>
    <t>329;768</t>
  </si>
  <si>
    <t>316;316;313;177</t>
  </si>
  <si>
    <t>221;221;221</t>
  </si>
  <si>
    <t>443;436;471;371</t>
  </si>
  <si>
    <t>99;117</t>
  </si>
  <si>
    <t>123;74</t>
  </si>
  <si>
    <t>110;110;110;110;76;110;110</t>
  </si>
  <si>
    <t>197;224</t>
  </si>
  <si>
    <t>715;849;535</t>
  </si>
  <si>
    <t>1314;1327;1306;957;438</t>
  </si>
  <si>
    <t>455;456</t>
  </si>
  <si>
    <t>348;300</t>
  </si>
  <si>
    <t>1185;1001;1040;1100;1115;1134;1139;1154;1167;903;903</t>
  </si>
  <si>
    <t>294;294;322;91;205;233;54;294</t>
  </si>
  <si>
    <t>715;717;629</t>
  </si>
  <si>
    <t>280;280;308;240</t>
  </si>
  <si>
    <t>3608;3618;3626;3640;3640;3644;3663;3667;3777</t>
  </si>
  <si>
    <t>313;315;318</t>
  </si>
  <si>
    <t>474;410;501</t>
  </si>
  <si>
    <t>538;459;538;459;544</t>
  </si>
  <si>
    <t>540;461;540;461;546</t>
  </si>
  <si>
    <t>788;789;844;822;812</t>
  </si>
  <si>
    <t>226;226</t>
  </si>
  <si>
    <t>249;191</t>
  </si>
  <si>
    <t>168;168;116;131;152;152</t>
  </si>
  <si>
    <t>121;153;153</t>
  </si>
  <si>
    <t>156;199</t>
  </si>
  <si>
    <t>502;504;618</t>
  </si>
  <si>
    <t>35;35</t>
  </si>
  <si>
    <t>542;656;631;639;656</t>
  </si>
  <si>
    <t>123;217;217</t>
  </si>
  <si>
    <t>705;705</t>
  </si>
  <si>
    <t>104;104</t>
  </si>
  <si>
    <t>1107;1123;1119;1199;1199</t>
  </si>
  <si>
    <t>244;174</t>
  </si>
  <si>
    <t>865;865;963</t>
  </si>
  <si>
    <t>209;246;127</t>
  </si>
  <si>
    <t>17;77;93</t>
  </si>
  <si>
    <t>479;406;433;434</t>
  </si>
  <si>
    <t>1600;1638</t>
  </si>
  <si>
    <t>41;29;41</t>
  </si>
  <si>
    <t>215;254;320</t>
  </si>
  <si>
    <t>443;445;445</t>
  </si>
  <si>
    <t>86;88;91;86</t>
  </si>
  <si>
    <t>66;66;66;66;25;25;25</t>
  </si>
  <si>
    <t>196;162;116</t>
  </si>
  <si>
    <t>129;194;194</t>
  </si>
  <si>
    <t>557;610;375</t>
  </si>
  <si>
    <t>299;299</t>
  </si>
  <si>
    <t>824;796;824;845;231</t>
  </si>
  <si>
    <t>244;244</t>
  </si>
  <si>
    <t>818;452</t>
  </si>
  <si>
    <t>317;175</t>
  </si>
  <si>
    <t>81;181</t>
  </si>
  <si>
    <t>126;182</t>
  </si>
  <si>
    <t>177;217;217</t>
  </si>
  <si>
    <t>310;229;305;321;330</t>
  </si>
  <si>
    <t>170;252;252</t>
  </si>
  <si>
    <t>571;580</t>
  </si>
  <si>
    <t>254;271</t>
  </si>
  <si>
    <t>500;500;544;544;544</t>
  </si>
  <si>
    <t>Score for localization</t>
  </si>
  <si>
    <t>Gene Names</t>
  </si>
  <si>
    <t>Patient ID</t>
  </si>
  <si>
    <t>Tissue</t>
  </si>
  <si>
    <t>mg input</t>
  </si>
  <si>
    <t>Analysis label</t>
  </si>
  <si>
    <t>ARCC-1 Sensitive</t>
  </si>
  <si>
    <t>RCC tissue</t>
  </si>
  <si>
    <t>5 mg</t>
  </si>
  <si>
    <t>A</t>
  </si>
  <si>
    <t>ARCC-6 Sensitive</t>
  </si>
  <si>
    <t>B</t>
  </si>
  <si>
    <t>ARCC-9 Sensitive</t>
  </si>
  <si>
    <t>C</t>
  </si>
  <si>
    <t>ARCC-11 Resistant</t>
  </si>
  <si>
    <t>D</t>
  </si>
  <si>
    <t>ARCC-17 Sensitive</t>
  </si>
  <si>
    <t>E</t>
  </si>
  <si>
    <t>ARCC-25 Resistant</t>
  </si>
  <si>
    <t>F</t>
  </si>
  <si>
    <t>ARCC-3 Sensitive</t>
  </si>
  <si>
    <t>3 mg</t>
  </si>
  <si>
    <t>G</t>
  </si>
  <si>
    <t>ARCC-16 Sensitive</t>
  </si>
  <si>
    <t>H</t>
  </si>
  <si>
    <t>HCT-116</t>
  </si>
  <si>
    <t>Cell line control sample</t>
  </si>
  <si>
    <t>10 mg</t>
  </si>
  <si>
    <t>I</t>
  </si>
  <si>
    <t>Mixed Tissue</t>
  </si>
  <si>
    <t>Mixed tissue control sample</t>
  </si>
  <si>
    <t>J</t>
  </si>
  <si>
    <t>ARCC-7 Sensitive</t>
  </si>
  <si>
    <t>K</t>
  </si>
  <si>
    <t>ARCC-18 Sensitive</t>
  </si>
  <si>
    <t>L</t>
  </si>
  <si>
    <t>ARCC-20 Resistant</t>
  </si>
  <si>
    <t>M</t>
  </si>
  <si>
    <t>ARCC-21 Sensitive</t>
  </si>
  <si>
    <t>N</t>
  </si>
  <si>
    <t>ARCC-24 Resistant</t>
  </si>
  <si>
    <t>O</t>
  </si>
  <si>
    <t>ARCC-26 Sensitive</t>
  </si>
  <si>
    <t>P</t>
  </si>
  <si>
    <t>ARCC-12 Resistant</t>
  </si>
  <si>
    <t>Q</t>
  </si>
  <si>
    <t>ARCC-2 Sensitive</t>
  </si>
  <si>
    <t>R</t>
  </si>
  <si>
    <t>ARCC-13 Sensitive</t>
  </si>
  <si>
    <t>2 mg</t>
  </si>
  <si>
    <t>U</t>
  </si>
  <si>
    <t>ARCC-4 Sensitive</t>
  </si>
  <si>
    <t>V</t>
  </si>
  <si>
    <t>ARCC-5 Sensitive</t>
  </si>
  <si>
    <t>W</t>
  </si>
  <si>
    <t>ARCC-8 Sensitive</t>
  </si>
  <si>
    <t>X</t>
  </si>
  <si>
    <t>ARCC-14 Sensitive</t>
  </si>
  <si>
    <t>ARCC-15 Resistant</t>
  </si>
  <si>
    <t>Z</t>
  </si>
  <si>
    <t>ARCC-19 Resistant</t>
  </si>
  <si>
    <t>AA</t>
  </si>
  <si>
    <t>ARCC-22 Resistant</t>
  </si>
  <si>
    <t>BB</t>
  </si>
  <si>
    <t>ARCC-23 Sensitive</t>
  </si>
  <si>
    <t>CC</t>
  </si>
  <si>
    <t>ARCC-10 Sensitive</t>
  </si>
  <si>
    <t>DD</t>
  </si>
  <si>
    <t>EE</t>
  </si>
  <si>
    <t>FF</t>
  </si>
  <si>
    <t>* Samples excluded from downstream analysis due to low protein input and significantly less phosphopeptide identifications</t>
  </si>
  <si>
    <t>*</t>
  </si>
  <si>
    <t>◊ Sample excluded due to below-par lysate, hindering lysate-based normalisation</t>
  </si>
  <si>
    <t>◊</t>
  </si>
  <si>
    <t>Additional Table 2: Identified phosphosites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</si>
</sst>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8"/>
      <color rgb="FF000000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3" fillId="0" borderId="2" xfId="0" quotePrefix="1" applyFont="1" applyFill="1" applyBorder="1" applyAlignment="1">
      <alignment horizontal="center"/>
    </xf>
    <xf numFmtId="0" fontId="4" fillId="0" borderId="0" xfId="0" applyFont="1" applyFill="1" applyBorder="1"/>
    <xf numFmtId="164" fontId="5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" fillId="0" borderId="0" xfId="0" applyFont="1"/>
    <xf numFmtId="0" fontId="7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60"/>
  <sheetViews>
    <sheetView tabSelected="1" workbookViewId="0">
      <selection activeCell="G16" sqref="G16"/>
    </sheetView>
  </sheetViews>
  <sheetFormatPr defaultRowHeight="15" x14ac:dyDescent="0.25"/>
  <cols>
    <col min="1" max="1" width="24.7109375" style="1" customWidth="1"/>
    <col min="2" max="4" width="11.7109375" style="1" customWidth="1"/>
    <col min="5" max="6" width="15.7109375" style="1" customWidth="1"/>
    <col min="7" max="7" width="40.7109375" customWidth="1"/>
    <col min="8" max="9" width="25.7109375" customWidth="1"/>
    <col min="10" max="10" width="45.7109375" customWidth="1"/>
    <col min="11" max="11" width="25.7109375" customWidth="1"/>
  </cols>
  <sheetData>
    <row r="1" spans="1:14" x14ac:dyDescent="0.25">
      <c r="A1" s="7" t="s">
        <v>6146</v>
      </c>
    </row>
    <row r="2" spans="1:14" x14ac:dyDescent="0.25">
      <c r="A2" s="7"/>
    </row>
    <row r="4" spans="1:14" s="5" customFormat="1" ht="50.25" customHeight="1" x14ac:dyDescent="0.25">
      <c r="A4" s="2" t="s">
        <v>0</v>
      </c>
      <c r="B4" s="2" t="s">
        <v>1</v>
      </c>
      <c r="C4" s="2" t="s">
        <v>2</v>
      </c>
      <c r="D4" s="2" t="s">
        <v>6</v>
      </c>
      <c r="E4" s="2" t="s">
        <v>6072</v>
      </c>
      <c r="F4" s="2" t="s">
        <v>7</v>
      </c>
      <c r="G4" s="3" t="s">
        <v>8</v>
      </c>
      <c r="H4" s="3" t="s">
        <v>9</v>
      </c>
      <c r="I4" s="3" t="s">
        <v>4191</v>
      </c>
      <c r="J4" s="3" t="s">
        <v>4192</v>
      </c>
      <c r="K4" s="3" t="s">
        <v>6073</v>
      </c>
      <c r="L4" s="4"/>
      <c r="N4" s="6"/>
    </row>
    <row r="5" spans="1:14" x14ac:dyDescent="0.25">
      <c r="A5" s="1">
        <v>753</v>
      </c>
      <c r="B5" s="1">
        <v>2</v>
      </c>
      <c r="C5" s="1" t="s">
        <v>3</v>
      </c>
      <c r="D5" s="1">
        <v>6</v>
      </c>
      <c r="E5" s="1">
        <v>140.31</v>
      </c>
      <c r="F5" s="1">
        <v>1</v>
      </c>
      <c r="G5" t="s">
        <v>10</v>
      </c>
      <c r="H5" t="s">
        <v>11</v>
      </c>
      <c r="I5" t="s">
        <v>4193</v>
      </c>
      <c r="J5" t="str">
        <f>""</f>
        <v/>
      </c>
      <c r="K5" t="str">
        <f>"CDC2"</f>
        <v>CDC2</v>
      </c>
    </row>
    <row r="6" spans="1:14" x14ac:dyDescent="0.25">
      <c r="A6" s="1">
        <v>1324</v>
      </c>
      <c r="B6" s="1">
        <v>2</v>
      </c>
      <c r="C6" s="1" t="s">
        <v>3</v>
      </c>
      <c r="D6" s="1">
        <v>6</v>
      </c>
      <c r="E6" s="1">
        <v>140.31</v>
      </c>
      <c r="F6" s="1">
        <v>1</v>
      </c>
      <c r="G6" t="s">
        <v>10</v>
      </c>
      <c r="H6" t="s">
        <v>12</v>
      </c>
      <c r="I6" t="s">
        <v>4194</v>
      </c>
      <c r="J6" t="str">
        <f>"Cyclin-dependent kinase 3"</f>
        <v>Cyclin-dependent kinase 3</v>
      </c>
      <c r="K6" t="str">
        <f>"CDK2;CDK3"</f>
        <v>CDK2;CDK3</v>
      </c>
    </row>
    <row r="7" spans="1:14" x14ac:dyDescent="0.25">
      <c r="A7" s="1">
        <v>2117</v>
      </c>
      <c r="B7" s="1">
        <v>3</v>
      </c>
      <c r="C7" s="1" t="s">
        <v>3</v>
      </c>
      <c r="D7" s="1">
        <v>7</v>
      </c>
      <c r="E7" s="1">
        <v>163.59</v>
      </c>
      <c r="F7" s="1">
        <v>0.99981200000000003</v>
      </c>
      <c r="G7" t="s">
        <v>13</v>
      </c>
      <c r="H7" t="s">
        <v>14</v>
      </c>
      <c r="I7" t="s">
        <v>4195</v>
      </c>
      <c r="J7" t="str">
        <f>"Glycogen synthase kinase-3 alpha;Glycogen synthase kinase-3 beta"</f>
        <v>Glycogen synthase kinase-3 alpha;Glycogen synthase kinase-3 beta</v>
      </c>
      <c r="K7" t="str">
        <f>"GSK3A;GSK3B"</f>
        <v>GSK3A;GSK3B</v>
      </c>
    </row>
    <row r="8" spans="1:14" x14ac:dyDescent="0.25">
      <c r="A8" s="1">
        <v>2428</v>
      </c>
      <c r="B8" s="1">
        <v>2</v>
      </c>
      <c r="C8" s="1" t="s">
        <v>3</v>
      </c>
      <c r="D8" s="1">
        <v>18</v>
      </c>
      <c r="E8" s="1">
        <v>313.27999999999997</v>
      </c>
      <c r="F8" s="1">
        <v>0.99995699999999998</v>
      </c>
      <c r="G8" t="s">
        <v>15</v>
      </c>
      <c r="H8" t="s">
        <v>16</v>
      </c>
      <c r="I8">
        <v>849</v>
      </c>
      <c r="J8" t="str">
        <f>"Serine/threonine-protein kinase PRP4 homolog"</f>
        <v>Serine/threonine-protein kinase PRP4 homolog</v>
      </c>
      <c r="K8" t="str">
        <f>"PRPF4B"</f>
        <v>PRPF4B</v>
      </c>
    </row>
    <row r="9" spans="1:14" x14ac:dyDescent="0.25">
      <c r="A9" s="1">
        <v>2021</v>
      </c>
      <c r="B9" s="1">
        <v>3</v>
      </c>
      <c r="C9" s="1" t="s">
        <v>3</v>
      </c>
      <c r="D9" s="1">
        <v>20</v>
      </c>
      <c r="E9" s="1">
        <v>205.9</v>
      </c>
      <c r="F9" s="1">
        <v>1</v>
      </c>
      <c r="G9" t="s">
        <v>17</v>
      </c>
      <c r="H9" t="s">
        <v>18</v>
      </c>
      <c r="I9" t="s">
        <v>4196</v>
      </c>
      <c r="J9" t="str">
        <f>"Signal transducer and activator of transcription 3;Signal transducer and activator of transcription"</f>
        <v>Signal transducer and activator of transcription 3;Signal transducer and activator of transcription</v>
      </c>
      <c r="K9" t="str">
        <f>"STAT3"</f>
        <v>STAT3</v>
      </c>
    </row>
    <row r="10" spans="1:14" x14ac:dyDescent="0.25">
      <c r="A10" s="1">
        <v>488</v>
      </c>
      <c r="B10" s="1">
        <v>2</v>
      </c>
      <c r="C10" s="1" t="s">
        <v>4</v>
      </c>
      <c r="D10" s="1">
        <v>5</v>
      </c>
      <c r="E10" s="1">
        <v>126.56</v>
      </c>
      <c r="F10" s="1">
        <v>1</v>
      </c>
      <c r="G10" t="s">
        <v>10</v>
      </c>
      <c r="H10" t="s">
        <v>11</v>
      </c>
      <c r="I10" t="s">
        <v>4197</v>
      </c>
      <c r="J10" t="str">
        <f>""</f>
        <v/>
      </c>
      <c r="K10" t="str">
        <f>"CDC2"</f>
        <v>CDC2</v>
      </c>
    </row>
    <row r="11" spans="1:14" x14ac:dyDescent="0.25">
      <c r="A11" s="1">
        <v>545</v>
      </c>
      <c r="B11" s="1">
        <v>2</v>
      </c>
      <c r="C11" s="1" t="s">
        <v>4</v>
      </c>
      <c r="D11" s="1">
        <v>5</v>
      </c>
      <c r="E11" s="1">
        <v>126.56</v>
      </c>
      <c r="F11" s="1">
        <v>1</v>
      </c>
      <c r="G11" t="s">
        <v>10</v>
      </c>
      <c r="H11" t="s">
        <v>12</v>
      </c>
      <c r="I11" t="s">
        <v>4198</v>
      </c>
      <c r="J11" t="str">
        <f>"Cyclin-dependent kinase 3"</f>
        <v>Cyclin-dependent kinase 3</v>
      </c>
      <c r="K11" t="str">
        <f>"CDK2;CDK3"</f>
        <v>CDK2;CDK3</v>
      </c>
    </row>
    <row r="12" spans="1:14" x14ac:dyDescent="0.25">
      <c r="A12" s="1">
        <v>1654</v>
      </c>
      <c r="B12" s="1">
        <v>2</v>
      </c>
      <c r="C12" s="1" t="s">
        <v>3</v>
      </c>
      <c r="D12" s="1">
        <v>14</v>
      </c>
      <c r="E12" s="1">
        <v>328.8</v>
      </c>
      <c r="F12" s="1">
        <v>0.99999899999999997</v>
      </c>
      <c r="G12" t="s">
        <v>19</v>
      </c>
      <c r="H12" t="s">
        <v>20</v>
      </c>
      <c r="I12" t="s">
        <v>4199</v>
      </c>
      <c r="J12" t="str">
        <f>"Annexin A2;Putative annexin A2-like protein;Annexin"</f>
        <v>Annexin A2;Putative annexin A2-like protein;Annexin</v>
      </c>
      <c r="K12" t="str">
        <f>"ANXA2;ANXA2P2"</f>
        <v>ANXA2;ANXA2P2</v>
      </c>
    </row>
    <row r="13" spans="1:14" x14ac:dyDescent="0.25">
      <c r="A13" s="1">
        <v>1943</v>
      </c>
      <c r="B13" s="1">
        <v>3</v>
      </c>
      <c r="C13" s="1" t="s">
        <v>3</v>
      </c>
      <c r="D13" s="1">
        <v>15</v>
      </c>
      <c r="E13" s="1">
        <v>273.37</v>
      </c>
      <c r="F13" s="1">
        <v>0.99999400000000005</v>
      </c>
      <c r="G13" t="s">
        <v>21</v>
      </c>
      <c r="H13" t="s">
        <v>22</v>
      </c>
      <c r="I13" t="s">
        <v>4200</v>
      </c>
      <c r="J13" t="str">
        <f>"Mitogen-activated protein kinase 1"</f>
        <v>Mitogen-activated protein kinase 1</v>
      </c>
      <c r="K13" t="str">
        <f>"MAPK1"</f>
        <v>MAPK1</v>
      </c>
    </row>
    <row r="14" spans="1:14" x14ac:dyDescent="0.25">
      <c r="A14" s="1">
        <v>2751</v>
      </c>
      <c r="B14" s="1">
        <v>4</v>
      </c>
      <c r="C14" s="1" t="s">
        <v>3</v>
      </c>
      <c r="D14" s="1">
        <v>11</v>
      </c>
      <c r="E14" s="1">
        <v>51.088999999999999</v>
      </c>
      <c r="F14" s="1">
        <v>1</v>
      </c>
      <c r="G14" t="s">
        <v>23</v>
      </c>
      <c r="H14" t="s">
        <v>24</v>
      </c>
      <c r="I14">
        <v>350</v>
      </c>
      <c r="J14" t="str">
        <f>"Retinoic acid-induced protein 3"</f>
        <v>Retinoic acid-induced protein 3</v>
      </c>
      <c r="K14" t="str">
        <f>"GPRC5A"</f>
        <v>GPRC5A</v>
      </c>
    </row>
    <row r="15" spans="1:14" x14ac:dyDescent="0.25">
      <c r="A15" s="1">
        <v>2717</v>
      </c>
      <c r="B15" s="1">
        <v>3</v>
      </c>
      <c r="C15" s="1" t="s">
        <v>3</v>
      </c>
      <c r="D15" s="1">
        <v>23</v>
      </c>
      <c r="E15" s="1">
        <v>198.99</v>
      </c>
      <c r="F15" s="1">
        <v>0.79517199999999999</v>
      </c>
      <c r="G15" t="s">
        <v>25</v>
      </c>
      <c r="H15" t="s">
        <v>26</v>
      </c>
      <c r="I15" t="s">
        <v>4201</v>
      </c>
      <c r="J15" t="str">
        <f>"Actin filament-associated protein 1-like 2"</f>
        <v>Actin filament-associated protein 1-like 2</v>
      </c>
      <c r="K15" t="str">
        <f>"AFAP1L2"</f>
        <v>AFAP1L2</v>
      </c>
    </row>
    <row r="16" spans="1:14" x14ac:dyDescent="0.25">
      <c r="A16" s="1">
        <v>1829</v>
      </c>
      <c r="B16" s="1">
        <v>3</v>
      </c>
      <c r="C16" s="1" t="s">
        <v>3</v>
      </c>
      <c r="D16" s="1">
        <v>12</v>
      </c>
      <c r="E16" s="1">
        <v>190.11</v>
      </c>
      <c r="F16" s="1">
        <v>0.99834900000000004</v>
      </c>
      <c r="G16" t="s">
        <v>27</v>
      </c>
      <c r="H16" t="s">
        <v>28</v>
      </c>
      <c r="I16" t="s">
        <v>4202</v>
      </c>
      <c r="J16" t="str">
        <f>"Receptor-type tyrosine-protein phosphatase alpha"</f>
        <v>Receptor-type tyrosine-protein phosphatase alpha</v>
      </c>
      <c r="K16" t="str">
        <f>"PTPRA"</f>
        <v>PTPRA</v>
      </c>
    </row>
    <row r="17" spans="1:11" x14ac:dyDescent="0.25">
      <c r="A17" s="1">
        <v>1240</v>
      </c>
      <c r="B17" s="1">
        <v>4</v>
      </c>
      <c r="C17" s="1" t="s">
        <v>3</v>
      </c>
      <c r="D17" s="1">
        <v>15</v>
      </c>
      <c r="E17" s="1">
        <v>200.9</v>
      </c>
      <c r="F17" s="1">
        <v>0.99999899999999997</v>
      </c>
      <c r="G17" t="s">
        <v>29</v>
      </c>
      <c r="H17" t="s">
        <v>30</v>
      </c>
      <c r="I17" t="s">
        <v>4203</v>
      </c>
      <c r="J17" t="str">
        <f>"Mitogen-activated protein kinase;Mitogen-activated protein kinase 3"</f>
        <v>Mitogen-activated protein kinase;Mitogen-activated protein kinase 3</v>
      </c>
      <c r="K17" t="str">
        <f>"MAPK3"</f>
        <v>MAPK3</v>
      </c>
    </row>
    <row r="18" spans="1:11" x14ac:dyDescent="0.25">
      <c r="A18" s="1">
        <v>2750</v>
      </c>
      <c r="B18" s="1">
        <v>4</v>
      </c>
      <c r="C18" s="1" t="s">
        <v>3</v>
      </c>
      <c r="D18" s="1">
        <v>8</v>
      </c>
      <c r="E18" s="1">
        <v>51.088999999999999</v>
      </c>
      <c r="F18" s="1">
        <v>1</v>
      </c>
      <c r="G18" t="s">
        <v>23</v>
      </c>
      <c r="H18" t="s">
        <v>24</v>
      </c>
      <c r="I18">
        <v>347</v>
      </c>
      <c r="J18" t="str">
        <f>"Retinoic acid-induced protein 3"</f>
        <v>Retinoic acid-induced protein 3</v>
      </c>
      <c r="K18" t="str">
        <f>"GPRC5A"</f>
        <v>GPRC5A</v>
      </c>
    </row>
    <row r="19" spans="1:11" x14ac:dyDescent="0.25">
      <c r="A19" s="1">
        <v>2023</v>
      </c>
      <c r="B19" s="1">
        <v>3</v>
      </c>
      <c r="C19" s="1" t="s">
        <v>3</v>
      </c>
      <c r="D19" s="1">
        <v>19</v>
      </c>
      <c r="E19" s="1">
        <v>109.32</v>
      </c>
      <c r="F19" s="1">
        <v>1</v>
      </c>
      <c r="G19" t="s">
        <v>31</v>
      </c>
      <c r="H19" t="s">
        <v>32</v>
      </c>
      <c r="I19">
        <v>704</v>
      </c>
      <c r="J19" t="str">
        <f>"Signal transducer and activator of transcription 3"</f>
        <v>Signal transducer and activator of transcription 3</v>
      </c>
      <c r="K19" t="str">
        <f>"STAT3"</f>
        <v>STAT3</v>
      </c>
    </row>
    <row r="20" spans="1:11" x14ac:dyDescent="0.25">
      <c r="A20" s="1">
        <v>372</v>
      </c>
      <c r="B20" s="1">
        <v>3</v>
      </c>
      <c r="C20" s="1" t="s">
        <v>5</v>
      </c>
      <c r="D20" s="1">
        <v>24</v>
      </c>
      <c r="E20" s="1">
        <v>232.19</v>
      </c>
      <c r="F20" s="1">
        <v>0.70234099999999999</v>
      </c>
      <c r="G20" t="s">
        <v>33</v>
      </c>
      <c r="H20" t="s">
        <v>26</v>
      </c>
      <c r="I20" t="s">
        <v>4204</v>
      </c>
      <c r="J20" t="str">
        <f>"Actin filament-associated protein 1-like 2"</f>
        <v>Actin filament-associated protein 1-like 2</v>
      </c>
      <c r="K20" t="str">
        <f>"AFAP1L2"</f>
        <v>AFAP1L2</v>
      </c>
    </row>
    <row r="21" spans="1:11" x14ac:dyDescent="0.25">
      <c r="A21" s="1">
        <v>1566</v>
      </c>
      <c r="B21" s="1">
        <v>5</v>
      </c>
      <c r="C21" s="1" t="s">
        <v>3</v>
      </c>
      <c r="D21" s="1">
        <v>13</v>
      </c>
      <c r="E21" s="1">
        <v>179.2</v>
      </c>
      <c r="F21" s="1">
        <v>1</v>
      </c>
      <c r="G21" t="s">
        <v>34</v>
      </c>
      <c r="H21" t="s">
        <v>35</v>
      </c>
      <c r="I21" t="s">
        <v>4205</v>
      </c>
      <c r="J21" t="str">
        <f>"Myelin protein zero-like protein 1"</f>
        <v>Myelin protein zero-like protein 1</v>
      </c>
      <c r="K21" t="str">
        <f>"MPZL1"</f>
        <v>MPZL1</v>
      </c>
    </row>
    <row r="22" spans="1:11" x14ac:dyDescent="0.25">
      <c r="A22" s="1">
        <v>2607</v>
      </c>
      <c r="B22" s="1">
        <v>3</v>
      </c>
      <c r="C22" s="1" t="s">
        <v>3</v>
      </c>
      <c r="D22" s="1">
        <v>4</v>
      </c>
      <c r="E22" s="1">
        <v>41.241999999999997</v>
      </c>
      <c r="F22" s="1">
        <v>1</v>
      </c>
      <c r="G22" t="s">
        <v>36</v>
      </c>
      <c r="H22" t="s">
        <v>37</v>
      </c>
      <c r="I22" t="s">
        <v>4206</v>
      </c>
      <c r="J22" t="str">
        <f>"Partitioning defective 3 homolog"</f>
        <v>Partitioning defective 3 homolog</v>
      </c>
      <c r="K22" t="str">
        <f>"PARD3"</f>
        <v>PARD3</v>
      </c>
    </row>
    <row r="23" spans="1:11" x14ac:dyDescent="0.25">
      <c r="A23" s="1">
        <v>1281</v>
      </c>
      <c r="B23" s="1">
        <v>2</v>
      </c>
      <c r="C23" s="1" t="s">
        <v>3</v>
      </c>
      <c r="D23" s="1">
        <v>8</v>
      </c>
      <c r="E23" s="1">
        <v>231.74</v>
      </c>
      <c r="F23" s="1">
        <v>0.99684899999999999</v>
      </c>
      <c r="G23" t="s">
        <v>38</v>
      </c>
      <c r="H23" t="s">
        <v>39</v>
      </c>
      <c r="I23" t="s">
        <v>4207</v>
      </c>
      <c r="J23" t="str">
        <f>"Paxillin"</f>
        <v>Paxillin</v>
      </c>
      <c r="K23" t="str">
        <f>"PXN"</f>
        <v>PXN</v>
      </c>
    </row>
    <row r="24" spans="1:11" x14ac:dyDescent="0.25">
      <c r="A24" s="1">
        <v>1560</v>
      </c>
      <c r="B24" s="1">
        <v>3</v>
      </c>
      <c r="C24" s="1" t="s">
        <v>3</v>
      </c>
      <c r="D24" s="1">
        <v>12</v>
      </c>
      <c r="E24" s="1">
        <v>214.23</v>
      </c>
      <c r="F24" s="1">
        <v>0.99935600000000002</v>
      </c>
      <c r="G24" t="s">
        <v>40</v>
      </c>
      <c r="H24" t="s">
        <v>41</v>
      </c>
      <c r="I24" t="s">
        <v>4208</v>
      </c>
      <c r="J24" t="str">
        <f>"Glutaminase kidney isoform, mitochondrial"</f>
        <v>Glutaminase kidney isoform, mitochondrial</v>
      </c>
      <c r="K24" t="str">
        <f>"GLS"</f>
        <v>GLS</v>
      </c>
    </row>
    <row r="25" spans="1:11" x14ac:dyDescent="0.25">
      <c r="A25" s="1">
        <v>2699</v>
      </c>
      <c r="B25" s="1">
        <v>3</v>
      </c>
      <c r="C25" s="1" t="s">
        <v>3</v>
      </c>
      <c r="D25" s="1">
        <v>10</v>
      </c>
      <c r="E25" s="1">
        <v>119.41</v>
      </c>
      <c r="F25" s="1">
        <v>0.99848000000000003</v>
      </c>
      <c r="G25" t="s">
        <v>42</v>
      </c>
      <c r="H25" t="s">
        <v>43</v>
      </c>
      <c r="I25" t="s">
        <v>4209</v>
      </c>
      <c r="J25" t="str">
        <f>"ATP-dependent (S)-NAD(P)H-hydrate dehydratase"</f>
        <v>ATP-dependent (S)-NAD(P)H-hydrate dehydratase</v>
      </c>
      <c r="K25" t="str">
        <f>"CARKD"</f>
        <v>CARKD</v>
      </c>
    </row>
    <row r="26" spans="1:11" x14ac:dyDescent="0.25">
      <c r="A26" s="1">
        <v>1936</v>
      </c>
      <c r="B26" s="1">
        <v>3</v>
      </c>
      <c r="C26" s="1" t="s">
        <v>3</v>
      </c>
      <c r="D26" s="1">
        <v>8</v>
      </c>
      <c r="E26" s="1">
        <v>238.43</v>
      </c>
      <c r="F26" s="1">
        <v>1</v>
      </c>
      <c r="G26" t="s">
        <v>44</v>
      </c>
      <c r="H26" t="s">
        <v>45</v>
      </c>
      <c r="I26" t="s">
        <v>4210</v>
      </c>
      <c r="J26" t="str">
        <f>"Phosphatidylinositol 3-kinase regulatory subunit alpha"</f>
        <v>Phosphatidylinositol 3-kinase regulatory subunit alpha</v>
      </c>
      <c r="K26" t="str">
        <f>"PIK3R1"</f>
        <v>PIK3R1</v>
      </c>
    </row>
    <row r="27" spans="1:11" x14ac:dyDescent="0.25">
      <c r="A27" s="1">
        <v>1950</v>
      </c>
      <c r="B27" s="1">
        <v>3</v>
      </c>
      <c r="C27" s="1" t="s">
        <v>3</v>
      </c>
      <c r="D27" s="1">
        <v>2</v>
      </c>
      <c r="E27" s="1">
        <v>232.74</v>
      </c>
      <c r="F27" s="1">
        <v>0.998668</v>
      </c>
      <c r="G27" t="s">
        <v>46</v>
      </c>
      <c r="H27" t="s">
        <v>47</v>
      </c>
      <c r="I27">
        <v>588</v>
      </c>
      <c r="J27" t="str">
        <f>"Ephrin type-A receptor 2"</f>
        <v>Ephrin type-A receptor 2</v>
      </c>
      <c r="K27" t="str">
        <f>"EPHA2"</f>
        <v>EPHA2</v>
      </c>
    </row>
    <row r="28" spans="1:11" x14ac:dyDescent="0.25">
      <c r="A28" s="1">
        <v>2262</v>
      </c>
      <c r="B28" s="1">
        <v>2</v>
      </c>
      <c r="C28" s="1" t="s">
        <v>3</v>
      </c>
      <c r="D28" s="1">
        <v>9</v>
      </c>
      <c r="E28" s="1">
        <v>194.24</v>
      </c>
      <c r="F28" s="1">
        <v>1</v>
      </c>
      <c r="G28" t="s">
        <v>48</v>
      </c>
      <c r="H28" t="s">
        <v>49</v>
      </c>
      <c r="I28">
        <v>89</v>
      </c>
      <c r="J28" t="str">
        <f>"Histone H4"</f>
        <v>Histone H4</v>
      </c>
      <c r="K28" t="str">
        <f>"HIST1H4A"</f>
        <v>HIST1H4A</v>
      </c>
    </row>
    <row r="29" spans="1:11" x14ac:dyDescent="0.25">
      <c r="A29" s="1">
        <v>605</v>
      </c>
      <c r="B29" s="1">
        <v>3</v>
      </c>
      <c r="C29" s="1" t="s">
        <v>4</v>
      </c>
      <c r="D29" s="1">
        <v>13</v>
      </c>
      <c r="E29" s="1">
        <v>273.37</v>
      </c>
      <c r="F29" s="1">
        <v>1</v>
      </c>
      <c r="G29" t="s">
        <v>21</v>
      </c>
      <c r="H29" t="s">
        <v>22</v>
      </c>
      <c r="I29" t="s">
        <v>4211</v>
      </c>
      <c r="J29" t="str">
        <f>"Mitogen-activated protein kinase 1"</f>
        <v>Mitogen-activated protein kinase 1</v>
      </c>
      <c r="K29" t="str">
        <f>"MAPK1"</f>
        <v>MAPK1</v>
      </c>
    </row>
    <row r="30" spans="1:11" x14ac:dyDescent="0.25">
      <c r="A30" s="1">
        <v>2619</v>
      </c>
      <c r="B30" s="1">
        <v>2</v>
      </c>
      <c r="C30" s="1" t="s">
        <v>3</v>
      </c>
      <c r="D30" s="1">
        <v>8</v>
      </c>
      <c r="E30" s="1">
        <v>190.44</v>
      </c>
      <c r="F30" s="1">
        <v>0.99994899999999998</v>
      </c>
      <c r="G30" t="s">
        <v>50</v>
      </c>
      <c r="H30" t="s">
        <v>51</v>
      </c>
      <c r="I30" t="s">
        <v>4212</v>
      </c>
      <c r="J30" t="str">
        <f>"Tensin-like C1 domain-containing phosphatase"</f>
        <v>Tensin-like C1 domain-containing phosphatase</v>
      </c>
      <c r="K30" t="str">
        <f>"TENC1"</f>
        <v>TENC1</v>
      </c>
    </row>
    <row r="31" spans="1:11" x14ac:dyDescent="0.25">
      <c r="A31" s="1">
        <v>2345</v>
      </c>
      <c r="B31" s="1">
        <v>3</v>
      </c>
      <c r="C31" s="1" t="s">
        <v>3</v>
      </c>
      <c r="D31" s="1">
        <v>7</v>
      </c>
      <c r="E31" s="1">
        <v>140.49</v>
      </c>
      <c r="F31" s="1">
        <v>0.99993200000000004</v>
      </c>
      <c r="G31" t="s">
        <v>52</v>
      </c>
      <c r="H31" t="s">
        <v>53</v>
      </c>
      <c r="I31" t="s">
        <v>4213</v>
      </c>
      <c r="J31" t="str">
        <f>"Tyrosine-protein phosphatase non-receptor type 11"</f>
        <v>Tyrosine-protein phosphatase non-receptor type 11</v>
      </c>
      <c r="K31" t="str">
        <f>"PTPN11"</f>
        <v>PTPN11</v>
      </c>
    </row>
    <row r="32" spans="1:11" x14ac:dyDescent="0.25">
      <c r="A32" s="1">
        <v>3011</v>
      </c>
      <c r="B32" s="1">
        <v>3</v>
      </c>
      <c r="C32" s="1" t="s">
        <v>3</v>
      </c>
      <c r="D32" s="1">
        <v>7</v>
      </c>
      <c r="E32" s="1">
        <v>161.19999999999999</v>
      </c>
      <c r="F32" s="1">
        <v>0.99919400000000003</v>
      </c>
      <c r="G32" t="s">
        <v>54</v>
      </c>
      <c r="H32" t="s">
        <v>55</v>
      </c>
      <c r="I32">
        <v>1105</v>
      </c>
      <c r="J32" t="str">
        <f>"Rho GTPase-activating protein 35"</f>
        <v>Rho GTPase-activating protein 35</v>
      </c>
      <c r="K32" t="str">
        <f>"ARHGAP35"</f>
        <v>ARHGAP35</v>
      </c>
    </row>
    <row r="33" spans="1:11" x14ac:dyDescent="0.25">
      <c r="A33" s="1">
        <v>2277</v>
      </c>
      <c r="B33" s="1">
        <v>3</v>
      </c>
      <c r="C33" s="1" t="s">
        <v>3</v>
      </c>
      <c r="D33" s="1">
        <v>7</v>
      </c>
      <c r="E33" s="1">
        <v>193.96</v>
      </c>
      <c r="F33" s="1">
        <v>0.99993500000000002</v>
      </c>
      <c r="G33" t="s">
        <v>56</v>
      </c>
      <c r="H33" t="s">
        <v>57</v>
      </c>
      <c r="I33" t="s">
        <v>4214</v>
      </c>
      <c r="J33" t="str">
        <f>"Elongation factor 1-alpha 1;Putative elongation factor 1-alpha-like 3;Elongation factor 1-alpha 2"</f>
        <v>Elongation factor 1-alpha 1;Putative elongation factor 1-alpha-like 3;Elongation factor 1-alpha 2</v>
      </c>
      <c r="K33" t="str">
        <f>"EEF1A1;EEF1A1P5;EEF1A2"</f>
        <v>EEF1A1;EEF1A1P5;EEF1A2</v>
      </c>
    </row>
    <row r="34" spans="1:11" x14ac:dyDescent="0.25">
      <c r="A34" s="1">
        <v>1951</v>
      </c>
      <c r="B34" s="1">
        <v>3</v>
      </c>
      <c r="C34" s="1" t="s">
        <v>3</v>
      </c>
      <c r="D34" s="1">
        <v>8</v>
      </c>
      <c r="E34" s="1">
        <v>218.12</v>
      </c>
      <c r="F34" s="1">
        <v>0.96953999999999996</v>
      </c>
      <c r="G34" t="s">
        <v>58</v>
      </c>
      <c r="H34" t="s">
        <v>47</v>
      </c>
      <c r="I34">
        <v>594</v>
      </c>
      <c r="J34" t="str">
        <f>"Ephrin type-A receptor 2"</f>
        <v>Ephrin type-A receptor 2</v>
      </c>
      <c r="K34" t="str">
        <f>"EPHA2"</f>
        <v>EPHA2</v>
      </c>
    </row>
    <row r="35" spans="1:11" x14ac:dyDescent="0.25">
      <c r="A35" s="1">
        <v>1416</v>
      </c>
      <c r="B35" s="1">
        <v>2</v>
      </c>
      <c r="C35" s="1" t="s">
        <v>3</v>
      </c>
      <c r="D35" s="1">
        <v>3</v>
      </c>
      <c r="E35" s="1">
        <v>106.42</v>
      </c>
      <c r="F35" s="1">
        <v>1</v>
      </c>
      <c r="G35" t="s">
        <v>59</v>
      </c>
      <c r="H35" t="s">
        <v>60</v>
      </c>
      <c r="I35">
        <v>256</v>
      </c>
      <c r="J35" t="str">
        <f>"Neural Wiskott-Aldrich syndrome protein"</f>
        <v>Neural Wiskott-Aldrich syndrome protein</v>
      </c>
      <c r="K35" t="str">
        <f>"WASL"</f>
        <v>WASL</v>
      </c>
    </row>
    <row r="36" spans="1:11" x14ac:dyDescent="0.25">
      <c r="A36" s="1">
        <v>2754</v>
      </c>
      <c r="B36" s="1">
        <v>4</v>
      </c>
      <c r="C36" s="1" t="s">
        <v>3</v>
      </c>
      <c r="D36" s="1">
        <v>22</v>
      </c>
      <c r="E36" s="1">
        <v>161.75</v>
      </c>
      <c r="F36" s="1">
        <v>0.93848600000000004</v>
      </c>
      <c r="G36" t="s">
        <v>61</v>
      </c>
      <c r="H36" t="s">
        <v>24</v>
      </c>
      <c r="I36">
        <v>320</v>
      </c>
      <c r="J36" t="str">
        <f>"Retinoic acid-induced protein 3"</f>
        <v>Retinoic acid-induced protein 3</v>
      </c>
      <c r="K36" t="str">
        <f>"GPRC5A"</f>
        <v>GPRC5A</v>
      </c>
    </row>
    <row r="37" spans="1:11" x14ac:dyDescent="0.25">
      <c r="A37" s="1">
        <v>2323</v>
      </c>
      <c r="B37" s="1">
        <v>3</v>
      </c>
      <c r="C37" s="1" t="s">
        <v>3</v>
      </c>
      <c r="D37" s="1">
        <v>9</v>
      </c>
      <c r="E37" s="1">
        <v>112.42</v>
      </c>
      <c r="F37" s="1">
        <v>0.97526500000000005</v>
      </c>
      <c r="G37" t="s">
        <v>62</v>
      </c>
      <c r="H37" t="s">
        <v>63</v>
      </c>
      <c r="I37">
        <v>14</v>
      </c>
      <c r="J37" t="str">
        <f>"Caveolin-1"</f>
        <v>Caveolin-1</v>
      </c>
      <c r="K37" t="str">
        <f>"CAV1"</f>
        <v>CAV1</v>
      </c>
    </row>
    <row r="38" spans="1:11" x14ac:dyDescent="0.25">
      <c r="A38" s="1">
        <v>1705</v>
      </c>
      <c r="B38" s="1">
        <v>2</v>
      </c>
      <c r="C38" s="1" t="s">
        <v>3</v>
      </c>
      <c r="D38" s="1">
        <v>5</v>
      </c>
      <c r="E38" s="1">
        <v>131.69</v>
      </c>
      <c r="F38" s="1">
        <v>1</v>
      </c>
      <c r="G38" t="s">
        <v>64</v>
      </c>
      <c r="H38" t="s">
        <v>65</v>
      </c>
      <c r="I38" t="s">
        <v>4215</v>
      </c>
      <c r="J38" t="str">
        <f>"Annexin A5;Annexin"</f>
        <v>Annexin A5;Annexin</v>
      </c>
      <c r="K38" t="str">
        <f>"ANXA5"</f>
        <v>ANXA5</v>
      </c>
    </row>
    <row r="39" spans="1:11" x14ac:dyDescent="0.25">
      <c r="A39" s="1">
        <v>2245</v>
      </c>
      <c r="B39" s="1">
        <v>3</v>
      </c>
      <c r="C39" s="1" t="s">
        <v>3</v>
      </c>
      <c r="D39" s="1">
        <v>9</v>
      </c>
      <c r="E39" s="1">
        <v>211.45</v>
      </c>
      <c r="F39" s="1">
        <v>1</v>
      </c>
      <c r="G39" t="s">
        <v>66</v>
      </c>
      <c r="H39" t="s">
        <v>67</v>
      </c>
      <c r="I39" t="s">
        <v>4216</v>
      </c>
      <c r="J39" t="str">
        <f>"Calmodulin"</f>
        <v>Calmodulin</v>
      </c>
      <c r="K39" t="str">
        <f>"CALM1;CALM2"</f>
        <v>CALM1;CALM2</v>
      </c>
    </row>
    <row r="40" spans="1:11" x14ac:dyDescent="0.25">
      <c r="A40" s="1">
        <v>608</v>
      </c>
      <c r="B40" s="1">
        <v>3</v>
      </c>
      <c r="C40" s="1" t="s">
        <v>4</v>
      </c>
      <c r="D40" s="1">
        <v>9</v>
      </c>
      <c r="E40" s="1">
        <v>157.72999999999999</v>
      </c>
      <c r="F40" s="1">
        <v>0.68773399999999996</v>
      </c>
      <c r="G40" t="s">
        <v>68</v>
      </c>
      <c r="H40" t="s">
        <v>47</v>
      </c>
      <c r="I40">
        <v>587</v>
      </c>
      <c r="J40" t="str">
        <f>"Ephrin type-A receptor 2"</f>
        <v>Ephrin type-A receptor 2</v>
      </c>
      <c r="K40" t="str">
        <f>"EPHA2"</f>
        <v>EPHA2</v>
      </c>
    </row>
    <row r="41" spans="1:11" x14ac:dyDescent="0.25">
      <c r="A41" s="1">
        <v>1103</v>
      </c>
      <c r="B41" s="1">
        <v>2</v>
      </c>
      <c r="C41" s="1" t="s">
        <v>3</v>
      </c>
      <c r="D41" s="1">
        <v>1</v>
      </c>
      <c r="E41" s="1">
        <v>210.31</v>
      </c>
      <c r="F41" s="1">
        <v>1</v>
      </c>
      <c r="G41" t="s">
        <v>69</v>
      </c>
      <c r="H41" t="s">
        <v>70</v>
      </c>
      <c r="I41" t="s">
        <v>4217</v>
      </c>
      <c r="J41" t="str">
        <f>"Activated CDC42 kinase 1"</f>
        <v>Activated CDC42 kinase 1</v>
      </c>
      <c r="K41" t="str">
        <f>"TNK2"</f>
        <v>TNK2</v>
      </c>
    </row>
    <row r="42" spans="1:11" x14ac:dyDescent="0.25">
      <c r="A42" s="1">
        <v>2511</v>
      </c>
      <c r="B42" s="1">
        <v>4</v>
      </c>
      <c r="C42" s="1" t="s">
        <v>3</v>
      </c>
      <c r="D42" s="1">
        <v>18</v>
      </c>
      <c r="E42" s="1">
        <v>114.37</v>
      </c>
      <c r="F42" s="1">
        <v>0.97899400000000003</v>
      </c>
      <c r="G42" t="s">
        <v>71</v>
      </c>
      <c r="H42" t="s">
        <v>72</v>
      </c>
      <c r="I42" t="s">
        <v>4218</v>
      </c>
      <c r="J42" t="str">
        <f>"Phosphoglucomutase-like protein 5"</f>
        <v>Phosphoglucomutase-like protein 5</v>
      </c>
      <c r="K42" t="str">
        <f>"PGM5"</f>
        <v>PGM5</v>
      </c>
    </row>
    <row r="43" spans="1:11" x14ac:dyDescent="0.25">
      <c r="A43" s="1">
        <v>2753</v>
      </c>
      <c r="B43" s="1">
        <v>4</v>
      </c>
      <c r="C43" s="1" t="s">
        <v>3</v>
      </c>
      <c r="D43" s="1">
        <v>19</v>
      </c>
      <c r="E43" s="1">
        <v>261.83999999999997</v>
      </c>
      <c r="F43" s="1">
        <v>0.99378</v>
      </c>
      <c r="G43" t="s">
        <v>73</v>
      </c>
      <c r="H43" t="s">
        <v>24</v>
      </c>
      <c r="I43">
        <v>317</v>
      </c>
      <c r="J43" t="str">
        <f>"Retinoic acid-induced protein 3"</f>
        <v>Retinoic acid-induced protein 3</v>
      </c>
      <c r="K43" t="str">
        <f>"GPRC5A"</f>
        <v>GPRC5A</v>
      </c>
    </row>
    <row r="44" spans="1:11" x14ac:dyDescent="0.25">
      <c r="A44" s="1">
        <v>1279</v>
      </c>
      <c r="B44" s="1">
        <v>3</v>
      </c>
      <c r="C44" s="1" t="s">
        <v>3</v>
      </c>
      <c r="D44" s="1">
        <v>13</v>
      </c>
      <c r="E44" s="1">
        <v>101.76</v>
      </c>
      <c r="F44" s="1">
        <v>0.92673899999999998</v>
      </c>
      <c r="G44" t="s">
        <v>74</v>
      </c>
      <c r="H44" t="s">
        <v>39</v>
      </c>
      <c r="I44" t="s">
        <v>4219</v>
      </c>
      <c r="J44" t="str">
        <f>"Paxillin"</f>
        <v>Paxillin</v>
      </c>
      <c r="K44" t="str">
        <f>"PXN"</f>
        <v>PXN</v>
      </c>
    </row>
    <row r="45" spans="1:11" x14ac:dyDescent="0.25">
      <c r="A45" s="1">
        <v>816</v>
      </c>
      <c r="B45" s="1">
        <v>2</v>
      </c>
      <c r="C45" s="1" t="s">
        <v>3</v>
      </c>
      <c r="D45" s="1">
        <v>1</v>
      </c>
      <c r="E45" s="1">
        <v>351.96</v>
      </c>
      <c r="F45" s="1">
        <v>0.99996399999999996</v>
      </c>
      <c r="G45" t="s">
        <v>75</v>
      </c>
      <c r="H45" t="s">
        <v>76</v>
      </c>
      <c r="I45" t="s">
        <v>4220</v>
      </c>
      <c r="J45" t="str">
        <f>"Vacuolar protein sorting-associated protein VTA1 homolog"</f>
        <v>Vacuolar protein sorting-associated protein VTA1 homolog</v>
      </c>
      <c r="K45" t="str">
        <f>"VTA1"</f>
        <v>VTA1</v>
      </c>
    </row>
    <row r="46" spans="1:11" x14ac:dyDescent="0.25">
      <c r="A46" s="1">
        <v>1865</v>
      </c>
      <c r="B46" s="1">
        <v>3</v>
      </c>
      <c r="C46" s="1" t="s">
        <v>3</v>
      </c>
      <c r="D46" s="1">
        <v>12</v>
      </c>
      <c r="E46" s="1">
        <v>158.94</v>
      </c>
      <c r="F46" s="1">
        <v>0.98577400000000004</v>
      </c>
      <c r="G46" t="s">
        <v>77</v>
      </c>
      <c r="H46" t="s">
        <v>78</v>
      </c>
      <c r="I46" t="s">
        <v>4221</v>
      </c>
      <c r="J46" t="str">
        <f>"Filamin-A"</f>
        <v>Filamin-A</v>
      </c>
      <c r="K46" t="str">
        <f>"FLNA"</f>
        <v>FLNA</v>
      </c>
    </row>
    <row r="47" spans="1:11" x14ac:dyDescent="0.25">
      <c r="A47" s="1">
        <v>2288</v>
      </c>
      <c r="B47" s="1">
        <v>3</v>
      </c>
      <c r="C47" s="1" t="s">
        <v>3</v>
      </c>
      <c r="D47" s="1">
        <v>8</v>
      </c>
      <c r="E47" s="1">
        <v>210.34</v>
      </c>
      <c r="F47" s="1">
        <v>1</v>
      </c>
      <c r="G47" t="s">
        <v>79</v>
      </c>
      <c r="H47" t="s">
        <v>80</v>
      </c>
      <c r="I47">
        <v>25</v>
      </c>
      <c r="J47" t="str">
        <f>"Hemoglobin subunit alpha"</f>
        <v>Hemoglobin subunit alpha</v>
      </c>
      <c r="K47" t="str">
        <f>"HBA1"</f>
        <v>HBA1</v>
      </c>
    </row>
    <row r="48" spans="1:11" x14ac:dyDescent="0.25">
      <c r="A48" s="1">
        <v>1669</v>
      </c>
      <c r="B48" s="1">
        <v>3</v>
      </c>
      <c r="C48" s="1" t="s">
        <v>3</v>
      </c>
      <c r="D48" s="1">
        <v>25</v>
      </c>
      <c r="E48" s="1">
        <v>100.15</v>
      </c>
      <c r="F48" s="1">
        <v>0.99819100000000005</v>
      </c>
      <c r="G48" t="s">
        <v>81</v>
      </c>
      <c r="H48" t="s">
        <v>82</v>
      </c>
      <c r="I48" t="s">
        <v>4222</v>
      </c>
      <c r="J48" t="str">
        <f>"Tyrosine-protein kinase Lyn"</f>
        <v>Tyrosine-protein kinase Lyn</v>
      </c>
      <c r="K48" t="str">
        <f>"LYN"</f>
        <v>LYN</v>
      </c>
    </row>
    <row r="49" spans="1:11" x14ac:dyDescent="0.25">
      <c r="A49" s="1">
        <v>1953</v>
      </c>
      <c r="B49" s="1">
        <v>2</v>
      </c>
      <c r="C49" s="1" t="s">
        <v>3</v>
      </c>
      <c r="D49" s="1">
        <v>10</v>
      </c>
      <c r="E49" s="1">
        <v>230.38</v>
      </c>
      <c r="F49" s="1">
        <v>0.972387</v>
      </c>
      <c r="G49" t="s">
        <v>83</v>
      </c>
      <c r="H49" t="s">
        <v>47</v>
      </c>
      <c r="I49">
        <v>772</v>
      </c>
      <c r="J49" t="str">
        <f>"Ephrin type-A receptor 2"</f>
        <v>Ephrin type-A receptor 2</v>
      </c>
      <c r="K49" t="str">
        <f>"EPHA2"</f>
        <v>EPHA2</v>
      </c>
    </row>
    <row r="50" spans="1:11" x14ac:dyDescent="0.25">
      <c r="A50" s="1">
        <v>2930</v>
      </c>
      <c r="B50" s="1">
        <v>3</v>
      </c>
      <c r="C50" s="1" t="s">
        <v>3</v>
      </c>
      <c r="D50" s="1">
        <v>5</v>
      </c>
      <c r="E50" s="1">
        <v>217.48</v>
      </c>
      <c r="F50" s="1">
        <v>0.99997999999999998</v>
      </c>
      <c r="G50" t="s">
        <v>84</v>
      </c>
      <c r="H50" t="s">
        <v>85</v>
      </c>
      <c r="I50" t="s">
        <v>4223</v>
      </c>
      <c r="J50" t="str">
        <f>"Extended synaptotagmin-1"</f>
        <v>Extended synaptotagmin-1</v>
      </c>
      <c r="K50" t="str">
        <f>"ESYT1"</f>
        <v>ESYT1</v>
      </c>
    </row>
    <row r="51" spans="1:11" x14ac:dyDescent="0.25">
      <c r="A51" s="1">
        <v>1015</v>
      </c>
      <c r="B51" s="1">
        <v>3</v>
      </c>
      <c r="C51" s="1" t="s">
        <v>3</v>
      </c>
      <c r="D51" s="1">
        <v>10</v>
      </c>
      <c r="E51" s="1">
        <v>138.41999999999999</v>
      </c>
      <c r="F51" s="1">
        <v>1</v>
      </c>
      <c r="G51" t="s">
        <v>86</v>
      </c>
      <c r="H51" t="s">
        <v>87</v>
      </c>
      <c r="I51" t="s">
        <v>4224</v>
      </c>
      <c r="J51" t="str">
        <f>"Pituitary tumor-transforming gene 1 protein-interacting protein"</f>
        <v>Pituitary tumor-transforming gene 1 protein-interacting protein</v>
      </c>
      <c r="K51" t="str">
        <f>"PTTG1IP"</f>
        <v>PTTG1IP</v>
      </c>
    </row>
    <row r="52" spans="1:11" x14ac:dyDescent="0.25">
      <c r="A52" s="1">
        <v>1986</v>
      </c>
      <c r="B52" s="1">
        <v>3</v>
      </c>
      <c r="C52" s="1" t="s">
        <v>3</v>
      </c>
      <c r="D52" s="1">
        <v>1</v>
      </c>
      <c r="E52" s="1">
        <v>294.39</v>
      </c>
      <c r="F52" s="1">
        <v>1</v>
      </c>
      <c r="G52" t="s">
        <v>88</v>
      </c>
      <c r="H52" t="s">
        <v>89</v>
      </c>
      <c r="I52" t="s">
        <v>4225</v>
      </c>
      <c r="J52" t="str">
        <f>"Bifunctional purine biosynthesis protein PURH;Phosphoribosylaminoimidazolecarboxamide formyltransferase;IMP cyclohydrolase"</f>
        <v>Bifunctional purine biosynthesis protein PURH;Phosphoribosylaminoimidazolecarboxamide formyltransferase;IMP cyclohydrolase</v>
      </c>
      <c r="K52" t="str">
        <f>"ATIC"</f>
        <v>ATIC</v>
      </c>
    </row>
    <row r="53" spans="1:11" x14ac:dyDescent="0.25">
      <c r="A53" s="1">
        <v>866</v>
      </c>
      <c r="B53" s="1">
        <v>3</v>
      </c>
      <c r="C53" s="1" t="s">
        <v>3</v>
      </c>
      <c r="D53" s="1">
        <v>6</v>
      </c>
      <c r="E53" s="1">
        <v>299.77</v>
      </c>
      <c r="F53" s="1">
        <v>1</v>
      </c>
      <c r="G53" t="s">
        <v>90</v>
      </c>
      <c r="H53" t="s">
        <v>91</v>
      </c>
      <c r="I53" t="s">
        <v>4226</v>
      </c>
      <c r="J53" t="str">
        <f>"Dedicator of cytokinesis protein 1"</f>
        <v>Dedicator of cytokinesis protein 1</v>
      </c>
      <c r="K53" t="str">
        <f>"DOCK1"</f>
        <v>DOCK1</v>
      </c>
    </row>
    <row r="54" spans="1:11" x14ac:dyDescent="0.25">
      <c r="A54" s="1">
        <v>1968</v>
      </c>
      <c r="B54" s="1">
        <v>3</v>
      </c>
      <c r="C54" s="1" t="s">
        <v>3</v>
      </c>
      <c r="D54" s="1">
        <v>8</v>
      </c>
      <c r="E54" s="1">
        <v>165.86</v>
      </c>
      <c r="F54" s="1">
        <v>0.99995599999999996</v>
      </c>
      <c r="G54" t="s">
        <v>92</v>
      </c>
      <c r="H54" t="s">
        <v>93</v>
      </c>
      <c r="I54" t="s">
        <v>4227</v>
      </c>
      <c r="J54" t="str">
        <f>"SHC-transforming protein 1"</f>
        <v>SHC-transforming protein 1</v>
      </c>
      <c r="K54" t="str">
        <f>"SHC1"</f>
        <v>SHC1</v>
      </c>
    </row>
    <row r="55" spans="1:11" x14ac:dyDescent="0.25">
      <c r="A55" s="1">
        <v>510</v>
      </c>
      <c r="B55" s="1">
        <v>2</v>
      </c>
      <c r="C55" s="1" t="s">
        <v>4</v>
      </c>
      <c r="D55" s="1">
        <v>13</v>
      </c>
      <c r="E55" s="1">
        <v>153.38999999999999</v>
      </c>
      <c r="F55" s="1">
        <v>0.86221999999999999</v>
      </c>
      <c r="G55" t="s">
        <v>94</v>
      </c>
      <c r="H55" t="s">
        <v>95</v>
      </c>
      <c r="I55">
        <v>63</v>
      </c>
      <c r="J55" t="str">
        <f>""</f>
        <v/>
      </c>
      <c r="K55" t="str">
        <f>"VIM"</f>
        <v>VIM</v>
      </c>
    </row>
    <row r="56" spans="1:11" x14ac:dyDescent="0.25">
      <c r="A56" s="1">
        <v>1427</v>
      </c>
      <c r="B56" s="1">
        <v>4</v>
      </c>
      <c r="C56" s="1" t="s">
        <v>3</v>
      </c>
      <c r="D56" s="1">
        <v>32</v>
      </c>
      <c r="E56" s="1">
        <v>200.79</v>
      </c>
      <c r="F56" s="1">
        <v>0.99993399999999999</v>
      </c>
      <c r="G56" t="s">
        <v>96</v>
      </c>
      <c r="H56" t="s">
        <v>97</v>
      </c>
      <c r="I56" t="s">
        <v>4228</v>
      </c>
      <c r="J56" t="str">
        <f>"Syntenin-1"</f>
        <v>Syntenin-1</v>
      </c>
      <c r="K56" t="str">
        <f>"SDCBP"</f>
        <v>SDCBP</v>
      </c>
    </row>
    <row r="57" spans="1:11" x14ac:dyDescent="0.25">
      <c r="A57" s="1">
        <v>1694</v>
      </c>
      <c r="B57" s="1">
        <v>3</v>
      </c>
      <c r="C57" s="1" t="s">
        <v>3</v>
      </c>
      <c r="D57" s="1">
        <v>7</v>
      </c>
      <c r="E57" s="1">
        <v>190.1</v>
      </c>
      <c r="F57" s="1">
        <v>0.99976299999999996</v>
      </c>
      <c r="G57" t="s">
        <v>98</v>
      </c>
      <c r="H57" t="s">
        <v>99</v>
      </c>
      <c r="I57" t="s">
        <v>4229</v>
      </c>
      <c r="J57" t="str">
        <f>"Hepatocyte growth factor receptor"</f>
        <v>Hepatocyte growth factor receptor</v>
      </c>
      <c r="K57" t="str">
        <f>"MET"</f>
        <v>MET</v>
      </c>
    </row>
    <row r="58" spans="1:11" x14ac:dyDescent="0.25">
      <c r="A58" s="1">
        <v>1101</v>
      </c>
      <c r="B58" s="1">
        <v>4</v>
      </c>
      <c r="C58" s="1" t="s">
        <v>3</v>
      </c>
      <c r="D58" s="1">
        <v>7</v>
      </c>
      <c r="E58" s="1">
        <v>139.9</v>
      </c>
      <c r="F58" s="1">
        <v>0.99533799999999995</v>
      </c>
      <c r="G58" t="s">
        <v>100</v>
      </c>
      <c r="H58" t="s">
        <v>70</v>
      </c>
      <c r="I58" t="s">
        <v>4230</v>
      </c>
      <c r="J58" t="str">
        <f>"Activated CDC42 kinase 1"</f>
        <v>Activated CDC42 kinase 1</v>
      </c>
      <c r="K58" t="str">
        <f>"TNK2"</f>
        <v>TNK2</v>
      </c>
    </row>
    <row r="59" spans="1:11" x14ac:dyDescent="0.25">
      <c r="A59" s="1">
        <v>2853</v>
      </c>
      <c r="B59" s="1">
        <v>3</v>
      </c>
      <c r="C59" s="1" t="s">
        <v>3</v>
      </c>
      <c r="D59" s="1">
        <v>5</v>
      </c>
      <c r="E59" s="1">
        <v>169.94</v>
      </c>
      <c r="F59" s="1">
        <v>1</v>
      </c>
      <c r="G59" t="s">
        <v>101</v>
      </c>
      <c r="H59" t="s">
        <v>102</v>
      </c>
      <c r="I59" t="s">
        <v>4231</v>
      </c>
      <c r="J59" t="str">
        <f>"PDZ and LIM domain protein 5"</f>
        <v>PDZ and LIM domain protein 5</v>
      </c>
      <c r="K59" t="str">
        <f>"PDLIM5"</f>
        <v>PDLIM5</v>
      </c>
    </row>
    <row r="60" spans="1:11" x14ac:dyDescent="0.25">
      <c r="A60" s="1">
        <v>1302</v>
      </c>
      <c r="B60" s="1">
        <v>3</v>
      </c>
      <c r="C60" s="1" t="s">
        <v>3</v>
      </c>
      <c r="D60" s="1">
        <v>6</v>
      </c>
      <c r="E60" s="1">
        <v>164.9</v>
      </c>
      <c r="F60" s="1">
        <v>1</v>
      </c>
      <c r="G60" t="s">
        <v>103</v>
      </c>
      <c r="H60" t="s">
        <v>104</v>
      </c>
      <c r="I60" t="s">
        <v>4232</v>
      </c>
      <c r="J60" t="str">
        <f>"Phosphatidylinositol 3-kinase regulatory subunit gamma"</f>
        <v>Phosphatidylinositol 3-kinase regulatory subunit gamma</v>
      </c>
      <c r="K60" t="str">
        <f>"PIK3R3"</f>
        <v>PIK3R3</v>
      </c>
    </row>
    <row r="61" spans="1:11" x14ac:dyDescent="0.25">
      <c r="A61" s="1">
        <v>2338</v>
      </c>
      <c r="B61" s="1">
        <v>4</v>
      </c>
      <c r="C61" s="1" t="s">
        <v>3</v>
      </c>
      <c r="D61" s="1">
        <v>20</v>
      </c>
      <c r="E61" s="1">
        <v>133.72</v>
      </c>
      <c r="F61" s="1">
        <v>1</v>
      </c>
      <c r="G61" t="s">
        <v>105</v>
      </c>
      <c r="H61" t="s">
        <v>106</v>
      </c>
      <c r="I61" t="s">
        <v>4233</v>
      </c>
      <c r="J61" t="str">
        <f>"Focal adhesion kinase 1"</f>
        <v>Focal adhesion kinase 1</v>
      </c>
      <c r="K61" t="str">
        <f>"PTK2"</f>
        <v>PTK2</v>
      </c>
    </row>
    <row r="62" spans="1:11" x14ac:dyDescent="0.25">
      <c r="A62" s="1">
        <v>1070</v>
      </c>
      <c r="B62" s="1">
        <v>3</v>
      </c>
      <c r="C62" s="1" t="s">
        <v>3</v>
      </c>
      <c r="D62" s="1">
        <v>9</v>
      </c>
      <c r="E62" s="1">
        <v>126.77</v>
      </c>
      <c r="F62" s="1">
        <v>0.99999899999999997</v>
      </c>
      <c r="G62" t="s">
        <v>107</v>
      </c>
      <c r="H62" t="s">
        <v>108</v>
      </c>
      <c r="I62">
        <v>105</v>
      </c>
      <c r="J62" t="str">
        <f>""</f>
        <v/>
      </c>
      <c r="K62" t="str">
        <f>"MAPK14"</f>
        <v>MAPK14</v>
      </c>
    </row>
    <row r="63" spans="1:11" x14ac:dyDescent="0.25">
      <c r="A63" s="1">
        <v>524</v>
      </c>
      <c r="B63" s="1">
        <v>2</v>
      </c>
      <c r="C63" s="1" t="s">
        <v>4</v>
      </c>
      <c r="D63" s="1">
        <v>3</v>
      </c>
      <c r="E63" s="1">
        <v>223.46</v>
      </c>
      <c r="F63" s="1">
        <v>0.74883100000000002</v>
      </c>
      <c r="G63" t="s">
        <v>109</v>
      </c>
      <c r="H63" t="s">
        <v>70</v>
      </c>
      <c r="I63" t="s">
        <v>4234</v>
      </c>
      <c r="J63" t="str">
        <f>"Activated CDC42 kinase 1"</f>
        <v>Activated CDC42 kinase 1</v>
      </c>
      <c r="K63" t="str">
        <f>"TNK2"</f>
        <v>TNK2</v>
      </c>
    </row>
    <row r="64" spans="1:11" x14ac:dyDescent="0.25">
      <c r="A64" s="1">
        <v>2879</v>
      </c>
      <c r="B64" s="1">
        <v>2</v>
      </c>
      <c r="C64" s="1" t="s">
        <v>3</v>
      </c>
      <c r="D64" s="1">
        <v>3</v>
      </c>
      <c r="E64" s="1">
        <v>151.30000000000001</v>
      </c>
      <c r="F64" s="1">
        <v>0.99177300000000002</v>
      </c>
      <c r="G64" t="s">
        <v>110</v>
      </c>
      <c r="H64" t="s">
        <v>111</v>
      </c>
      <c r="I64" t="s">
        <v>4235</v>
      </c>
      <c r="J64" t="str">
        <f>"Sodium-coupled neutral amino acid transporter 2"</f>
        <v>Sodium-coupled neutral amino acid transporter 2</v>
      </c>
      <c r="K64" t="str">
        <f>"SLC38A2"</f>
        <v>SLC38A2</v>
      </c>
    </row>
    <row r="65" spans="1:11" x14ac:dyDescent="0.25">
      <c r="A65" s="1">
        <v>2752</v>
      </c>
      <c r="B65" s="1">
        <v>3</v>
      </c>
      <c r="C65" s="1" t="s">
        <v>3</v>
      </c>
      <c r="D65" s="1">
        <v>2</v>
      </c>
      <c r="E65" s="1">
        <v>329.88</v>
      </c>
      <c r="F65" s="1">
        <v>0.99997100000000005</v>
      </c>
      <c r="G65" t="s">
        <v>112</v>
      </c>
      <c r="H65" t="s">
        <v>24</v>
      </c>
      <c r="I65">
        <v>300</v>
      </c>
      <c r="J65" t="str">
        <f>"Retinoic acid-induced protein 3"</f>
        <v>Retinoic acid-induced protein 3</v>
      </c>
      <c r="K65" t="str">
        <f>"GPRC5A"</f>
        <v>GPRC5A</v>
      </c>
    </row>
    <row r="66" spans="1:11" x14ac:dyDescent="0.25">
      <c r="A66" s="1">
        <v>1593</v>
      </c>
      <c r="B66" s="1">
        <v>3</v>
      </c>
      <c r="C66" s="1" t="s">
        <v>3</v>
      </c>
      <c r="D66" s="1">
        <v>12</v>
      </c>
      <c r="E66" s="1">
        <v>102.21</v>
      </c>
      <c r="F66" s="1">
        <v>1</v>
      </c>
      <c r="G66" t="s">
        <v>113</v>
      </c>
      <c r="H66" t="s">
        <v>114</v>
      </c>
      <c r="I66" t="s">
        <v>4236</v>
      </c>
      <c r="J66" t="str">
        <f>"Epidermal growth factor receptor"</f>
        <v>Epidermal growth factor receptor</v>
      </c>
      <c r="K66" t="str">
        <f>"EGFR"</f>
        <v>EGFR</v>
      </c>
    </row>
    <row r="67" spans="1:11" x14ac:dyDescent="0.25">
      <c r="A67" s="1">
        <v>887</v>
      </c>
      <c r="B67" s="1">
        <v>3</v>
      </c>
      <c r="C67" s="1" t="s">
        <v>3</v>
      </c>
      <c r="D67" s="1">
        <v>4</v>
      </c>
      <c r="E67" s="1">
        <v>190.87</v>
      </c>
      <c r="F67" s="1">
        <v>0.99787300000000001</v>
      </c>
      <c r="G67" t="s">
        <v>115</v>
      </c>
      <c r="H67" t="s">
        <v>116</v>
      </c>
      <c r="I67" t="s">
        <v>4237</v>
      </c>
      <c r="J67" t="str">
        <f>"Abl interactor 1"</f>
        <v>Abl interactor 1</v>
      </c>
      <c r="K67" t="str">
        <f>"ABI1"</f>
        <v>ABI1</v>
      </c>
    </row>
    <row r="68" spans="1:11" x14ac:dyDescent="0.25">
      <c r="A68" s="1">
        <v>888</v>
      </c>
      <c r="B68" s="1">
        <v>4</v>
      </c>
      <c r="C68" s="1" t="s">
        <v>3</v>
      </c>
      <c r="D68" s="1">
        <v>19</v>
      </c>
      <c r="E68" s="1">
        <v>144.56</v>
      </c>
      <c r="F68" s="1">
        <v>0.99205200000000004</v>
      </c>
      <c r="G68" t="s">
        <v>117</v>
      </c>
      <c r="H68" t="s">
        <v>116</v>
      </c>
      <c r="I68" t="s">
        <v>4238</v>
      </c>
      <c r="J68" t="str">
        <f>"Abl interactor 1"</f>
        <v>Abl interactor 1</v>
      </c>
      <c r="K68" t="str">
        <f>"ABI1"</f>
        <v>ABI1</v>
      </c>
    </row>
    <row r="69" spans="1:11" x14ac:dyDescent="0.25">
      <c r="A69" s="1">
        <v>538</v>
      </c>
      <c r="B69" s="1">
        <v>3</v>
      </c>
      <c r="C69" s="1" t="s">
        <v>4</v>
      </c>
      <c r="D69" s="1">
        <v>13</v>
      </c>
      <c r="E69" s="1">
        <v>293.83999999999997</v>
      </c>
      <c r="F69" s="1">
        <v>1</v>
      </c>
      <c r="G69" t="s">
        <v>118</v>
      </c>
      <c r="H69" t="s">
        <v>30</v>
      </c>
      <c r="I69" t="s">
        <v>4239</v>
      </c>
      <c r="J69" t="str">
        <f>"Mitogen-activated protein kinase;Mitogen-activated protein kinase 3"</f>
        <v>Mitogen-activated protein kinase;Mitogen-activated protein kinase 3</v>
      </c>
      <c r="K69" t="str">
        <f>"MAPK3"</f>
        <v>MAPK3</v>
      </c>
    </row>
    <row r="70" spans="1:11" x14ac:dyDescent="0.25">
      <c r="A70" s="1">
        <v>1680</v>
      </c>
      <c r="B70" s="1">
        <v>2</v>
      </c>
      <c r="C70" s="1" t="s">
        <v>3</v>
      </c>
      <c r="D70" s="1">
        <v>1</v>
      </c>
      <c r="E70" s="1">
        <v>256.52</v>
      </c>
      <c r="F70" s="1">
        <v>1</v>
      </c>
      <c r="G70" t="s">
        <v>119</v>
      </c>
      <c r="H70" t="s">
        <v>120</v>
      </c>
      <c r="I70" t="s">
        <v>4240</v>
      </c>
      <c r="J70" t="str">
        <f>"Heat shock protein HSP 90-beta;Putative heat shock protein HSP 90-beta-3"</f>
        <v>Heat shock protein HSP 90-beta;Putative heat shock protein HSP 90-beta-3</v>
      </c>
      <c r="K70" t="str">
        <f>"HSP90AB1;HSP90AB3P"</f>
        <v>HSP90AB1;HSP90AB3P</v>
      </c>
    </row>
    <row r="71" spans="1:11" x14ac:dyDescent="0.25">
      <c r="A71" s="1">
        <v>2045</v>
      </c>
      <c r="B71" s="1">
        <v>3</v>
      </c>
      <c r="C71" s="1" t="s">
        <v>3</v>
      </c>
      <c r="D71" s="1">
        <v>4</v>
      </c>
      <c r="E71" s="1">
        <v>45.28</v>
      </c>
      <c r="F71" s="1">
        <v>1</v>
      </c>
      <c r="G71" t="s">
        <v>121</v>
      </c>
      <c r="H71" t="s">
        <v>122</v>
      </c>
      <c r="I71">
        <v>46</v>
      </c>
      <c r="J71" t="str">
        <f>"Tyrosine-protein kinase FRK"</f>
        <v>Tyrosine-protein kinase FRK</v>
      </c>
      <c r="K71" t="str">
        <f>"FRK"</f>
        <v>FRK</v>
      </c>
    </row>
    <row r="72" spans="1:11" x14ac:dyDescent="0.25">
      <c r="A72" s="1">
        <v>2898</v>
      </c>
      <c r="B72" s="1">
        <v>4</v>
      </c>
      <c r="C72" s="1" t="s">
        <v>3</v>
      </c>
      <c r="D72" s="1">
        <v>11</v>
      </c>
      <c r="E72" s="1">
        <v>107.72</v>
      </c>
      <c r="F72" s="1">
        <v>0.96319299999999997</v>
      </c>
      <c r="G72" t="s">
        <v>123</v>
      </c>
      <c r="H72" t="s">
        <v>124</v>
      </c>
      <c r="I72" t="s">
        <v>4241</v>
      </c>
      <c r="J72" t="str">
        <f>"Plakophilin-4"</f>
        <v>Plakophilin-4</v>
      </c>
      <c r="K72" t="str">
        <f>"PKP4"</f>
        <v>PKP4</v>
      </c>
    </row>
    <row r="73" spans="1:11" x14ac:dyDescent="0.25">
      <c r="A73" s="1">
        <v>1935</v>
      </c>
      <c r="B73" s="1">
        <v>2</v>
      </c>
      <c r="C73" s="1" t="s">
        <v>3</v>
      </c>
      <c r="D73" s="1">
        <v>3</v>
      </c>
      <c r="E73" s="1">
        <v>98.156000000000006</v>
      </c>
      <c r="F73" s="1">
        <v>1</v>
      </c>
      <c r="G73" t="s">
        <v>125</v>
      </c>
      <c r="H73" t="s">
        <v>45</v>
      </c>
      <c r="I73" t="s">
        <v>4242</v>
      </c>
      <c r="J73" t="str">
        <f>"Phosphatidylinositol 3-kinase regulatory subunit alpha"</f>
        <v>Phosphatidylinositol 3-kinase regulatory subunit alpha</v>
      </c>
      <c r="K73" t="str">
        <f>"PIK3R1"</f>
        <v>PIK3R1</v>
      </c>
    </row>
    <row r="74" spans="1:11" x14ac:dyDescent="0.25">
      <c r="A74" s="1">
        <v>2300</v>
      </c>
      <c r="B74" s="1">
        <v>2</v>
      </c>
      <c r="C74" s="1" t="s">
        <v>3</v>
      </c>
      <c r="D74" s="1">
        <v>6</v>
      </c>
      <c r="E74" s="1">
        <v>84.478999999999999</v>
      </c>
      <c r="F74" s="1">
        <v>0.97058599999999995</v>
      </c>
      <c r="G74" t="s">
        <v>126</v>
      </c>
      <c r="H74" t="s">
        <v>127</v>
      </c>
      <c r="I74" t="s">
        <v>4193</v>
      </c>
      <c r="J74" t="str">
        <f>"Cyclin-dependent-like kinase 5"</f>
        <v>Cyclin-dependent-like kinase 5</v>
      </c>
      <c r="K74" t="str">
        <f>"CDK5"</f>
        <v>CDK5</v>
      </c>
    </row>
    <row r="75" spans="1:11" x14ac:dyDescent="0.25">
      <c r="A75" s="1">
        <v>2190</v>
      </c>
      <c r="B75" s="1">
        <v>4</v>
      </c>
      <c r="C75" s="1" t="s">
        <v>3</v>
      </c>
      <c r="D75" s="1">
        <v>4</v>
      </c>
      <c r="E75" s="1">
        <v>118.23</v>
      </c>
      <c r="F75" s="1">
        <v>0.99795400000000001</v>
      </c>
      <c r="G75" t="s">
        <v>128</v>
      </c>
      <c r="H75" t="s">
        <v>129</v>
      </c>
      <c r="I75" t="s">
        <v>4243</v>
      </c>
      <c r="J75" t="str">
        <f>"Ephrin type-B receptor 4"</f>
        <v>Ephrin type-B receptor 4</v>
      </c>
      <c r="K75" t="str">
        <f>"EPHB4"</f>
        <v>EPHB4</v>
      </c>
    </row>
    <row r="76" spans="1:11" x14ac:dyDescent="0.25">
      <c r="A76" s="1">
        <v>1731</v>
      </c>
      <c r="B76" s="1">
        <v>3</v>
      </c>
      <c r="C76" s="1" t="s">
        <v>3</v>
      </c>
      <c r="D76" s="1">
        <v>7</v>
      </c>
      <c r="E76" s="1">
        <v>196.11</v>
      </c>
      <c r="F76" s="1">
        <v>1</v>
      </c>
      <c r="G76" t="s">
        <v>130</v>
      </c>
      <c r="H76" t="s">
        <v>131</v>
      </c>
      <c r="I76" t="s">
        <v>4244</v>
      </c>
      <c r="J76" t="s">
        <v>4245</v>
      </c>
      <c r="K76" t="str">
        <f>"POTEI;POTEJ;ACTB;ACTG1;POTEE;POTEKP;ACTC1;ACTA1"</f>
        <v>POTEI;POTEJ;ACTB;ACTG1;POTEE;POTEKP;ACTC1;ACTA1</v>
      </c>
    </row>
    <row r="77" spans="1:11" x14ac:dyDescent="0.25">
      <c r="A77" s="1">
        <v>2792</v>
      </c>
      <c r="B77" s="1">
        <v>3</v>
      </c>
      <c r="C77" s="1" t="s">
        <v>3</v>
      </c>
      <c r="D77" s="1">
        <v>4</v>
      </c>
      <c r="E77" s="1">
        <v>205.18</v>
      </c>
      <c r="F77" s="1">
        <v>0.999776</v>
      </c>
      <c r="G77" t="s">
        <v>132</v>
      </c>
      <c r="H77" t="s">
        <v>133</v>
      </c>
      <c r="I77" t="s">
        <v>4246</v>
      </c>
      <c r="J77" t="str">
        <f>"Palladin"</f>
        <v>Palladin</v>
      </c>
      <c r="K77" t="str">
        <f>"PALLD"</f>
        <v>PALLD</v>
      </c>
    </row>
    <row r="78" spans="1:11" x14ac:dyDescent="0.25">
      <c r="A78" s="1">
        <v>2576</v>
      </c>
      <c r="B78" s="1">
        <v>2</v>
      </c>
      <c r="C78" s="1" t="s">
        <v>3</v>
      </c>
      <c r="D78" s="1">
        <v>1</v>
      </c>
      <c r="E78" s="1">
        <v>256.52</v>
      </c>
      <c r="F78" s="1">
        <v>1</v>
      </c>
      <c r="G78" t="s">
        <v>119</v>
      </c>
      <c r="H78" t="s">
        <v>134</v>
      </c>
      <c r="I78">
        <v>56</v>
      </c>
      <c r="J78" t="str">
        <f>"Putative heat shock protein HSP 90-beta 2"</f>
        <v>Putative heat shock protein HSP 90-beta 2</v>
      </c>
      <c r="K78" t="str">
        <f>"HSP90AB2P"</f>
        <v>HSP90AB2P</v>
      </c>
    </row>
    <row r="79" spans="1:11" x14ac:dyDescent="0.25">
      <c r="A79" s="1">
        <v>2534</v>
      </c>
      <c r="B79" s="1">
        <v>2</v>
      </c>
      <c r="C79" s="1" t="s">
        <v>3</v>
      </c>
      <c r="D79" s="1">
        <v>6</v>
      </c>
      <c r="E79" s="1">
        <v>242.48</v>
      </c>
      <c r="F79" s="1">
        <v>1</v>
      </c>
      <c r="G79" t="s">
        <v>135</v>
      </c>
      <c r="H79" t="s">
        <v>136</v>
      </c>
      <c r="I79" t="s">
        <v>4247</v>
      </c>
      <c r="J79" t="str">
        <f>"SH2 domain-containing adapter protein B"</f>
        <v>SH2 domain-containing adapter protein B</v>
      </c>
      <c r="K79" t="str">
        <f>"SHB"</f>
        <v>SHB</v>
      </c>
    </row>
    <row r="80" spans="1:11" x14ac:dyDescent="0.25">
      <c r="A80" s="1">
        <v>2901</v>
      </c>
      <c r="B80" s="1">
        <v>2</v>
      </c>
      <c r="C80" s="1" t="s">
        <v>3</v>
      </c>
      <c r="D80" s="1">
        <v>5</v>
      </c>
      <c r="E80" s="1">
        <v>146.79</v>
      </c>
      <c r="F80" s="1">
        <v>0.99999899999999997</v>
      </c>
      <c r="G80" t="s">
        <v>137</v>
      </c>
      <c r="H80" t="s">
        <v>124</v>
      </c>
      <c r="I80" t="s">
        <v>4248</v>
      </c>
      <c r="J80" t="str">
        <f>"Plakophilin-4"</f>
        <v>Plakophilin-4</v>
      </c>
      <c r="K80" t="str">
        <f>"PKP4"</f>
        <v>PKP4</v>
      </c>
    </row>
    <row r="81" spans="1:11" x14ac:dyDescent="0.25">
      <c r="A81" s="1">
        <v>1665</v>
      </c>
      <c r="B81" s="1">
        <v>2</v>
      </c>
      <c r="C81" s="1" t="s">
        <v>3</v>
      </c>
      <c r="D81" s="1">
        <v>1</v>
      </c>
      <c r="E81" s="1">
        <v>256.52</v>
      </c>
      <c r="F81" s="1">
        <v>1</v>
      </c>
      <c r="G81" t="s">
        <v>119</v>
      </c>
      <c r="H81" t="s">
        <v>138</v>
      </c>
      <c r="I81" t="s">
        <v>4249</v>
      </c>
      <c r="J81" t="str">
        <f>"Heat shock protein HSP 90-alpha;Putative heat shock protein HSP 90-alpha A2"</f>
        <v>Heat shock protein HSP 90-alpha;Putative heat shock protein HSP 90-alpha A2</v>
      </c>
      <c r="K81" t="str">
        <f>"HSP90AA1;HSP90AA2"</f>
        <v>HSP90AA1;HSP90AA2</v>
      </c>
    </row>
    <row r="82" spans="1:11" x14ac:dyDescent="0.25">
      <c r="A82" s="1">
        <v>1100</v>
      </c>
      <c r="B82" s="1">
        <v>2</v>
      </c>
      <c r="C82" s="1" t="s">
        <v>3</v>
      </c>
      <c r="D82" s="1">
        <v>4</v>
      </c>
      <c r="E82" s="1">
        <v>214.55</v>
      </c>
      <c r="F82" s="1">
        <v>0.95781099999999997</v>
      </c>
      <c r="G82" t="s">
        <v>139</v>
      </c>
      <c r="H82" t="s">
        <v>70</v>
      </c>
      <c r="I82" t="s">
        <v>4250</v>
      </c>
      <c r="J82" t="str">
        <f>"Activated CDC42 kinase 1"</f>
        <v>Activated CDC42 kinase 1</v>
      </c>
      <c r="K82" t="str">
        <f>"TNK2"</f>
        <v>TNK2</v>
      </c>
    </row>
    <row r="83" spans="1:11" x14ac:dyDescent="0.25">
      <c r="A83" s="1">
        <v>1215</v>
      </c>
      <c r="B83" s="1">
        <v>4</v>
      </c>
      <c r="C83" s="1" t="s">
        <v>3</v>
      </c>
      <c r="D83" s="1">
        <v>31</v>
      </c>
      <c r="E83" s="1">
        <v>175.89</v>
      </c>
      <c r="F83" s="1">
        <v>0.99847699999999995</v>
      </c>
      <c r="G83" t="s">
        <v>140</v>
      </c>
      <c r="H83" t="s">
        <v>141</v>
      </c>
      <c r="I83" t="s">
        <v>4251</v>
      </c>
      <c r="J83" t="str">
        <f>"Tensin-1"</f>
        <v>Tensin-1</v>
      </c>
      <c r="K83" t="str">
        <f>"TNS1"</f>
        <v>TNS1</v>
      </c>
    </row>
    <row r="84" spans="1:11" x14ac:dyDescent="0.25">
      <c r="A84" s="1">
        <v>1126</v>
      </c>
      <c r="B84" s="1">
        <v>3</v>
      </c>
      <c r="C84" s="1" t="s">
        <v>3</v>
      </c>
      <c r="D84" s="1">
        <v>13</v>
      </c>
      <c r="E84" s="1">
        <v>128.38</v>
      </c>
      <c r="F84" s="1">
        <v>0.99984399999999996</v>
      </c>
      <c r="G84" t="s">
        <v>142</v>
      </c>
      <c r="H84" t="s">
        <v>143</v>
      </c>
      <c r="I84">
        <v>228</v>
      </c>
      <c r="J84" t="str">
        <f>""</f>
        <v/>
      </c>
      <c r="K84" t="str">
        <f>"CTNND1"</f>
        <v>CTNND1</v>
      </c>
    </row>
    <row r="85" spans="1:11" x14ac:dyDescent="0.25">
      <c r="A85" s="1">
        <v>2559</v>
      </c>
      <c r="B85" s="1">
        <v>3</v>
      </c>
      <c r="C85" s="1" t="s">
        <v>3</v>
      </c>
      <c r="D85" s="1">
        <v>15</v>
      </c>
      <c r="E85" s="1">
        <v>114.92</v>
      </c>
      <c r="F85" s="1">
        <v>1</v>
      </c>
      <c r="G85" t="s">
        <v>144</v>
      </c>
      <c r="H85" t="s">
        <v>145</v>
      </c>
      <c r="I85" t="s">
        <v>4252</v>
      </c>
      <c r="J85" t="str">
        <f>"Rho GTPase-activating protein 12"</f>
        <v>Rho GTPase-activating protein 12</v>
      </c>
      <c r="K85" t="str">
        <f>"ARHGAP12"</f>
        <v>ARHGAP12</v>
      </c>
    </row>
    <row r="86" spans="1:11" x14ac:dyDescent="0.25">
      <c r="A86" s="1">
        <v>1837</v>
      </c>
      <c r="B86" s="1">
        <v>3</v>
      </c>
      <c r="C86" s="1" t="s">
        <v>3</v>
      </c>
      <c r="D86" s="1">
        <v>5</v>
      </c>
      <c r="E86" s="1">
        <v>171.26</v>
      </c>
      <c r="F86" s="1">
        <v>1</v>
      </c>
      <c r="G86" t="s">
        <v>146</v>
      </c>
      <c r="H86" t="s">
        <v>147</v>
      </c>
      <c r="I86">
        <v>26</v>
      </c>
      <c r="J86" t="str">
        <f>"Phosphoglycerate mutase 1"</f>
        <v>Phosphoglycerate mutase 1</v>
      </c>
      <c r="K86" t="str">
        <f>"PGAM1"</f>
        <v>PGAM1</v>
      </c>
    </row>
    <row r="87" spans="1:11" x14ac:dyDescent="0.25">
      <c r="A87" s="1">
        <v>3059</v>
      </c>
      <c r="B87" s="1">
        <v>3</v>
      </c>
      <c r="C87" s="1" t="s">
        <v>3</v>
      </c>
      <c r="D87" s="1">
        <v>11</v>
      </c>
      <c r="E87" s="1">
        <v>155.63</v>
      </c>
      <c r="F87" s="1">
        <v>1</v>
      </c>
      <c r="G87" t="s">
        <v>148</v>
      </c>
      <c r="H87" t="s">
        <v>149</v>
      </c>
      <c r="I87" t="s">
        <v>4253</v>
      </c>
      <c r="J87" t="str">
        <f>"Tight junction protein ZO-2"</f>
        <v>Tight junction protein ZO-2</v>
      </c>
      <c r="K87" t="str">
        <f>"TJP2"</f>
        <v>TJP2</v>
      </c>
    </row>
    <row r="88" spans="1:11" x14ac:dyDescent="0.25">
      <c r="A88" s="1">
        <v>1835</v>
      </c>
      <c r="B88" s="1">
        <v>3</v>
      </c>
      <c r="C88" s="1" t="s">
        <v>3</v>
      </c>
      <c r="D88" s="1">
        <v>6</v>
      </c>
      <c r="E88" s="1">
        <v>130.47</v>
      </c>
      <c r="F88" s="1">
        <v>1</v>
      </c>
      <c r="G88" t="s">
        <v>150</v>
      </c>
      <c r="H88" t="s">
        <v>151</v>
      </c>
      <c r="I88" t="s">
        <v>4254</v>
      </c>
      <c r="J88" t="str">
        <f>"Protein SON"</f>
        <v>Protein SON</v>
      </c>
      <c r="K88" t="str">
        <f>"SON"</f>
        <v>SON</v>
      </c>
    </row>
    <row r="89" spans="1:11" x14ac:dyDescent="0.25">
      <c r="A89" s="1">
        <v>1166</v>
      </c>
      <c r="B89" s="1">
        <v>3</v>
      </c>
      <c r="C89" s="1" t="s">
        <v>3</v>
      </c>
      <c r="D89" s="1">
        <v>11</v>
      </c>
      <c r="E89" s="1">
        <v>68.951999999999998</v>
      </c>
      <c r="F89" s="1">
        <v>0.99672300000000003</v>
      </c>
      <c r="G89" t="s">
        <v>152</v>
      </c>
      <c r="H89" t="s">
        <v>153</v>
      </c>
      <c r="I89" t="s">
        <v>4255</v>
      </c>
      <c r="J89" t="str">
        <f>"Mitogen-activated protein kinase 9"</f>
        <v>Mitogen-activated protein kinase 9</v>
      </c>
      <c r="K89" t="str">
        <f>"MAPK9"</f>
        <v>MAPK9</v>
      </c>
    </row>
    <row r="90" spans="1:11" x14ac:dyDescent="0.25">
      <c r="A90" s="1">
        <v>931</v>
      </c>
      <c r="B90" s="1">
        <v>3</v>
      </c>
      <c r="C90" s="1" t="s">
        <v>3</v>
      </c>
      <c r="D90" s="1">
        <v>4</v>
      </c>
      <c r="E90" s="1">
        <v>50.305</v>
      </c>
      <c r="F90" s="1">
        <v>1</v>
      </c>
      <c r="G90" t="s">
        <v>154</v>
      </c>
      <c r="H90" t="s">
        <v>155</v>
      </c>
      <c r="I90" t="s">
        <v>4256</v>
      </c>
      <c r="J90" t="str">
        <f>"G-protein coupled receptor family C group 5 member C"</f>
        <v>G-protein coupled receptor family C group 5 member C</v>
      </c>
      <c r="K90" t="str">
        <f>"GPRC5C"</f>
        <v>GPRC5C</v>
      </c>
    </row>
    <row r="91" spans="1:11" x14ac:dyDescent="0.25">
      <c r="A91" s="1">
        <v>1810</v>
      </c>
      <c r="B91" s="1">
        <v>2</v>
      </c>
      <c r="C91" s="1" t="s">
        <v>3</v>
      </c>
      <c r="D91" s="1">
        <v>2</v>
      </c>
      <c r="E91" s="1">
        <v>123.01</v>
      </c>
      <c r="F91" s="1">
        <v>1</v>
      </c>
      <c r="G91" t="s">
        <v>156</v>
      </c>
      <c r="H91" t="s">
        <v>157</v>
      </c>
      <c r="I91" t="s">
        <v>4257</v>
      </c>
      <c r="J91" t="str">
        <f>"Cytoplasmic protein NCK1"</f>
        <v>Cytoplasmic protein NCK1</v>
      </c>
      <c r="K91" t="str">
        <f>"NCK1"</f>
        <v>NCK1</v>
      </c>
    </row>
    <row r="92" spans="1:11" x14ac:dyDescent="0.25">
      <c r="A92" s="1">
        <v>1504</v>
      </c>
      <c r="B92" s="1">
        <v>3</v>
      </c>
      <c r="C92" s="1" t="s">
        <v>3</v>
      </c>
      <c r="D92" s="1">
        <v>6</v>
      </c>
      <c r="E92" s="1">
        <v>159.18</v>
      </c>
      <c r="F92" s="1">
        <v>1</v>
      </c>
      <c r="G92" t="s">
        <v>158</v>
      </c>
      <c r="H92" t="s">
        <v>159</v>
      </c>
      <c r="I92">
        <v>570</v>
      </c>
      <c r="J92" t="str">
        <f>"Tyrosine-protein kinase JAK2"</f>
        <v>Tyrosine-protein kinase JAK2</v>
      </c>
      <c r="K92" t="str">
        <f>"JAK2"</f>
        <v>JAK2</v>
      </c>
    </row>
    <row r="93" spans="1:11" x14ac:dyDescent="0.25">
      <c r="A93" s="1">
        <v>3010</v>
      </c>
      <c r="B93" s="1">
        <v>4</v>
      </c>
      <c r="C93" s="1" t="s">
        <v>3</v>
      </c>
      <c r="D93" s="1">
        <v>19</v>
      </c>
      <c r="E93" s="1">
        <v>100.66</v>
      </c>
      <c r="F93" s="1">
        <v>0.98416400000000004</v>
      </c>
      <c r="G93" t="s">
        <v>160</v>
      </c>
      <c r="H93" t="s">
        <v>55</v>
      </c>
      <c r="I93">
        <v>1087</v>
      </c>
      <c r="J93" t="str">
        <f>"Rho GTPase-activating protein 35"</f>
        <v>Rho GTPase-activating protein 35</v>
      </c>
      <c r="K93" t="str">
        <f>"ARHGAP35"</f>
        <v>ARHGAP35</v>
      </c>
    </row>
    <row r="94" spans="1:11" x14ac:dyDescent="0.25">
      <c r="A94" s="1">
        <v>2796</v>
      </c>
      <c r="B94" s="1">
        <v>3</v>
      </c>
      <c r="C94" s="1" t="s">
        <v>3</v>
      </c>
      <c r="D94" s="1">
        <v>3</v>
      </c>
      <c r="E94" s="1">
        <v>193.71</v>
      </c>
      <c r="F94" s="1">
        <v>0.99146900000000004</v>
      </c>
      <c r="G94" t="s">
        <v>161</v>
      </c>
      <c r="H94" t="s">
        <v>162</v>
      </c>
      <c r="I94" t="s">
        <v>4258</v>
      </c>
      <c r="J94" t="str">
        <f>"Caskin-2"</f>
        <v>Caskin-2</v>
      </c>
      <c r="K94" t="str">
        <f>"CASKIN2"</f>
        <v>CASKIN2</v>
      </c>
    </row>
    <row r="95" spans="1:11" x14ac:dyDescent="0.25">
      <c r="A95" s="1">
        <v>2349</v>
      </c>
      <c r="B95" s="1">
        <v>3</v>
      </c>
      <c r="C95" s="1" t="s">
        <v>3</v>
      </c>
      <c r="D95" s="1">
        <v>1</v>
      </c>
      <c r="E95" s="1">
        <v>81.799000000000007</v>
      </c>
      <c r="F95" s="1">
        <v>1</v>
      </c>
      <c r="G95" t="s">
        <v>163</v>
      </c>
      <c r="H95" t="s">
        <v>53</v>
      </c>
      <c r="I95" t="s">
        <v>4259</v>
      </c>
      <c r="J95" t="str">
        <f>"Tyrosine-protein phosphatase non-receptor type 11"</f>
        <v>Tyrosine-protein phosphatase non-receptor type 11</v>
      </c>
      <c r="K95" t="str">
        <f>"PTPN11"</f>
        <v>PTPN11</v>
      </c>
    </row>
    <row r="96" spans="1:11" x14ac:dyDescent="0.25">
      <c r="A96" s="1">
        <v>2811</v>
      </c>
      <c r="B96" s="1">
        <v>2</v>
      </c>
      <c r="C96" s="1" t="s">
        <v>3</v>
      </c>
      <c r="D96" s="1">
        <v>4</v>
      </c>
      <c r="E96" s="1">
        <v>113.62</v>
      </c>
      <c r="F96" s="1">
        <v>1</v>
      </c>
      <c r="G96" t="s">
        <v>164</v>
      </c>
      <c r="H96" t="s">
        <v>165</v>
      </c>
      <c r="I96" t="s">
        <v>4260</v>
      </c>
      <c r="J96" t="str">
        <f>"Phosphatidylinositol 3,4,5-trisphosphate 5-phosphatase 1"</f>
        <v>Phosphatidylinositol 3,4,5-trisphosphate 5-phosphatase 1</v>
      </c>
      <c r="K96" t="str">
        <f>"INPP5D"</f>
        <v>INPP5D</v>
      </c>
    </row>
    <row r="97" spans="1:11" x14ac:dyDescent="0.25">
      <c r="A97" s="1">
        <v>47</v>
      </c>
      <c r="B97" s="1">
        <v>3</v>
      </c>
      <c r="C97" s="1" t="s">
        <v>5</v>
      </c>
      <c r="D97" s="1">
        <v>3</v>
      </c>
      <c r="E97" s="1">
        <v>156.49</v>
      </c>
      <c r="F97" s="1">
        <v>0.99999800000000005</v>
      </c>
      <c r="G97" t="s">
        <v>166</v>
      </c>
      <c r="H97" t="s">
        <v>95</v>
      </c>
      <c r="I97">
        <v>39</v>
      </c>
      <c r="J97" t="str">
        <f>""</f>
        <v/>
      </c>
      <c r="K97" t="str">
        <f>"VIM"</f>
        <v>VIM</v>
      </c>
    </row>
    <row r="98" spans="1:11" x14ac:dyDescent="0.25">
      <c r="A98" s="1">
        <v>516</v>
      </c>
      <c r="B98" s="1">
        <v>3</v>
      </c>
      <c r="C98" s="1" t="s">
        <v>4</v>
      </c>
      <c r="D98" s="1">
        <v>7</v>
      </c>
      <c r="E98" s="1">
        <v>126.77</v>
      </c>
      <c r="F98" s="1">
        <v>1</v>
      </c>
      <c r="G98" t="s">
        <v>107</v>
      </c>
      <c r="H98" t="s">
        <v>108</v>
      </c>
      <c r="I98">
        <v>103</v>
      </c>
      <c r="J98" t="str">
        <f>""</f>
        <v/>
      </c>
      <c r="K98" t="str">
        <f>"MAPK14"</f>
        <v>MAPK14</v>
      </c>
    </row>
    <row r="99" spans="1:11" x14ac:dyDescent="0.25">
      <c r="A99" s="1">
        <v>1025</v>
      </c>
      <c r="B99" s="1">
        <v>4</v>
      </c>
      <c r="C99" s="1" t="s">
        <v>3</v>
      </c>
      <c r="D99" s="1">
        <v>13</v>
      </c>
      <c r="E99" s="1">
        <v>60.764000000000003</v>
      </c>
      <c r="F99" s="1">
        <v>1</v>
      </c>
      <c r="G99" t="s">
        <v>167</v>
      </c>
      <c r="H99" t="s">
        <v>95</v>
      </c>
      <c r="I99">
        <v>117</v>
      </c>
      <c r="J99" t="str">
        <f>""</f>
        <v/>
      </c>
      <c r="K99" t="str">
        <f>"VIM"</f>
        <v>VIM</v>
      </c>
    </row>
    <row r="100" spans="1:11" x14ac:dyDescent="0.25">
      <c r="A100" s="1">
        <v>2225</v>
      </c>
      <c r="B100" s="1">
        <v>3</v>
      </c>
      <c r="C100" s="1" t="s">
        <v>3</v>
      </c>
      <c r="D100" s="1">
        <v>22</v>
      </c>
      <c r="E100" s="1">
        <v>98.626999999999995</v>
      </c>
      <c r="F100" s="1">
        <v>0.94260999999999995</v>
      </c>
      <c r="G100" t="s">
        <v>168</v>
      </c>
      <c r="H100" t="s">
        <v>169</v>
      </c>
      <c r="I100" t="s">
        <v>4261</v>
      </c>
      <c r="J100" t="str">
        <f>"Actin, cytoplasmic 1;Actin, cytoplasmic 1, N-terminally processed;Actin, cytoplasmic 2;Actin, cytoplasmic 2, N-terminally processed"</f>
        <v>Actin, cytoplasmic 1;Actin, cytoplasmic 1, N-terminally processed;Actin, cytoplasmic 2;Actin, cytoplasmic 2, N-terminally processed</v>
      </c>
      <c r="K100" t="str">
        <f>"ACTB;ACTG1"</f>
        <v>ACTB;ACTG1</v>
      </c>
    </row>
    <row r="101" spans="1:11" x14ac:dyDescent="0.25">
      <c r="A101" s="1">
        <v>340</v>
      </c>
      <c r="B101" s="1">
        <v>3</v>
      </c>
      <c r="C101" s="1" t="s">
        <v>5</v>
      </c>
      <c r="D101" s="1">
        <v>12</v>
      </c>
      <c r="E101" s="1">
        <v>114.92</v>
      </c>
      <c r="F101" s="1">
        <v>1</v>
      </c>
      <c r="G101" t="s">
        <v>144</v>
      </c>
      <c r="H101" t="s">
        <v>145</v>
      </c>
      <c r="I101" t="s">
        <v>4262</v>
      </c>
      <c r="J101" t="str">
        <f>"Rho GTPase-activating protein 12"</f>
        <v>Rho GTPase-activating protein 12</v>
      </c>
      <c r="K101" t="str">
        <f>"ARHGAP12"</f>
        <v>ARHGAP12</v>
      </c>
    </row>
    <row r="102" spans="1:11" x14ac:dyDescent="0.25">
      <c r="A102" s="1">
        <v>2265</v>
      </c>
      <c r="B102" s="1">
        <v>3</v>
      </c>
      <c r="C102" s="1" t="s">
        <v>3</v>
      </c>
      <c r="D102" s="1">
        <v>3</v>
      </c>
      <c r="E102" s="1">
        <v>126.77</v>
      </c>
      <c r="F102" s="1">
        <v>0.99998699999999996</v>
      </c>
      <c r="G102" t="s">
        <v>170</v>
      </c>
      <c r="H102" t="s">
        <v>171</v>
      </c>
      <c r="I102" t="s">
        <v>4263</v>
      </c>
      <c r="J102" t="str">
        <f>"Peptidyl-prolyl cis-trans isomerase A;Peptidyl-prolyl cis-trans isomerase A, N-terminally processed;Peptidyl-prolyl cis-trans isomerase"</f>
        <v>Peptidyl-prolyl cis-trans isomerase A;Peptidyl-prolyl cis-trans isomerase A, N-terminally processed;Peptidyl-prolyl cis-trans isomerase</v>
      </c>
      <c r="K102" t="str">
        <f>"PPIA"</f>
        <v>PPIA</v>
      </c>
    </row>
    <row r="103" spans="1:11" x14ac:dyDescent="0.25">
      <c r="A103" s="1">
        <v>383</v>
      </c>
      <c r="B103" s="1">
        <v>4</v>
      </c>
      <c r="C103" s="1" t="s">
        <v>5</v>
      </c>
      <c r="D103" s="1">
        <v>6</v>
      </c>
      <c r="E103" s="1">
        <v>51.088999999999999</v>
      </c>
      <c r="F103" s="1">
        <v>1</v>
      </c>
      <c r="G103" t="s">
        <v>23</v>
      </c>
      <c r="H103" t="s">
        <v>24</v>
      </c>
      <c r="I103">
        <v>345</v>
      </c>
      <c r="J103" t="str">
        <f>"Retinoic acid-induced protein 3"</f>
        <v>Retinoic acid-induced protein 3</v>
      </c>
      <c r="K103" t="str">
        <f>"GPRC5A"</f>
        <v>GPRC5A</v>
      </c>
    </row>
    <row r="104" spans="1:11" x14ac:dyDescent="0.25">
      <c r="A104" s="1">
        <v>1457</v>
      </c>
      <c r="B104" s="1">
        <v>3</v>
      </c>
      <c r="C104" s="1" t="s">
        <v>3</v>
      </c>
      <c r="D104" s="1">
        <v>9</v>
      </c>
      <c r="E104" s="1">
        <v>158.01</v>
      </c>
      <c r="F104" s="1">
        <v>0.99999400000000005</v>
      </c>
      <c r="G104" t="s">
        <v>172</v>
      </c>
      <c r="H104" t="s">
        <v>173</v>
      </c>
      <c r="I104" t="s">
        <v>4264</v>
      </c>
      <c r="J104" t="str">
        <f>"Mitogen-activated protein kinase 13"</f>
        <v>Mitogen-activated protein kinase 13</v>
      </c>
      <c r="K104" t="str">
        <f>"MAPK13"</f>
        <v>MAPK13</v>
      </c>
    </row>
    <row r="105" spans="1:11" x14ac:dyDescent="0.25">
      <c r="A105" s="1">
        <v>2406</v>
      </c>
      <c r="B105" s="1">
        <v>3</v>
      </c>
      <c r="C105" s="1" t="s">
        <v>3</v>
      </c>
      <c r="D105" s="1">
        <v>16</v>
      </c>
      <c r="E105" s="1">
        <v>111.57</v>
      </c>
      <c r="F105" s="1">
        <v>0.99682599999999999</v>
      </c>
      <c r="G105" t="s">
        <v>174</v>
      </c>
      <c r="H105" t="s">
        <v>175</v>
      </c>
      <c r="I105" t="s">
        <v>4265</v>
      </c>
      <c r="J105" t="str">
        <f>"Mitogen-activated protein kinase 7"</f>
        <v>Mitogen-activated protein kinase 7</v>
      </c>
      <c r="K105" t="str">
        <f>"MAPK7"</f>
        <v>MAPK7</v>
      </c>
    </row>
    <row r="106" spans="1:11" x14ac:dyDescent="0.25">
      <c r="A106" s="1">
        <v>2631</v>
      </c>
      <c r="B106" s="1">
        <v>2</v>
      </c>
      <c r="C106" s="1" t="s">
        <v>3</v>
      </c>
      <c r="D106" s="1">
        <v>9</v>
      </c>
      <c r="E106" s="1">
        <v>147.62</v>
      </c>
      <c r="F106" s="1">
        <v>1</v>
      </c>
      <c r="G106" t="s">
        <v>176</v>
      </c>
      <c r="H106" t="s">
        <v>177</v>
      </c>
      <c r="I106" t="s">
        <v>4266</v>
      </c>
      <c r="J106" t="str">
        <f>"Polymerase I and transcript release factor"</f>
        <v>Polymerase I and transcript release factor</v>
      </c>
      <c r="K106" t="str">
        <f>"PTRF"</f>
        <v>PTRF</v>
      </c>
    </row>
    <row r="107" spans="1:11" x14ac:dyDescent="0.25">
      <c r="A107" s="1">
        <v>3116</v>
      </c>
      <c r="B107" s="1">
        <v>3</v>
      </c>
      <c r="C107" s="1" t="s">
        <v>3</v>
      </c>
      <c r="D107" s="1">
        <v>16</v>
      </c>
      <c r="E107" s="1">
        <v>140.68</v>
      </c>
      <c r="F107" s="1">
        <v>0.99976500000000001</v>
      </c>
      <c r="G107" t="s">
        <v>178</v>
      </c>
      <c r="H107" t="s">
        <v>179</v>
      </c>
      <c r="I107">
        <v>181</v>
      </c>
      <c r="J107" t="str">
        <f>"Mitochondrial chaperone BCS1"</f>
        <v>Mitochondrial chaperone BCS1</v>
      </c>
      <c r="K107" t="str">
        <f>"BCS1L"</f>
        <v>BCS1L</v>
      </c>
    </row>
    <row r="108" spans="1:11" x14ac:dyDescent="0.25">
      <c r="A108" s="1">
        <v>1972</v>
      </c>
      <c r="B108" s="1">
        <v>4</v>
      </c>
      <c r="C108" s="1" t="s">
        <v>3</v>
      </c>
      <c r="D108" s="1">
        <v>7</v>
      </c>
      <c r="E108" s="1">
        <v>129.01</v>
      </c>
      <c r="F108" s="1">
        <v>0.99990500000000004</v>
      </c>
      <c r="G108" t="s">
        <v>180</v>
      </c>
      <c r="H108" t="s">
        <v>181</v>
      </c>
      <c r="I108">
        <v>66</v>
      </c>
      <c r="J108" t="str">
        <f>"Endoplasmic reticulum resident protein 29"</f>
        <v>Endoplasmic reticulum resident protein 29</v>
      </c>
      <c r="K108" t="str">
        <f>"ERP29"</f>
        <v>ERP29</v>
      </c>
    </row>
    <row r="109" spans="1:11" x14ac:dyDescent="0.25">
      <c r="A109" s="1">
        <v>1517</v>
      </c>
      <c r="B109" s="1">
        <v>3</v>
      </c>
      <c r="C109" s="1" t="s">
        <v>3</v>
      </c>
      <c r="D109" s="1">
        <v>7</v>
      </c>
      <c r="E109" s="1">
        <v>218.25</v>
      </c>
      <c r="F109" s="1">
        <v>0.99999099999999996</v>
      </c>
      <c r="G109" t="s">
        <v>182</v>
      </c>
      <c r="H109" t="s">
        <v>183</v>
      </c>
      <c r="I109" t="s">
        <v>4267</v>
      </c>
      <c r="J109" t="str">
        <f>"WD repeat-containing protein 1"</f>
        <v>WD repeat-containing protein 1</v>
      </c>
      <c r="K109" t="str">
        <f>"WDR1"</f>
        <v>WDR1</v>
      </c>
    </row>
    <row r="110" spans="1:11" x14ac:dyDescent="0.25">
      <c r="A110" s="1">
        <v>1717</v>
      </c>
      <c r="B110" s="1">
        <v>2</v>
      </c>
      <c r="C110" s="1" t="s">
        <v>3</v>
      </c>
      <c r="D110" s="1">
        <v>3</v>
      </c>
      <c r="E110" s="1">
        <v>101.28</v>
      </c>
      <c r="F110" s="1">
        <v>0.99975800000000004</v>
      </c>
      <c r="G110" t="s">
        <v>184</v>
      </c>
      <c r="H110" t="s">
        <v>185</v>
      </c>
      <c r="I110" t="s">
        <v>4268</v>
      </c>
      <c r="J110" t="str">
        <f>"Annexin A4;Annexin"</f>
        <v>Annexin A4;Annexin</v>
      </c>
      <c r="K110" t="str">
        <f>"ANXA4"</f>
        <v>ANXA4</v>
      </c>
    </row>
    <row r="111" spans="1:11" x14ac:dyDescent="0.25">
      <c r="A111" s="1">
        <v>2207</v>
      </c>
      <c r="B111" s="1">
        <v>3</v>
      </c>
      <c r="C111" s="1" t="s">
        <v>3</v>
      </c>
      <c r="D111" s="1">
        <v>8</v>
      </c>
      <c r="E111" s="1">
        <v>125.82</v>
      </c>
      <c r="F111" s="1">
        <v>1</v>
      </c>
      <c r="G111" t="s">
        <v>186</v>
      </c>
      <c r="H111" t="s">
        <v>187</v>
      </c>
      <c r="I111" t="s">
        <v>4269</v>
      </c>
      <c r="J111" t="str">
        <f>"Breast cancer anti-estrogen resistance protein 1"</f>
        <v>Breast cancer anti-estrogen resistance protein 1</v>
      </c>
      <c r="K111" t="str">
        <f>"BCAR1"</f>
        <v>BCAR1</v>
      </c>
    </row>
    <row r="112" spans="1:11" x14ac:dyDescent="0.25">
      <c r="A112" s="1">
        <v>684</v>
      </c>
      <c r="B112" s="1">
        <v>3</v>
      </c>
      <c r="C112" s="1" t="s">
        <v>4</v>
      </c>
      <c r="D112" s="1">
        <v>3</v>
      </c>
      <c r="E112" s="1">
        <v>131.81</v>
      </c>
      <c r="F112" s="1">
        <v>0.96648400000000001</v>
      </c>
      <c r="G112" t="s">
        <v>188</v>
      </c>
      <c r="H112" t="s">
        <v>145</v>
      </c>
      <c r="I112" t="s">
        <v>4270</v>
      </c>
      <c r="J112" t="str">
        <f>"Rho GTPase-activating protein 12"</f>
        <v>Rho GTPase-activating protein 12</v>
      </c>
      <c r="K112" t="str">
        <f>"ARHGAP12"</f>
        <v>ARHGAP12</v>
      </c>
    </row>
    <row r="113" spans="1:11" x14ac:dyDescent="0.25">
      <c r="A113" s="1">
        <v>3078</v>
      </c>
      <c r="B113" s="1">
        <v>3</v>
      </c>
      <c r="C113" s="1" t="s">
        <v>3</v>
      </c>
      <c r="D113" s="1">
        <v>6</v>
      </c>
      <c r="E113" s="1">
        <v>110.74</v>
      </c>
      <c r="F113" s="1">
        <v>0.95955299999999999</v>
      </c>
      <c r="G113" t="s">
        <v>189</v>
      </c>
      <c r="H113" t="s">
        <v>190</v>
      </c>
      <c r="I113">
        <v>394</v>
      </c>
      <c r="J113" t="str">
        <f>"ERBB receptor feedback inhibitor 1"</f>
        <v>ERBB receptor feedback inhibitor 1</v>
      </c>
      <c r="K113" t="str">
        <f>"ERRFI1"</f>
        <v>ERRFI1</v>
      </c>
    </row>
    <row r="114" spans="1:11" x14ac:dyDescent="0.25">
      <c r="A114" s="1">
        <v>2704</v>
      </c>
      <c r="B114" s="1">
        <v>2</v>
      </c>
      <c r="C114" s="1" t="s">
        <v>3</v>
      </c>
      <c r="D114" s="1">
        <v>2</v>
      </c>
      <c r="E114" s="1">
        <v>78.813999999999993</v>
      </c>
      <c r="F114" s="1">
        <v>0.99996799999999997</v>
      </c>
      <c r="G114" t="s">
        <v>191</v>
      </c>
      <c r="H114" t="s">
        <v>192</v>
      </c>
      <c r="I114" t="s">
        <v>4271</v>
      </c>
      <c r="J114" t="str">
        <f>"Transmembrane protein 192"</f>
        <v>Transmembrane protein 192</v>
      </c>
      <c r="K114" t="str">
        <f>"TMEM192"</f>
        <v>TMEM192</v>
      </c>
    </row>
    <row r="115" spans="1:11" x14ac:dyDescent="0.25">
      <c r="A115" s="1">
        <v>1128</v>
      </c>
      <c r="B115" s="1">
        <v>3</v>
      </c>
      <c r="C115" s="1" t="s">
        <v>3</v>
      </c>
      <c r="D115" s="1">
        <v>12</v>
      </c>
      <c r="E115" s="1">
        <v>193.64</v>
      </c>
      <c r="F115" s="1">
        <v>0.99307100000000004</v>
      </c>
      <c r="G115" t="s">
        <v>193</v>
      </c>
      <c r="H115" t="s">
        <v>143</v>
      </c>
      <c r="I115">
        <v>96</v>
      </c>
      <c r="J115" t="str">
        <f>""</f>
        <v/>
      </c>
      <c r="K115" t="str">
        <f>"CTNND1"</f>
        <v>CTNND1</v>
      </c>
    </row>
    <row r="116" spans="1:11" x14ac:dyDescent="0.25">
      <c r="A116" s="1">
        <v>2339</v>
      </c>
      <c r="B116" s="1">
        <v>3</v>
      </c>
      <c r="C116" s="1" t="s">
        <v>3</v>
      </c>
      <c r="D116" s="1">
        <v>6</v>
      </c>
      <c r="E116" s="1">
        <v>199.37</v>
      </c>
      <c r="F116" s="1">
        <v>1</v>
      </c>
      <c r="G116" t="s">
        <v>194</v>
      </c>
      <c r="H116" t="s">
        <v>195</v>
      </c>
      <c r="I116" t="s">
        <v>4272</v>
      </c>
      <c r="J116" t="str">
        <f>"Focal adhesion kinase 1"</f>
        <v>Focal adhesion kinase 1</v>
      </c>
      <c r="K116" t="str">
        <f>"PTK2"</f>
        <v>PTK2</v>
      </c>
    </row>
    <row r="117" spans="1:11" x14ac:dyDescent="0.25">
      <c r="A117" s="1">
        <v>2202</v>
      </c>
      <c r="B117" s="1">
        <v>3</v>
      </c>
      <c r="C117" s="1" t="s">
        <v>3</v>
      </c>
      <c r="D117" s="1">
        <v>6</v>
      </c>
      <c r="E117" s="1">
        <v>103.2</v>
      </c>
      <c r="F117" s="1">
        <v>1</v>
      </c>
      <c r="G117" t="s">
        <v>196</v>
      </c>
      <c r="H117" t="s">
        <v>197</v>
      </c>
      <c r="I117" t="s">
        <v>4273</v>
      </c>
      <c r="J117" t="str">
        <f>"Breast cancer anti-estrogen resistance protein 1"</f>
        <v>Breast cancer anti-estrogen resistance protein 1</v>
      </c>
      <c r="K117" t="str">
        <f>"BCAR1"</f>
        <v>BCAR1</v>
      </c>
    </row>
    <row r="118" spans="1:11" x14ac:dyDescent="0.25">
      <c r="A118" s="1">
        <v>2177</v>
      </c>
      <c r="B118" s="1">
        <v>4</v>
      </c>
      <c r="C118" s="1" t="s">
        <v>3</v>
      </c>
      <c r="D118" s="1">
        <v>6</v>
      </c>
      <c r="E118" s="1">
        <v>224.53</v>
      </c>
      <c r="F118" s="1">
        <v>1</v>
      </c>
      <c r="G118" t="s">
        <v>198</v>
      </c>
      <c r="H118" t="s">
        <v>199</v>
      </c>
      <c r="I118" t="s">
        <v>4274</v>
      </c>
      <c r="J118" t="str">
        <f>"ATP-citrate synthase"</f>
        <v>ATP-citrate synthase</v>
      </c>
      <c r="K118" t="str">
        <f>"ACLY"</f>
        <v>ACLY</v>
      </c>
    </row>
    <row r="119" spans="1:11" x14ac:dyDescent="0.25">
      <c r="A119" s="1">
        <v>945</v>
      </c>
      <c r="B119" s="1">
        <v>3</v>
      </c>
      <c r="C119" s="1" t="s">
        <v>3</v>
      </c>
      <c r="D119" s="1">
        <v>15</v>
      </c>
      <c r="E119" s="1">
        <v>165.31</v>
      </c>
      <c r="F119" s="1">
        <v>0.99189000000000005</v>
      </c>
      <c r="G119" t="s">
        <v>200</v>
      </c>
      <c r="H119" t="s">
        <v>201</v>
      </c>
      <c r="I119" t="s">
        <v>4275</v>
      </c>
      <c r="J119" t="str">
        <f>"ARF GTPase-activating protein GIT1"</f>
        <v>ARF GTPase-activating protein GIT1</v>
      </c>
      <c r="K119" t="str">
        <f>"GIT1"</f>
        <v>GIT1</v>
      </c>
    </row>
    <row r="120" spans="1:11" x14ac:dyDescent="0.25">
      <c r="A120" s="1">
        <v>3061</v>
      </c>
      <c r="B120" s="1">
        <v>2</v>
      </c>
      <c r="C120" s="1" t="s">
        <v>3</v>
      </c>
      <c r="D120" s="1">
        <v>5</v>
      </c>
      <c r="E120" s="1">
        <v>160.75</v>
      </c>
      <c r="F120" s="1">
        <v>1</v>
      </c>
      <c r="G120" t="s">
        <v>202</v>
      </c>
      <c r="H120" t="s">
        <v>203</v>
      </c>
      <c r="I120" t="s">
        <v>4276</v>
      </c>
      <c r="J120" t="str">
        <f>"Tight junction protein ZO-2"</f>
        <v>Tight junction protein ZO-2</v>
      </c>
      <c r="K120" t="str">
        <f>"TJP2"</f>
        <v>TJP2</v>
      </c>
    </row>
    <row r="121" spans="1:11" x14ac:dyDescent="0.25">
      <c r="A121" s="1">
        <v>1425</v>
      </c>
      <c r="B121" s="1">
        <v>2</v>
      </c>
      <c r="C121" s="1" t="s">
        <v>3</v>
      </c>
      <c r="D121" s="1">
        <v>6</v>
      </c>
      <c r="E121" s="1">
        <v>99.406999999999996</v>
      </c>
      <c r="F121" s="1">
        <v>0.99997100000000005</v>
      </c>
      <c r="G121" t="s">
        <v>204</v>
      </c>
      <c r="H121" t="s">
        <v>205</v>
      </c>
      <c r="I121" t="s">
        <v>4277</v>
      </c>
      <c r="J121" t="str">
        <f>"Syntenin-1"</f>
        <v>Syntenin-1</v>
      </c>
      <c r="K121" t="str">
        <f>"SDCBP"</f>
        <v>SDCBP</v>
      </c>
    </row>
    <row r="122" spans="1:11" x14ac:dyDescent="0.25">
      <c r="A122" s="1">
        <v>2825</v>
      </c>
      <c r="B122" s="1">
        <v>3</v>
      </c>
      <c r="C122" s="1" t="s">
        <v>3</v>
      </c>
      <c r="D122" s="1">
        <v>10</v>
      </c>
      <c r="E122" s="1">
        <v>187.97</v>
      </c>
      <c r="F122" s="1">
        <v>0.99992400000000004</v>
      </c>
      <c r="G122" t="s">
        <v>206</v>
      </c>
      <c r="H122" t="s">
        <v>207</v>
      </c>
      <c r="I122">
        <v>103</v>
      </c>
      <c r="J122" t="str">
        <f>"Uncharacterized protein C11orf52"</f>
        <v>Uncharacterized protein C11orf52</v>
      </c>
      <c r="K122" t="str">
        <f>"C11orf52"</f>
        <v>C11orf52</v>
      </c>
    </row>
    <row r="123" spans="1:11" x14ac:dyDescent="0.25">
      <c r="A123" s="1">
        <v>3135</v>
      </c>
      <c r="B123" s="1">
        <v>2</v>
      </c>
      <c r="C123" s="1" t="s">
        <v>3</v>
      </c>
      <c r="D123" s="1">
        <v>4</v>
      </c>
      <c r="E123" s="1">
        <v>117.4</v>
      </c>
      <c r="F123" s="1">
        <v>0.99912299999999998</v>
      </c>
      <c r="G123" t="s">
        <v>208</v>
      </c>
      <c r="H123" t="s">
        <v>209</v>
      </c>
      <c r="I123">
        <v>70</v>
      </c>
      <c r="J123" t="str">
        <f>"Talin-1"</f>
        <v>Talin-1</v>
      </c>
      <c r="K123" t="str">
        <f>"TLN1"</f>
        <v>TLN1</v>
      </c>
    </row>
    <row r="124" spans="1:11" x14ac:dyDescent="0.25">
      <c r="A124" s="1">
        <v>2977</v>
      </c>
      <c r="B124" s="1">
        <v>3</v>
      </c>
      <c r="C124" s="1" t="s">
        <v>3</v>
      </c>
      <c r="D124" s="1">
        <v>10</v>
      </c>
      <c r="E124" s="1">
        <v>71.353999999999999</v>
      </c>
      <c r="F124" s="1">
        <v>1</v>
      </c>
      <c r="G124" t="s">
        <v>210</v>
      </c>
      <c r="H124" t="s">
        <v>211</v>
      </c>
      <c r="I124" t="s">
        <v>4278</v>
      </c>
      <c r="J124" t="str">
        <f>"Pseudopodium-enriched atypical kinase 1"</f>
        <v>Pseudopodium-enriched atypical kinase 1</v>
      </c>
      <c r="K124" t="str">
        <f>"PEAK1"</f>
        <v>PEAK1</v>
      </c>
    </row>
    <row r="125" spans="1:11" x14ac:dyDescent="0.25">
      <c r="A125" s="1">
        <v>2535</v>
      </c>
      <c r="B125" s="1">
        <v>3</v>
      </c>
      <c r="C125" s="1" t="s">
        <v>3</v>
      </c>
      <c r="D125" s="1">
        <v>9</v>
      </c>
      <c r="E125" s="1">
        <v>161.26</v>
      </c>
      <c r="F125" s="1">
        <v>0.99974099999999999</v>
      </c>
      <c r="G125" t="s">
        <v>212</v>
      </c>
      <c r="H125" t="s">
        <v>136</v>
      </c>
      <c r="I125" t="s">
        <v>4279</v>
      </c>
      <c r="J125" t="str">
        <f>"SH2 domain-containing adapter protein B"</f>
        <v>SH2 domain-containing adapter protein B</v>
      </c>
      <c r="K125" t="str">
        <f>"SHB"</f>
        <v>SHB</v>
      </c>
    </row>
    <row r="126" spans="1:11" x14ac:dyDescent="0.25">
      <c r="A126" s="1">
        <v>1483</v>
      </c>
      <c r="B126" s="1">
        <v>3</v>
      </c>
      <c r="C126" s="1" t="s">
        <v>3</v>
      </c>
      <c r="D126" s="1">
        <v>10</v>
      </c>
      <c r="E126" s="1">
        <v>124.29</v>
      </c>
      <c r="F126" s="1">
        <v>0.99708699999999995</v>
      </c>
      <c r="G126" t="s">
        <v>213</v>
      </c>
      <c r="H126" t="s">
        <v>214</v>
      </c>
      <c r="I126" t="s">
        <v>4280</v>
      </c>
      <c r="J126" t="str">
        <f>"Alpha-actinin-4;Alpha-actinin-1"</f>
        <v>Alpha-actinin-4;Alpha-actinin-1</v>
      </c>
      <c r="K126" t="str">
        <f>"ACTN4;ACTN1"</f>
        <v>ACTN4;ACTN1</v>
      </c>
    </row>
    <row r="127" spans="1:11" x14ac:dyDescent="0.25">
      <c r="A127" s="1">
        <v>2610</v>
      </c>
      <c r="B127" s="1">
        <v>2</v>
      </c>
      <c r="C127" s="1" t="s">
        <v>3</v>
      </c>
      <c r="D127" s="1">
        <v>6</v>
      </c>
      <c r="E127" s="1">
        <v>92.01</v>
      </c>
      <c r="F127" s="1">
        <v>0.99310399999999999</v>
      </c>
      <c r="G127" t="s">
        <v>215</v>
      </c>
      <c r="H127" t="s">
        <v>216</v>
      </c>
      <c r="I127" t="s">
        <v>4281</v>
      </c>
      <c r="J127" t="str">
        <f>"Partitioning defective 3 homolog"</f>
        <v>Partitioning defective 3 homolog</v>
      </c>
      <c r="K127" t="str">
        <f>"PARD3"</f>
        <v>PARD3</v>
      </c>
    </row>
    <row r="128" spans="1:11" x14ac:dyDescent="0.25">
      <c r="A128" s="1">
        <v>1721</v>
      </c>
      <c r="B128" s="1">
        <v>3</v>
      </c>
      <c r="C128" s="1" t="s">
        <v>3</v>
      </c>
      <c r="D128" s="1">
        <v>5</v>
      </c>
      <c r="E128" s="1">
        <v>152.94999999999999</v>
      </c>
      <c r="F128" s="1">
        <v>0.99999400000000005</v>
      </c>
      <c r="G128" t="s">
        <v>217</v>
      </c>
      <c r="H128" t="s">
        <v>218</v>
      </c>
      <c r="I128" t="s">
        <v>4282</v>
      </c>
      <c r="J128" t="str">
        <f>"Heterogeneous nuclear ribonucleoprotein A1;Heterogeneous nuclear ribonucleoprotein A1, N-terminally processed;Heterogeneous nuclear ribonucleoprotein A1-like 2"</f>
        <v>Heterogeneous nuclear ribonucleoprotein A1;Heterogeneous nuclear ribonucleoprotein A1, N-terminally processed;Heterogeneous nuclear ribonucleoprotein A1-like 2</v>
      </c>
      <c r="K128" t="str">
        <f>"HNRNPA1;HNRNPA1L2"</f>
        <v>HNRNPA1;HNRNPA1L2</v>
      </c>
    </row>
    <row r="129" spans="1:11" x14ac:dyDescent="0.25">
      <c r="A129" s="1">
        <v>1379</v>
      </c>
      <c r="B129" s="1">
        <v>3</v>
      </c>
      <c r="C129" s="1" t="s">
        <v>3</v>
      </c>
      <c r="D129" s="1">
        <v>7</v>
      </c>
      <c r="E129" s="1">
        <v>132.5</v>
      </c>
      <c r="F129" s="1">
        <v>0.99993399999999999</v>
      </c>
      <c r="G129" t="s">
        <v>219</v>
      </c>
      <c r="H129" t="s">
        <v>220</v>
      </c>
      <c r="I129" t="s">
        <v>4283</v>
      </c>
      <c r="J129" t="str">
        <f>"Tyrosine-protein kinase Yes;Tyrosine-protein kinase Fyn"</f>
        <v>Tyrosine-protein kinase Yes;Tyrosine-protein kinase Fyn</v>
      </c>
      <c r="K129" t="str">
        <f>"YES1;FYN"</f>
        <v>YES1;FYN</v>
      </c>
    </row>
    <row r="130" spans="1:11" x14ac:dyDescent="0.25">
      <c r="A130" s="1">
        <v>2445</v>
      </c>
      <c r="B130" s="1">
        <v>4</v>
      </c>
      <c r="C130" s="1" t="s">
        <v>3</v>
      </c>
      <c r="D130" s="1">
        <v>9</v>
      </c>
      <c r="E130" s="1">
        <v>103.75</v>
      </c>
      <c r="F130" s="1">
        <v>1</v>
      </c>
      <c r="G130" t="s">
        <v>221</v>
      </c>
      <c r="H130" t="s">
        <v>222</v>
      </c>
      <c r="I130" t="s">
        <v>4284</v>
      </c>
      <c r="J130" t="str">
        <f>"Ras and Rab interactor 1"</f>
        <v>Ras and Rab interactor 1</v>
      </c>
      <c r="K130" t="str">
        <f>"RIN1"</f>
        <v>RIN1</v>
      </c>
    </row>
    <row r="131" spans="1:11" x14ac:dyDescent="0.25">
      <c r="A131" s="1">
        <v>2477</v>
      </c>
      <c r="B131" s="1">
        <v>3</v>
      </c>
      <c r="C131" s="1" t="s">
        <v>3</v>
      </c>
      <c r="D131" s="1">
        <v>8</v>
      </c>
      <c r="E131" s="1">
        <v>117.2</v>
      </c>
      <c r="F131" s="1">
        <v>0.99646599999999996</v>
      </c>
      <c r="G131" t="s">
        <v>223</v>
      </c>
      <c r="H131" t="s">
        <v>224</v>
      </c>
      <c r="I131" t="s">
        <v>4285</v>
      </c>
      <c r="J131" t="str">
        <f>"Protein-tyrosine kinase 2-beta"</f>
        <v>Protein-tyrosine kinase 2-beta</v>
      </c>
      <c r="K131" t="str">
        <f>"PTK2B"</f>
        <v>PTK2B</v>
      </c>
    </row>
    <row r="132" spans="1:11" x14ac:dyDescent="0.25">
      <c r="A132" s="1">
        <v>1976</v>
      </c>
      <c r="B132" s="1">
        <v>4</v>
      </c>
      <c r="C132" s="1" t="s">
        <v>3</v>
      </c>
      <c r="D132" s="1">
        <v>5</v>
      </c>
      <c r="E132" s="1">
        <v>106.42</v>
      </c>
      <c r="F132" s="1">
        <v>0.998552</v>
      </c>
      <c r="G132" t="s">
        <v>225</v>
      </c>
      <c r="H132" t="s">
        <v>226</v>
      </c>
      <c r="I132">
        <v>76</v>
      </c>
      <c r="J132" t="str">
        <f>"High affinity immunoglobulin epsilon receptor subunit gamma"</f>
        <v>High affinity immunoglobulin epsilon receptor subunit gamma</v>
      </c>
      <c r="K132" t="str">
        <f>"FCER1G"</f>
        <v>FCER1G</v>
      </c>
    </row>
    <row r="133" spans="1:11" x14ac:dyDescent="0.25">
      <c r="A133" s="1">
        <v>2864</v>
      </c>
      <c r="B133" s="1">
        <v>3</v>
      </c>
      <c r="C133" s="1" t="s">
        <v>3</v>
      </c>
      <c r="D133" s="1">
        <v>14</v>
      </c>
      <c r="E133" s="1">
        <v>101.66</v>
      </c>
      <c r="F133" s="1">
        <v>1</v>
      </c>
      <c r="G133" t="s">
        <v>227</v>
      </c>
      <c r="H133" t="s">
        <v>228</v>
      </c>
      <c r="I133" t="s">
        <v>4286</v>
      </c>
      <c r="J133" t="str">
        <f>"Discoidin, CUB and LCCL domain-containing protein 2"</f>
        <v>Discoidin, CUB and LCCL domain-containing protein 2</v>
      </c>
      <c r="K133" t="str">
        <f>"DCBLD2"</f>
        <v>DCBLD2</v>
      </c>
    </row>
    <row r="134" spans="1:11" x14ac:dyDescent="0.25">
      <c r="A134" s="1">
        <v>1421</v>
      </c>
      <c r="B134" s="1">
        <v>3</v>
      </c>
      <c r="C134" s="1" t="s">
        <v>3</v>
      </c>
      <c r="D134" s="1">
        <v>8</v>
      </c>
      <c r="E134" s="1">
        <v>159.52000000000001</v>
      </c>
      <c r="F134" s="1">
        <v>1</v>
      </c>
      <c r="G134" t="s">
        <v>229</v>
      </c>
      <c r="H134" t="s">
        <v>230</v>
      </c>
      <c r="I134" t="s">
        <v>4287</v>
      </c>
      <c r="J134" t="str">
        <f>"Phosphatidylinositol 3-kinase regulatory subunit beta"</f>
        <v>Phosphatidylinositol 3-kinase regulatory subunit beta</v>
      </c>
      <c r="K134" t="str">
        <f>"PIK3R2"</f>
        <v>PIK3R2</v>
      </c>
    </row>
    <row r="135" spans="1:11" x14ac:dyDescent="0.25">
      <c r="A135" s="1">
        <v>3028</v>
      </c>
      <c r="B135" s="1">
        <v>4</v>
      </c>
      <c r="C135" s="1" t="s">
        <v>3</v>
      </c>
      <c r="D135" s="1">
        <v>17</v>
      </c>
      <c r="E135" s="1">
        <v>162.47</v>
      </c>
      <c r="F135" s="1">
        <v>0.95579400000000003</v>
      </c>
      <c r="G135" t="s">
        <v>231</v>
      </c>
      <c r="H135" t="s">
        <v>232</v>
      </c>
      <c r="I135">
        <v>317</v>
      </c>
      <c r="J135" t="str">
        <f>"Phosphoprotein associated with glycosphingolipid-enriched microdomains 1"</f>
        <v>Phosphoprotein associated with glycosphingolipid-enriched microdomains 1</v>
      </c>
      <c r="K135" t="str">
        <f>"PAG1"</f>
        <v>PAG1</v>
      </c>
    </row>
    <row r="136" spans="1:11" x14ac:dyDescent="0.25">
      <c r="A136" s="1">
        <v>1658</v>
      </c>
      <c r="B136" s="1">
        <v>3</v>
      </c>
      <c r="C136" s="1" t="s">
        <v>3</v>
      </c>
      <c r="D136" s="1">
        <v>5</v>
      </c>
      <c r="E136" s="1">
        <v>149.58000000000001</v>
      </c>
      <c r="F136" s="1">
        <v>0.99999800000000005</v>
      </c>
      <c r="G136" t="s">
        <v>233</v>
      </c>
      <c r="H136" t="s">
        <v>234</v>
      </c>
      <c r="I136" t="s">
        <v>4288</v>
      </c>
      <c r="J136" t="str">
        <f>"Annexin A2;Putative annexin A2-like protein"</f>
        <v>Annexin A2;Putative annexin A2-like protein</v>
      </c>
      <c r="K136" t="str">
        <f>"ANXA2;ANXA2P2"</f>
        <v>ANXA2;ANXA2P2</v>
      </c>
    </row>
    <row r="137" spans="1:11" x14ac:dyDescent="0.25">
      <c r="A137" s="1">
        <v>1657</v>
      </c>
      <c r="B137" s="1">
        <v>2</v>
      </c>
      <c r="C137" s="1" t="s">
        <v>3</v>
      </c>
      <c r="D137" s="1">
        <v>5</v>
      </c>
      <c r="E137" s="1">
        <v>150.46</v>
      </c>
      <c r="F137" s="1">
        <v>0.99986200000000003</v>
      </c>
      <c r="G137" t="s">
        <v>235</v>
      </c>
      <c r="H137" t="s">
        <v>234</v>
      </c>
      <c r="I137" t="s">
        <v>4289</v>
      </c>
      <c r="J137" t="str">
        <f>"Annexin A2;Putative annexin A2-like protein"</f>
        <v>Annexin A2;Putative annexin A2-like protein</v>
      </c>
      <c r="K137" t="str">
        <f>"ANXA2;ANXA2P2"</f>
        <v>ANXA2;ANXA2P2</v>
      </c>
    </row>
    <row r="138" spans="1:11" x14ac:dyDescent="0.25">
      <c r="A138" s="1">
        <v>2067</v>
      </c>
      <c r="B138" s="1">
        <v>3</v>
      </c>
      <c r="C138" s="1" t="s">
        <v>3</v>
      </c>
      <c r="D138" s="1">
        <v>10</v>
      </c>
      <c r="E138" s="1">
        <v>213.39</v>
      </c>
      <c r="F138" s="1">
        <v>0.99999700000000002</v>
      </c>
      <c r="G138" t="s">
        <v>236</v>
      </c>
      <c r="H138" t="s">
        <v>237</v>
      </c>
      <c r="I138" t="s">
        <v>4290</v>
      </c>
      <c r="J138" t="str">
        <f>"Tyrosine-protein kinase SYK"</f>
        <v>Tyrosine-protein kinase SYK</v>
      </c>
      <c r="K138" t="str">
        <f>"SYK"</f>
        <v>SYK</v>
      </c>
    </row>
    <row r="139" spans="1:11" x14ac:dyDescent="0.25">
      <c r="A139" s="1">
        <v>942</v>
      </c>
      <c r="B139" s="1">
        <v>4</v>
      </c>
      <c r="C139" s="1" t="s">
        <v>3</v>
      </c>
      <c r="D139" s="1">
        <v>20</v>
      </c>
      <c r="E139" s="1">
        <v>159.46</v>
      </c>
      <c r="F139" s="1">
        <v>0.93983000000000005</v>
      </c>
      <c r="G139" t="s">
        <v>238</v>
      </c>
      <c r="H139" t="s">
        <v>239</v>
      </c>
      <c r="I139" t="s">
        <v>4291</v>
      </c>
      <c r="J139" t="str">
        <f>"Enoyl-CoA delta isomerase 2, mitochondrial"</f>
        <v>Enoyl-CoA delta isomerase 2, mitochondrial</v>
      </c>
      <c r="K139" t="str">
        <f>"ECI2"</f>
        <v>ECI2</v>
      </c>
    </row>
    <row r="140" spans="1:11" x14ac:dyDescent="0.25">
      <c r="A140" s="1">
        <v>2812</v>
      </c>
      <c r="B140" s="1">
        <v>4</v>
      </c>
      <c r="C140" s="1" t="s">
        <v>3</v>
      </c>
      <c r="D140" s="1">
        <v>24</v>
      </c>
      <c r="E140" s="1">
        <v>48.890999999999998</v>
      </c>
      <c r="F140" s="1">
        <v>0.85265899999999994</v>
      </c>
      <c r="G140" t="s">
        <v>240</v>
      </c>
      <c r="H140" t="s">
        <v>165</v>
      </c>
      <c r="I140" t="s">
        <v>4292</v>
      </c>
      <c r="J140" t="str">
        <f>"Phosphatidylinositol 3,4,5-trisphosphate 5-phosphatase 1"</f>
        <v>Phosphatidylinositol 3,4,5-trisphosphate 5-phosphatase 1</v>
      </c>
      <c r="K140" t="str">
        <f>"INPP5D"</f>
        <v>INPP5D</v>
      </c>
    </row>
    <row r="141" spans="1:11" x14ac:dyDescent="0.25">
      <c r="A141" s="1">
        <v>1014</v>
      </c>
      <c r="B141" s="1">
        <v>3</v>
      </c>
      <c r="C141" s="1" t="s">
        <v>3</v>
      </c>
      <c r="D141" s="1">
        <v>1</v>
      </c>
      <c r="E141" s="1">
        <v>138.41999999999999</v>
      </c>
      <c r="F141" s="1">
        <v>1</v>
      </c>
      <c r="G141" t="s">
        <v>86</v>
      </c>
      <c r="H141" t="s">
        <v>87</v>
      </c>
      <c r="I141" t="s">
        <v>4293</v>
      </c>
      <c r="J141" t="str">
        <f>"Pituitary tumor-transforming gene 1 protein-interacting protein"</f>
        <v>Pituitary tumor-transforming gene 1 protein-interacting protein</v>
      </c>
      <c r="K141" t="str">
        <f>"PTTG1IP"</f>
        <v>PTTG1IP</v>
      </c>
    </row>
    <row r="142" spans="1:11" x14ac:dyDescent="0.25">
      <c r="A142" s="1">
        <v>985</v>
      </c>
      <c r="B142" s="1">
        <v>2</v>
      </c>
      <c r="C142" s="1" t="s">
        <v>3</v>
      </c>
      <c r="D142" s="1">
        <v>11</v>
      </c>
      <c r="E142" s="1">
        <v>132.79</v>
      </c>
      <c r="F142" s="1">
        <v>0.99666200000000005</v>
      </c>
      <c r="G142" t="s">
        <v>241</v>
      </c>
      <c r="H142" t="s">
        <v>242</v>
      </c>
      <c r="I142" t="s">
        <v>4294</v>
      </c>
      <c r="J142" t="str">
        <f>"Mitogen-activated protein kinase 10;Mitogen-activated protein kinase 8"</f>
        <v>Mitogen-activated protein kinase 10;Mitogen-activated protein kinase 8</v>
      </c>
      <c r="K142" t="str">
        <f>"MAPK8;MAPK10"</f>
        <v>MAPK8;MAPK10</v>
      </c>
    </row>
    <row r="143" spans="1:11" x14ac:dyDescent="0.25">
      <c r="A143" s="1">
        <v>1042</v>
      </c>
      <c r="B143" s="1">
        <v>2</v>
      </c>
      <c r="C143" s="1" t="s">
        <v>3</v>
      </c>
      <c r="D143" s="1">
        <v>9</v>
      </c>
      <c r="E143" s="1">
        <v>227.57</v>
      </c>
      <c r="F143" s="1">
        <v>1</v>
      </c>
      <c r="G143" t="s">
        <v>243</v>
      </c>
      <c r="H143" t="s">
        <v>244</v>
      </c>
      <c r="I143" t="s">
        <v>4295</v>
      </c>
      <c r="J143" t="str">
        <f>"Myosin-11"</f>
        <v>Myosin-11</v>
      </c>
      <c r="K143" t="str">
        <f>"MYH11"</f>
        <v>MYH11</v>
      </c>
    </row>
    <row r="144" spans="1:11" x14ac:dyDescent="0.25">
      <c r="A144" s="1">
        <v>1414</v>
      </c>
      <c r="B144" s="1">
        <v>2</v>
      </c>
      <c r="C144" s="1" t="s">
        <v>3</v>
      </c>
      <c r="D144" s="1">
        <v>8</v>
      </c>
      <c r="E144" s="1">
        <v>110.92</v>
      </c>
      <c r="F144" s="1">
        <v>1</v>
      </c>
      <c r="G144" t="s">
        <v>245</v>
      </c>
      <c r="H144" t="s">
        <v>246</v>
      </c>
      <c r="I144">
        <v>113</v>
      </c>
      <c r="J144" t="str">
        <f>"Membrane-associated progesterone receptor component 1"</f>
        <v>Membrane-associated progesterone receptor component 1</v>
      </c>
      <c r="K144" t="str">
        <f>"PGRMC1"</f>
        <v>PGRMC1</v>
      </c>
    </row>
    <row r="145" spans="1:11" x14ac:dyDescent="0.25">
      <c r="A145" s="1">
        <v>2418</v>
      </c>
      <c r="B145" s="1">
        <v>2</v>
      </c>
      <c r="C145" s="1" t="s">
        <v>3</v>
      </c>
      <c r="D145" s="1">
        <v>5</v>
      </c>
      <c r="E145" s="1">
        <v>160.78</v>
      </c>
      <c r="F145" s="1">
        <v>1</v>
      </c>
      <c r="G145" t="s">
        <v>247</v>
      </c>
      <c r="H145" t="s">
        <v>248</v>
      </c>
      <c r="I145" t="s">
        <v>4296</v>
      </c>
      <c r="J145" t="str">
        <f>"Signaling lymphocytic activation molecule"</f>
        <v>Signaling lymphocytic activation molecule</v>
      </c>
      <c r="K145" t="str">
        <f>"SLAMF1"</f>
        <v>SLAMF1</v>
      </c>
    </row>
    <row r="146" spans="1:11" x14ac:dyDescent="0.25">
      <c r="A146" s="1">
        <v>785</v>
      </c>
      <c r="B146" s="1">
        <v>3</v>
      </c>
      <c r="C146" s="1" t="s">
        <v>3</v>
      </c>
      <c r="D146" s="1">
        <v>8</v>
      </c>
      <c r="E146" s="1">
        <v>66.004000000000005</v>
      </c>
      <c r="F146" s="1">
        <v>1</v>
      </c>
      <c r="G146" t="s">
        <v>249</v>
      </c>
      <c r="H146" t="s">
        <v>250</v>
      </c>
      <c r="I146" t="s">
        <v>4297</v>
      </c>
      <c r="J146" t="str">
        <f>"Intersectin-2"</f>
        <v>Intersectin-2</v>
      </c>
      <c r="K146" t="str">
        <f>"ITSN2"</f>
        <v>ITSN2</v>
      </c>
    </row>
    <row r="147" spans="1:11" x14ac:dyDescent="0.25">
      <c r="A147" s="1">
        <v>689</v>
      </c>
      <c r="B147" s="1">
        <v>2</v>
      </c>
      <c r="C147" s="1" t="s">
        <v>4</v>
      </c>
      <c r="D147" s="1">
        <v>11</v>
      </c>
      <c r="E147" s="1">
        <v>71.176000000000002</v>
      </c>
      <c r="F147" s="1">
        <v>0.99551599999999996</v>
      </c>
      <c r="G147" t="s">
        <v>251</v>
      </c>
      <c r="H147" t="s">
        <v>252</v>
      </c>
      <c r="I147" t="s">
        <v>4298</v>
      </c>
      <c r="J147" t="str">
        <f>"Zinc finger protein 618"</f>
        <v>Zinc finger protein 618</v>
      </c>
      <c r="K147" t="str">
        <f>"ZNF618"</f>
        <v>ZNF618</v>
      </c>
    </row>
    <row r="148" spans="1:11" x14ac:dyDescent="0.25">
      <c r="A148" s="1">
        <v>1026</v>
      </c>
      <c r="B148" s="1">
        <v>2</v>
      </c>
      <c r="C148" s="1" t="s">
        <v>3</v>
      </c>
      <c r="D148" s="1">
        <v>3</v>
      </c>
      <c r="E148" s="1">
        <v>136.33000000000001</v>
      </c>
      <c r="F148" s="1">
        <v>0.99968299999999999</v>
      </c>
      <c r="G148" t="s">
        <v>253</v>
      </c>
      <c r="H148" t="s">
        <v>95</v>
      </c>
      <c r="I148">
        <v>53</v>
      </c>
      <c r="J148" t="str">
        <f>""</f>
        <v/>
      </c>
      <c r="K148" t="str">
        <f>"VIM"</f>
        <v>VIM</v>
      </c>
    </row>
    <row r="149" spans="1:11" x14ac:dyDescent="0.25">
      <c r="A149" s="1">
        <v>2223</v>
      </c>
      <c r="B149" s="1">
        <v>3</v>
      </c>
      <c r="C149" s="1" t="s">
        <v>3</v>
      </c>
      <c r="D149" s="1">
        <v>4</v>
      </c>
      <c r="E149" s="1">
        <v>146.76</v>
      </c>
      <c r="F149" s="1">
        <v>0.997143</v>
      </c>
      <c r="G149" t="s">
        <v>254</v>
      </c>
      <c r="H149" t="s">
        <v>169</v>
      </c>
      <c r="I149" t="s">
        <v>4299</v>
      </c>
      <c r="J149" t="str">
        <f>"Actin, cytoplasmic 1;Actin, cytoplasmic 1, N-terminally processed;Actin, cytoplasmic 2;Actin, cytoplasmic 2, N-terminally processed"</f>
        <v>Actin, cytoplasmic 1;Actin, cytoplasmic 1, N-terminally processed;Actin, cytoplasmic 2;Actin, cytoplasmic 2, N-terminally processed</v>
      </c>
      <c r="K149" t="str">
        <f>"ACTB;ACTG1"</f>
        <v>ACTB;ACTG1</v>
      </c>
    </row>
    <row r="150" spans="1:11" x14ac:dyDescent="0.25">
      <c r="A150" s="1">
        <v>791</v>
      </c>
      <c r="B150" s="1">
        <v>3</v>
      </c>
      <c r="C150" s="1" t="s">
        <v>3</v>
      </c>
      <c r="D150" s="1">
        <v>9</v>
      </c>
      <c r="E150" s="1">
        <v>155.66</v>
      </c>
      <c r="F150" s="1">
        <v>1</v>
      </c>
      <c r="G150" t="s">
        <v>255</v>
      </c>
      <c r="H150" t="s">
        <v>256</v>
      </c>
      <c r="I150" t="s">
        <v>4300</v>
      </c>
      <c r="J150" t="str">
        <f>"Clathrin heavy chain 1"</f>
        <v>Clathrin heavy chain 1</v>
      </c>
      <c r="K150" t="str">
        <f>"CLTC"</f>
        <v>CLTC</v>
      </c>
    </row>
    <row r="151" spans="1:11" x14ac:dyDescent="0.25">
      <c r="A151" s="1">
        <v>2688</v>
      </c>
      <c r="B151" s="1">
        <v>3</v>
      </c>
      <c r="C151" s="1" t="s">
        <v>3</v>
      </c>
      <c r="D151" s="1">
        <v>9</v>
      </c>
      <c r="E151" s="1">
        <v>94.45</v>
      </c>
      <c r="F151" s="1">
        <v>0.99289099999999997</v>
      </c>
      <c r="G151" t="s">
        <v>257</v>
      </c>
      <c r="H151" t="s">
        <v>258</v>
      </c>
      <c r="I151">
        <v>413</v>
      </c>
      <c r="J151" t="str">
        <f>"Tyrosine-protein kinase SgK223"</f>
        <v>Tyrosine-protein kinase SgK223</v>
      </c>
      <c r="K151" t="str">
        <f>"SGK223"</f>
        <v>SGK223</v>
      </c>
    </row>
    <row r="152" spans="1:11" x14ac:dyDescent="0.25">
      <c r="A152" s="1">
        <v>354</v>
      </c>
      <c r="B152" s="1">
        <v>3</v>
      </c>
      <c r="C152" s="1" t="s">
        <v>5</v>
      </c>
      <c r="D152" s="1">
        <v>3</v>
      </c>
      <c r="E152" s="1">
        <v>255.56</v>
      </c>
      <c r="F152" s="1">
        <v>1</v>
      </c>
      <c r="G152" t="s">
        <v>259</v>
      </c>
      <c r="H152" t="s">
        <v>260</v>
      </c>
      <c r="I152" t="s">
        <v>4301</v>
      </c>
      <c r="J152" t="str">
        <f>"Tensin-3"</f>
        <v>Tensin-3</v>
      </c>
      <c r="K152" t="str">
        <f>"TNS3"</f>
        <v>TNS3</v>
      </c>
    </row>
    <row r="153" spans="1:11" x14ac:dyDescent="0.25">
      <c r="A153" s="1">
        <v>2626</v>
      </c>
      <c r="B153" s="1">
        <v>3</v>
      </c>
      <c r="C153" s="1" t="s">
        <v>3</v>
      </c>
      <c r="D153" s="1">
        <v>25</v>
      </c>
      <c r="E153" s="1">
        <v>255.56</v>
      </c>
      <c r="F153" s="1">
        <v>0.99988900000000003</v>
      </c>
      <c r="G153" t="s">
        <v>259</v>
      </c>
      <c r="H153" t="s">
        <v>260</v>
      </c>
      <c r="I153" t="s">
        <v>4302</v>
      </c>
      <c r="J153" t="str">
        <f>"Tensin-3"</f>
        <v>Tensin-3</v>
      </c>
      <c r="K153" t="str">
        <f>"TNS3"</f>
        <v>TNS3</v>
      </c>
    </row>
    <row r="154" spans="1:11" x14ac:dyDescent="0.25">
      <c r="A154" s="1">
        <v>2882</v>
      </c>
      <c r="B154" s="1">
        <v>3</v>
      </c>
      <c r="C154" s="1" t="s">
        <v>3</v>
      </c>
      <c r="D154" s="1">
        <v>9</v>
      </c>
      <c r="E154" s="1">
        <v>102.52</v>
      </c>
      <c r="F154" s="1">
        <v>0.99782599999999999</v>
      </c>
      <c r="G154" t="s">
        <v>261</v>
      </c>
      <c r="H154" t="s">
        <v>262</v>
      </c>
      <c r="I154" t="s">
        <v>4303</v>
      </c>
      <c r="J154" t="str">
        <f>"Protein LAP2"</f>
        <v>Protein LAP2</v>
      </c>
      <c r="K154" t="str">
        <f>"ERBB2IP"</f>
        <v>ERBB2IP</v>
      </c>
    </row>
    <row r="155" spans="1:11" x14ac:dyDescent="0.25">
      <c r="A155" s="1">
        <v>2465</v>
      </c>
      <c r="B155" s="1">
        <v>3</v>
      </c>
      <c r="C155" s="1" t="s">
        <v>3</v>
      </c>
      <c r="D155" s="1">
        <v>9</v>
      </c>
      <c r="E155" s="1">
        <v>174.29</v>
      </c>
      <c r="F155" s="1">
        <v>0.99999899999999997</v>
      </c>
      <c r="G155" t="s">
        <v>263</v>
      </c>
      <c r="H155" t="s">
        <v>264</v>
      </c>
      <c r="I155">
        <v>49</v>
      </c>
      <c r="J155" t="str">
        <f>"Peptidyl-tRNA hydrolase ICT1, mitochondrial"</f>
        <v>Peptidyl-tRNA hydrolase ICT1, mitochondrial</v>
      </c>
      <c r="K155" t="str">
        <f>"ICT1"</f>
        <v>ICT1</v>
      </c>
    </row>
    <row r="156" spans="1:11" x14ac:dyDescent="0.25">
      <c r="A156" s="1">
        <v>1838</v>
      </c>
      <c r="B156" s="1">
        <v>3</v>
      </c>
      <c r="C156" s="1" t="s">
        <v>3</v>
      </c>
      <c r="D156" s="1">
        <v>2</v>
      </c>
      <c r="E156" s="1">
        <v>250.19</v>
      </c>
      <c r="F156" s="1">
        <v>1</v>
      </c>
      <c r="G156" t="s">
        <v>265</v>
      </c>
      <c r="H156" t="s">
        <v>266</v>
      </c>
      <c r="I156" t="s">
        <v>4304</v>
      </c>
      <c r="J156" t="str">
        <f>"Phosphoglycerate mutase 1;Probable phosphoglycerate mutase 4;Phosphoglycerate mutase 2"</f>
        <v>Phosphoglycerate mutase 1;Probable phosphoglycerate mutase 4;Phosphoglycerate mutase 2</v>
      </c>
      <c r="K156" t="str">
        <f>"PGAM1;PGAM4;PGAM2"</f>
        <v>PGAM1;PGAM4;PGAM2</v>
      </c>
    </row>
    <row r="157" spans="1:11" x14ac:dyDescent="0.25">
      <c r="A157" s="1">
        <v>995</v>
      </c>
      <c r="B157" s="1">
        <v>3</v>
      </c>
      <c r="C157" s="1" t="s">
        <v>3</v>
      </c>
      <c r="D157" s="1">
        <v>5</v>
      </c>
      <c r="E157" s="1">
        <v>130.1</v>
      </c>
      <c r="F157" s="1">
        <v>1</v>
      </c>
      <c r="G157" t="s">
        <v>267</v>
      </c>
      <c r="H157" t="s">
        <v>268</v>
      </c>
      <c r="I157" t="s">
        <v>4305</v>
      </c>
      <c r="J157" t="str">
        <f>"Polypyrimidine tract-binding protein 1"</f>
        <v>Polypyrimidine tract-binding protein 1</v>
      </c>
      <c r="K157" t="str">
        <f>"PTBP1"</f>
        <v>PTBP1</v>
      </c>
    </row>
    <row r="158" spans="1:11" x14ac:dyDescent="0.25">
      <c r="A158" s="1">
        <v>1214</v>
      </c>
      <c r="B158" s="1">
        <v>2</v>
      </c>
      <c r="C158" s="1" t="s">
        <v>3</v>
      </c>
      <c r="D158" s="1">
        <v>7</v>
      </c>
      <c r="E158" s="1">
        <v>129.54</v>
      </c>
      <c r="F158" s="1">
        <v>0.99993399999999999</v>
      </c>
      <c r="G158" t="s">
        <v>269</v>
      </c>
      <c r="H158" t="s">
        <v>270</v>
      </c>
      <c r="I158" t="s">
        <v>4306</v>
      </c>
      <c r="J158" t="str">
        <f>"Tensin-1"</f>
        <v>Tensin-1</v>
      </c>
      <c r="K158" t="str">
        <f>"TNS1"</f>
        <v>TNS1</v>
      </c>
    </row>
    <row r="159" spans="1:11" x14ac:dyDescent="0.25">
      <c r="A159" s="1">
        <v>1156</v>
      </c>
      <c r="B159" s="1">
        <v>5</v>
      </c>
      <c r="C159" s="1" t="s">
        <v>3</v>
      </c>
      <c r="D159" s="1">
        <v>12</v>
      </c>
      <c r="E159" s="1">
        <v>51.469000000000001</v>
      </c>
      <c r="F159" s="1">
        <v>0.99973100000000004</v>
      </c>
      <c r="G159" t="s">
        <v>271</v>
      </c>
      <c r="H159" t="s">
        <v>272</v>
      </c>
      <c r="I159" t="s">
        <v>4307</v>
      </c>
      <c r="J159" t="str">
        <f>"Docking protein 3"</f>
        <v>Docking protein 3</v>
      </c>
      <c r="K159" t="str">
        <f>"DOK3"</f>
        <v>DOK3</v>
      </c>
    </row>
    <row r="160" spans="1:11" x14ac:dyDescent="0.25">
      <c r="A160" s="1">
        <v>2714</v>
      </c>
      <c r="B160" s="1">
        <v>2</v>
      </c>
      <c r="C160" s="1" t="s">
        <v>3</v>
      </c>
      <c r="D160" s="1">
        <v>2</v>
      </c>
      <c r="E160" s="1">
        <v>153.09</v>
      </c>
      <c r="F160" s="1">
        <v>1</v>
      </c>
      <c r="G160" t="s">
        <v>273</v>
      </c>
      <c r="H160" t="s">
        <v>274</v>
      </c>
      <c r="I160" t="s">
        <v>4308</v>
      </c>
      <c r="J160" t="str">
        <f>"MAGUK p55 subfamily member 5"</f>
        <v>MAGUK p55 subfamily member 5</v>
      </c>
      <c r="K160" t="str">
        <f>"MPP5"</f>
        <v>MPP5</v>
      </c>
    </row>
    <row r="161" spans="1:11" x14ac:dyDescent="0.25">
      <c r="A161" s="1">
        <v>2826</v>
      </c>
      <c r="B161" s="1">
        <v>5</v>
      </c>
      <c r="C161" s="1" t="s">
        <v>3</v>
      </c>
      <c r="D161" s="1">
        <v>13</v>
      </c>
      <c r="E161" s="1">
        <v>108.57</v>
      </c>
      <c r="F161" s="1">
        <v>0.99730600000000003</v>
      </c>
      <c r="G161" t="s">
        <v>275</v>
      </c>
      <c r="H161" t="s">
        <v>207</v>
      </c>
      <c r="I161">
        <v>78</v>
      </c>
      <c r="J161" t="str">
        <f>"Uncharacterized protein C11orf52"</f>
        <v>Uncharacterized protein C11orf52</v>
      </c>
      <c r="K161" t="str">
        <f>"C11orf52"</f>
        <v>C11orf52</v>
      </c>
    </row>
    <row r="162" spans="1:11" x14ac:dyDescent="0.25">
      <c r="A162" s="1">
        <v>2852</v>
      </c>
      <c r="B162" s="1">
        <v>3</v>
      </c>
      <c r="C162" s="1" t="s">
        <v>3</v>
      </c>
      <c r="D162" s="1">
        <v>1</v>
      </c>
      <c r="E162" s="1">
        <v>132.22999999999999</v>
      </c>
      <c r="F162" s="1">
        <v>0.99861200000000006</v>
      </c>
      <c r="G162" t="s">
        <v>276</v>
      </c>
      <c r="H162" t="s">
        <v>102</v>
      </c>
      <c r="I162" t="s">
        <v>4309</v>
      </c>
      <c r="J162" t="str">
        <f>"PDZ and LIM domain protein 5"</f>
        <v>PDZ and LIM domain protein 5</v>
      </c>
      <c r="K162" t="str">
        <f>"PDLIM5"</f>
        <v>PDLIM5</v>
      </c>
    </row>
    <row r="163" spans="1:11" x14ac:dyDescent="0.25">
      <c r="A163" s="1">
        <v>1722</v>
      </c>
      <c r="B163" s="1">
        <v>2</v>
      </c>
      <c r="C163" s="1" t="s">
        <v>3</v>
      </c>
      <c r="D163" s="1">
        <v>11</v>
      </c>
      <c r="E163" s="1">
        <v>196.8</v>
      </c>
      <c r="F163" s="1">
        <v>1</v>
      </c>
      <c r="G163" t="s">
        <v>277</v>
      </c>
      <c r="H163" t="s">
        <v>218</v>
      </c>
      <c r="I163" t="s">
        <v>4310</v>
      </c>
      <c r="J163" t="str">
        <f>"Heterogeneous nuclear ribonucleoprotein A1;Heterogeneous nuclear ribonucleoprotein A1, N-terminally processed;Heterogeneous nuclear ribonucleoprotein A1-like 2"</f>
        <v>Heterogeneous nuclear ribonucleoprotein A1;Heterogeneous nuclear ribonucleoprotein A1, N-terminally processed;Heterogeneous nuclear ribonucleoprotein A1-like 2</v>
      </c>
      <c r="K163" t="str">
        <f>"HNRNPA1;HNRNPA1L2"</f>
        <v>HNRNPA1;HNRNPA1L2</v>
      </c>
    </row>
    <row r="164" spans="1:11" x14ac:dyDescent="0.25">
      <c r="A164" s="1">
        <v>2679</v>
      </c>
      <c r="B164" s="1">
        <v>3</v>
      </c>
      <c r="C164" s="1" t="s">
        <v>3</v>
      </c>
      <c r="D164" s="1">
        <v>15</v>
      </c>
      <c r="E164" s="1">
        <v>119.27</v>
      </c>
      <c r="F164" s="1">
        <v>0.78120800000000001</v>
      </c>
      <c r="G164" t="s">
        <v>278</v>
      </c>
      <c r="H164" t="s">
        <v>279</v>
      </c>
      <c r="I164" t="s">
        <v>4311</v>
      </c>
      <c r="J164" t="str">
        <f>"Lipolysis-stimulated lipoprotein receptor"</f>
        <v>Lipolysis-stimulated lipoprotein receptor</v>
      </c>
      <c r="K164" t="str">
        <f>"LSR"</f>
        <v>LSR</v>
      </c>
    </row>
    <row r="165" spans="1:11" x14ac:dyDescent="0.25">
      <c r="A165" s="1">
        <v>915</v>
      </c>
      <c r="B165" s="1">
        <v>2</v>
      </c>
      <c r="C165" s="1" t="s">
        <v>3</v>
      </c>
      <c r="D165" s="1">
        <v>1</v>
      </c>
      <c r="E165" s="1">
        <v>47.302</v>
      </c>
      <c r="F165" s="1">
        <v>1</v>
      </c>
      <c r="G165" t="s">
        <v>280</v>
      </c>
      <c r="H165" t="s">
        <v>281</v>
      </c>
      <c r="I165" t="s">
        <v>4312</v>
      </c>
      <c r="J165" t="str">
        <f>"Serine incorporator 5"</f>
        <v>Serine incorporator 5</v>
      </c>
      <c r="K165" t="str">
        <f>"SERINC5"</f>
        <v>SERINC5</v>
      </c>
    </row>
    <row r="166" spans="1:11" x14ac:dyDescent="0.25">
      <c r="A166" s="1">
        <v>1069</v>
      </c>
      <c r="B166" s="1">
        <v>4</v>
      </c>
      <c r="C166" s="1" t="s">
        <v>3</v>
      </c>
      <c r="D166" s="1">
        <v>15</v>
      </c>
      <c r="E166" s="1">
        <v>114.71</v>
      </c>
      <c r="F166" s="1">
        <v>0.97948999999999997</v>
      </c>
      <c r="G166" t="s">
        <v>282</v>
      </c>
      <c r="H166" t="s">
        <v>283</v>
      </c>
      <c r="I166" t="s">
        <v>4313</v>
      </c>
      <c r="J166" t="str">
        <f>"Fragile X mental retardation syndrome-related protein 1"</f>
        <v>Fragile X mental retardation syndrome-related protein 1</v>
      </c>
      <c r="K166" t="str">
        <f>"FXR1"</f>
        <v>FXR1</v>
      </c>
    </row>
    <row r="167" spans="1:11" x14ac:dyDescent="0.25">
      <c r="A167" s="1">
        <v>1747</v>
      </c>
      <c r="B167" s="1">
        <v>2</v>
      </c>
      <c r="C167" s="1" t="s">
        <v>3</v>
      </c>
      <c r="D167" s="1">
        <v>5</v>
      </c>
      <c r="E167" s="1">
        <v>117.14</v>
      </c>
      <c r="F167" s="1">
        <v>0.99999300000000002</v>
      </c>
      <c r="G167" t="s">
        <v>284</v>
      </c>
      <c r="H167" t="s">
        <v>285</v>
      </c>
      <c r="I167" t="s">
        <v>4314</v>
      </c>
      <c r="J167" t="str">
        <f>"Glucose-6-phosphate 1-dehydrogenase"</f>
        <v>Glucose-6-phosphate 1-dehydrogenase</v>
      </c>
      <c r="K167" t="str">
        <f>"G6PD"</f>
        <v>G6PD</v>
      </c>
    </row>
    <row r="168" spans="1:11" x14ac:dyDescent="0.25">
      <c r="A168" s="1">
        <v>2731</v>
      </c>
      <c r="B168" s="1">
        <v>5</v>
      </c>
      <c r="C168" s="1" t="s">
        <v>3</v>
      </c>
      <c r="D168" s="1">
        <v>21</v>
      </c>
      <c r="E168" s="1">
        <v>96.123000000000005</v>
      </c>
      <c r="F168" s="1">
        <v>0.98368800000000001</v>
      </c>
      <c r="G168" t="s">
        <v>286</v>
      </c>
      <c r="H168" t="s">
        <v>287</v>
      </c>
      <c r="I168">
        <v>652</v>
      </c>
      <c r="J168" t="str">
        <f>"Discoidin, CUB and LCCL domain-containing protein 1"</f>
        <v>Discoidin, CUB and LCCL domain-containing protein 1</v>
      </c>
      <c r="K168" t="str">
        <f>"DCBLD1"</f>
        <v>DCBLD1</v>
      </c>
    </row>
    <row r="169" spans="1:11" x14ac:dyDescent="0.25">
      <c r="A169" s="1">
        <v>1949</v>
      </c>
      <c r="B169" s="1">
        <v>2</v>
      </c>
      <c r="C169" s="1" t="s">
        <v>3</v>
      </c>
      <c r="D169" s="1">
        <v>7</v>
      </c>
      <c r="E169" s="1">
        <v>129</v>
      </c>
      <c r="F169" s="1">
        <v>0.99924000000000002</v>
      </c>
      <c r="G169" t="s">
        <v>288</v>
      </c>
      <c r="H169" t="s">
        <v>47</v>
      </c>
      <c r="I169">
        <v>575</v>
      </c>
      <c r="J169" t="str">
        <f>"Ephrin type-A receptor 2"</f>
        <v>Ephrin type-A receptor 2</v>
      </c>
      <c r="K169" t="str">
        <f>"EPHA2"</f>
        <v>EPHA2</v>
      </c>
    </row>
    <row r="170" spans="1:11" x14ac:dyDescent="0.25">
      <c r="A170" s="1">
        <v>1027</v>
      </c>
      <c r="B170" s="1">
        <v>3</v>
      </c>
      <c r="C170" s="1" t="s">
        <v>3</v>
      </c>
      <c r="D170" s="1">
        <v>11</v>
      </c>
      <c r="E170" s="1">
        <v>43.69</v>
      </c>
      <c r="F170" s="1">
        <v>0.97403899999999999</v>
      </c>
      <c r="G170" t="s">
        <v>289</v>
      </c>
      <c r="H170" t="s">
        <v>95</v>
      </c>
      <c r="I170">
        <v>61</v>
      </c>
      <c r="J170" t="str">
        <f>""</f>
        <v/>
      </c>
      <c r="K170" t="str">
        <f>"VIM"</f>
        <v>VIM</v>
      </c>
    </row>
    <row r="171" spans="1:11" x14ac:dyDescent="0.25">
      <c r="A171" s="1">
        <v>2596</v>
      </c>
      <c r="B171" s="1">
        <v>3</v>
      </c>
      <c r="C171" s="1" t="s">
        <v>3</v>
      </c>
      <c r="D171" s="1">
        <v>5</v>
      </c>
      <c r="E171" s="1">
        <v>85.492999999999995</v>
      </c>
      <c r="F171" s="1">
        <v>0.99998200000000004</v>
      </c>
      <c r="G171" t="s">
        <v>290</v>
      </c>
      <c r="H171" t="s">
        <v>291</v>
      </c>
      <c r="I171" t="s">
        <v>4315</v>
      </c>
      <c r="J171" t="str">
        <f>"Sickle tail protein homolog"</f>
        <v>Sickle tail protein homolog</v>
      </c>
      <c r="K171" t="str">
        <f>"KIAA1217"</f>
        <v>KIAA1217</v>
      </c>
    </row>
    <row r="172" spans="1:11" x14ac:dyDescent="0.25">
      <c r="A172" s="1">
        <v>433</v>
      </c>
      <c r="B172" s="1">
        <v>3</v>
      </c>
      <c r="C172" s="1" t="s">
        <v>5</v>
      </c>
      <c r="D172" s="1">
        <v>3</v>
      </c>
      <c r="E172" s="1">
        <v>75.763999999999996</v>
      </c>
      <c r="F172" s="1">
        <v>1</v>
      </c>
      <c r="G172" t="s">
        <v>292</v>
      </c>
      <c r="H172" t="s">
        <v>293</v>
      </c>
      <c r="I172" t="s">
        <v>4316</v>
      </c>
      <c r="J172" t="str">
        <f>"Palmitoyltransferase ZDHHC5"</f>
        <v>Palmitoyltransferase ZDHHC5</v>
      </c>
      <c r="K172" t="str">
        <f>"ZDHHC5"</f>
        <v>ZDHHC5</v>
      </c>
    </row>
    <row r="173" spans="1:11" x14ac:dyDescent="0.25">
      <c r="A173" s="1">
        <v>2948</v>
      </c>
      <c r="B173" s="1">
        <v>3</v>
      </c>
      <c r="C173" s="1" t="s">
        <v>3</v>
      </c>
      <c r="D173" s="1">
        <v>7</v>
      </c>
      <c r="E173" s="1">
        <v>75.763999999999996</v>
      </c>
      <c r="F173" s="1">
        <v>0.99991699999999994</v>
      </c>
      <c r="G173" t="s">
        <v>292</v>
      </c>
      <c r="H173" t="s">
        <v>293</v>
      </c>
      <c r="I173" t="s">
        <v>4317</v>
      </c>
      <c r="J173" t="str">
        <f>"Palmitoyltransferase ZDHHC5"</f>
        <v>Palmitoyltransferase ZDHHC5</v>
      </c>
      <c r="K173" t="str">
        <f>"ZDHHC5"</f>
        <v>ZDHHC5</v>
      </c>
    </row>
    <row r="174" spans="1:11" x14ac:dyDescent="0.25">
      <c r="A174" s="1">
        <v>2132</v>
      </c>
      <c r="B174" s="1">
        <v>3</v>
      </c>
      <c r="C174" s="1" t="s">
        <v>3</v>
      </c>
      <c r="D174" s="1">
        <v>4</v>
      </c>
      <c r="E174" s="1">
        <v>131.32</v>
      </c>
      <c r="F174" s="1">
        <v>1</v>
      </c>
      <c r="G174" t="s">
        <v>294</v>
      </c>
      <c r="H174" t="s">
        <v>295</v>
      </c>
      <c r="I174" t="s">
        <v>4318</v>
      </c>
      <c r="J174" t="str">
        <f>"Vasodilator-stimulated phosphoprotein"</f>
        <v>Vasodilator-stimulated phosphoprotein</v>
      </c>
      <c r="K174" t="str">
        <f>"VASP"</f>
        <v>VASP</v>
      </c>
    </row>
    <row r="175" spans="1:11" x14ac:dyDescent="0.25">
      <c r="A175" s="1">
        <v>930</v>
      </c>
      <c r="B175" s="1">
        <v>4</v>
      </c>
      <c r="C175" s="1" t="s">
        <v>3</v>
      </c>
      <c r="D175" s="1">
        <v>5</v>
      </c>
      <c r="E175" s="1">
        <v>95.204999999999998</v>
      </c>
      <c r="F175" s="1">
        <v>1</v>
      </c>
      <c r="G175" t="s">
        <v>296</v>
      </c>
      <c r="H175" t="s">
        <v>297</v>
      </c>
      <c r="I175" t="s">
        <v>4319</v>
      </c>
      <c r="J175" t="str">
        <f>"Superoxide dismutase [Mn], mitochondrial"</f>
        <v>Superoxide dismutase [Mn], mitochondrial</v>
      </c>
      <c r="K175" t="str">
        <f>"SOD2"</f>
        <v>SOD2</v>
      </c>
    </row>
    <row r="176" spans="1:11" x14ac:dyDescent="0.25">
      <c r="A176" s="1">
        <v>2728</v>
      </c>
      <c r="B176" s="1">
        <v>4</v>
      </c>
      <c r="C176" s="1" t="s">
        <v>3</v>
      </c>
      <c r="D176" s="1">
        <v>10</v>
      </c>
      <c r="E176" s="1">
        <v>148.36000000000001</v>
      </c>
      <c r="F176" s="1">
        <v>0.99820900000000001</v>
      </c>
      <c r="G176" t="s">
        <v>298</v>
      </c>
      <c r="H176" t="s">
        <v>287</v>
      </c>
      <c r="I176">
        <v>621</v>
      </c>
      <c r="J176" t="str">
        <f>"Discoidin, CUB and LCCL domain-containing protein 1"</f>
        <v>Discoidin, CUB and LCCL domain-containing protein 1</v>
      </c>
      <c r="K176" t="str">
        <f>"DCBLD1"</f>
        <v>DCBLD1</v>
      </c>
    </row>
    <row r="177" spans="1:11" x14ac:dyDescent="0.25">
      <c r="A177" s="1">
        <v>1153</v>
      </c>
      <c r="B177" s="1">
        <v>2</v>
      </c>
      <c r="C177" s="1" t="s">
        <v>3</v>
      </c>
      <c r="D177" s="1">
        <v>4</v>
      </c>
      <c r="E177" s="1">
        <v>120.15</v>
      </c>
      <c r="F177" s="1">
        <v>0.99983100000000003</v>
      </c>
      <c r="G177" t="s">
        <v>299</v>
      </c>
      <c r="H177" t="s">
        <v>300</v>
      </c>
      <c r="I177" t="s">
        <v>4320</v>
      </c>
      <c r="J177" t="str">
        <f>""</f>
        <v/>
      </c>
      <c r="K177" t="str">
        <f>"LTF"</f>
        <v>LTF</v>
      </c>
    </row>
    <row r="178" spans="1:11" x14ac:dyDescent="0.25">
      <c r="A178" s="1">
        <v>1832</v>
      </c>
      <c r="B178" s="1">
        <v>3</v>
      </c>
      <c r="C178" s="1" t="s">
        <v>3</v>
      </c>
      <c r="D178" s="1">
        <v>6</v>
      </c>
      <c r="E178" s="1">
        <v>100.11</v>
      </c>
      <c r="F178" s="1">
        <v>1</v>
      </c>
      <c r="G178" t="s">
        <v>301</v>
      </c>
      <c r="H178" t="s">
        <v>151</v>
      </c>
      <c r="I178" t="s">
        <v>4321</v>
      </c>
      <c r="J178" t="str">
        <f>"Protein SON"</f>
        <v>Protein SON</v>
      </c>
      <c r="K178" t="str">
        <f>"SON"</f>
        <v>SON</v>
      </c>
    </row>
    <row r="179" spans="1:11" x14ac:dyDescent="0.25">
      <c r="A179" s="1">
        <v>1903</v>
      </c>
      <c r="B179" s="1">
        <v>4</v>
      </c>
      <c r="C179" s="1" t="s">
        <v>3</v>
      </c>
      <c r="D179" s="1">
        <v>13</v>
      </c>
      <c r="E179" s="1">
        <v>110.6</v>
      </c>
      <c r="F179" s="1">
        <v>1</v>
      </c>
      <c r="G179" t="s">
        <v>302</v>
      </c>
      <c r="H179" t="s">
        <v>303</v>
      </c>
      <c r="I179" t="s">
        <v>4322</v>
      </c>
      <c r="J179" t="str">
        <f>"Cofilin-1"</f>
        <v>Cofilin-1</v>
      </c>
      <c r="K179" t="str">
        <f>"CFL1"</f>
        <v>CFL1</v>
      </c>
    </row>
    <row r="180" spans="1:11" x14ac:dyDescent="0.25">
      <c r="A180" s="1">
        <v>2476</v>
      </c>
      <c r="B180" s="1">
        <v>3</v>
      </c>
      <c r="C180" s="1" t="s">
        <v>3</v>
      </c>
      <c r="D180" s="1">
        <v>7</v>
      </c>
      <c r="E180" s="1">
        <v>107.35</v>
      </c>
      <c r="F180" s="1">
        <v>0.99996499999999999</v>
      </c>
      <c r="G180" t="s">
        <v>304</v>
      </c>
      <c r="H180" t="s">
        <v>224</v>
      </c>
      <c r="I180" t="s">
        <v>4323</v>
      </c>
      <c r="J180" t="str">
        <f>"Protein-tyrosine kinase 2-beta"</f>
        <v>Protein-tyrosine kinase 2-beta</v>
      </c>
      <c r="K180" t="str">
        <f>"PTK2B"</f>
        <v>PTK2B</v>
      </c>
    </row>
    <row r="181" spans="1:11" x14ac:dyDescent="0.25">
      <c r="A181" s="1">
        <v>1638</v>
      </c>
      <c r="B181" s="1">
        <v>3</v>
      </c>
      <c r="C181" s="1" t="s">
        <v>3</v>
      </c>
      <c r="D181" s="1">
        <v>12</v>
      </c>
      <c r="E181" s="1">
        <v>124.84</v>
      </c>
      <c r="F181" s="1">
        <v>0.99999800000000005</v>
      </c>
      <c r="G181" t="s">
        <v>305</v>
      </c>
      <c r="H181" t="s">
        <v>306</v>
      </c>
      <c r="I181">
        <v>44</v>
      </c>
      <c r="J181" t="str">
        <f>"Alpha-enolase"</f>
        <v>Alpha-enolase</v>
      </c>
      <c r="K181" t="str">
        <f>"ENO1"</f>
        <v>ENO1</v>
      </c>
    </row>
    <row r="182" spans="1:11" x14ac:dyDescent="0.25">
      <c r="A182" s="1">
        <v>2847</v>
      </c>
      <c r="B182" s="1">
        <v>3</v>
      </c>
      <c r="C182" s="1" t="s">
        <v>3</v>
      </c>
      <c r="D182" s="1">
        <v>12</v>
      </c>
      <c r="E182" s="1">
        <v>97.69</v>
      </c>
      <c r="F182" s="1">
        <v>0.93065500000000001</v>
      </c>
      <c r="G182" t="s">
        <v>307</v>
      </c>
      <c r="H182" t="s">
        <v>308</v>
      </c>
      <c r="I182">
        <v>357</v>
      </c>
      <c r="J182" t="str">
        <f>"Protein LTV1 homolog"</f>
        <v>Protein LTV1 homolog</v>
      </c>
      <c r="K182" t="str">
        <f>"LTV1"</f>
        <v>LTV1</v>
      </c>
    </row>
    <row r="183" spans="1:11" x14ac:dyDescent="0.25">
      <c r="A183" s="1">
        <v>384</v>
      </c>
      <c r="B183" s="1">
        <v>4</v>
      </c>
      <c r="C183" s="1" t="s">
        <v>5</v>
      </c>
      <c r="D183" s="1">
        <v>3</v>
      </c>
      <c r="E183" s="1">
        <v>137.72999999999999</v>
      </c>
      <c r="F183" s="1">
        <v>0.99993799999999999</v>
      </c>
      <c r="G183" t="s">
        <v>309</v>
      </c>
      <c r="H183" t="s">
        <v>24</v>
      </c>
      <c r="I183">
        <v>301</v>
      </c>
      <c r="J183" t="str">
        <f>"Retinoic acid-induced protein 3"</f>
        <v>Retinoic acid-induced protein 3</v>
      </c>
      <c r="K183" t="str">
        <f>"GPRC5A"</f>
        <v>GPRC5A</v>
      </c>
    </row>
    <row r="184" spans="1:11" x14ac:dyDescent="0.25">
      <c r="A184" s="1">
        <v>917</v>
      </c>
      <c r="B184" s="1">
        <v>3</v>
      </c>
      <c r="C184" s="1" t="s">
        <v>3</v>
      </c>
      <c r="D184" s="1">
        <v>12</v>
      </c>
      <c r="E184" s="1">
        <v>114.63</v>
      </c>
      <c r="F184" s="1">
        <v>0.99628099999999997</v>
      </c>
      <c r="G184" t="s">
        <v>310</v>
      </c>
      <c r="H184" t="s">
        <v>311</v>
      </c>
      <c r="I184" t="s">
        <v>4324</v>
      </c>
      <c r="J184" t="str">
        <f>"Acyl-CoA-binding protein"</f>
        <v>Acyl-CoA-binding protein</v>
      </c>
      <c r="K184" t="str">
        <f>"DBI"</f>
        <v>DBI</v>
      </c>
    </row>
    <row r="185" spans="1:11" x14ac:dyDescent="0.25">
      <c r="A185" s="1">
        <v>2348</v>
      </c>
      <c r="B185" s="1">
        <v>2</v>
      </c>
      <c r="C185" s="1" t="s">
        <v>3</v>
      </c>
      <c r="D185" s="1">
        <v>2</v>
      </c>
      <c r="E185" s="1">
        <v>64.120999999999995</v>
      </c>
      <c r="F185" s="1">
        <v>1</v>
      </c>
      <c r="G185" t="s">
        <v>312</v>
      </c>
      <c r="H185" t="s">
        <v>313</v>
      </c>
      <c r="I185" t="s">
        <v>4325</v>
      </c>
      <c r="J185" t="str">
        <f>"Tyrosine-protein phosphatase non-receptor type 11"</f>
        <v>Tyrosine-protein phosphatase non-receptor type 11</v>
      </c>
      <c r="K185" t="str">
        <f>"PTPN11"</f>
        <v>PTPN11</v>
      </c>
    </row>
    <row r="186" spans="1:11" x14ac:dyDescent="0.25">
      <c r="A186" s="1">
        <v>498</v>
      </c>
      <c r="B186" s="1">
        <v>4</v>
      </c>
      <c r="C186" s="1" t="s">
        <v>4</v>
      </c>
      <c r="D186" s="1">
        <v>6</v>
      </c>
      <c r="E186" s="1">
        <v>66.016999999999996</v>
      </c>
      <c r="F186" s="1">
        <v>0.59702900000000003</v>
      </c>
      <c r="G186" t="s">
        <v>314</v>
      </c>
      <c r="H186" t="s">
        <v>116</v>
      </c>
      <c r="I186" t="s">
        <v>4326</v>
      </c>
      <c r="J186" t="str">
        <f>"Abl interactor 1"</f>
        <v>Abl interactor 1</v>
      </c>
      <c r="K186" t="str">
        <f>"ABI1"</f>
        <v>ABI1</v>
      </c>
    </row>
    <row r="187" spans="1:11" x14ac:dyDescent="0.25">
      <c r="A187" s="1">
        <v>1561</v>
      </c>
      <c r="B187" s="1">
        <v>3</v>
      </c>
      <c r="C187" s="1" t="s">
        <v>3</v>
      </c>
      <c r="D187" s="1">
        <v>8</v>
      </c>
      <c r="E187" s="1">
        <v>276.12</v>
      </c>
      <c r="F187" s="1">
        <v>1</v>
      </c>
      <c r="G187" t="s">
        <v>315</v>
      </c>
      <c r="H187" t="s">
        <v>316</v>
      </c>
      <c r="I187" t="s">
        <v>4327</v>
      </c>
      <c r="J187" t="str">
        <f>"Glutaminase kidney isoform, mitochondrial"</f>
        <v>Glutaminase kidney isoform, mitochondrial</v>
      </c>
      <c r="K187" t="str">
        <f>"GLS"</f>
        <v>GLS</v>
      </c>
    </row>
    <row r="188" spans="1:11" x14ac:dyDescent="0.25">
      <c r="A188" s="1">
        <v>1220</v>
      </c>
      <c r="B188" s="1">
        <v>4</v>
      </c>
      <c r="C188" s="1" t="s">
        <v>3</v>
      </c>
      <c r="D188" s="1">
        <v>20</v>
      </c>
      <c r="E188" s="1">
        <v>193.97</v>
      </c>
      <c r="F188" s="1">
        <v>0.78263799999999994</v>
      </c>
      <c r="G188" t="s">
        <v>317</v>
      </c>
      <c r="H188" t="s">
        <v>270</v>
      </c>
      <c r="I188" t="s">
        <v>4328</v>
      </c>
      <c r="J188" t="str">
        <f>"Tensin-1"</f>
        <v>Tensin-1</v>
      </c>
      <c r="K188" t="str">
        <f>"TNS1"</f>
        <v>TNS1</v>
      </c>
    </row>
    <row r="189" spans="1:11" x14ac:dyDescent="0.25">
      <c r="A189" s="1">
        <v>1724</v>
      </c>
      <c r="B189" s="1">
        <v>3</v>
      </c>
      <c r="C189" s="1" t="s">
        <v>3</v>
      </c>
      <c r="D189" s="1">
        <v>7</v>
      </c>
      <c r="E189" s="1">
        <v>68.168000000000006</v>
      </c>
      <c r="F189" s="1">
        <v>0.99990900000000005</v>
      </c>
      <c r="G189" t="s">
        <v>318</v>
      </c>
      <c r="H189" t="s">
        <v>319</v>
      </c>
      <c r="I189">
        <v>208</v>
      </c>
      <c r="J189" t="str">
        <f>"Tyrosine-protein kinase Fgr"</f>
        <v>Tyrosine-protein kinase Fgr</v>
      </c>
      <c r="K189" t="str">
        <f>"FGR"</f>
        <v>FGR</v>
      </c>
    </row>
    <row r="190" spans="1:11" x14ac:dyDescent="0.25">
      <c r="A190" s="1">
        <v>609</v>
      </c>
      <c r="B190" s="1">
        <v>4</v>
      </c>
      <c r="C190" s="1" t="s">
        <v>4</v>
      </c>
      <c r="D190" s="1">
        <v>15</v>
      </c>
      <c r="E190" s="1">
        <v>105.32</v>
      </c>
      <c r="F190" s="1">
        <v>0.63055300000000003</v>
      </c>
      <c r="G190" t="s">
        <v>320</v>
      </c>
      <c r="H190" t="s">
        <v>47</v>
      </c>
      <c r="I190">
        <v>593</v>
      </c>
      <c r="J190" t="str">
        <f>"Ephrin type-A receptor 2"</f>
        <v>Ephrin type-A receptor 2</v>
      </c>
      <c r="K190" t="str">
        <f>"EPHA2"</f>
        <v>EPHA2</v>
      </c>
    </row>
    <row r="191" spans="1:11" x14ac:dyDescent="0.25">
      <c r="A191" s="1">
        <v>938</v>
      </c>
      <c r="B191" s="1">
        <v>3</v>
      </c>
      <c r="C191" s="1" t="s">
        <v>3</v>
      </c>
      <c r="D191" s="1">
        <v>11</v>
      </c>
      <c r="E191" s="1">
        <v>193.81</v>
      </c>
      <c r="F191" s="1">
        <v>0.99910299999999996</v>
      </c>
      <c r="G191" t="s">
        <v>321</v>
      </c>
      <c r="H191" t="s">
        <v>322</v>
      </c>
      <c r="I191" t="s">
        <v>4329</v>
      </c>
      <c r="J191" t="str">
        <f>"40S ribosomal protein SA"</f>
        <v>40S ribosomal protein SA</v>
      </c>
      <c r="K191" t="str">
        <f>"RPSA;RPSAP58"</f>
        <v>RPSA;RPSAP58</v>
      </c>
    </row>
    <row r="192" spans="1:11" x14ac:dyDescent="0.25">
      <c r="A192" s="1">
        <v>2589</v>
      </c>
      <c r="B192" s="1">
        <v>4</v>
      </c>
      <c r="C192" s="1" t="s">
        <v>3</v>
      </c>
      <c r="D192" s="1">
        <v>14</v>
      </c>
      <c r="E192" s="1">
        <v>130.36000000000001</v>
      </c>
      <c r="F192" s="1">
        <v>0.999726</v>
      </c>
      <c r="G192" t="s">
        <v>323</v>
      </c>
      <c r="H192" t="s">
        <v>324</v>
      </c>
      <c r="I192" t="s">
        <v>4330</v>
      </c>
      <c r="J192" t="str">
        <f>"Heterochromatin protein 1-binding protein 3"</f>
        <v>Heterochromatin protein 1-binding protein 3</v>
      </c>
      <c r="K192" t="str">
        <f>"HP1BP3"</f>
        <v>HP1BP3</v>
      </c>
    </row>
    <row r="193" spans="1:11" x14ac:dyDescent="0.25">
      <c r="A193" s="1">
        <v>1075</v>
      </c>
      <c r="B193" s="1">
        <v>3</v>
      </c>
      <c r="C193" s="1" t="s">
        <v>3</v>
      </c>
      <c r="D193" s="1">
        <v>9</v>
      </c>
      <c r="E193" s="1">
        <v>86.738</v>
      </c>
      <c r="F193" s="1">
        <v>0.99809800000000004</v>
      </c>
      <c r="G193" t="s">
        <v>325</v>
      </c>
      <c r="H193" t="s">
        <v>326</v>
      </c>
      <c r="I193" t="s">
        <v>4331</v>
      </c>
      <c r="J193" t="str">
        <f>"Mitogen-activated protein kinase 12"</f>
        <v>Mitogen-activated protein kinase 12</v>
      </c>
      <c r="K193" t="str">
        <f>"MAPK12"</f>
        <v>MAPK12</v>
      </c>
    </row>
    <row r="194" spans="1:11" x14ac:dyDescent="0.25">
      <c r="A194" s="1">
        <v>2972</v>
      </c>
      <c r="B194" s="1">
        <v>3</v>
      </c>
      <c r="C194" s="1" t="s">
        <v>3</v>
      </c>
      <c r="D194" s="1">
        <v>10</v>
      </c>
      <c r="E194" s="1">
        <v>202.65</v>
      </c>
      <c r="F194" s="1">
        <v>0.95545199999999997</v>
      </c>
      <c r="G194" t="s">
        <v>327</v>
      </c>
      <c r="H194" t="s">
        <v>328</v>
      </c>
      <c r="I194" t="s">
        <v>4332</v>
      </c>
      <c r="J194" t="str">
        <f>"CUB domain-containing protein 1"</f>
        <v>CUB domain-containing protein 1</v>
      </c>
      <c r="K194" t="str">
        <f>"CDCP1"</f>
        <v>CDCP1</v>
      </c>
    </row>
    <row r="195" spans="1:11" x14ac:dyDescent="0.25">
      <c r="A195" s="1">
        <v>1782</v>
      </c>
      <c r="B195" s="1">
        <v>4</v>
      </c>
      <c r="C195" s="1" t="s">
        <v>3</v>
      </c>
      <c r="D195" s="1">
        <v>10</v>
      </c>
      <c r="E195" s="1">
        <v>75.911000000000001</v>
      </c>
      <c r="F195" s="1">
        <v>0.98477599999999998</v>
      </c>
      <c r="G195" t="s">
        <v>329</v>
      </c>
      <c r="H195" t="s">
        <v>330</v>
      </c>
      <c r="I195" t="s">
        <v>4333</v>
      </c>
      <c r="J195" t="str">
        <f>"Pyruvate kinase PKM;Pyruvate kinase"</f>
        <v>Pyruvate kinase PKM;Pyruvate kinase</v>
      </c>
      <c r="K195" t="str">
        <f>"PKM"</f>
        <v>PKM</v>
      </c>
    </row>
    <row r="196" spans="1:11" x14ac:dyDescent="0.25">
      <c r="A196" s="1">
        <v>1781</v>
      </c>
      <c r="B196" s="1">
        <v>3</v>
      </c>
      <c r="C196" s="1" t="s">
        <v>3</v>
      </c>
      <c r="D196" s="1">
        <v>7</v>
      </c>
      <c r="E196" s="1">
        <v>122.19</v>
      </c>
      <c r="F196" s="1">
        <v>1</v>
      </c>
      <c r="G196" t="s">
        <v>331</v>
      </c>
      <c r="H196" t="s">
        <v>332</v>
      </c>
      <c r="I196" t="s">
        <v>4334</v>
      </c>
      <c r="J196" t="str">
        <f>"Pyruvate kinase PKM;Pyruvate kinase"</f>
        <v>Pyruvate kinase PKM;Pyruvate kinase</v>
      </c>
      <c r="K196" t="str">
        <f>"PKM"</f>
        <v>PKM</v>
      </c>
    </row>
    <row r="197" spans="1:11" x14ac:dyDescent="0.25">
      <c r="A197" s="1">
        <v>2439</v>
      </c>
      <c r="B197" s="1">
        <v>2</v>
      </c>
      <c r="C197" s="1" t="s">
        <v>3</v>
      </c>
      <c r="D197" s="1">
        <v>4</v>
      </c>
      <c r="E197" s="1">
        <v>99.441999999999993</v>
      </c>
      <c r="F197" s="1">
        <v>0.99995800000000001</v>
      </c>
      <c r="G197" t="s">
        <v>333</v>
      </c>
      <c r="H197" t="s">
        <v>334</v>
      </c>
      <c r="I197" t="s">
        <v>4335</v>
      </c>
      <c r="J197" t="str">
        <f>"Dual specificity tyrosine-phosphorylation-regulated kinase 1A;Dual specificity tyrosine-phosphorylation-regulated kinase 1B"</f>
        <v>Dual specificity tyrosine-phosphorylation-regulated kinase 1A;Dual specificity tyrosine-phosphorylation-regulated kinase 1B</v>
      </c>
      <c r="K197" t="str">
        <f>"DYRK1A;DYRK1B"</f>
        <v>DYRK1A;DYRK1B</v>
      </c>
    </row>
    <row r="198" spans="1:11" x14ac:dyDescent="0.25">
      <c r="A198" s="1">
        <v>1081</v>
      </c>
      <c r="B198" s="1">
        <v>3</v>
      </c>
      <c r="C198" s="1" t="s">
        <v>3</v>
      </c>
      <c r="D198" s="1">
        <v>15</v>
      </c>
      <c r="E198" s="1">
        <v>250.86</v>
      </c>
      <c r="F198" s="1">
        <v>1</v>
      </c>
      <c r="G198" t="s">
        <v>335</v>
      </c>
      <c r="H198" t="s">
        <v>336</v>
      </c>
      <c r="I198" t="s">
        <v>4336</v>
      </c>
      <c r="J198" t="str">
        <f>"GRB2-associated-binding protein 1"</f>
        <v>GRB2-associated-binding protein 1</v>
      </c>
      <c r="K198" t="str">
        <f>"GAB1"</f>
        <v>GAB1</v>
      </c>
    </row>
    <row r="199" spans="1:11" x14ac:dyDescent="0.25">
      <c r="A199" s="1">
        <v>1618</v>
      </c>
      <c r="B199" s="1">
        <v>3</v>
      </c>
      <c r="C199" s="1" t="s">
        <v>3</v>
      </c>
      <c r="D199" s="1">
        <v>10</v>
      </c>
      <c r="E199" s="1">
        <v>217.17</v>
      </c>
      <c r="F199" s="1">
        <v>0.99990900000000005</v>
      </c>
      <c r="G199" t="s">
        <v>337</v>
      </c>
      <c r="H199" t="s">
        <v>338</v>
      </c>
      <c r="I199">
        <v>39</v>
      </c>
      <c r="J199" t="str">
        <f>"Annexin A1"</f>
        <v>Annexin A1</v>
      </c>
      <c r="K199" t="str">
        <f>"ANXA1"</f>
        <v>ANXA1</v>
      </c>
    </row>
    <row r="200" spans="1:11" x14ac:dyDescent="0.25">
      <c r="A200" s="1">
        <v>1099</v>
      </c>
      <c r="B200" s="1">
        <v>4</v>
      </c>
      <c r="C200" s="1" t="s">
        <v>3</v>
      </c>
      <c r="D200" s="1">
        <v>9</v>
      </c>
      <c r="E200" s="1">
        <v>45.207000000000001</v>
      </c>
      <c r="F200" s="1">
        <v>1</v>
      </c>
      <c r="G200" t="s">
        <v>339</v>
      </c>
      <c r="H200" t="s">
        <v>340</v>
      </c>
      <c r="I200" t="s">
        <v>4337</v>
      </c>
      <c r="J200" t="str">
        <f>"Activated CDC42 kinase 1"</f>
        <v>Activated CDC42 kinase 1</v>
      </c>
      <c r="K200" t="str">
        <f>"TNK2"</f>
        <v>TNK2</v>
      </c>
    </row>
    <row r="201" spans="1:11" x14ac:dyDescent="0.25">
      <c r="A201" s="1">
        <v>1565</v>
      </c>
      <c r="B201" s="1">
        <v>2</v>
      </c>
      <c r="C201" s="1" t="s">
        <v>3</v>
      </c>
      <c r="D201" s="1">
        <v>6</v>
      </c>
      <c r="E201" s="1">
        <v>137.46</v>
      </c>
      <c r="F201" s="1">
        <v>1</v>
      </c>
      <c r="G201" t="s">
        <v>341</v>
      </c>
      <c r="H201" t="s">
        <v>342</v>
      </c>
      <c r="I201" t="s">
        <v>4338</v>
      </c>
      <c r="J201" t="str">
        <f>"Myelin protein zero-like protein 1"</f>
        <v>Myelin protein zero-like protein 1</v>
      </c>
      <c r="K201" t="str">
        <f>"MPZL1"</f>
        <v>MPZL1</v>
      </c>
    </row>
    <row r="202" spans="1:11" x14ac:dyDescent="0.25">
      <c r="A202" s="1">
        <v>1246</v>
      </c>
      <c r="B202" s="1">
        <v>2</v>
      </c>
      <c r="C202" s="1" t="s">
        <v>3</v>
      </c>
      <c r="D202" s="1">
        <v>11</v>
      </c>
      <c r="E202" s="1">
        <v>64.120999999999995</v>
      </c>
      <c r="F202" s="1">
        <v>1</v>
      </c>
      <c r="G202" t="s">
        <v>343</v>
      </c>
      <c r="H202" t="s">
        <v>344</v>
      </c>
      <c r="I202" t="s">
        <v>4339</v>
      </c>
      <c r="J202" t="str">
        <f>"Tyrosine-protein kinase;Non-receptor tyrosine-protein kinase TYK2"</f>
        <v>Tyrosine-protein kinase;Non-receptor tyrosine-protein kinase TYK2</v>
      </c>
      <c r="K202" t="str">
        <f>"TYK2"</f>
        <v>TYK2</v>
      </c>
    </row>
    <row r="203" spans="1:11" x14ac:dyDescent="0.25">
      <c r="A203" s="1">
        <v>2514</v>
      </c>
      <c r="B203" s="1">
        <v>2</v>
      </c>
      <c r="C203" s="1" t="s">
        <v>3</v>
      </c>
      <c r="D203" s="1">
        <v>4</v>
      </c>
      <c r="E203" s="1">
        <v>172.8</v>
      </c>
      <c r="F203" s="1">
        <v>1</v>
      </c>
      <c r="G203" t="s">
        <v>345</v>
      </c>
      <c r="H203" t="s">
        <v>72</v>
      </c>
      <c r="I203" t="s">
        <v>4340</v>
      </c>
      <c r="J203" t="str">
        <f>"Phosphoglucomutase-like protein 5"</f>
        <v>Phosphoglucomutase-like protein 5</v>
      </c>
      <c r="K203" t="str">
        <f>"PGM5"</f>
        <v>PGM5</v>
      </c>
    </row>
    <row r="204" spans="1:11" x14ac:dyDescent="0.25">
      <c r="A204" s="1">
        <v>2227</v>
      </c>
      <c r="B204" s="1">
        <v>3</v>
      </c>
      <c r="C204" s="1" t="s">
        <v>3</v>
      </c>
      <c r="D204" s="1">
        <v>7</v>
      </c>
      <c r="E204" s="1">
        <v>160.78</v>
      </c>
      <c r="F204" s="1">
        <v>0.99988900000000003</v>
      </c>
      <c r="G204" t="s">
        <v>346</v>
      </c>
      <c r="H204" t="s">
        <v>347</v>
      </c>
      <c r="I204">
        <v>25</v>
      </c>
      <c r="J204" t="str">
        <f>"Protein S100-A10"</f>
        <v>Protein S100-A10</v>
      </c>
      <c r="K204" t="str">
        <f>"S100A10"</f>
        <v>S100A10</v>
      </c>
    </row>
    <row r="205" spans="1:11" x14ac:dyDescent="0.25">
      <c r="A205" s="1">
        <v>1378</v>
      </c>
      <c r="B205" s="1">
        <v>4</v>
      </c>
      <c r="C205" s="1" t="s">
        <v>3</v>
      </c>
      <c r="D205" s="1">
        <v>27</v>
      </c>
      <c r="E205" s="1">
        <v>142.01</v>
      </c>
      <c r="F205" s="1">
        <v>0.99971399999999999</v>
      </c>
      <c r="G205" t="s">
        <v>348</v>
      </c>
      <c r="H205" t="s">
        <v>349</v>
      </c>
      <c r="I205" t="s">
        <v>4341</v>
      </c>
      <c r="J205" t="str">
        <f>"Tyrosine-protein kinase Yes"</f>
        <v>Tyrosine-protein kinase Yes</v>
      </c>
      <c r="K205" t="str">
        <f>"YES1"</f>
        <v>YES1</v>
      </c>
    </row>
    <row r="206" spans="1:11" x14ac:dyDescent="0.25">
      <c r="A206" s="1">
        <v>2897</v>
      </c>
      <c r="B206" s="1">
        <v>3</v>
      </c>
      <c r="C206" s="1" t="s">
        <v>3</v>
      </c>
      <c r="D206" s="1">
        <v>3</v>
      </c>
      <c r="E206" s="1">
        <v>188.84</v>
      </c>
      <c r="F206" s="1">
        <v>1</v>
      </c>
      <c r="G206" t="s">
        <v>350</v>
      </c>
      <c r="H206" t="s">
        <v>124</v>
      </c>
      <c r="I206" t="s">
        <v>4342</v>
      </c>
      <c r="J206" t="str">
        <f>"Plakophilin-4"</f>
        <v>Plakophilin-4</v>
      </c>
      <c r="K206" t="str">
        <f>"PKP4"</f>
        <v>PKP4</v>
      </c>
    </row>
    <row r="207" spans="1:11" x14ac:dyDescent="0.25">
      <c r="A207" s="1">
        <v>2317</v>
      </c>
      <c r="B207" s="1">
        <v>2</v>
      </c>
      <c r="C207" s="1" t="s">
        <v>3</v>
      </c>
      <c r="D207" s="1">
        <v>3</v>
      </c>
      <c r="E207" s="1">
        <v>152.16</v>
      </c>
      <c r="F207" s="1">
        <v>0.99950499999999998</v>
      </c>
      <c r="G207" t="s">
        <v>351</v>
      </c>
      <c r="H207" t="s">
        <v>352</v>
      </c>
      <c r="I207" t="s">
        <v>4343</v>
      </c>
      <c r="J207" t="str">
        <f>"Desmocollin-2;Desmocollin-3"</f>
        <v>Desmocollin-2;Desmocollin-3</v>
      </c>
      <c r="K207" t="str">
        <f>"DSC2;DSC3"</f>
        <v>DSC2;DSC3</v>
      </c>
    </row>
    <row r="208" spans="1:11" x14ac:dyDescent="0.25">
      <c r="A208" s="1">
        <v>99</v>
      </c>
      <c r="B208" s="1">
        <v>3</v>
      </c>
      <c r="C208" s="1" t="s">
        <v>5</v>
      </c>
      <c r="D208" s="1">
        <v>10</v>
      </c>
      <c r="E208" s="1">
        <v>104.52</v>
      </c>
      <c r="F208" s="1">
        <v>0.93692600000000004</v>
      </c>
      <c r="G208" t="s">
        <v>353</v>
      </c>
      <c r="H208" t="s">
        <v>39</v>
      </c>
      <c r="I208" t="s">
        <v>4344</v>
      </c>
      <c r="J208" t="str">
        <f>"Paxillin"</f>
        <v>Paxillin</v>
      </c>
      <c r="K208" t="str">
        <f>"PXN"</f>
        <v>PXN</v>
      </c>
    </row>
    <row r="209" spans="1:11" x14ac:dyDescent="0.25">
      <c r="A209" s="1">
        <v>1064</v>
      </c>
      <c r="B209" s="1">
        <v>4</v>
      </c>
      <c r="C209" s="1" t="s">
        <v>3</v>
      </c>
      <c r="D209" s="1">
        <v>9</v>
      </c>
      <c r="E209" s="1">
        <v>62.658000000000001</v>
      </c>
      <c r="F209" s="1">
        <v>0.99624800000000002</v>
      </c>
      <c r="G209" t="s">
        <v>354</v>
      </c>
      <c r="H209" t="s">
        <v>355</v>
      </c>
      <c r="I209" t="s">
        <v>4345</v>
      </c>
      <c r="J209" t="str">
        <f>"Receptor tyrosine-protein kinase erbB-2"</f>
        <v>Receptor tyrosine-protein kinase erbB-2</v>
      </c>
      <c r="K209" t="str">
        <f>"ERBB2"</f>
        <v>ERBB2</v>
      </c>
    </row>
    <row r="210" spans="1:11" x14ac:dyDescent="0.25">
      <c r="A210" s="1">
        <v>1671</v>
      </c>
      <c r="B210" s="1">
        <v>3</v>
      </c>
      <c r="C210" s="1" t="s">
        <v>3</v>
      </c>
      <c r="D210" s="1">
        <v>8</v>
      </c>
      <c r="E210" s="1">
        <v>52.070999999999998</v>
      </c>
      <c r="F210" s="1">
        <v>0.96703099999999997</v>
      </c>
      <c r="G210" t="s">
        <v>356</v>
      </c>
      <c r="H210" t="s">
        <v>82</v>
      </c>
      <c r="I210" t="s">
        <v>4346</v>
      </c>
      <c r="J210" t="str">
        <f>"Tyrosine-protein kinase Lyn"</f>
        <v>Tyrosine-protein kinase Lyn</v>
      </c>
      <c r="K210" t="str">
        <f>"LYN"</f>
        <v>LYN</v>
      </c>
    </row>
    <row r="211" spans="1:11" x14ac:dyDescent="0.25">
      <c r="A211" s="1">
        <v>2828</v>
      </c>
      <c r="B211" s="1">
        <v>2</v>
      </c>
      <c r="C211" s="1" t="s">
        <v>3</v>
      </c>
      <c r="D211" s="1">
        <v>9</v>
      </c>
      <c r="E211" s="1">
        <v>102.4</v>
      </c>
      <c r="F211" s="1">
        <v>1</v>
      </c>
      <c r="G211" t="s">
        <v>357</v>
      </c>
      <c r="H211" t="s">
        <v>358</v>
      </c>
      <c r="I211" t="s">
        <v>4347</v>
      </c>
      <c r="J211" t="str">
        <f>"Fermitin family homolog 2"</f>
        <v>Fermitin family homolog 2</v>
      </c>
      <c r="K211" t="str">
        <f>"FERMT2"</f>
        <v>FERMT2</v>
      </c>
    </row>
    <row r="212" spans="1:11" x14ac:dyDescent="0.25">
      <c r="A212" s="1">
        <v>2865</v>
      </c>
      <c r="B212" s="1">
        <v>3</v>
      </c>
      <c r="C212" s="1" t="s">
        <v>3</v>
      </c>
      <c r="D212" s="1">
        <v>13</v>
      </c>
      <c r="E212" s="1">
        <v>162.76</v>
      </c>
      <c r="F212" s="1">
        <v>0.99178599999999995</v>
      </c>
      <c r="G212" t="s">
        <v>359</v>
      </c>
      <c r="H212" t="s">
        <v>228</v>
      </c>
      <c r="I212" t="s">
        <v>4348</v>
      </c>
      <c r="J212" t="str">
        <f>"Discoidin, CUB and LCCL domain-containing protein 2"</f>
        <v>Discoidin, CUB and LCCL domain-containing protein 2</v>
      </c>
      <c r="K212" t="str">
        <f>"DCBLD2"</f>
        <v>DCBLD2</v>
      </c>
    </row>
    <row r="213" spans="1:11" x14ac:dyDescent="0.25">
      <c r="A213" s="1">
        <v>1114</v>
      </c>
      <c r="B213" s="1">
        <v>3</v>
      </c>
      <c r="C213" s="1" t="s">
        <v>3</v>
      </c>
      <c r="D213" s="1">
        <v>8</v>
      </c>
      <c r="E213" s="1">
        <v>58.32</v>
      </c>
      <c r="F213" s="1">
        <v>0.95992299999999997</v>
      </c>
      <c r="G213" t="s">
        <v>360</v>
      </c>
      <c r="H213" t="s">
        <v>361</v>
      </c>
      <c r="I213" t="s">
        <v>4349</v>
      </c>
      <c r="J213" t="str">
        <f>"40S ribosomal protein S27;40S ribosomal protein S27-like"</f>
        <v>40S ribosomal protein S27;40S ribosomal protein S27-like</v>
      </c>
      <c r="K213" t="str">
        <f>"RPS27;RPS27L"</f>
        <v>RPS27;RPS27L</v>
      </c>
    </row>
    <row r="214" spans="1:11" x14ac:dyDescent="0.25">
      <c r="A214" s="1">
        <v>1146</v>
      </c>
      <c r="B214" s="1">
        <v>3</v>
      </c>
      <c r="C214" s="1" t="s">
        <v>3</v>
      </c>
      <c r="D214" s="1">
        <v>10</v>
      </c>
      <c r="E214" s="1">
        <v>136.1</v>
      </c>
      <c r="F214" s="1">
        <v>0.99996799999999997</v>
      </c>
      <c r="G214" t="s">
        <v>362</v>
      </c>
      <c r="H214" t="s">
        <v>363</v>
      </c>
      <c r="I214" t="s">
        <v>4350</v>
      </c>
      <c r="J214" t="str">
        <f>"Keratin, type I cytoskeletal 19"</f>
        <v>Keratin, type I cytoskeletal 19</v>
      </c>
      <c r="K214" t="str">
        <f>"KRT19"</f>
        <v>KRT19</v>
      </c>
    </row>
    <row r="215" spans="1:11" x14ac:dyDescent="0.25">
      <c r="A215" s="1">
        <v>1071</v>
      </c>
      <c r="B215" s="1">
        <v>3</v>
      </c>
      <c r="C215" s="1" t="s">
        <v>3</v>
      </c>
      <c r="D215" s="1">
        <v>10</v>
      </c>
      <c r="E215" s="1">
        <v>202.07</v>
      </c>
      <c r="F215" s="1">
        <v>0.999089</v>
      </c>
      <c r="G215" t="s">
        <v>364</v>
      </c>
      <c r="H215" t="s">
        <v>365</v>
      </c>
      <c r="I215" t="s">
        <v>4351</v>
      </c>
      <c r="J215" t="str">
        <f>"Coronin;Coronin-1C"</f>
        <v>Coronin;Coronin-1C</v>
      </c>
      <c r="K215" t="str">
        <f>"CORO1C"</f>
        <v>CORO1C</v>
      </c>
    </row>
    <row r="216" spans="1:11" x14ac:dyDescent="0.25">
      <c r="A216" s="1">
        <v>437</v>
      </c>
      <c r="B216" s="1">
        <v>4</v>
      </c>
      <c r="C216" s="1" t="s">
        <v>5</v>
      </c>
      <c r="D216" s="1">
        <v>10</v>
      </c>
      <c r="E216" s="1">
        <v>69.492000000000004</v>
      </c>
      <c r="F216" s="1">
        <v>0.99169300000000005</v>
      </c>
      <c r="G216" t="s">
        <v>366</v>
      </c>
      <c r="H216" t="s">
        <v>328</v>
      </c>
      <c r="I216" t="s">
        <v>4352</v>
      </c>
      <c r="J216" t="str">
        <f>"CUB domain-containing protein 1"</f>
        <v>CUB domain-containing protein 1</v>
      </c>
      <c r="K216" t="str">
        <f>"CDCP1"</f>
        <v>CDCP1</v>
      </c>
    </row>
    <row r="217" spans="1:11" x14ac:dyDescent="0.25">
      <c r="A217" s="1">
        <v>1726</v>
      </c>
      <c r="B217" s="1">
        <v>3</v>
      </c>
      <c r="C217" s="1" t="s">
        <v>3</v>
      </c>
      <c r="D217" s="1">
        <v>7</v>
      </c>
      <c r="E217" s="1">
        <v>63.225000000000001</v>
      </c>
      <c r="F217" s="1">
        <v>1</v>
      </c>
      <c r="G217" t="s">
        <v>367</v>
      </c>
      <c r="H217" t="s">
        <v>319</v>
      </c>
      <c r="I217">
        <v>412</v>
      </c>
      <c r="J217" t="str">
        <f>"Tyrosine-protein kinase Fgr"</f>
        <v>Tyrosine-protein kinase Fgr</v>
      </c>
      <c r="K217" t="str">
        <f>"FGR"</f>
        <v>FGR</v>
      </c>
    </row>
    <row r="218" spans="1:11" x14ac:dyDescent="0.25">
      <c r="A218" s="1">
        <v>1857</v>
      </c>
      <c r="B218" s="1">
        <v>3</v>
      </c>
      <c r="C218" s="1" t="s">
        <v>3</v>
      </c>
      <c r="D218" s="1">
        <v>8</v>
      </c>
      <c r="E218" s="1">
        <v>76.340999999999994</v>
      </c>
      <c r="F218" s="1">
        <v>0.99999899999999997</v>
      </c>
      <c r="G218" t="s">
        <v>368</v>
      </c>
      <c r="H218" t="s">
        <v>369</v>
      </c>
      <c r="I218" t="s">
        <v>4353</v>
      </c>
      <c r="J218" t="str">
        <f>"T-cell surface glycoprotein CD3 zeta chain"</f>
        <v>T-cell surface glycoprotein CD3 zeta chain</v>
      </c>
      <c r="K218" t="str">
        <f>"CD247"</f>
        <v>CD247</v>
      </c>
    </row>
    <row r="219" spans="1:11" x14ac:dyDescent="0.25">
      <c r="A219" s="1">
        <v>1995</v>
      </c>
      <c r="B219" s="1">
        <v>3</v>
      </c>
      <c r="C219" s="1" t="s">
        <v>3</v>
      </c>
      <c r="D219" s="1">
        <v>7</v>
      </c>
      <c r="E219" s="1">
        <v>110.56</v>
      </c>
      <c r="F219" s="1">
        <v>1</v>
      </c>
      <c r="G219" t="s">
        <v>370</v>
      </c>
      <c r="H219" t="s">
        <v>371</v>
      </c>
      <c r="I219" t="s">
        <v>4354</v>
      </c>
      <c r="J219" t="str">
        <f>"Heat shock 70 kDa protein 4"</f>
        <v>Heat shock 70 kDa protein 4</v>
      </c>
      <c r="K219" t="str">
        <f>"HSPA4"</f>
        <v>HSPA4</v>
      </c>
    </row>
    <row r="220" spans="1:11" x14ac:dyDescent="0.25">
      <c r="A220" s="1">
        <v>1707</v>
      </c>
      <c r="B220" s="1">
        <v>3</v>
      </c>
      <c r="C220" s="1" t="s">
        <v>3</v>
      </c>
      <c r="D220" s="1">
        <v>12</v>
      </c>
      <c r="E220" s="1">
        <v>124.84</v>
      </c>
      <c r="F220" s="1">
        <v>0.99999800000000005</v>
      </c>
      <c r="G220" t="s">
        <v>305</v>
      </c>
      <c r="H220" t="s">
        <v>372</v>
      </c>
      <c r="I220" t="s">
        <v>4355</v>
      </c>
      <c r="J220" t="str">
        <f>"Gamma-enolase;Enolase;Beta-enolase"</f>
        <v>Gamma-enolase;Enolase;Beta-enolase</v>
      </c>
      <c r="K220" t="str">
        <f>"ENO2;ENO3"</f>
        <v>ENO2;ENO3</v>
      </c>
    </row>
    <row r="221" spans="1:11" x14ac:dyDescent="0.25">
      <c r="A221" s="1">
        <v>1698</v>
      </c>
      <c r="B221" s="1">
        <v>3</v>
      </c>
      <c r="C221" s="1" t="s">
        <v>3</v>
      </c>
      <c r="D221" s="1">
        <v>6</v>
      </c>
      <c r="E221" s="1">
        <v>51.286000000000001</v>
      </c>
      <c r="F221" s="1">
        <v>1</v>
      </c>
      <c r="G221" t="s">
        <v>373</v>
      </c>
      <c r="H221" t="s">
        <v>374</v>
      </c>
      <c r="I221" t="s">
        <v>4356</v>
      </c>
      <c r="J221" t="str">
        <f>"U1 small nuclear ribonucleoprotein 70 kDa"</f>
        <v>U1 small nuclear ribonucleoprotein 70 kDa</v>
      </c>
      <c r="K221" t="str">
        <f>"SNRNP70"</f>
        <v>SNRNP70</v>
      </c>
    </row>
    <row r="222" spans="1:11" x14ac:dyDescent="0.25">
      <c r="A222" s="1">
        <v>1990</v>
      </c>
      <c r="B222" s="1">
        <v>3</v>
      </c>
      <c r="C222" s="1" t="s">
        <v>3</v>
      </c>
      <c r="D222" s="1">
        <v>4</v>
      </c>
      <c r="E222" s="1">
        <v>167.2</v>
      </c>
      <c r="F222" s="1">
        <v>1</v>
      </c>
      <c r="G222" t="s">
        <v>375</v>
      </c>
      <c r="H222" t="s">
        <v>376</v>
      </c>
      <c r="I222" t="s">
        <v>4357</v>
      </c>
      <c r="J222" t="str">
        <f>"Cadherin-5"</f>
        <v>Cadherin-5</v>
      </c>
      <c r="K222" t="str">
        <f>"CDH5"</f>
        <v>CDH5</v>
      </c>
    </row>
    <row r="223" spans="1:11" x14ac:dyDescent="0.25">
      <c r="A223" s="1">
        <v>1681</v>
      </c>
      <c r="B223" s="1">
        <v>3</v>
      </c>
      <c r="C223" s="1" t="s">
        <v>3</v>
      </c>
      <c r="D223" s="1">
        <v>13</v>
      </c>
      <c r="E223" s="1">
        <v>203.89</v>
      </c>
      <c r="F223" s="1">
        <v>0.99784099999999998</v>
      </c>
      <c r="G223" t="s">
        <v>377</v>
      </c>
      <c r="H223" t="s">
        <v>378</v>
      </c>
      <c r="I223">
        <v>596</v>
      </c>
      <c r="J223" t="str">
        <f>"Heat shock protein HSP 90-beta"</f>
        <v>Heat shock protein HSP 90-beta</v>
      </c>
      <c r="K223" t="str">
        <f>"HSP90AB1"</f>
        <v>HSP90AB1</v>
      </c>
    </row>
    <row r="224" spans="1:11" x14ac:dyDescent="0.25">
      <c r="A224" s="1">
        <v>1993</v>
      </c>
      <c r="B224" s="1">
        <v>3</v>
      </c>
      <c r="C224" s="1" t="s">
        <v>3</v>
      </c>
      <c r="D224" s="1">
        <v>14</v>
      </c>
      <c r="E224" s="1">
        <v>144.16999999999999</v>
      </c>
      <c r="F224" s="1">
        <v>1</v>
      </c>
      <c r="G224" t="s">
        <v>379</v>
      </c>
      <c r="H224" t="s">
        <v>380</v>
      </c>
      <c r="I224" t="s">
        <v>4358</v>
      </c>
      <c r="J224" t="str">
        <f>"Serine hydroxymethyltransferase, cytosolic"</f>
        <v>Serine hydroxymethyltransferase, cytosolic</v>
      </c>
      <c r="K224" t="str">
        <f>"SHMT1"</f>
        <v>SHMT1</v>
      </c>
    </row>
    <row r="225" spans="1:11" x14ac:dyDescent="0.25">
      <c r="A225" s="1">
        <v>937</v>
      </c>
      <c r="B225" s="1">
        <v>2</v>
      </c>
      <c r="C225" s="1" t="s">
        <v>3</v>
      </c>
      <c r="D225" s="1">
        <v>7</v>
      </c>
      <c r="E225" s="1">
        <v>68.480999999999995</v>
      </c>
      <c r="F225" s="1">
        <v>1</v>
      </c>
      <c r="G225" t="s">
        <v>381</v>
      </c>
      <c r="H225" t="s">
        <v>155</v>
      </c>
      <c r="I225" t="s">
        <v>4359</v>
      </c>
      <c r="J225" t="str">
        <f>"G-protein coupled receptor family C group 5 member C"</f>
        <v>G-protein coupled receptor family C group 5 member C</v>
      </c>
      <c r="K225" t="str">
        <f>"GPRC5C"</f>
        <v>GPRC5C</v>
      </c>
    </row>
    <row r="226" spans="1:11" x14ac:dyDescent="0.25">
      <c r="A226" s="1">
        <v>1864</v>
      </c>
      <c r="B226" s="1">
        <v>3</v>
      </c>
      <c r="C226" s="1" t="s">
        <v>3</v>
      </c>
      <c r="D226" s="1">
        <v>10</v>
      </c>
      <c r="E226" s="1">
        <v>106.32</v>
      </c>
      <c r="F226" s="1">
        <v>0.97500200000000004</v>
      </c>
      <c r="G226" t="s">
        <v>382</v>
      </c>
      <c r="H226" t="s">
        <v>78</v>
      </c>
      <c r="I226" t="s">
        <v>4360</v>
      </c>
      <c r="J226" t="str">
        <f>"Filamin-A"</f>
        <v>Filamin-A</v>
      </c>
      <c r="K226" t="str">
        <f>"FLNA"</f>
        <v>FLNA</v>
      </c>
    </row>
    <row r="227" spans="1:11" x14ac:dyDescent="0.25">
      <c r="A227" s="1">
        <v>754</v>
      </c>
      <c r="B227" s="1">
        <v>2</v>
      </c>
      <c r="C227" s="1" t="s">
        <v>3</v>
      </c>
      <c r="D227" s="1">
        <v>10</v>
      </c>
      <c r="E227" s="1">
        <v>87.183999999999997</v>
      </c>
      <c r="F227" s="1">
        <v>0.999444</v>
      </c>
      <c r="G227" t="s">
        <v>383</v>
      </c>
      <c r="H227" t="s">
        <v>11</v>
      </c>
      <c r="I227" t="s">
        <v>4361</v>
      </c>
      <c r="J227" t="str">
        <f>""</f>
        <v/>
      </c>
      <c r="K227" t="str">
        <f>"CDC2"</f>
        <v>CDC2</v>
      </c>
    </row>
    <row r="228" spans="1:11" x14ac:dyDescent="0.25">
      <c r="A228" s="1">
        <v>3092</v>
      </c>
      <c r="B228" s="1">
        <v>3</v>
      </c>
      <c r="C228" s="1" t="s">
        <v>3</v>
      </c>
      <c r="D228" s="1">
        <v>10</v>
      </c>
      <c r="E228" s="1">
        <v>147.08000000000001</v>
      </c>
      <c r="F228" s="1">
        <v>0.996035</v>
      </c>
      <c r="G228" t="s">
        <v>384</v>
      </c>
      <c r="H228" t="s">
        <v>385</v>
      </c>
      <c r="I228" t="s">
        <v>4362</v>
      </c>
      <c r="J228" t="str">
        <f>"Protein CDV3 homolog"</f>
        <v>Protein CDV3 homolog</v>
      </c>
      <c r="K228" t="str">
        <f>"CDV3"</f>
        <v>CDV3</v>
      </c>
    </row>
    <row r="229" spans="1:11" x14ac:dyDescent="0.25">
      <c r="A229" s="1">
        <v>319</v>
      </c>
      <c r="B229" s="1">
        <v>3</v>
      </c>
      <c r="C229" s="1" t="s">
        <v>5</v>
      </c>
      <c r="D229" s="1">
        <v>6</v>
      </c>
      <c r="E229" s="1">
        <v>155.80000000000001</v>
      </c>
      <c r="F229" s="1">
        <v>0.90937699999999999</v>
      </c>
      <c r="G229" t="s">
        <v>386</v>
      </c>
      <c r="H229" t="s">
        <v>16</v>
      </c>
      <c r="I229">
        <v>837</v>
      </c>
      <c r="J229" t="str">
        <f>"Serine/threonine-protein kinase PRP4 homolog"</f>
        <v>Serine/threonine-protein kinase PRP4 homolog</v>
      </c>
      <c r="K229" t="str">
        <f>"PRPF4B"</f>
        <v>PRPF4B</v>
      </c>
    </row>
    <row r="230" spans="1:11" x14ac:dyDescent="0.25">
      <c r="A230" s="1">
        <v>1634</v>
      </c>
      <c r="B230" s="1">
        <v>2</v>
      </c>
      <c r="C230" s="1" t="s">
        <v>3</v>
      </c>
      <c r="D230" s="1">
        <v>9</v>
      </c>
      <c r="E230" s="1">
        <v>123.79</v>
      </c>
      <c r="F230" s="1">
        <v>1</v>
      </c>
      <c r="G230" t="s">
        <v>387</v>
      </c>
      <c r="H230" t="s">
        <v>388</v>
      </c>
      <c r="I230">
        <v>783</v>
      </c>
      <c r="J230" t="str">
        <f>"Integrin beta-1"</f>
        <v>Integrin beta-1</v>
      </c>
      <c r="K230" t="str">
        <f>"ITGB1"</f>
        <v>ITGB1</v>
      </c>
    </row>
    <row r="231" spans="1:11" x14ac:dyDescent="0.25">
      <c r="A231" s="1">
        <v>2759</v>
      </c>
      <c r="B231" s="1">
        <v>2</v>
      </c>
      <c r="C231" s="1" t="s">
        <v>3</v>
      </c>
      <c r="D231" s="1">
        <v>5</v>
      </c>
      <c r="E231" s="1">
        <v>112.01</v>
      </c>
      <c r="F231" s="1">
        <v>0.99997999999999998</v>
      </c>
      <c r="G231" t="s">
        <v>389</v>
      </c>
      <c r="H231" t="s">
        <v>390</v>
      </c>
      <c r="I231">
        <v>59</v>
      </c>
      <c r="J231" t="str">
        <f>"Phosphatidylcholine:ceramide cholinephosphotransferase 2"</f>
        <v>Phosphatidylcholine:ceramide cholinephosphotransferase 2</v>
      </c>
      <c r="K231" t="str">
        <f>"SGMS2"</f>
        <v>SGMS2</v>
      </c>
    </row>
    <row r="232" spans="1:11" x14ac:dyDescent="0.25">
      <c r="A232" s="1">
        <v>2907</v>
      </c>
      <c r="B232" s="1">
        <v>2</v>
      </c>
      <c r="C232" s="1" t="s">
        <v>3</v>
      </c>
      <c r="D232" s="1">
        <v>5</v>
      </c>
      <c r="E232" s="1">
        <v>59.673000000000002</v>
      </c>
      <c r="F232" s="1">
        <v>0.96274099999999996</v>
      </c>
      <c r="G232" t="s">
        <v>391</v>
      </c>
      <c r="H232" t="s">
        <v>392</v>
      </c>
      <c r="I232">
        <v>1051</v>
      </c>
      <c r="J232" t="str">
        <f>"Plakophilin-4"</f>
        <v>Plakophilin-4</v>
      </c>
      <c r="K232" t="str">
        <f>"PKP4"</f>
        <v>PKP4</v>
      </c>
    </row>
    <row r="233" spans="1:11" x14ac:dyDescent="0.25">
      <c r="A233" s="1">
        <v>2495</v>
      </c>
      <c r="B233" s="1">
        <v>4</v>
      </c>
      <c r="C233" s="1" t="s">
        <v>3</v>
      </c>
      <c r="D233" s="1">
        <v>25</v>
      </c>
      <c r="E233" s="1">
        <v>174.89</v>
      </c>
      <c r="F233" s="1">
        <v>1</v>
      </c>
      <c r="G233" t="s">
        <v>393</v>
      </c>
      <c r="H233" t="s">
        <v>394</v>
      </c>
      <c r="I233" t="s">
        <v>4363</v>
      </c>
      <c r="J233" t="str">
        <f>"Enhancer of filamentation 1;Enhancer of filamentation 1 p55"</f>
        <v>Enhancer of filamentation 1;Enhancer of filamentation 1 p55</v>
      </c>
      <c r="K233" t="str">
        <f>"NEDD9"</f>
        <v>NEDD9</v>
      </c>
    </row>
    <row r="234" spans="1:11" x14ac:dyDescent="0.25">
      <c r="A234" s="1">
        <v>902</v>
      </c>
      <c r="B234" s="1">
        <v>2</v>
      </c>
      <c r="C234" s="1" t="s">
        <v>3</v>
      </c>
      <c r="D234" s="1">
        <v>3</v>
      </c>
      <c r="E234" s="1">
        <v>121.64</v>
      </c>
      <c r="F234" s="1">
        <v>1</v>
      </c>
      <c r="G234" t="s">
        <v>395</v>
      </c>
      <c r="H234" t="s">
        <v>396</v>
      </c>
      <c r="I234" t="s">
        <v>4364</v>
      </c>
      <c r="J234" t="str">
        <f>""</f>
        <v/>
      </c>
      <c r="K234" t="str">
        <f>""</f>
        <v/>
      </c>
    </row>
    <row r="235" spans="1:11" x14ac:dyDescent="0.25">
      <c r="A235" s="1">
        <v>1580</v>
      </c>
      <c r="B235" s="1">
        <v>2</v>
      </c>
      <c r="C235" s="1" t="s">
        <v>3</v>
      </c>
      <c r="D235" s="1">
        <v>7</v>
      </c>
      <c r="E235" s="1">
        <v>79.283000000000001</v>
      </c>
      <c r="F235" s="1">
        <v>0.99280400000000002</v>
      </c>
      <c r="G235" t="s">
        <v>397</v>
      </c>
      <c r="H235" t="s">
        <v>398</v>
      </c>
      <c r="I235" t="s">
        <v>4365</v>
      </c>
      <c r="J235" t="str">
        <f>"L-lactate dehydrogenase A chain"</f>
        <v>L-lactate dehydrogenase A chain</v>
      </c>
      <c r="K235" t="str">
        <f>"LDHA"</f>
        <v>LDHA</v>
      </c>
    </row>
    <row r="236" spans="1:11" x14ac:dyDescent="0.25">
      <c r="A236" s="1">
        <v>2384</v>
      </c>
      <c r="B236" s="1">
        <v>4</v>
      </c>
      <c r="C236" s="1" t="s">
        <v>3</v>
      </c>
      <c r="D236" s="1">
        <v>17</v>
      </c>
      <c r="E236" s="1">
        <v>198.84</v>
      </c>
      <c r="F236" s="1">
        <v>1</v>
      </c>
      <c r="G236" t="s">
        <v>399</v>
      </c>
      <c r="H236" t="s">
        <v>400</v>
      </c>
      <c r="I236" t="s">
        <v>4366</v>
      </c>
      <c r="J236" t="str">
        <f>"Epidermal growth factor receptor kinase substrate 8"</f>
        <v>Epidermal growth factor receptor kinase substrate 8</v>
      </c>
      <c r="K236" t="str">
        <f>"EPS8"</f>
        <v>EPS8</v>
      </c>
    </row>
    <row r="237" spans="1:11" x14ac:dyDescent="0.25">
      <c r="A237" s="1">
        <v>1377</v>
      </c>
      <c r="B237" s="1">
        <v>2</v>
      </c>
      <c r="C237" s="1" t="s">
        <v>3</v>
      </c>
      <c r="D237" s="1">
        <v>9</v>
      </c>
      <c r="E237" s="1">
        <v>112.83</v>
      </c>
      <c r="F237" s="1">
        <v>1</v>
      </c>
      <c r="G237" t="s">
        <v>401</v>
      </c>
      <c r="H237" t="s">
        <v>402</v>
      </c>
      <c r="I237" t="s">
        <v>4367</v>
      </c>
      <c r="J237" t="str">
        <f>"Tyrosine-protein kinase Yes;Tyrosine-protein kinase Fyn;Proto-oncogene tyrosine-protein kinase Src"</f>
        <v>Tyrosine-protein kinase Yes;Tyrosine-protein kinase Fyn;Proto-oncogene tyrosine-protein kinase Src</v>
      </c>
      <c r="K237" t="str">
        <f>"YES1;FYN;SRC"</f>
        <v>YES1;FYN;SRC</v>
      </c>
    </row>
    <row r="238" spans="1:11" x14ac:dyDescent="0.25">
      <c r="A238" s="1">
        <v>1695</v>
      </c>
      <c r="B238" s="1">
        <v>3</v>
      </c>
      <c r="C238" s="1" t="s">
        <v>3</v>
      </c>
      <c r="D238" s="1">
        <v>8</v>
      </c>
      <c r="E238" s="1">
        <v>168.31</v>
      </c>
      <c r="F238" s="1">
        <v>0.99131999999999998</v>
      </c>
      <c r="G238" t="s">
        <v>403</v>
      </c>
      <c r="H238" t="s">
        <v>99</v>
      </c>
      <c r="I238" t="s">
        <v>4368</v>
      </c>
      <c r="J238" t="str">
        <f>"Hepatocyte growth factor receptor"</f>
        <v>Hepatocyte growth factor receptor</v>
      </c>
      <c r="K238" t="str">
        <f>"MET"</f>
        <v>MET</v>
      </c>
    </row>
    <row r="239" spans="1:11" x14ac:dyDescent="0.25">
      <c r="A239" s="1">
        <v>1028</v>
      </c>
      <c r="B239" s="1">
        <v>3</v>
      </c>
      <c r="C239" s="1" t="s">
        <v>3</v>
      </c>
      <c r="D239" s="1">
        <v>2</v>
      </c>
      <c r="E239" s="1">
        <v>88.075000000000003</v>
      </c>
      <c r="F239" s="1">
        <v>0.99589899999999998</v>
      </c>
      <c r="G239" t="s">
        <v>404</v>
      </c>
      <c r="H239" t="s">
        <v>95</v>
      </c>
      <c r="I239">
        <v>38</v>
      </c>
      <c r="J239" t="str">
        <f>""</f>
        <v/>
      </c>
      <c r="K239" t="str">
        <f>"VIM"</f>
        <v>VIM</v>
      </c>
    </row>
    <row r="240" spans="1:11" x14ac:dyDescent="0.25">
      <c r="A240" s="1">
        <v>259</v>
      </c>
      <c r="B240" s="1">
        <v>2</v>
      </c>
      <c r="C240" s="1" t="s">
        <v>5</v>
      </c>
      <c r="D240" s="1">
        <v>10</v>
      </c>
      <c r="E240" s="1">
        <v>110.84</v>
      </c>
      <c r="F240" s="1">
        <v>0.99997599999999998</v>
      </c>
      <c r="G240" t="s">
        <v>405</v>
      </c>
      <c r="H240" t="s">
        <v>14</v>
      </c>
      <c r="I240" t="s">
        <v>4369</v>
      </c>
      <c r="J240" t="str">
        <f>"Glycogen synthase kinase-3 alpha;Glycogen synthase kinase-3 beta"</f>
        <v>Glycogen synthase kinase-3 alpha;Glycogen synthase kinase-3 beta</v>
      </c>
      <c r="K240" t="str">
        <f>"GSK3A;GSK3B"</f>
        <v>GSK3A;GSK3B</v>
      </c>
    </row>
    <row r="241" spans="1:11" x14ac:dyDescent="0.25">
      <c r="A241" s="1">
        <v>2727</v>
      </c>
      <c r="B241" s="1">
        <v>3</v>
      </c>
      <c r="C241" s="1" t="s">
        <v>3</v>
      </c>
      <c r="D241" s="1">
        <v>14</v>
      </c>
      <c r="E241" s="1">
        <v>139.11000000000001</v>
      </c>
      <c r="F241" s="1">
        <v>0.950631</v>
      </c>
      <c r="G241" t="s">
        <v>406</v>
      </c>
      <c r="H241" t="s">
        <v>287</v>
      </c>
      <c r="I241">
        <v>600</v>
      </c>
      <c r="J241" t="str">
        <f>"Discoidin, CUB and LCCL domain-containing protein 1"</f>
        <v>Discoidin, CUB and LCCL domain-containing protein 1</v>
      </c>
      <c r="K241" t="str">
        <f>"DCBLD1"</f>
        <v>DCBLD1</v>
      </c>
    </row>
    <row r="242" spans="1:11" x14ac:dyDescent="0.25">
      <c r="A242" s="1">
        <v>989</v>
      </c>
      <c r="B242" s="1">
        <v>4</v>
      </c>
      <c r="C242" s="1" t="s">
        <v>3</v>
      </c>
      <c r="D242" s="1">
        <v>11</v>
      </c>
      <c r="E242" s="1">
        <v>41.115000000000002</v>
      </c>
      <c r="F242" s="1">
        <v>0.96192500000000003</v>
      </c>
      <c r="G242" t="s">
        <v>407</v>
      </c>
      <c r="H242" t="s">
        <v>408</v>
      </c>
      <c r="I242" t="s">
        <v>4370</v>
      </c>
      <c r="J242" t="str">
        <f>"Rho GTPase-activating protein 42"</f>
        <v>Rho GTPase-activating protein 42</v>
      </c>
      <c r="K242" t="str">
        <f>"ARHGAP42"</f>
        <v>ARHGAP42</v>
      </c>
    </row>
    <row r="243" spans="1:11" x14ac:dyDescent="0.25">
      <c r="A243" s="1">
        <v>2424</v>
      </c>
      <c r="B243" s="1">
        <v>3</v>
      </c>
      <c r="C243" s="1" t="s">
        <v>3</v>
      </c>
      <c r="D243" s="1">
        <v>19</v>
      </c>
      <c r="E243" s="1">
        <v>91.238</v>
      </c>
      <c r="F243" s="1">
        <v>0.90782300000000005</v>
      </c>
      <c r="G243" t="s">
        <v>409</v>
      </c>
      <c r="H243" t="s">
        <v>410</v>
      </c>
      <c r="I243">
        <v>815</v>
      </c>
      <c r="J243" t="str">
        <f>"Disintegrin and metalloproteinase domain-containing protein 9"</f>
        <v>Disintegrin and metalloproteinase domain-containing protein 9</v>
      </c>
      <c r="K243" t="str">
        <f>"ADAM9"</f>
        <v>ADAM9</v>
      </c>
    </row>
    <row r="244" spans="1:11" x14ac:dyDescent="0.25">
      <c r="A244" s="1">
        <v>1827</v>
      </c>
      <c r="B244" s="1">
        <v>3</v>
      </c>
      <c r="C244" s="1" t="s">
        <v>3</v>
      </c>
      <c r="D244" s="1">
        <v>8</v>
      </c>
      <c r="E244" s="1">
        <v>87.519000000000005</v>
      </c>
      <c r="F244" s="1">
        <v>0.99998399999999998</v>
      </c>
      <c r="G244" t="s">
        <v>411</v>
      </c>
      <c r="H244" t="s">
        <v>412</v>
      </c>
      <c r="I244" t="s">
        <v>4371</v>
      </c>
      <c r="J244" t="str">
        <f>"Vinculin"</f>
        <v>Vinculin</v>
      </c>
      <c r="K244" t="str">
        <f>"VCL"</f>
        <v>VCL</v>
      </c>
    </row>
    <row r="245" spans="1:11" x14ac:dyDescent="0.25">
      <c r="A245" s="1">
        <v>2655</v>
      </c>
      <c r="B245" s="1">
        <v>2</v>
      </c>
      <c r="C245" s="1" t="s">
        <v>3</v>
      </c>
      <c r="D245" s="1">
        <v>2</v>
      </c>
      <c r="E245" s="1">
        <v>100.84</v>
      </c>
      <c r="F245" s="1">
        <v>1</v>
      </c>
      <c r="G245" t="s">
        <v>413</v>
      </c>
      <c r="H245" t="s">
        <v>414</v>
      </c>
      <c r="I245">
        <v>109</v>
      </c>
      <c r="J245" t="str">
        <f>"Staphylococcal nuclease domain-containing protein 1"</f>
        <v>Staphylococcal nuclease domain-containing protein 1</v>
      </c>
      <c r="K245" t="str">
        <f>"SND1"</f>
        <v>SND1</v>
      </c>
    </row>
    <row r="246" spans="1:11" x14ac:dyDescent="0.25">
      <c r="A246" s="1">
        <v>1559</v>
      </c>
      <c r="B246" s="1">
        <v>2</v>
      </c>
      <c r="C246" s="1" t="s">
        <v>3</v>
      </c>
      <c r="D246" s="1">
        <v>4</v>
      </c>
      <c r="E246" s="1">
        <v>56.404000000000003</v>
      </c>
      <c r="F246" s="1">
        <v>1</v>
      </c>
      <c r="G246" t="s">
        <v>415</v>
      </c>
      <c r="H246" t="s">
        <v>41</v>
      </c>
      <c r="I246" t="s">
        <v>4372</v>
      </c>
      <c r="J246" t="str">
        <f>"Glutaminase kidney isoform, mitochondrial"</f>
        <v>Glutaminase kidney isoform, mitochondrial</v>
      </c>
      <c r="K246" t="str">
        <f>"GLS"</f>
        <v>GLS</v>
      </c>
    </row>
    <row r="247" spans="1:11" x14ac:dyDescent="0.25">
      <c r="A247" s="1">
        <v>1586</v>
      </c>
      <c r="B247" s="1">
        <v>4</v>
      </c>
      <c r="C247" s="1" t="s">
        <v>3</v>
      </c>
      <c r="D247" s="1">
        <v>19</v>
      </c>
      <c r="E247" s="1">
        <v>63.869</v>
      </c>
      <c r="F247" s="1">
        <v>0.81308599999999998</v>
      </c>
      <c r="G247" t="s">
        <v>416</v>
      </c>
      <c r="H247" t="s">
        <v>417</v>
      </c>
      <c r="I247" t="s">
        <v>4373</v>
      </c>
      <c r="J247" t="str">
        <f>"NADH-cytochrome b5 reductase 3;NADH-cytochrome b5 reductase 3 membrane-bound form;NADH-cytochrome b5 reductase 3 soluble form"</f>
        <v>NADH-cytochrome b5 reductase 3;NADH-cytochrome b5 reductase 3 membrane-bound form;NADH-cytochrome b5 reductase 3 soluble form</v>
      </c>
      <c r="K247" t="str">
        <f>"CYB5R3"</f>
        <v>CYB5R3</v>
      </c>
    </row>
    <row r="248" spans="1:11" x14ac:dyDescent="0.25">
      <c r="A248" s="1">
        <v>1656</v>
      </c>
      <c r="B248" s="1">
        <v>2</v>
      </c>
      <c r="C248" s="1" t="s">
        <v>3</v>
      </c>
      <c r="D248" s="1">
        <v>4</v>
      </c>
      <c r="E248" s="1">
        <v>156.58000000000001</v>
      </c>
      <c r="F248" s="1">
        <v>0.99940600000000002</v>
      </c>
      <c r="G248" t="s">
        <v>418</v>
      </c>
      <c r="H248" t="s">
        <v>234</v>
      </c>
      <c r="I248" t="s">
        <v>4374</v>
      </c>
      <c r="J248" t="str">
        <f>"Annexin A2;Putative annexin A2-like protein"</f>
        <v>Annexin A2;Putative annexin A2-like protein</v>
      </c>
      <c r="K248" t="str">
        <f>"ANXA2;ANXA2P2"</f>
        <v>ANXA2;ANXA2P2</v>
      </c>
    </row>
    <row r="249" spans="1:11" x14ac:dyDescent="0.25">
      <c r="A249" s="1">
        <v>1464</v>
      </c>
      <c r="B249" s="1">
        <v>3</v>
      </c>
      <c r="C249" s="1" t="s">
        <v>3</v>
      </c>
      <c r="D249" s="1">
        <v>17</v>
      </c>
      <c r="E249" s="1">
        <v>118.72</v>
      </c>
      <c r="F249" s="1">
        <v>0.99962700000000004</v>
      </c>
      <c r="G249" t="s">
        <v>419</v>
      </c>
      <c r="H249" t="s">
        <v>420</v>
      </c>
      <c r="I249">
        <v>219</v>
      </c>
      <c r="J249" t="str">
        <f>"Claudin-3"</f>
        <v>Claudin-3</v>
      </c>
      <c r="K249" t="str">
        <f>"CLDN3"</f>
        <v>CLDN3</v>
      </c>
    </row>
    <row r="250" spans="1:11" x14ac:dyDescent="0.25">
      <c r="A250" s="1">
        <v>2678</v>
      </c>
      <c r="B250" s="1">
        <v>3</v>
      </c>
      <c r="C250" s="1" t="s">
        <v>3</v>
      </c>
      <c r="D250" s="1">
        <v>10</v>
      </c>
      <c r="E250" s="1">
        <v>124.2</v>
      </c>
      <c r="F250" s="1">
        <v>0.99888500000000002</v>
      </c>
      <c r="G250" t="s">
        <v>421</v>
      </c>
      <c r="H250" t="s">
        <v>279</v>
      </c>
      <c r="I250" t="s">
        <v>4375</v>
      </c>
      <c r="J250" t="str">
        <f>"Lipolysis-stimulated lipoprotein receptor"</f>
        <v>Lipolysis-stimulated lipoprotein receptor</v>
      </c>
      <c r="K250" t="str">
        <f>"LSR"</f>
        <v>LSR</v>
      </c>
    </row>
    <row r="251" spans="1:11" x14ac:dyDescent="0.25">
      <c r="A251" s="1">
        <v>2730</v>
      </c>
      <c r="B251" s="1">
        <v>4</v>
      </c>
      <c r="C251" s="1" t="s">
        <v>3</v>
      </c>
      <c r="D251" s="1">
        <v>25</v>
      </c>
      <c r="E251" s="1">
        <v>132.78</v>
      </c>
      <c r="F251" s="1">
        <v>0.99998900000000002</v>
      </c>
      <c r="G251" t="s">
        <v>422</v>
      </c>
      <c r="H251" t="s">
        <v>287</v>
      </c>
      <c r="I251">
        <v>578</v>
      </c>
      <c r="J251" t="str">
        <f>"Discoidin, CUB and LCCL domain-containing protein 1"</f>
        <v>Discoidin, CUB and LCCL domain-containing protein 1</v>
      </c>
      <c r="K251" t="str">
        <f>"DCBLD1"</f>
        <v>DCBLD1</v>
      </c>
    </row>
    <row r="252" spans="1:11" x14ac:dyDescent="0.25">
      <c r="A252" s="1">
        <v>2786</v>
      </c>
      <c r="B252" s="1">
        <v>4</v>
      </c>
      <c r="C252" s="1" t="s">
        <v>3</v>
      </c>
      <c r="D252" s="1">
        <v>12</v>
      </c>
      <c r="E252" s="1">
        <v>118.44</v>
      </c>
      <c r="F252" s="1">
        <v>0.99808200000000002</v>
      </c>
      <c r="G252" t="s">
        <v>423</v>
      </c>
      <c r="H252" t="s">
        <v>424</v>
      </c>
      <c r="I252" t="s">
        <v>4376</v>
      </c>
      <c r="J252" t="str">
        <f>"Programmed cell death 6-interacting protein"</f>
        <v>Programmed cell death 6-interacting protein</v>
      </c>
      <c r="K252" t="str">
        <f>"PDCD6IP"</f>
        <v>PDCD6IP</v>
      </c>
    </row>
    <row r="253" spans="1:11" x14ac:dyDescent="0.25">
      <c r="A253" s="1">
        <v>1596</v>
      </c>
      <c r="B253" s="1">
        <v>3</v>
      </c>
      <c r="C253" s="1" t="s">
        <v>3</v>
      </c>
      <c r="D253" s="1">
        <v>11</v>
      </c>
      <c r="E253" s="1">
        <v>140.72999999999999</v>
      </c>
      <c r="F253" s="1">
        <v>0.99999800000000005</v>
      </c>
      <c r="G253" t="s">
        <v>425</v>
      </c>
      <c r="H253" t="s">
        <v>114</v>
      </c>
      <c r="I253" t="s">
        <v>4377</v>
      </c>
      <c r="J253" t="str">
        <f>"Epidermal growth factor receptor"</f>
        <v>Epidermal growth factor receptor</v>
      </c>
      <c r="K253" t="str">
        <f>"EGFR"</f>
        <v>EGFR</v>
      </c>
    </row>
    <row r="254" spans="1:11" x14ac:dyDescent="0.25">
      <c r="A254" s="1">
        <v>2895</v>
      </c>
      <c r="B254" s="1">
        <v>3</v>
      </c>
      <c r="C254" s="1" t="s">
        <v>3</v>
      </c>
      <c r="D254" s="1">
        <v>9</v>
      </c>
      <c r="E254" s="1">
        <v>192.46</v>
      </c>
      <c r="F254" s="1">
        <v>0.99999499999999997</v>
      </c>
      <c r="G254" t="s">
        <v>426</v>
      </c>
      <c r="H254" t="s">
        <v>124</v>
      </c>
      <c r="I254" t="s">
        <v>4378</v>
      </c>
      <c r="J254" t="str">
        <f>"Plakophilin-4"</f>
        <v>Plakophilin-4</v>
      </c>
      <c r="K254" t="str">
        <f>"PKP4"</f>
        <v>PKP4</v>
      </c>
    </row>
    <row r="255" spans="1:11" x14ac:dyDescent="0.25">
      <c r="A255" s="1">
        <v>2489</v>
      </c>
      <c r="B255" s="1">
        <v>3</v>
      </c>
      <c r="C255" s="1" t="s">
        <v>3</v>
      </c>
      <c r="D255" s="1">
        <v>4</v>
      </c>
      <c r="E255" s="1">
        <v>81.656000000000006</v>
      </c>
      <c r="F255" s="1">
        <v>1</v>
      </c>
      <c r="G255" t="s">
        <v>427</v>
      </c>
      <c r="H255" t="s">
        <v>394</v>
      </c>
      <c r="I255" t="s">
        <v>4379</v>
      </c>
      <c r="J255" t="str">
        <f>"Enhancer of filamentation 1;Enhancer of filamentation 1 p55"</f>
        <v>Enhancer of filamentation 1;Enhancer of filamentation 1 p55</v>
      </c>
      <c r="K255" t="str">
        <f>"NEDD9"</f>
        <v>NEDD9</v>
      </c>
    </row>
    <row r="256" spans="1:11" x14ac:dyDescent="0.25">
      <c r="A256" s="1">
        <v>1600</v>
      </c>
      <c r="B256" s="1">
        <v>3</v>
      </c>
      <c r="C256" s="1" t="s">
        <v>3</v>
      </c>
      <c r="D256" s="1">
        <v>1</v>
      </c>
      <c r="E256" s="1">
        <v>92.855999999999995</v>
      </c>
      <c r="F256" s="1">
        <v>1</v>
      </c>
      <c r="G256" t="s">
        <v>428</v>
      </c>
      <c r="H256" t="s">
        <v>429</v>
      </c>
      <c r="I256">
        <v>114</v>
      </c>
      <c r="J256" t="str">
        <f>"Carbonic anhydrase 2"</f>
        <v>Carbonic anhydrase 2</v>
      </c>
      <c r="K256" t="str">
        <f>"CA2"</f>
        <v>CA2</v>
      </c>
    </row>
    <row r="257" spans="1:11" x14ac:dyDescent="0.25">
      <c r="A257" s="1">
        <v>2000</v>
      </c>
      <c r="B257" s="1">
        <v>2</v>
      </c>
      <c r="C257" s="1" t="s">
        <v>3</v>
      </c>
      <c r="D257" s="1">
        <v>9</v>
      </c>
      <c r="E257" s="1">
        <v>128.91</v>
      </c>
      <c r="F257" s="1">
        <v>0.99995100000000003</v>
      </c>
      <c r="G257" t="s">
        <v>430</v>
      </c>
      <c r="H257" t="s">
        <v>431</v>
      </c>
      <c r="I257" t="s">
        <v>4380</v>
      </c>
      <c r="J257" t="str">
        <f>"Myosin-9"</f>
        <v>Myosin-9</v>
      </c>
      <c r="K257" t="str">
        <f>"MYH9"</f>
        <v>MYH9</v>
      </c>
    </row>
    <row r="258" spans="1:11" x14ac:dyDescent="0.25">
      <c r="A258" s="1">
        <v>1223</v>
      </c>
      <c r="B258" s="1">
        <v>3</v>
      </c>
      <c r="C258" s="1" t="s">
        <v>3</v>
      </c>
      <c r="D258" s="1">
        <v>5</v>
      </c>
      <c r="E258" s="1">
        <v>170.9</v>
      </c>
      <c r="F258" s="1">
        <v>0.99794499999999997</v>
      </c>
      <c r="G258" t="s">
        <v>432</v>
      </c>
      <c r="H258" t="s">
        <v>433</v>
      </c>
      <c r="I258" t="s">
        <v>4381</v>
      </c>
      <c r="J258" t="str">
        <f>"Tensin-1"</f>
        <v>Tensin-1</v>
      </c>
      <c r="K258" t="str">
        <f>"TNS1"</f>
        <v>TNS1</v>
      </c>
    </row>
    <row r="259" spans="1:11" x14ac:dyDescent="0.25">
      <c r="A259" s="1">
        <v>2030</v>
      </c>
      <c r="B259" s="1">
        <v>3</v>
      </c>
      <c r="C259" s="1" t="s">
        <v>3</v>
      </c>
      <c r="D259" s="1">
        <v>4</v>
      </c>
      <c r="E259" s="1">
        <v>185.55</v>
      </c>
      <c r="F259" s="1">
        <v>0.99765599999999999</v>
      </c>
      <c r="G259" t="s">
        <v>434</v>
      </c>
      <c r="H259" t="s">
        <v>435</v>
      </c>
      <c r="I259" t="s">
        <v>4382</v>
      </c>
      <c r="J259" t="str">
        <f>"Signal transducer and activator of transcription 1-alpha/beta;Signal transducer and activator of transcription"</f>
        <v>Signal transducer and activator of transcription 1-alpha/beta;Signal transducer and activator of transcription</v>
      </c>
      <c r="K259" t="str">
        <f>"STAT1"</f>
        <v>STAT1</v>
      </c>
    </row>
    <row r="260" spans="1:11" x14ac:dyDescent="0.25">
      <c r="A260" s="1">
        <v>2355</v>
      </c>
      <c r="B260" s="1">
        <v>3</v>
      </c>
      <c r="C260" s="1" t="s">
        <v>3</v>
      </c>
      <c r="D260" s="1">
        <v>11</v>
      </c>
      <c r="E260" s="1">
        <v>142.58000000000001</v>
      </c>
      <c r="F260" s="1">
        <v>0.97845099999999996</v>
      </c>
      <c r="G260" t="s">
        <v>436</v>
      </c>
      <c r="H260" t="s">
        <v>437</v>
      </c>
      <c r="I260" t="s">
        <v>4383</v>
      </c>
      <c r="J260" t="str">
        <f>"Amyloid-like protein 2"</f>
        <v>Amyloid-like protein 2</v>
      </c>
      <c r="K260" t="str">
        <f>"APLP2"</f>
        <v>APLP2</v>
      </c>
    </row>
    <row r="261" spans="1:11" x14ac:dyDescent="0.25">
      <c r="A261" s="1">
        <v>2622</v>
      </c>
      <c r="B261" s="1">
        <v>3</v>
      </c>
      <c r="C261" s="1" t="s">
        <v>3</v>
      </c>
      <c r="D261" s="1">
        <v>17</v>
      </c>
      <c r="E261" s="1">
        <v>70.802000000000007</v>
      </c>
      <c r="F261" s="1">
        <v>0.98577899999999996</v>
      </c>
      <c r="G261" t="s">
        <v>438</v>
      </c>
      <c r="H261" t="s">
        <v>439</v>
      </c>
      <c r="I261" t="s">
        <v>4384</v>
      </c>
      <c r="J261" t="str">
        <f>"Tensin-3"</f>
        <v>Tensin-3</v>
      </c>
      <c r="K261" t="str">
        <f>"TNS3"</f>
        <v>TNS3</v>
      </c>
    </row>
    <row r="262" spans="1:11" x14ac:dyDescent="0.25">
      <c r="A262" s="1">
        <v>1858</v>
      </c>
      <c r="B262" s="1">
        <v>3</v>
      </c>
      <c r="C262" s="1" t="s">
        <v>3</v>
      </c>
      <c r="D262" s="1">
        <v>9</v>
      </c>
      <c r="E262" s="1">
        <v>156.16999999999999</v>
      </c>
      <c r="F262" s="1">
        <v>1</v>
      </c>
      <c r="G262" t="s">
        <v>440</v>
      </c>
      <c r="H262" t="s">
        <v>369</v>
      </c>
      <c r="I262" t="s">
        <v>4385</v>
      </c>
      <c r="J262" t="str">
        <f>"T-cell surface glycoprotein CD3 zeta chain"</f>
        <v>T-cell surface glycoprotein CD3 zeta chain</v>
      </c>
      <c r="K262" t="str">
        <f>"CD247"</f>
        <v>CD247</v>
      </c>
    </row>
    <row r="263" spans="1:11" x14ac:dyDescent="0.25">
      <c r="A263" s="1">
        <v>2327</v>
      </c>
      <c r="B263" s="1">
        <v>3</v>
      </c>
      <c r="C263" s="1" t="s">
        <v>3</v>
      </c>
      <c r="D263" s="1">
        <v>10</v>
      </c>
      <c r="E263" s="1">
        <v>136.6</v>
      </c>
      <c r="F263" s="1">
        <v>0.99998900000000002</v>
      </c>
      <c r="G263" t="s">
        <v>441</v>
      </c>
      <c r="H263" t="s">
        <v>442</v>
      </c>
      <c r="I263" t="s">
        <v>4386</v>
      </c>
      <c r="J263" t="str">
        <f>"1,4-alpha-glucan-branching enzyme"</f>
        <v>1,4-alpha-glucan-branching enzyme</v>
      </c>
      <c r="K263" t="str">
        <f>"GBE1"</f>
        <v>GBE1</v>
      </c>
    </row>
    <row r="264" spans="1:11" x14ac:dyDescent="0.25">
      <c r="A264" s="1">
        <v>1475</v>
      </c>
      <c r="B264" s="1">
        <v>2</v>
      </c>
      <c r="C264" s="1" t="s">
        <v>3</v>
      </c>
      <c r="D264" s="1">
        <v>2</v>
      </c>
      <c r="E264" s="1">
        <v>62.466000000000001</v>
      </c>
      <c r="F264" s="1">
        <v>1</v>
      </c>
      <c r="G264" t="s">
        <v>443</v>
      </c>
      <c r="H264" t="s">
        <v>444</v>
      </c>
      <c r="I264">
        <v>110</v>
      </c>
      <c r="J264" t="str">
        <f>"Cytoplasmic protein NCK2"</f>
        <v>Cytoplasmic protein NCK2</v>
      </c>
      <c r="K264" t="str">
        <f>"NCK2"</f>
        <v>NCK2</v>
      </c>
    </row>
    <row r="265" spans="1:11" x14ac:dyDescent="0.25">
      <c r="A265" s="1">
        <v>2683</v>
      </c>
      <c r="B265" s="1">
        <v>3</v>
      </c>
      <c r="C265" s="1" t="s">
        <v>3</v>
      </c>
      <c r="D265" s="1">
        <v>10</v>
      </c>
      <c r="E265" s="1">
        <v>59.247999999999998</v>
      </c>
      <c r="F265" s="1">
        <v>0.98621700000000001</v>
      </c>
      <c r="G265" t="s">
        <v>445</v>
      </c>
      <c r="H265" t="s">
        <v>446</v>
      </c>
      <c r="I265" t="s">
        <v>4387</v>
      </c>
      <c r="J265" t="str">
        <f>"Lipolysis-stimulated lipoprotein receptor"</f>
        <v>Lipolysis-stimulated lipoprotein receptor</v>
      </c>
      <c r="K265" t="str">
        <f>"LSR"</f>
        <v>LSR</v>
      </c>
    </row>
    <row r="266" spans="1:11" x14ac:dyDescent="0.25">
      <c r="A266" s="1">
        <v>1423</v>
      </c>
      <c r="B266" s="1">
        <v>2</v>
      </c>
      <c r="C266" s="1" t="s">
        <v>3</v>
      </c>
      <c r="D266" s="1">
        <v>2</v>
      </c>
      <c r="E266" s="1">
        <v>147.06</v>
      </c>
      <c r="F266" s="1">
        <v>1</v>
      </c>
      <c r="G266" t="s">
        <v>447</v>
      </c>
      <c r="H266" t="s">
        <v>448</v>
      </c>
      <c r="I266" t="s">
        <v>4388</v>
      </c>
      <c r="J266" t="str">
        <f>"Syntenin-1"</f>
        <v>Syntenin-1</v>
      </c>
      <c r="K266" t="str">
        <f>"SDCBP"</f>
        <v>SDCBP</v>
      </c>
    </row>
    <row r="267" spans="1:11" x14ac:dyDescent="0.25">
      <c r="A267" s="1">
        <v>2002</v>
      </c>
      <c r="B267" s="1">
        <v>2</v>
      </c>
      <c r="C267" s="1" t="s">
        <v>3</v>
      </c>
      <c r="D267" s="1">
        <v>10</v>
      </c>
      <c r="E267" s="1">
        <v>62.286999999999999</v>
      </c>
      <c r="F267" s="1">
        <v>0.99708600000000003</v>
      </c>
      <c r="G267" t="s">
        <v>449</v>
      </c>
      <c r="H267" t="s">
        <v>450</v>
      </c>
      <c r="I267" t="s">
        <v>4389</v>
      </c>
      <c r="J267" t="str">
        <f>"Myosin-9"</f>
        <v>Myosin-9</v>
      </c>
      <c r="K267" t="str">
        <f>"MYH9"</f>
        <v>MYH9</v>
      </c>
    </row>
    <row r="268" spans="1:11" x14ac:dyDescent="0.25">
      <c r="A268" s="1">
        <v>1678</v>
      </c>
      <c r="B268" s="1">
        <v>3</v>
      </c>
      <c r="C268" s="1" t="s">
        <v>3</v>
      </c>
      <c r="D268" s="1">
        <v>11</v>
      </c>
      <c r="E268" s="1">
        <v>66.989000000000004</v>
      </c>
      <c r="F268" s="1">
        <v>1</v>
      </c>
      <c r="G268" t="s">
        <v>451</v>
      </c>
      <c r="H268" t="s">
        <v>452</v>
      </c>
      <c r="I268" t="s">
        <v>4390</v>
      </c>
      <c r="J268" t="str">
        <f>"Annexin A6;Annexin"</f>
        <v>Annexin A6;Annexin</v>
      </c>
      <c r="K268" t="str">
        <f>"ANXA6"</f>
        <v>ANXA6</v>
      </c>
    </row>
    <row r="269" spans="1:11" x14ac:dyDescent="0.25">
      <c r="A269" s="1">
        <v>2126</v>
      </c>
      <c r="B269" s="1">
        <v>3</v>
      </c>
      <c r="C269" s="1" t="s">
        <v>3</v>
      </c>
      <c r="D269" s="1">
        <v>4</v>
      </c>
      <c r="E269" s="1">
        <v>205.31</v>
      </c>
      <c r="F269" s="1">
        <v>0.95748</v>
      </c>
      <c r="G269" t="s">
        <v>453</v>
      </c>
      <c r="H269" t="s">
        <v>454</v>
      </c>
      <c r="I269" t="s">
        <v>4391</v>
      </c>
      <c r="J269" t="str">
        <f>"Glycine amidinotransferase, mitochondrial"</f>
        <v>Glycine amidinotransferase, mitochondrial</v>
      </c>
      <c r="K269" t="str">
        <f>"GATM"</f>
        <v>GATM</v>
      </c>
    </row>
    <row r="270" spans="1:11" x14ac:dyDescent="0.25">
      <c r="A270" s="1">
        <v>767</v>
      </c>
      <c r="B270" s="1">
        <v>2</v>
      </c>
      <c r="C270" s="1" t="s">
        <v>3</v>
      </c>
      <c r="D270" s="1">
        <v>6</v>
      </c>
      <c r="E270" s="1">
        <v>106.38</v>
      </c>
      <c r="F270" s="1">
        <v>0.99995299999999998</v>
      </c>
      <c r="G270" t="s">
        <v>455</v>
      </c>
      <c r="H270" t="s">
        <v>456</v>
      </c>
      <c r="I270" t="s">
        <v>4392</v>
      </c>
      <c r="J270" t="str">
        <f>"Membrane-associated guanylate kinase, WW and PDZ domain-containing protein 1"</f>
        <v>Membrane-associated guanylate kinase, WW and PDZ domain-containing protein 1</v>
      </c>
      <c r="K270" t="str">
        <f>"MAGI1"</f>
        <v>MAGI1</v>
      </c>
    </row>
    <row r="271" spans="1:11" x14ac:dyDescent="0.25">
      <c r="A271" s="1">
        <v>1329</v>
      </c>
      <c r="B271" s="1">
        <v>2</v>
      </c>
      <c r="C271" s="1" t="s">
        <v>3</v>
      </c>
      <c r="D271" s="1">
        <v>1</v>
      </c>
      <c r="E271" s="1">
        <v>123.02</v>
      </c>
      <c r="F271" s="1">
        <v>0.99448499999999995</v>
      </c>
      <c r="G271" t="s">
        <v>457</v>
      </c>
      <c r="H271" t="s">
        <v>458</v>
      </c>
      <c r="I271" t="s">
        <v>4393</v>
      </c>
      <c r="J271" t="str">
        <f>"Proteasome subunit alpha type;Proteasome subunit alpha type-6"</f>
        <v>Proteasome subunit alpha type;Proteasome subunit alpha type-6</v>
      </c>
      <c r="K271" t="str">
        <f>"PSMA6"</f>
        <v>PSMA6</v>
      </c>
    </row>
    <row r="272" spans="1:11" x14ac:dyDescent="0.25">
      <c r="A272" s="1">
        <v>1463</v>
      </c>
      <c r="B272" s="1">
        <v>3</v>
      </c>
      <c r="C272" s="1" t="s">
        <v>3</v>
      </c>
      <c r="D272" s="1">
        <v>12</v>
      </c>
      <c r="E272" s="1">
        <v>118.72</v>
      </c>
      <c r="F272" s="1">
        <v>0.95033900000000004</v>
      </c>
      <c r="G272" t="s">
        <v>419</v>
      </c>
      <c r="H272" t="s">
        <v>420</v>
      </c>
      <c r="I272">
        <v>214</v>
      </c>
      <c r="J272" t="str">
        <f>"Claudin-3"</f>
        <v>Claudin-3</v>
      </c>
      <c r="K272" t="str">
        <f>"CLDN3"</f>
        <v>CLDN3</v>
      </c>
    </row>
    <row r="273" spans="1:11" x14ac:dyDescent="0.25">
      <c r="A273" s="1">
        <v>1892</v>
      </c>
      <c r="B273" s="1">
        <v>3</v>
      </c>
      <c r="C273" s="1" t="s">
        <v>3</v>
      </c>
      <c r="D273" s="1">
        <v>11</v>
      </c>
      <c r="E273" s="1">
        <v>56.719000000000001</v>
      </c>
      <c r="F273" s="1">
        <v>0.95355100000000004</v>
      </c>
      <c r="G273" t="s">
        <v>459</v>
      </c>
      <c r="H273" t="s">
        <v>460</v>
      </c>
      <c r="I273">
        <v>674</v>
      </c>
      <c r="J273" t="str">
        <f>"E3 ubiquitin-protein ligase CBL"</f>
        <v>E3 ubiquitin-protein ligase CBL</v>
      </c>
      <c r="K273" t="str">
        <f>"CBL"</f>
        <v>CBL</v>
      </c>
    </row>
    <row r="274" spans="1:11" x14ac:dyDescent="0.25">
      <c r="A274" s="1">
        <v>1573</v>
      </c>
      <c r="B274" s="1">
        <v>4</v>
      </c>
      <c r="C274" s="1" t="s">
        <v>3</v>
      </c>
      <c r="D274" s="1">
        <v>17</v>
      </c>
      <c r="E274" s="1">
        <v>90.385000000000005</v>
      </c>
      <c r="F274" s="1">
        <v>0.99847900000000001</v>
      </c>
      <c r="G274" t="s">
        <v>461</v>
      </c>
      <c r="H274" t="s">
        <v>462</v>
      </c>
      <c r="I274">
        <v>247</v>
      </c>
      <c r="J274" t="str">
        <f>"BAG family molecular chaperone regulator 3"</f>
        <v>BAG family molecular chaperone regulator 3</v>
      </c>
      <c r="K274" t="str">
        <f>"BAG3"</f>
        <v>BAG3</v>
      </c>
    </row>
    <row r="275" spans="1:11" x14ac:dyDescent="0.25">
      <c r="A275" s="1">
        <v>2893</v>
      </c>
      <c r="B275" s="1">
        <v>3</v>
      </c>
      <c r="C275" s="1" t="s">
        <v>3</v>
      </c>
      <c r="D275" s="1">
        <v>9</v>
      </c>
      <c r="E275" s="1">
        <v>147.63999999999999</v>
      </c>
      <c r="F275" s="1">
        <v>0.8024</v>
      </c>
      <c r="G275" t="s">
        <v>463</v>
      </c>
      <c r="H275" t="s">
        <v>124</v>
      </c>
      <c r="I275" t="s">
        <v>4394</v>
      </c>
      <c r="J275" t="str">
        <f>"Plakophilin-4"</f>
        <v>Plakophilin-4</v>
      </c>
      <c r="K275" t="str">
        <f>"PKP4"</f>
        <v>PKP4</v>
      </c>
    </row>
    <row r="276" spans="1:11" x14ac:dyDescent="0.25">
      <c r="A276" s="1">
        <v>1395</v>
      </c>
      <c r="B276" s="1">
        <v>3</v>
      </c>
      <c r="C276" s="1" t="s">
        <v>3</v>
      </c>
      <c r="D276" s="1">
        <v>4</v>
      </c>
      <c r="E276" s="1">
        <v>119.62</v>
      </c>
      <c r="F276" s="1">
        <v>0.99957300000000004</v>
      </c>
      <c r="G276" t="s">
        <v>464</v>
      </c>
      <c r="H276" t="s">
        <v>465</v>
      </c>
      <c r="I276" t="s">
        <v>4395</v>
      </c>
      <c r="J276" t="str">
        <f>"TYRO protein tyrosine kinase-binding protein"</f>
        <v>TYRO protein tyrosine kinase-binding protein</v>
      </c>
      <c r="K276" t="str">
        <f>"TYROBP"</f>
        <v>TYROBP</v>
      </c>
    </row>
    <row r="277" spans="1:11" x14ac:dyDescent="0.25">
      <c r="A277" s="1">
        <v>216</v>
      </c>
      <c r="B277" s="1">
        <v>3</v>
      </c>
      <c r="C277" s="1" t="s">
        <v>5</v>
      </c>
      <c r="D277" s="1">
        <v>6</v>
      </c>
      <c r="E277" s="1">
        <v>102.57</v>
      </c>
      <c r="F277" s="1">
        <v>0.67431700000000006</v>
      </c>
      <c r="G277" t="s">
        <v>466</v>
      </c>
      <c r="H277" t="s">
        <v>467</v>
      </c>
      <c r="I277" t="s">
        <v>4396</v>
      </c>
      <c r="J277" t="str">
        <f>"T-complex protein 1 subunit alpha"</f>
        <v>T-complex protein 1 subunit alpha</v>
      </c>
      <c r="K277" t="str">
        <f>"TCP1"</f>
        <v>TCP1</v>
      </c>
    </row>
    <row r="278" spans="1:11" x14ac:dyDescent="0.25">
      <c r="A278" s="1">
        <v>1347</v>
      </c>
      <c r="B278" s="1">
        <v>3</v>
      </c>
      <c r="C278" s="1" t="s">
        <v>3</v>
      </c>
      <c r="D278" s="1">
        <v>1</v>
      </c>
      <c r="E278" s="1">
        <v>145.34</v>
      </c>
      <c r="F278" s="1">
        <v>0.99999800000000005</v>
      </c>
      <c r="G278" t="s">
        <v>468</v>
      </c>
      <c r="H278" t="s">
        <v>469</v>
      </c>
      <c r="I278" t="s">
        <v>4397</v>
      </c>
      <c r="J278" t="str">
        <f>"Tyrosine-protein kinase receptor TYRO3"</f>
        <v>Tyrosine-protein kinase receptor TYRO3</v>
      </c>
      <c r="K278" t="str">
        <f>"TYRO3"</f>
        <v>TYRO3</v>
      </c>
    </row>
    <row r="279" spans="1:11" x14ac:dyDescent="0.25">
      <c r="A279" s="1">
        <v>2974</v>
      </c>
      <c r="B279" s="1">
        <v>3</v>
      </c>
      <c r="C279" s="1" t="s">
        <v>3</v>
      </c>
      <c r="D279" s="1">
        <v>5</v>
      </c>
      <c r="E279" s="1">
        <v>110.75</v>
      </c>
      <c r="F279" s="1">
        <v>0.99999899999999997</v>
      </c>
      <c r="G279" t="s">
        <v>470</v>
      </c>
      <c r="H279" t="s">
        <v>471</v>
      </c>
      <c r="I279" t="s">
        <v>4398</v>
      </c>
      <c r="J279" t="str">
        <f>"GRB2-associated and regulator of MAPK protein"</f>
        <v>GRB2-associated and regulator of MAPK protein</v>
      </c>
      <c r="K279" t="str">
        <f>"GAREM"</f>
        <v>GAREM</v>
      </c>
    </row>
    <row r="280" spans="1:11" x14ac:dyDescent="0.25">
      <c r="A280" s="1">
        <v>1971</v>
      </c>
      <c r="B280" s="1">
        <v>3</v>
      </c>
      <c r="C280" s="1" t="s">
        <v>3</v>
      </c>
      <c r="D280" s="1">
        <v>5</v>
      </c>
      <c r="E280" s="1">
        <v>184</v>
      </c>
      <c r="F280" s="1">
        <v>0.67932700000000001</v>
      </c>
      <c r="G280" t="s">
        <v>472</v>
      </c>
      <c r="H280" t="s">
        <v>181</v>
      </c>
      <c r="I280">
        <v>64</v>
      </c>
      <c r="J280" t="str">
        <f>"Endoplasmic reticulum resident protein 29"</f>
        <v>Endoplasmic reticulum resident protein 29</v>
      </c>
      <c r="K280" t="str">
        <f>"ERP29"</f>
        <v>ERP29</v>
      </c>
    </row>
    <row r="281" spans="1:11" x14ac:dyDescent="0.25">
      <c r="A281" s="1">
        <v>1525</v>
      </c>
      <c r="B281" s="1">
        <v>3</v>
      </c>
      <c r="C281" s="1" t="s">
        <v>3</v>
      </c>
      <c r="D281" s="1">
        <v>2</v>
      </c>
      <c r="E281" s="1">
        <v>246.96</v>
      </c>
      <c r="F281" s="1">
        <v>1</v>
      </c>
      <c r="G281" t="s">
        <v>473</v>
      </c>
      <c r="H281" t="s">
        <v>474</v>
      </c>
      <c r="I281">
        <v>392</v>
      </c>
      <c r="J281" t="str">
        <f>"Copine-3"</f>
        <v>Copine-3</v>
      </c>
      <c r="K281" t="str">
        <f>"CPNE3"</f>
        <v>CPNE3</v>
      </c>
    </row>
    <row r="282" spans="1:11" x14ac:dyDescent="0.25">
      <c r="A282" s="1">
        <v>2616</v>
      </c>
      <c r="B282" s="1">
        <v>3</v>
      </c>
      <c r="C282" s="1" t="s">
        <v>3</v>
      </c>
      <c r="D282" s="1">
        <v>11</v>
      </c>
      <c r="E282" s="1">
        <v>68.277000000000001</v>
      </c>
      <c r="F282" s="1">
        <v>0.99995599999999996</v>
      </c>
      <c r="G282" t="s">
        <v>475</v>
      </c>
      <c r="H282" t="s">
        <v>476</v>
      </c>
      <c r="I282" t="s">
        <v>4399</v>
      </c>
      <c r="J282" t="str">
        <f>"Terminal uridylyltransferase 7"</f>
        <v>Terminal uridylyltransferase 7</v>
      </c>
      <c r="K282" t="str">
        <f>"ZCCHC6"</f>
        <v>ZCCHC6</v>
      </c>
    </row>
    <row r="283" spans="1:11" x14ac:dyDescent="0.25">
      <c r="A283" s="1">
        <v>955</v>
      </c>
      <c r="B283" s="1">
        <v>3</v>
      </c>
      <c r="C283" s="1" t="s">
        <v>3</v>
      </c>
      <c r="D283" s="1">
        <v>9</v>
      </c>
      <c r="E283" s="1">
        <v>183.01</v>
      </c>
      <c r="F283" s="1">
        <v>0.990533</v>
      </c>
      <c r="G283" t="s">
        <v>477</v>
      </c>
      <c r="H283" t="s">
        <v>478</v>
      </c>
      <c r="I283" t="s">
        <v>4400</v>
      </c>
      <c r="J283" t="str">
        <f>"Spectrin alpha chain, non-erythrocytic 1"</f>
        <v>Spectrin alpha chain, non-erythrocytic 1</v>
      </c>
      <c r="K283" t="str">
        <f>"SPTAN1"</f>
        <v>SPTAN1</v>
      </c>
    </row>
    <row r="284" spans="1:11" x14ac:dyDescent="0.25">
      <c r="A284" s="1">
        <v>1615</v>
      </c>
      <c r="B284" s="1">
        <v>2</v>
      </c>
      <c r="C284" s="1" t="s">
        <v>3</v>
      </c>
      <c r="D284" s="1">
        <v>2</v>
      </c>
      <c r="E284" s="1">
        <v>164.11</v>
      </c>
      <c r="F284" s="1">
        <v>0.99999899999999997</v>
      </c>
      <c r="G284" t="s">
        <v>479</v>
      </c>
      <c r="H284" t="s">
        <v>480</v>
      </c>
      <c r="I284" t="s">
        <v>4401</v>
      </c>
      <c r="J284" t="str">
        <f>"Fructose-bisphosphate aldolase A"</f>
        <v>Fructose-bisphosphate aldolase A</v>
      </c>
      <c r="K284" t="str">
        <f>"ALDOA"</f>
        <v>ALDOA</v>
      </c>
    </row>
    <row r="285" spans="1:11" x14ac:dyDescent="0.25">
      <c r="A285" s="1">
        <v>2644</v>
      </c>
      <c r="B285" s="1">
        <v>3</v>
      </c>
      <c r="C285" s="1" t="s">
        <v>3</v>
      </c>
      <c r="D285" s="1">
        <v>7</v>
      </c>
      <c r="E285" s="1">
        <v>135.99</v>
      </c>
      <c r="F285" s="1">
        <v>0.99985100000000005</v>
      </c>
      <c r="G285" t="s">
        <v>481</v>
      </c>
      <c r="H285" t="s">
        <v>482</v>
      </c>
      <c r="I285" t="s">
        <v>4402</v>
      </c>
      <c r="J285" t="str">
        <f>"Dynamin-binding protein"</f>
        <v>Dynamin-binding protein</v>
      </c>
      <c r="K285" t="str">
        <f>"DNMBP"</f>
        <v>DNMBP</v>
      </c>
    </row>
    <row r="286" spans="1:11" x14ac:dyDescent="0.25">
      <c r="A286" s="1">
        <v>1610</v>
      </c>
      <c r="B286" s="1">
        <v>2</v>
      </c>
      <c r="C286" s="1" t="s">
        <v>3</v>
      </c>
      <c r="D286" s="1">
        <v>14</v>
      </c>
      <c r="E286" s="1">
        <v>197.29</v>
      </c>
      <c r="F286" s="1">
        <v>0.89849999999999997</v>
      </c>
      <c r="G286" t="s">
        <v>483</v>
      </c>
      <c r="H286" t="s">
        <v>484</v>
      </c>
      <c r="I286" t="s">
        <v>4403</v>
      </c>
      <c r="J286" t="str">
        <f>"Transferrin receptor protein 1;Transferrin receptor protein 1, serum form"</f>
        <v>Transferrin receptor protein 1;Transferrin receptor protein 1, serum form</v>
      </c>
      <c r="K286" t="str">
        <f>"TFRC"</f>
        <v>TFRC</v>
      </c>
    </row>
    <row r="287" spans="1:11" x14ac:dyDescent="0.25">
      <c r="A287" s="1">
        <v>1730</v>
      </c>
      <c r="B287" s="1">
        <v>3</v>
      </c>
      <c r="C287" s="1" t="s">
        <v>3</v>
      </c>
      <c r="D287" s="1">
        <v>6</v>
      </c>
      <c r="E287" s="1">
        <v>128.88</v>
      </c>
      <c r="F287" s="1">
        <v>0.99928099999999997</v>
      </c>
      <c r="G287" t="s">
        <v>485</v>
      </c>
      <c r="H287" t="s">
        <v>486</v>
      </c>
      <c r="I287" t="s">
        <v>4404</v>
      </c>
      <c r="J287" t="str">
        <f>"Arachidonate 5-lipoxygenase"</f>
        <v>Arachidonate 5-lipoxygenase</v>
      </c>
      <c r="K287" t="str">
        <f>"ALOX5"</f>
        <v>ALOX5</v>
      </c>
    </row>
    <row r="288" spans="1:11" x14ac:dyDescent="0.25">
      <c r="A288" s="1">
        <v>2268</v>
      </c>
      <c r="B288" s="1">
        <v>3</v>
      </c>
      <c r="C288" s="1" t="s">
        <v>3</v>
      </c>
      <c r="D288" s="1">
        <v>14</v>
      </c>
      <c r="E288" s="1">
        <v>63.225000000000001</v>
      </c>
      <c r="F288" s="1">
        <v>0.88861500000000004</v>
      </c>
      <c r="G288" t="s">
        <v>487</v>
      </c>
      <c r="H288" t="s">
        <v>488</v>
      </c>
      <c r="I288">
        <v>80</v>
      </c>
      <c r="J288" t="str">
        <f>"Ras-related C3 botulinum toxin substrate 1"</f>
        <v>Ras-related C3 botulinum toxin substrate 1</v>
      </c>
      <c r="K288" t="str">
        <f>"RAC1"</f>
        <v>RAC1</v>
      </c>
    </row>
    <row r="289" spans="1:11" x14ac:dyDescent="0.25">
      <c r="A289" s="1">
        <v>2929</v>
      </c>
      <c r="B289" s="1">
        <v>3</v>
      </c>
      <c r="C289" s="1" t="s">
        <v>3</v>
      </c>
      <c r="D289" s="1">
        <v>10</v>
      </c>
      <c r="E289" s="1">
        <v>103.73</v>
      </c>
      <c r="F289" s="1">
        <v>0.99941800000000003</v>
      </c>
      <c r="G289" t="s">
        <v>489</v>
      </c>
      <c r="H289" t="s">
        <v>85</v>
      </c>
      <c r="I289" t="s">
        <v>4405</v>
      </c>
      <c r="J289" t="str">
        <f>"Extended synaptotagmin-1"</f>
        <v>Extended synaptotagmin-1</v>
      </c>
      <c r="K289" t="str">
        <f>"ESYT1"</f>
        <v>ESYT1</v>
      </c>
    </row>
    <row r="290" spans="1:11" x14ac:dyDescent="0.25">
      <c r="A290" s="1">
        <v>2744</v>
      </c>
      <c r="B290" s="1">
        <v>3</v>
      </c>
      <c r="C290" s="1" t="s">
        <v>3</v>
      </c>
      <c r="D290" s="1">
        <v>17</v>
      </c>
      <c r="E290" s="1">
        <v>145.02000000000001</v>
      </c>
      <c r="F290" s="1">
        <v>1</v>
      </c>
      <c r="G290" t="s">
        <v>490</v>
      </c>
      <c r="H290" t="s">
        <v>491</v>
      </c>
      <c r="I290">
        <v>107</v>
      </c>
      <c r="J290" t="str">
        <f>"Protein FAM83F"</f>
        <v>Protein FAM83F</v>
      </c>
      <c r="K290" t="str">
        <f>"FAM83F"</f>
        <v>FAM83F</v>
      </c>
    </row>
    <row r="291" spans="1:11" x14ac:dyDescent="0.25">
      <c r="A291" s="1">
        <v>794</v>
      </c>
      <c r="B291" s="1">
        <v>4</v>
      </c>
      <c r="C291" s="1" t="s">
        <v>3</v>
      </c>
      <c r="D291" s="1">
        <v>24</v>
      </c>
      <c r="E291" s="1">
        <v>61.612000000000002</v>
      </c>
      <c r="F291" s="1">
        <v>1</v>
      </c>
      <c r="G291" t="s">
        <v>492</v>
      </c>
      <c r="H291" t="s">
        <v>493</v>
      </c>
      <c r="I291" t="s">
        <v>4406</v>
      </c>
      <c r="J291" t="str">
        <f>"Clathrin heavy chain 1"</f>
        <v>Clathrin heavy chain 1</v>
      </c>
      <c r="K291" t="str">
        <f>"CLTC"</f>
        <v>CLTC</v>
      </c>
    </row>
    <row r="292" spans="1:11" x14ac:dyDescent="0.25">
      <c r="A292" s="1">
        <v>1924</v>
      </c>
      <c r="B292" s="1">
        <v>3</v>
      </c>
      <c r="C292" s="1" t="s">
        <v>3</v>
      </c>
      <c r="D292" s="1">
        <v>6</v>
      </c>
      <c r="E292" s="1">
        <v>92.855999999999995</v>
      </c>
      <c r="F292" s="1">
        <v>0.99956699999999998</v>
      </c>
      <c r="G292" t="s">
        <v>494</v>
      </c>
      <c r="H292" t="s">
        <v>495</v>
      </c>
      <c r="I292">
        <v>76</v>
      </c>
      <c r="J292" t="str">
        <f>"Proteasome subunit alpha type-2"</f>
        <v>Proteasome subunit alpha type-2</v>
      </c>
      <c r="K292" t="str">
        <f>"PSMA2"</f>
        <v>PSMA2</v>
      </c>
    </row>
    <row r="293" spans="1:11" x14ac:dyDescent="0.25">
      <c r="A293" s="1">
        <v>804</v>
      </c>
      <c r="B293" s="1">
        <v>4</v>
      </c>
      <c r="C293" s="1" t="s">
        <v>3</v>
      </c>
      <c r="D293" s="1">
        <v>12</v>
      </c>
      <c r="E293" s="1">
        <v>126.77</v>
      </c>
      <c r="F293" s="1">
        <v>0.98937200000000003</v>
      </c>
      <c r="G293" t="s">
        <v>496</v>
      </c>
      <c r="H293" t="s">
        <v>497</v>
      </c>
      <c r="I293" t="s">
        <v>4407</v>
      </c>
      <c r="J293" t="str">
        <f>"Mucin-1;Mucin-1 subunit alpha;Mucin-1 subunit beta"</f>
        <v>Mucin-1;Mucin-1 subunit alpha;Mucin-1 subunit beta</v>
      </c>
      <c r="K293" t="str">
        <f>"MUC1"</f>
        <v>MUC1</v>
      </c>
    </row>
    <row r="294" spans="1:11" x14ac:dyDescent="0.25">
      <c r="A294" s="1">
        <v>1963</v>
      </c>
      <c r="B294" s="1">
        <v>2</v>
      </c>
      <c r="C294" s="1" t="s">
        <v>3</v>
      </c>
      <c r="D294" s="1">
        <v>6</v>
      </c>
      <c r="E294" s="1">
        <v>183.36</v>
      </c>
      <c r="F294" s="1">
        <v>0.99995100000000003</v>
      </c>
      <c r="G294" t="s">
        <v>498</v>
      </c>
      <c r="H294" t="s">
        <v>499</v>
      </c>
      <c r="I294" t="s">
        <v>4408</v>
      </c>
      <c r="J294" t="str">
        <f>"Tyrosine-protein phosphatase non-receptor type 6"</f>
        <v>Tyrosine-protein phosphatase non-receptor type 6</v>
      </c>
      <c r="K294" t="str">
        <f>"PTPN6"</f>
        <v>PTPN6</v>
      </c>
    </row>
    <row r="295" spans="1:11" x14ac:dyDescent="0.25">
      <c r="A295" s="1">
        <v>2505</v>
      </c>
      <c r="B295" s="1">
        <v>3</v>
      </c>
      <c r="C295" s="1" t="s">
        <v>3</v>
      </c>
      <c r="D295" s="1">
        <v>14</v>
      </c>
      <c r="E295" s="1">
        <v>113.89</v>
      </c>
      <c r="F295" s="1">
        <v>0.99912699999999999</v>
      </c>
      <c r="G295" t="s">
        <v>500</v>
      </c>
      <c r="H295" t="s">
        <v>501</v>
      </c>
      <c r="I295" t="s">
        <v>4409</v>
      </c>
      <c r="J295" t="str">
        <f>"Septin-2"</f>
        <v>Septin-2</v>
      </c>
      <c r="K295" t="str">
        <f>"SEPT2"</f>
        <v>SEPT2</v>
      </c>
    </row>
    <row r="296" spans="1:11" x14ac:dyDescent="0.25">
      <c r="A296" s="1">
        <v>1906</v>
      </c>
      <c r="B296" s="1">
        <v>2</v>
      </c>
      <c r="C296" s="1" t="s">
        <v>3</v>
      </c>
      <c r="D296" s="1">
        <v>8</v>
      </c>
      <c r="E296" s="1">
        <v>129.82</v>
      </c>
      <c r="F296" s="1">
        <v>0.99426099999999995</v>
      </c>
      <c r="G296" t="s">
        <v>502</v>
      </c>
      <c r="H296" t="s">
        <v>503</v>
      </c>
      <c r="I296" t="s">
        <v>4410</v>
      </c>
      <c r="J296" t="str">
        <f>"Cofilin-1;Cofilin-2"</f>
        <v>Cofilin-1;Cofilin-2</v>
      </c>
      <c r="K296" t="str">
        <f>"CFL1;CFL2"</f>
        <v>CFL1;CFL2</v>
      </c>
    </row>
    <row r="297" spans="1:11" x14ac:dyDescent="0.25">
      <c r="A297" s="1">
        <v>449</v>
      </c>
      <c r="B297" s="1">
        <v>3</v>
      </c>
      <c r="C297" s="1" t="s">
        <v>5</v>
      </c>
      <c r="D297" s="1">
        <v>16</v>
      </c>
      <c r="E297" s="1">
        <v>101.45</v>
      </c>
      <c r="F297" s="1">
        <v>0.62554799999999999</v>
      </c>
      <c r="G297" t="s">
        <v>504</v>
      </c>
      <c r="H297" t="s">
        <v>55</v>
      </c>
      <c r="I297">
        <v>1085</v>
      </c>
      <c r="J297" t="str">
        <f>"Rho GTPase-activating protein 35"</f>
        <v>Rho GTPase-activating protein 35</v>
      </c>
      <c r="K297" t="str">
        <f>"ARHGAP35"</f>
        <v>ARHGAP35</v>
      </c>
    </row>
    <row r="298" spans="1:11" x14ac:dyDescent="0.25">
      <c r="A298" s="1">
        <v>1834</v>
      </c>
      <c r="B298" s="1">
        <v>3</v>
      </c>
      <c r="C298" s="1" t="s">
        <v>3</v>
      </c>
      <c r="D298" s="1">
        <v>6</v>
      </c>
      <c r="E298" s="1">
        <v>133.47</v>
      </c>
      <c r="F298" s="1">
        <v>0.99992400000000004</v>
      </c>
      <c r="G298" t="s">
        <v>505</v>
      </c>
      <c r="H298" t="s">
        <v>151</v>
      </c>
      <c r="I298" t="s">
        <v>4411</v>
      </c>
      <c r="J298" t="str">
        <f>"Protein SON"</f>
        <v>Protein SON</v>
      </c>
      <c r="K298" t="str">
        <f>"SON"</f>
        <v>SON</v>
      </c>
    </row>
    <row r="299" spans="1:11" x14ac:dyDescent="0.25">
      <c r="A299" s="1">
        <v>1579</v>
      </c>
      <c r="B299" s="1">
        <v>2</v>
      </c>
      <c r="C299" s="1" t="s">
        <v>3</v>
      </c>
      <c r="D299" s="1">
        <v>5</v>
      </c>
      <c r="E299" s="1">
        <v>83.168000000000006</v>
      </c>
      <c r="F299" s="1">
        <v>1</v>
      </c>
      <c r="G299" t="s">
        <v>506</v>
      </c>
      <c r="H299" t="s">
        <v>507</v>
      </c>
      <c r="I299" t="s">
        <v>4412</v>
      </c>
      <c r="J299" t="str">
        <f>"L-lactate dehydrogenase A chain"</f>
        <v>L-lactate dehydrogenase A chain</v>
      </c>
      <c r="K299" t="str">
        <f>"LDHA"</f>
        <v>LDHA</v>
      </c>
    </row>
    <row r="300" spans="1:11" x14ac:dyDescent="0.25">
      <c r="A300" s="1">
        <v>2307</v>
      </c>
      <c r="B300" s="1">
        <v>3</v>
      </c>
      <c r="C300" s="1" t="s">
        <v>3</v>
      </c>
      <c r="D300" s="1">
        <v>10</v>
      </c>
      <c r="E300" s="1">
        <v>64.103999999999999</v>
      </c>
      <c r="F300" s="1">
        <v>0.99961800000000001</v>
      </c>
      <c r="G300" t="s">
        <v>508</v>
      </c>
      <c r="H300" t="s">
        <v>509</v>
      </c>
      <c r="I300" t="s">
        <v>4413</v>
      </c>
      <c r="J300" t="str">
        <f>"Spectrin beta chain, non-erythrocytic 1"</f>
        <v>Spectrin beta chain, non-erythrocytic 1</v>
      </c>
      <c r="K300" t="str">
        <f>"SPTBN1"</f>
        <v>SPTBN1</v>
      </c>
    </row>
    <row r="301" spans="1:11" x14ac:dyDescent="0.25">
      <c r="A301" s="1">
        <v>1975</v>
      </c>
      <c r="B301" s="1">
        <v>3</v>
      </c>
      <c r="C301" s="1" t="s">
        <v>3</v>
      </c>
      <c r="D301" s="1">
        <v>1</v>
      </c>
      <c r="E301" s="1">
        <v>57.433999999999997</v>
      </c>
      <c r="F301" s="1">
        <v>1</v>
      </c>
      <c r="G301" t="s">
        <v>510</v>
      </c>
      <c r="H301" t="s">
        <v>511</v>
      </c>
      <c r="I301">
        <v>81</v>
      </c>
      <c r="J301" t="str">
        <f>"Phosphatidylethanolamine-binding protein 1;Hippocampal cholinergic neurostimulating peptide"</f>
        <v>Phosphatidylethanolamine-binding protein 1;Hippocampal cholinergic neurostimulating peptide</v>
      </c>
      <c r="K301" t="str">
        <f>"PEBP1"</f>
        <v>PEBP1</v>
      </c>
    </row>
    <row r="302" spans="1:11" x14ac:dyDescent="0.25">
      <c r="A302" s="1">
        <v>1276</v>
      </c>
      <c r="B302" s="1">
        <v>3</v>
      </c>
      <c r="C302" s="1" t="s">
        <v>3</v>
      </c>
      <c r="D302" s="1">
        <v>10</v>
      </c>
      <c r="E302" s="1">
        <v>130.56</v>
      </c>
      <c r="F302" s="1">
        <v>0.99942699999999995</v>
      </c>
      <c r="G302" t="s">
        <v>512</v>
      </c>
      <c r="H302" t="s">
        <v>513</v>
      </c>
      <c r="I302" t="s">
        <v>4414</v>
      </c>
      <c r="J302" t="str">
        <f>"Paxillin"</f>
        <v>Paxillin</v>
      </c>
      <c r="K302" t="str">
        <f>"PXN"</f>
        <v>PXN</v>
      </c>
    </row>
    <row r="303" spans="1:11" x14ac:dyDescent="0.25">
      <c r="A303" s="1">
        <v>2400</v>
      </c>
      <c r="B303" s="1">
        <v>3</v>
      </c>
      <c r="C303" s="1" t="s">
        <v>3</v>
      </c>
      <c r="D303" s="1">
        <v>8</v>
      </c>
      <c r="E303" s="1">
        <v>152.66</v>
      </c>
      <c r="F303" s="1">
        <v>0.99999800000000005</v>
      </c>
      <c r="G303" t="s">
        <v>514</v>
      </c>
      <c r="H303" t="s">
        <v>515</v>
      </c>
      <c r="I303">
        <v>99</v>
      </c>
      <c r="J303" t="str">
        <f>"PDZK1-interacting protein 1"</f>
        <v>PDZK1-interacting protein 1</v>
      </c>
      <c r="K303" t="str">
        <f>"PDZK1IP1"</f>
        <v>PDZK1IP1</v>
      </c>
    </row>
    <row r="304" spans="1:11" x14ac:dyDescent="0.25">
      <c r="A304" s="1">
        <v>2209</v>
      </c>
      <c r="B304" s="1">
        <v>3</v>
      </c>
      <c r="C304" s="1" t="s">
        <v>3</v>
      </c>
      <c r="D304" s="1">
        <v>17</v>
      </c>
      <c r="E304" s="1">
        <v>100.01</v>
      </c>
      <c r="F304" s="1">
        <v>1</v>
      </c>
      <c r="G304" t="s">
        <v>516</v>
      </c>
      <c r="H304" t="s">
        <v>187</v>
      </c>
      <c r="I304" t="s">
        <v>4415</v>
      </c>
      <c r="J304" t="str">
        <f>"Breast cancer anti-estrogen resistance protein 1"</f>
        <v>Breast cancer anti-estrogen resistance protein 1</v>
      </c>
      <c r="K304" t="str">
        <f>"BCAR1"</f>
        <v>BCAR1</v>
      </c>
    </row>
    <row r="305" spans="1:11" x14ac:dyDescent="0.25">
      <c r="A305" s="1">
        <v>854</v>
      </c>
      <c r="B305" s="1">
        <v>2</v>
      </c>
      <c r="C305" s="1" t="s">
        <v>3</v>
      </c>
      <c r="D305" s="1">
        <v>5</v>
      </c>
      <c r="E305" s="1">
        <v>164.01</v>
      </c>
      <c r="F305" s="1">
        <v>1</v>
      </c>
      <c r="G305" t="s">
        <v>517</v>
      </c>
      <c r="H305" t="s">
        <v>518</v>
      </c>
      <c r="I305" t="s">
        <v>4416</v>
      </c>
      <c r="J305" t="str">
        <f>"SRC kinase signaling inhibitor 1"</f>
        <v>SRC kinase signaling inhibitor 1</v>
      </c>
      <c r="K305" t="str">
        <f>"SRCIN1"</f>
        <v>SRCIN1</v>
      </c>
    </row>
    <row r="306" spans="1:11" x14ac:dyDescent="0.25">
      <c r="A306" s="1">
        <v>829</v>
      </c>
      <c r="B306" s="1">
        <v>3</v>
      </c>
      <c r="C306" s="1" t="s">
        <v>3</v>
      </c>
      <c r="D306" s="1">
        <v>7</v>
      </c>
      <c r="E306" s="1">
        <v>135.69</v>
      </c>
      <c r="F306" s="1">
        <v>0.93586000000000003</v>
      </c>
      <c r="G306" t="s">
        <v>519</v>
      </c>
      <c r="H306" t="s">
        <v>520</v>
      </c>
      <c r="I306" t="s">
        <v>4417</v>
      </c>
      <c r="J306" t="str">
        <f>"Lipoma-preferred partner"</f>
        <v>Lipoma-preferred partner</v>
      </c>
      <c r="K306" t="str">
        <f>"LPP"</f>
        <v>LPP</v>
      </c>
    </row>
    <row r="307" spans="1:11" x14ac:dyDescent="0.25">
      <c r="A307" s="1">
        <v>100</v>
      </c>
      <c r="B307" s="1">
        <v>3</v>
      </c>
      <c r="C307" s="1" t="s">
        <v>5</v>
      </c>
      <c r="D307" s="1">
        <v>9</v>
      </c>
      <c r="E307" s="1">
        <v>133.32</v>
      </c>
      <c r="F307" s="1">
        <v>0.75038499999999997</v>
      </c>
      <c r="G307" t="s">
        <v>521</v>
      </c>
      <c r="H307" t="s">
        <v>39</v>
      </c>
      <c r="I307" t="s">
        <v>4418</v>
      </c>
      <c r="J307" t="str">
        <f>"Paxillin"</f>
        <v>Paxillin</v>
      </c>
      <c r="K307" t="str">
        <f>"PXN"</f>
        <v>PXN</v>
      </c>
    </row>
    <row r="308" spans="1:11" x14ac:dyDescent="0.25">
      <c r="A308" s="1">
        <v>1893</v>
      </c>
      <c r="B308" s="1">
        <v>4</v>
      </c>
      <c r="C308" s="1" t="s">
        <v>3</v>
      </c>
      <c r="D308" s="1">
        <v>15</v>
      </c>
      <c r="E308" s="1">
        <v>86.078999999999994</v>
      </c>
      <c r="F308" s="1">
        <v>0.71443999999999996</v>
      </c>
      <c r="G308" t="s">
        <v>522</v>
      </c>
      <c r="H308" t="s">
        <v>460</v>
      </c>
      <c r="I308">
        <v>700</v>
      </c>
      <c r="J308" t="str">
        <f>"E3 ubiquitin-protein ligase CBL"</f>
        <v>E3 ubiquitin-protein ligase CBL</v>
      </c>
      <c r="K308" t="str">
        <f>"CBL"</f>
        <v>CBL</v>
      </c>
    </row>
    <row r="309" spans="1:11" x14ac:dyDescent="0.25">
      <c r="A309" s="1">
        <v>1639</v>
      </c>
      <c r="B309" s="1">
        <v>3</v>
      </c>
      <c r="C309" s="1" t="s">
        <v>3</v>
      </c>
      <c r="D309" s="1">
        <v>6</v>
      </c>
      <c r="E309" s="1">
        <v>152.66</v>
      </c>
      <c r="F309" s="1">
        <v>0.94599500000000003</v>
      </c>
      <c r="G309" t="s">
        <v>523</v>
      </c>
      <c r="H309" t="s">
        <v>524</v>
      </c>
      <c r="I309" t="s">
        <v>4419</v>
      </c>
      <c r="J309" t="str">
        <f>"Alpha-enolase"</f>
        <v>Alpha-enolase</v>
      </c>
      <c r="K309" t="str">
        <f>"ENO1"</f>
        <v>ENO1</v>
      </c>
    </row>
    <row r="310" spans="1:11" x14ac:dyDescent="0.25">
      <c r="A310" s="1">
        <v>3139</v>
      </c>
      <c r="B310" s="1">
        <v>3</v>
      </c>
      <c r="C310" s="1" t="s">
        <v>3</v>
      </c>
      <c r="D310" s="1">
        <v>11</v>
      </c>
      <c r="E310" s="1">
        <v>128.06</v>
      </c>
      <c r="F310" s="1">
        <v>0.99999899999999997</v>
      </c>
      <c r="G310" t="s">
        <v>525</v>
      </c>
      <c r="H310" t="s">
        <v>209</v>
      </c>
      <c r="I310">
        <v>26</v>
      </c>
      <c r="J310" t="str">
        <f>"Talin-1"</f>
        <v>Talin-1</v>
      </c>
      <c r="K310" t="str">
        <f>"TLN1"</f>
        <v>TLN1</v>
      </c>
    </row>
    <row r="311" spans="1:11" x14ac:dyDescent="0.25">
      <c r="A311" s="1">
        <v>2210</v>
      </c>
      <c r="B311" s="1">
        <v>3</v>
      </c>
      <c r="C311" s="1" t="s">
        <v>3</v>
      </c>
      <c r="D311" s="1">
        <v>17</v>
      </c>
      <c r="E311" s="1">
        <v>76.888999999999996</v>
      </c>
      <c r="F311" s="1">
        <v>0.99976900000000002</v>
      </c>
      <c r="G311" t="s">
        <v>526</v>
      </c>
      <c r="H311" t="s">
        <v>187</v>
      </c>
      <c r="I311" t="s">
        <v>4420</v>
      </c>
      <c r="J311" t="str">
        <f>"Breast cancer anti-estrogen resistance protein 1"</f>
        <v>Breast cancer anti-estrogen resistance protein 1</v>
      </c>
      <c r="K311" t="str">
        <f>"BCAR1"</f>
        <v>BCAR1</v>
      </c>
    </row>
    <row r="312" spans="1:11" x14ac:dyDescent="0.25">
      <c r="A312" s="1">
        <v>2049</v>
      </c>
      <c r="B312" s="1">
        <v>3</v>
      </c>
      <c r="C312" s="1" t="s">
        <v>3</v>
      </c>
      <c r="D312" s="1">
        <v>11</v>
      </c>
      <c r="E312" s="1">
        <v>211.9</v>
      </c>
      <c r="F312" s="1">
        <v>0.99934699999999999</v>
      </c>
      <c r="G312" t="s">
        <v>527</v>
      </c>
      <c r="H312" t="s">
        <v>528</v>
      </c>
      <c r="I312" t="s">
        <v>4421</v>
      </c>
      <c r="J312" t="str">
        <f>"Tyrosine-protein kinase FRK"</f>
        <v>Tyrosine-protein kinase FRK</v>
      </c>
      <c r="K312" t="str">
        <f>"FRK"</f>
        <v>FRK</v>
      </c>
    </row>
    <row r="313" spans="1:11" x14ac:dyDescent="0.25">
      <c r="A313" s="1">
        <v>2024</v>
      </c>
      <c r="B313" s="1">
        <v>3</v>
      </c>
      <c r="C313" s="1" t="s">
        <v>3</v>
      </c>
      <c r="D313" s="1">
        <v>4</v>
      </c>
      <c r="E313" s="1">
        <v>95.17</v>
      </c>
      <c r="F313" s="1">
        <v>1</v>
      </c>
      <c r="G313" t="s">
        <v>529</v>
      </c>
      <c r="H313" t="s">
        <v>530</v>
      </c>
      <c r="I313">
        <v>756</v>
      </c>
      <c r="J313" t="str">
        <f>"Chloride anion exchanger"</f>
        <v>Chloride anion exchanger</v>
      </c>
      <c r="K313" t="str">
        <f>"SLC26A3"</f>
        <v>SLC26A3</v>
      </c>
    </row>
    <row r="314" spans="1:11" x14ac:dyDescent="0.25">
      <c r="A314" s="1">
        <v>1744</v>
      </c>
      <c r="B314" s="1">
        <v>3</v>
      </c>
      <c r="C314" s="1" t="s">
        <v>3</v>
      </c>
      <c r="D314" s="1">
        <v>5</v>
      </c>
      <c r="E314" s="1">
        <v>89.230999999999995</v>
      </c>
      <c r="F314" s="1">
        <v>1</v>
      </c>
      <c r="G314" t="s">
        <v>531</v>
      </c>
      <c r="H314" t="s">
        <v>532</v>
      </c>
      <c r="I314">
        <v>197</v>
      </c>
      <c r="J314" t="str">
        <f>"Glycogen phosphorylase, brain form"</f>
        <v>Glycogen phosphorylase, brain form</v>
      </c>
      <c r="K314" t="str">
        <f>"PYGB"</f>
        <v>PYGB</v>
      </c>
    </row>
    <row r="315" spans="1:11" x14ac:dyDescent="0.25">
      <c r="A315" s="1">
        <v>2469</v>
      </c>
      <c r="B315" s="1">
        <v>2</v>
      </c>
      <c r="C315" s="1" t="s">
        <v>3</v>
      </c>
      <c r="D315" s="1">
        <v>7</v>
      </c>
      <c r="E315" s="1">
        <v>157.09</v>
      </c>
      <c r="F315" s="1">
        <v>0.99999499999999997</v>
      </c>
      <c r="G315" t="s">
        <v>533</v>
      </c>
      <c r="H315" t="s">
        <v>534</v>
      </c>
      <c r="I315" t="s">
        <v>4422</v>
      </c>
      <c r="J315" t="str">
        <f>"Src substrate cortactin"</f>
        <v>Src substrate cortactin</v>
      </c>
      <c r="K315" t="str">
        <f>"CTTN"</f>
        <v>CTTN</v>
      </c>
    </row>
    <row r="316" spans="1:11" x14ac:dyDescent="0.25">
      <c r="A316" s="1">
        <v>2453</v>
      </c>
      <c r="B316" s="1">
        <v>3</v>
      </c>
      <c r="C316" s="1" t="s">
        <v>3</v>
      </c>
      <c r="D316" s="1">
        <v>23</v>
      </c>
      <c r="E316" s="1">
        <v>89.272000000000006</v>
      </c>
      <c r="F316" s="1">
        <v>0.99999700000000002</v>
      </c>
      <c r="G316" t="s">
        <v>535</v>
      </c>
      <c r="H316" t="s">
        <v>536</v>
      </c>
      <c r="I316">
        <v>1013</v>
      </c>
      <c r="J316" t="str">
        <f>"Desmoglein-2"</f>
        <v>Desmoglein-2</v>
      </c>
      <c r="K316" t="str">
        <f>"DSG2"</f>
        <v>DSG2</v>
      </c>
    </row>
    <row r="317" spans="1:11" x14ac:dyDescent="0.25">
      <c r="A317" s="1">
        <v>2490</v>
      </c>
      <c r="B317" s="1">
        <v>3</v>
      </c>
      <c r="C317" s="1" t="s">
        <v>3</v>
      </c>
      <c r="D317" s="1">
        <v>4</v>
      </c>
      <c r="E317" s="1">
        <v>48.283999999999999</v>
      </c>
      <c r="F317" s="1">
        <v>1</v>
      </c>
      <c r="G317" t="s">
        <v>537</v>
      </c>
      <c r="H317" t="s">
        <v>394</v>
      </c>
      <c r="I317" t="s">
        <v>4423</v>
      </c>
      <c r="J317" t="str">
        <f>"Enhancer of filamentation 1;Enhancer of filamentation 1 p55"</f>
        <v>Enhancer of filamentation 1;Enhancer of filamentation 1 p55</v>
      </c>
      <c r="K317" t="str">
        <f>"NEDD9"</f>
        <v>NEDD9</v>
      </c>
    </row>
    <row r="318" spans="1:11" x14ac:dyDescent="0.25">
      <c r="A318" s="1">
        <v>1624</v>
      </c>
      <c r="B318" s="1">
        <v>3</v>
      </c>
      <c r="C318" s="1" t="s">
        <v>3</v>
      </c>
      <c r="D318" s="1">
        <v>11</v>
      </c>
      <c r="E318" s="1">
        <v>74.516000000000005</v>
      </c>
      <c r="F318" s="1">
        <v>1</v>
      </c>
      <c r="G318" t="s">
        <v>538</v>
      </c>
      <c r="H318" t="s">
        <v>539</v>
      </c>
      <c r="I318" t="s">
        <v>4424</v>
      </c>
      <c r="J318" t="str">
        <f>"Arginase-1"</f>
        <v>Arginase-1</v>
      </c>
      <c r="K318" t="str">
        <f>"ARG1"</f>
        <v>ARG1</v>
      </c>
    </row>
    <row r="319" spans="1:11" x14ac:dyDescent="0.25">
      <c r="A319" s="1">
        <v>2670</v>
      </c>
      <c r="B319" s="1">
        <v>3</v>
      </c>
      <c r="C319" s="1" t="s">
        <v>3</v>
      </c>
      <c r="D319" s="1">
        <v>23</v>
      </c>
      <c r="E319" s="1">
        <v>98.84</v>
      </c>
      <c r="F319" s="1">
        <v>1</v>
      </c>
      <c r="G319" t="s">
        <v>540</v>
      </c>
      <c r="H319" t="s">
        <v>541</v>
      </c>
      <c r="I319" t="s">
        <v>4425</v>
      </c>
      <c r="J319" t="str">
        <f>"Fermitin family homolog 3"</f>
        <v>Fermitin family homolog 3</v>
      </c>
      <c r="K319" t="str">
        <f>"FERMT3"</f>
        <v>FERMT3</v>
      </c>
    </row>
    <row r="320" spans="1:11" x14ac:dyDescent="0.25">
      <c r="A320" s="1">
        <v>1314</v>
      </c>
      <c r="B320" s="1">
        <v>4</v>
      </c>
      <c r="C320" s="1" t="s">
        <v>3</v>
      </c>
      <c r="D320" s="1">
        <v>7</v>
      </c>
      <c r="E320" s="1">
        <v>74.141000000000005</v>
      </c>
      <c r="F320" s="1">
        <v>0.99998799999999999</v>
      </c>
      <c r="G320" t="s">
        <v>542</v>
      </c>
      <c r="H320" t="s">
        <v>543</v>
      </c>
      <c r="I320" t="s">
        <v>4426</v>
      </c>
      <c r="J320" t="str">
        <f>"Phosphatidylinositol 4,5-bisphosphate 3-kinase catalytic subunit delta isoform"</f>
        <v>Phosphatidylinositol 4,5-bisphosphate 3-kinase catalytic subunit delta isoform</v>
      </c>
      <c r="K320" t="str">
        <f>"PIK3CD"</f>
        <v>PIK3CD</v>
      </c>
    </row>
    <row r="321" spans="1:11" x14ac:dyDescent="0.25">
      <c r="A321" s="1">
        <v>2537</v>
      </c>
      <c r="B321" s="1">
        <v>3</v>
      </c>
      <c r="C321" s="1" t="s">
        <v>3</v>
      </c>
      <c r="D321" s="1">
        <v>12</v>
      </c>
      <c r="E321" s="1">
        <v>255.63</v>
      </c>
      <c r="F321" s="1">
        <v>1</v>
      </c>
      <c r="G321" t="s">
        <v>544</v>
      </c>
      <c r="H321" t="s">
        <v>545</v>
      </c>
      <c r="I321">
        <v>336</v>
      </c>
      <c r="J321" t="str">
        <f>"SH2 domain-containing adapter protein B"</f>
        <v>SH2 domain-containing adapter protein B</v>
      </c>
      <c r="K321" t="str">
        <f>"SHB"</f>
        <v>SHB</v>
      </c>
    </row>
    <row r="322" spans="1:11" x14ac:dyDescent="0.25">
      <c r="A322" s="1">
        <v>1889</v>
      </c>
      <c r="B322" s="1">
        <v>3</v>
      </c>
      <c r="C322" s="1" t="s">
        <v>3</v>
      </c>
      <c r="D322" s="1">
        <v>11</v>
      </c>
      <c r="E322" s="1">
        <v>158.37</v>
      </c>
      <c r="F322" s="1">
        <v>0.999996</v>
      </c>
      <c r="G322" t="s">
        <v>546</v>
      </c>
      <c r="H322" t="s">
        <v>547</v>
      </c>
      <c r="I322" t="s">
        <v>4427</v>
      </c>
      <c r="J322" t="str">
        <f>"Heterogeneous nuclear ribonucleoproteins A2/B1"</f>
        <v>Heterogeneous nuclear ribonucleoproteins A2/B1</v>
      </c>
      <c r="K322" t="str">
        <f>"HNRNPA2B1"</f>
        <v>HNRNPA2B1</v>
      </c>
    </row>
    <row r="323" spans="1:11" x14ac:dyDescent="0.25">
      <c r="A323" s="1">
        <v>2447</v>
      </c>
      <c r="B323" s="1">
        <v>3</v>
      </c>
      <c r="C323" s="1" t="s">
        <v>3</v>
      </c>
      <c r="D323" s="1">
        <v>4</v>
      </c>
      <c r="E323" s="1">
        <v>96.866</v>
      </c>
      <c r="F323" s="1">
        <v>0.99957200000000002</v>
      </c>
      <c r="G323" t="s">
        <v>548</v>
      </c>
      <c r="H323" t="s">
        <v>549</v>
      </c>
      <c r="I323">
        <v>342</v>
      </c>
      <c r="J323" t="str">
        <f>"Protein-tyrosine kinase 6"</f>
        <v>Protein-tyrosine kinase 6</v>
      </c>
      <c r="K323" t="str">
        <f>"PTK6"</f>
        <v>PTK6</v>
      </c>
    </row>
    <row r="324" spans="1:11" x14ac:dyDescent="0.25">
      <c r="A324" s="1">
        <v>973</v>
      </c>
      <c r="B324" s="1">
        <v>3</v>
      </c>
      <c r="C324" s="1" t="s">
        <v>3</v>
      </c>
      <c r="D324" s="1">
        <v>11</v>
      </c>
      <c r="E324" s="1">
        <v>122.34</v>
      </c>
      <c r="F324" s="1">
        <v>1</v>
      </c>
      <c r="G324" t="s">
        <v>550</v>
      </c>
      <c r="H324" t="s">
        <v>551</v>
      </c>
      <c r="I324" t="s">
        <v>4428</v>
      </c>
      <c r="J324" t="str">
        <f>"Occludin"</f>
        <v>Occludin</v>
      </c>
      <c r="K324" t="str">
        <f>"OCLN"</f>
        <v>OCLN</v>
      </c>
    </row>
    <row r="325" spans="1:11" x14ac:dyDescent="0.25">
      <c r="A325" s="1">
        <v>2594</v>
      </c>
      <c r="B325" s="1">
        <v>2</v>
      </c>
      <c r="C325" s="1" t="s">
        <v>3</v>
      </c>
      <c r="D325" s="1">
        <v>1</v>
      </c>
      <c r="E325" s="1">
        <v>188.41</v>
      </c>
      <c r="F325" s="1">
        <v>0.85001800000000005</v>
      </c>
      <c r="G325" t="s">
        <v>552</v>
      </c>
      <c r="H325" t="s">
        <v>553</v>
      </c>
      <c r="I325" t="s">
        <v>4429</v>
      </c>
      <c r="J325" t="str">
        <f>"Phospholysine phosphohistidine inorganic pyrophosphate phosphatase"</f>
        <v>Phospholysine phosphohistidine inorganic pyrophosphate phosphatase</v>
      </c>
      <c r="K325" t="str">
        <f>"LHPP"</f>
        <v>LHPP</v>
      </c>
    </row>
    <row r="326" spans="1:11" x14ac:dyDescent="0.25">
      <c r="A326" s="1">
        <v>1805</v>
      </c>
      <c r="B326" s="1">
        <v>3</v>
      </c>
      <c r="C326" s="1" t="s">
        <v>3</v>
      </c>
      <c r="D326" s="1">
        <v>12</v>
      </c>
      <c r="E326" s="1">
        <v>139.08000000000001</v>
      </c>
      <c r="F326" s="1">
        <v>0.99233000000000005</v>
      </c>
      <c r="G326" t="s">
        <v>554</v>
      </c>
      <c r="H326" t="s">
        <v>555</v>
      </c>
      <c r="I326" t="s">
        <v>4430</v>
      </c>
      <c r="J326" t="str">
        <f>"Integrin beta-4"</f>
        <v>Integrin beta-4</v>
      </c>
      <c r="K326" t="str">
        <f>"ITGB4"</f>
        <v>ITGB4</v>
      </c>
    </row>
    <row r="327" spans="1:11" x14ac:dyDescent="0.25">
      <c r="A327" s="1">
        <v>2606</v>
      </c>
      <c r="B327" s="1">
        <v>2</v>
      </c>
      <c r="C327" s="1" t="s">
        <v>3</v>
      </c>
      <c r="D327" s="1">
        <v>11</v>
      </c>
      <c r="E327" s="1">
        <v>158.01</v>
      </c>
      <c r="F327" s="1">
        <v>0.99990299999999999</v>
      </c>
      <c r="G327" t="s">
        <v>556</v>
      </c>
      <c r="H327" t="s">
        <v>557</v>
      </c>
      <c r="I327" t="s">
        <v>4431</v>
      </c>
      <c r="J327" t="str">
        <f>"Partitioning defective 3 homolog"</f>
        <v>Partitioning defective 3 homolog</v>
      </c>
      <c r="K327" t="str">
        <f>"PARD3"</f>
        <v>PARD3</v>
      </c>
    </row>
    <row r="328" spans="1:11" x14ac:dyDescent="0.25">
      <c r="A328" s="1">
        <v>2295</v>
      </c>
      <c r="B328" s="1">
        <v>3</v>
      </c>
      <c r="C328" s="1" t="s">
        <v>3</v>
      </c>
      <c r="D328" s="1">
        <v>10</v>
      </c>
      <c r="E328" s="1">
        <v>141.1</v>
      </c>
      <c r="F328" s="1">
        <v>1</v>
      </c>
      <c r="G328" t="s">
        <v>558</v>
      </c>
      <c r="H328" t="s">
        <v>559</v>
      </c>
      <c r="I328">
        <v>4598</v>
      </c>
      <c r="J328" t="str">
        <f>"Low-density lipoprotein receptor-related protein 2"</f>
        <v>Low-density lipoprotein receptor-related protein 2</v>
      </c>
      <c r="K328" t="str">
        <f>"LRP2"</f>
        <v>LRP2</v>
      </c>
    </row>
    <row r="329" spans="1:11" x14ac:dyDescent="0.25">
      <c r="A329" s="1">
        <v>1890</v>
      </c>
      <c r="B329" s="1">
        <v>3</v>
      </c>
      <c r="C329" s="1" t="s">
        <v>3</v>
      </c>
      <c r="D329" s="1">
        <v>22</v>
      </c>
      <c r="E329" s="1">
        <v>203.58</v>
      </c>
      <c r="F329" s="1">
        <v>0.99856100000000003</v>
      </c>
      <c r="G329" t="s">
        <v>560</v>
      </c>
      <c r="H329" t="s">
        <v>547</v>
      </c>
      <c r="I329" t="s">
        <v>4432</v>
      </c>
      <c r="J329" t="str">
        <f>"Heterogeneous nuclear ribonucleoproteins A2/B1"</f>
        <v>Heterogeneous nuclear ribonucleoproteins A2/B1</v>
      </c>
      <c r="K329" t="str">
        <f>"HNRNPA2B1"</f>
        <v>HNRNPA2B1</v>
      </c>
    </row>
    <row r="330" spans="1:11" x14ac:dyDescent="0.25">
      <c r="A330" s="1">
        <v>89</v>
      </c>
      <c r="B330" s="1">
        <v>3</v>
      </c>
      <c r="C330" s="1" t="s">
        <v>5</v>
      </c>
      <c r="D330" s="1">
        <v>21</v>
      </c>
      <c r="E330" s="1">
        <v>185</v>
      </c>
      <c r="F330" s="1">
        <v>0.657281</v>
      </c>
      <c r="G330" t="s">
        <v>561</v>
      </c>
      <c r="H330" t="s">
        <v>270</v>
      </c>
      <c r="I330" t="s">
        <v>4433</v>
      </c>
      <c r="J330" t="str">
        <f>"Tensin-1"</f>
        <v>Tensin-1</v>
      </c>
      <c r="K330" t="str">
        <f>"TNS1"</f>
        <v>TNS1</v>
      </c>
    </row>
    <row r="331" spans="1:11" x14ac:dyDescent="0.25">
      <c r="A331" s="1">
        <v>1643</v>
      </c>
      <c r="B331" s="1">
        <v>5</v>
      </c>
      <c r="C331" s="1" t="s">
        <v>3</v>
      </c>
      <c r="D331" s="1">
        <v>5</v>
      </c>
      <c r="E331" s="1">
        <v>174.7</v>
      </c>
      <c r="F331" s="1">
        <v>1</v>
      </c>
      <c r="G331" t="s">
        <v>562</v>
      </c>
      <c r="H331" t="s">
        <v>563</v>
      </c>
      <c r="I331" t="s">
        <v>4434</v>
      </c>
      <c r="J331" t="str">
        <f>"Nucleophosmin"</f>
        <v>Nucleophosmin</v>
      </c>
      <c r="K331" t="str">
        <f>"NPM1"</f>
        <v>NPM1</v>
      </c>
    </row>
    <row r="332" spans="1:11" x14ac:dyDescent="0.25">
      <c r="A332" s="1">
        <v>2569</v>
      </c>
      <c r="B332" s="1">
        <v>2</v>
      </c>
      <c r="C332" s="1" t="s">
        <v>3</v>
      </c>
      <c r="D332" s="1">
        <v>6</v>
      </c>
      <c r="E332" s="1">
        <v>53.567</v>
      </c>
      <c r="F332" s="1">
        <v>1</v>
      </c>
      <c r="G332" t="s">
        <v>564</v>
      </c>
      <c r="H332" t="s">
        <v>565</v>
      </c>
      <c r="I332" t="s">
        <v>4435</v>
      </c>
      <c r="J332" t="str">
        <f>"Acyl-coenzyme A synthetase ACSM3, mitochondrial"</f>
        <v>Acyl-coenzyme A synthetase ACSM3, mitochondrial</v>
      </c>
      <c r="K332" t="str">
        <f>"ACSM3"</f>
        <v>ACSM3</v>
      </c>
    </row>
    <row r="333" spans="1:11" x14ac:dyDescent="0.25">
      <c r="A333" s="1">
        <v>2623</v>
      </c>
      <c r="B333" s="1">
        <v>2</v>
      </c>
      <c r="C333" s="1" t="s">
        <v>3</v>
      </c>
      <c r="D333" s="1">
        <v>6</v>
      </c>
      <c r="E333" s="1">
        <v>70.114000000000004</v>
      </c>
      <c r="F333" s="1">
        <v>0.99570499999999995</v>
      </c>
      <c r="G333" t="s">
        <v>566</v>
      </c>
      <c r="H333" t="s">
        <v>439</v>
      </c>
      <c r="I333" t="s">
        <v>4436</v>
      </c>
      <c r="J333" t="str">
        <f>"Tensin-3"</f>
        <v>Tensin-3</v>
      </c>
      <c r="K333" t="str">
        <f>"TNS3"</f>
        <v>TNS3</v>
      </c>
    </row>
    <row r="334" spans="1:11" x14ac:dyDescent="0.25">
      <c r="A334" s="1">
        <v>8</v>
      </c>
      <c r="B334" s="1">
        <v>4</v>
      </c>
      <c r="C334" s="1" t="s">
        <v>5</v>
      </c>
      <c r="D334" s="1">
        <v>5</v>
      </c>
      <c r="E334" s="1">
        <v>115.45</v>
      </c>
      <c r="F334" s="1">
        <v>0.58804100000000004</v>
      </c>
      <c r="G334" t="s">
        <v>567</v>
      </c>
      <c r="H334" t="s">
        <v>568</v>
      </c>
      <c r="I334">
        <v>206</v>
      </c>
      <c r="J334" t="str">
        <f>""</f>
        <v/>
      </c>
      <c r="K334" t="str">
        <f>""</f>
        <v/>
      </c>
    </row>
    <row r="335" spans="1:11" x14ac:dyDescent="0.25">
      <c r="A335" s="1">
        <v>1592</v>
      </c>
      <c r="B335" s="1">
        <v>5</v>
      </c>
      <c r="C335" s="1" t="s">
        <v>3</v>
      </c>
      <c r="D335" s="1">
        <v>17</v>
      </c>
      <c r="E335" s="1">
        <v>107.6</v>
      </c>
      <c r="F335" s="1">
        <v>0.998587</v>
      </c>
      <c r="G335" t="s">
        <v>569</v>
      </c>
      <c r="H335" t="s">
        <v>114</v>
      </c>
      <c r="I335" t="s">
        <v>4437</v>
      </c>
      <c r="J335" t="str">
        <f>"Epidermal growth factor receptor"</f>
        <v>Epidermal growth factor receptor</v>
      </c>
      <c r="K335" t="str">
        <f>"EGFR"</f>
        <v>EGFR</v>
      </c>
    </row>
    <row r="336" spans="1:11" x14ac:dyDescent="0.25">
      <c r="A336" s="1">
        <v>920</v>
      </c>
      <c r="B336" s="1">
        <v>3</v>
      </c>
      <c r="C336" s="1" t="s">
        <v>3</v>
      </c>
      <c r="D336" s="1">
        <v>2</v>
      </c>
      <c r="E336" s="1">
        <v>101.53</v>
      </c>
      <c r="F336" s="1">
        <v>1</v>
      </c>
      <c r="G336" t="s">
        <v>570</v>
      </c>
      <c r="H336" t="s">
        <v>571</v>
      </c>
      <c r="I336" t="s">
        <v>4438</v>
      </c>
      <c r="J336" t="str">
        <f>"Phosphatidylinositol 3,4,5-trisphosphate 5-phosphatase 2"</f>
        <v>Phosphatidylinositol 3,4,5-trisphosphate 5-phosphatase 2</v>
      </c>
      <c r="K336" t="str">
        <f>"INPPL1"</f>
        <v>INPPL1</v>
      </c>
    </row>
    <row r="337" spans="1:11" x14ac:dyDescent="0.25">
      <c r="A337" s="1">
        <v>1771</v>
      </c>
      <c r="B337" s="1">
        <v>2</v>
      </c>
      <c r="C337" s="1" t="s">
        <v>3</v>
      </c>
      <c r="D337" s="1">
        <v>5</v>
      </c>
      <c r="E337" s="1">
        <v>117.09</v>
      </c>
      <c r="F337" s="1">
        <v>0.997363</v>
      </c>
      <c r="G337" t="s">
        <v>572</v>
      </c>
      <c r="H337" t="s">
        <v>573</v>
      </c>
      <c r="I337" t="s">
        <v>4439</v>
      </c>
      <c r="J337" t="str">
        <f>"Glycogen [starch] synthase, muscle"</f>
        <v>Glycogen [starch] synthase, muscle</v>
      </c>
      <c r="K337" t="str">
        <f>"GYS1"</f>
        <v>GYS1</v>
      </c>
    </row>
    <row r="338" spans="1:11" x14ac:dyDescent="0.25">
      <c r="A338" s="1">
        <v>2533</v>
      </c>
      <c r="B338" s="1">
        <v>3</v>
      </c>
      <c r="C338" s="1" t="s">
        <v>3</v>
      </c>
      <c r="D338" s="1">
        <v>10</v>
      </c>
      <c r="E338" s="1">
        <v>55.011000000000003</v>
      </c>
      <c r="F338" s="1">
        <v>0.93265100000000001</v>
      </c>
      <c r="G338" t="s">
        <v>574</v>
      </c>
      <c r="H338" t="s">
        <v>575</v>
      </c>
      <c r="I338" t="s">
        <v>4440</v>
      </c>
      <c r="J338" t="str">
        <f>"Ephrin type-A receptor 7"</f>
        <v>Ephrin type-A receptor 7</v>
      </c>
      <c r="K338" t="str">
        <f>"EPHA7"</f>
        <v>EPHA7</v>
      </c>
    </row>
    <row r="339" spans="1:11" x14ac:dyDescent="0.25">
      <c r="A339" s="1">
        <v>1572</v>
      </c>
      <c r="B339" s="1">
        <v>4</v>
      </c>
      <c r="C339" s="1" t="s">
        <v>3</v>
      </c>
      <c r="D339" s="1">
        <v>10</v>
      </c>
      <c r="E339" s="1">
        <v>105.06</v>
      </c>
      <c r="F339" s="1">
        <v>0.98425399999999996</v>
      </c>
      <c r="G339" t="s">
        <v>576</v>
      </c>
      <c r="H339" t="s">
        <v>462</v>
      </c>
      <c r="I339">
        <v>240</v>
      </c>
      <c r="J339" t="str">
        <f>"BAG family molecular chaperone regulator 3"</f>
        <v>BAG family molecular chaperone regulator 3</v>
      </c>
      <c r="K339" t="str">
        <f>"BAG3"</f>
        <v>BAG3</v>
      </c>
    </row>
    <row r="340" spans="1:11" x14ac:dyDescent="0.25">
      <c r="A340" s="1">
        <v>2260</v>
      </c>
      <c r="B340" s="1">
        <v>3</v>
      </c>
      <c r="C340" s="1" t="s">
        <v>3</v>
      </c>
      <c r="D340" s="1">
        <v>1</v>
      </c>
      <c r="E340" s="1">
        <v>118.21</v>
      </c>
      <c r="F340" s="1">
        <v>1</v>
      </c>
      <c r="G340" t="s">
        <v>577</v>
      </c>
      <c r="H340" t="s">
        <v>578</v>
      </c>
      <c r="I340" t="s">
        <v>4441</v>
      </c>
      <c r="J340" t="str">
        <f>"Actin, aortic smooth muscle;Actin, gamma-enteric smooth muscle;Actin, alpha cardiac muscle 1;Actin, alpha skeletal muscle"</f>
        <v>Actin, aortic smooth muscle;Actin, gamma-enteric smooth muscle;Actin, alpha cardiac muscle 1;Actin, alpha skeletal muscle</v>
      </c>
      <c r="K340" t="str">
        <f>"ACTA2;ACTG2;ACTC1;ACTA1"</f>
        <v>ACTA2;ACTG2;ACTC1;ACTA1</v>
      </c>
    </row>
    <row r="341" spans="1:11" x14ac:dyDescent="0.25">
      <c r="A341" s="1">
        <v>1371</v>
      </c>
      <c r="B341" s="1">
        <v>2</v>
      </c>
      <c r="C341" s="1" t="s">
        <v>3</v>
      </c>
      <c r="D341" s="1">
        <v>4</v>
      </c>
      <c r="E341" s="1">
        <v>184.17</v>
      </c>
      <c r="F341" s="1">
        <v>1</v>
      </c>
      <c r="G341" t="s">
        <v>579</v>
      </c>
      <c r="H341" t="s">
        <v>580</v>
      </c>
      <c r="I341" t="s">
        <v>4442</v>
      </c>
      <c r="J341" t="str">
        <f>"Rho GDP-dissociation inhibitor 1"</f>
        <v>Rho GDP-dissociation inhibitor 1</v>
      </c>
      <c r="K341" t="str">
        <f>"ARHGDIA"</f>
        <v>ARHGDIA</v>
      </c>
    </row>
    <row r="342" spans="1:11" x14ac:dyDescent="0.25">
      <c r="A342" s="1">
        <v>2187</v>
      </c>
      <c r="B342" s="1">
        <v>2</v>
      </c>
      <c r="C342" s="1" t="s">
        <v>3</v>
      </c>
      <c r="D342" s="1">
        <v>2</v>
      </c>
      <c r="E342" s="1">
        <v>110.84</v>
      </c>
      <c r="F342" s="1">
        <v>1</v>
      </c>
      <c r="G342" t="s">
        <v>581</v>
      </c>
      <c r="H342" t="s">
        <v>582</v>
      </c>
      <c r="I342" t="s">
        <v>4443</v>
      </c>
      <c r="J342" t="str">
        <f>"Ephrin type-B receptor 3;Ephrin type-B receptor 4"</f>
        <v>Ephrin type-B receptor 3;Ephrin type-B receptor 4</v>
      </c>
      <c r="K342" t="str">
        <f>"EPHB3;EPHB4"</f>
        <v>EPHB3;EPHB4</v>
      </c>
    </row>
    <row r="343" spans="1:11" x14ac:dyDescent="0.25">
      <c r="A343" s="1">
        <v>1209</v>
      </c>
      <c r="B343" s="1">
        <v>3</v>
      </c>
      <c r="C343" s="1" t="s">
        <v>3</v>
      </c>
      <c r="D343" s="1">
        <v>4</v>
      </c>
      <c r="E343" s="1">
        <v>122.64</v>
      </c>
      <c r="F343" s="1">
        <v>1</v>
      </c>
      <c r="G343" t="s">
        <v>583</v>
      </c>
      <c r="H343" t="s">
        <v>584</v>
      </c>
      <c r="I343" t="s">
        <v>4444</v>
      </c>
      <c r="J343" t="str">
        <f>"Heterogeneous nuclear ribonucleoprotein H;Heterogeneous nuclear ribonucleoprotein H, N-terminally processed;Heterogeneous nuclear ribonucleoprotein H2;Heterogeneous nuclear ribonucleoprotein H2, N-terminally processed"</f>
        <v>Heterogeneous nuclear ribonucleoprotein H;Heterogeneous nuclear ribonucleoprotein H, N-terminally processed;Heterogeneous nuclear ribonucleoprotein H2;Heterogeneous nuclear ribonucleoprotein H2, N-terminally processed</v>
      </c>
      <c r="K343" t="str">
        <f>"HNRNPH1;HNRNPH2"</f>
        <v>HNRNPH1;HNRNPH2</v>
      </c>
    </row>
    <row r="344" spans="1:11" x14ac:dyDescent="0.25">
      <c r="A344" s="1">
        <v>2452</v>
      </c>
      <c r="B344" s="1">
        <v>4</v>
      </c>
      <c r="C344" s="1" t="s">
        <v>3</v>
      </c>
      <c r="D344" s="1">
        <v>28</v>
      </c>
      <c r="E344" s="1">
        <v>96.158000000000001</v>
      </c>
      <c r="F344" s="1">
        <v>0.67502499999999999</v>
      </c>
      <c r="G344" t="s">
        <v>585</v>
      </c>
      <c r="H344" t="s">
        <v>536</v>
      </c>
      <c r="I344">
        <v>882</v>
      </c>
      <c r="J344" t="str">
        <f>"Desmoglein-2"</f>
        <v>Desmoglein-2</v>
      </c>
      <c r="K344" t="str">
        <f>"DSG2"</f>
        <v>DSG2</v>
      </c>
    </row>
    <row r="345" spans="1:11" x14ac:dyDescent="0.25">
      <c r="A345" s="1">
        <v>1902</v>
      </c>
      <c r="B345" s="1">
        <v>3</v>
      </c>
      <c r="C345" s="1" t="s">
        <v>3</v>
      </c>
      <c r="D345" s="1">
        <v>15</v>
      </c>
      <c r="E345" s="1">
        <v>75.533000000000001</v>
      </c>
      <c r="F345" s="1">
        <v>0.98203700000000005</v>
      </c>
      <c r="G345" t="s">
        <v>586</v>
      </c>
      <c r="H345" t="s">
        <v>303</v>
      </c>
      <c r="I345" t="s">
        <v>4445</v>
      </c>
      <c r="J345" t="str">
        <f>"Cofilin-1"</f>
        <v>Cofilin-1</v>
      </c>
      <c r="K345" t="str">
        <f>"CFL1"</f>
        <v>CFL1</v>
      </c>
    </row>
    <row r="346" spans="1:11" x14ac:dyDescent="0.25">
      <c r="A346" s="1">
        <v>2726</v>
      </c>
      <c r="B346" s="1">
        <v>3</v>
      </c>
      <c r="C346" s="1" t="s">
        <v>3</v>
      </c>
      <c r="D346" s="1">
        <v>3</v>
      </c>
      <c r="E346" s="1">
        <v>139.11000000000001</v>
      </c>
      <c r="F346" s="1">
        <v>1</v>
      </c>
      <c r="G346" t="s">
        <v>406</v>
      </c>
      <c r="H346" t="s">
        <v>287</v>
      </c>
      <c r="I346">
        <v>589</v>
      </c>
      <c r="J346" t="str">
        <f>"Discoidin, CUB and LCCL domain-containing protein 1"</f>
        <v>Discoidin, CUB and LCCL domain-containing protein 1</v>
      </c>
      <c r="K346" t="str">
        <f>"DCBLD1"</f>
        <v>DCBLD1</v>
      </c>
    </row>
    <row r="347" spans="1:11" x14ac:dyDescent="0.25">
      <c r="A347" s="1">
        <v>1230</v>
      </c>
      <c r="B347" s="1">
        <v>3</v>
      </c>
      <c r="C347" s="1" t="s">
        <v>3</v>
      </c>
      <c r="D347" s="1">
        <v>10</v>
      </c>
      <c r="E347" s="1">
        <v>118.72</v>
      </c>
      <c r="F347" s="1">
        <v>0.94540599999999997</v>
      </c>
      <c r="G347" t="s">
        <v>587</v>
      </c>
      <c r="H347" t="s">
        <v>588</v>
      </c>
      <c r="I347" t="s">
        <v>4446</v>
      </c>
      <c r="J347" t="str">
        <f>"Receptor-type tyrosine-protein phosphatase kappa"</f>
        <v>Receptor-type tyrosine-protein phosphatase kappa</v>
      </c>
      <c r="K347" t="str">
        <f>"PTPRK"</f>
        <v>PTPRK</v>
      </c>
    </row>
    <row r="348" spans="1:11" x14ac:dyDescent="0.25">
      <c r="A348" s="1">
        <v>2292</v>
      </c>
      <c r="B348" s="1">
        <v>3</v>
      </c>
      <c r="C348" s="1" t="s">
        <v>3</v>
      </c>
      <c r="D348" s="1">
        <v>13</v>
      </c>
      <c r="E348" s="1">
        <v>62.616999999999997</v>
      </c>
      <c r="F348" s="1">
        <v>0.97712500000000002</v>
      </c>
      <c r="G348" t="s">
        <v>589</v>
      </c>
      <c r="H348" t="s">
        <v>590</v>
      </c>
      <c r="I348" t="s">
        <v>4447</v>
      </c>
      <c r="J348" t="str">
        <f>"Tyrosine-protein phosphatase non-receptor type substrate 1"</f>
        <v>Tyrosine-protein phosphatase non-receptor type substrate 1</v>
      </c>
      <c r="K348" t="str">
        <f>"SIRPA"</f>
        <v>SIRPA</v>
      </c>
    </row>
    <row r="349" spans="1:11" x14ac:dyDescent="0.25">
      <c r="A349" s="1">
        <v>2238</v>
      </c>
      <c r="B349" s="1">
        <v>2</v>
      </c>
      <c r="C349" s="1" t="s">
        <v>3</v>
      </c>
      <c r="D349" s="1">
        <v>6</v>
      </c>
      <c r="E349" s="1">
        <v>79.147999999999996</v>
      </c>
      <c r="F349" s="1">
        <v>0.80724799999999997</v>
      </c>
      <c r="G349" t="s">
        <v>591</v>
      </c>
      <c r="H349" t="s">
        <v>592</v>
      </c>
      <c r="I349" t="s">
        <v>4448</v>
      </c>
      <c r="J349" t="str">
        <f>"10 kDa heat shock protein, mitochondrial"</f>
        <v>10 kDa heat shock protein, mitochondrial</v>
      </c>
      <c r="K349" t="str">
        <f>"HSPE1"</f>
        <v>HSPE1</v>
      </c>
    </row>
    <row r="350" spans="1:11" x14ac:dyDescent="0.25">
      <c r="A350" s="1">
        <v>2256</v>
      </c>
      <c r="B350" s="1">
        <v>3</v>
      </c>
      <c r="C350" s="1" t="s">
        <v>3</v>
      </c>
      <c r="D350" s="1">
        <v>7</v>
      </c>
      <c r="E350" s="1">
        <v>100.09</v>
      </c>
      <c r="F350" s="1">
        <v>0.99971500000000002</v>
      </c>
      <c r="G350" t="s">
        <v>593</v>
      </c>
      <c r="H350" t="s">
        <v>594</v>
      </c>
      <c r="I350" t="s">
        <v>4449</v>
      </c>
      <c r="J350" t="str">
        <f>"Actin, aortic smooth muscle;Actin, gamma-enteric smooth muscle"</f>
        <v>Actin, aortic smooth muscle;Actin, gamma-enteric smooth muscle</v>
      </c>
      <c r="K350" t="str">
        <f>"ACTA2;ACTG2"</f>
        <v>ACTA2;ACTG2</v>
      </c>
    </row>
    <row r="351" spans="1:11" x14ac:dyDescent="0.25">
      <c r="A351" s="1">
        <v>2899</v>
      </c>
      <c r="B351" s="1">
        <v>2</v>
      </c>
      <c r="C351" s="1" t="s">
        <v>3</v>
      </c>
      <c r="D351" s="1">
        <v>13</v>
      </c>
      <c r="E351" s="1">
        <v>89.358000000000004</v>
      </c>
      <c r="F351" s="1">
        <v>0.99819000000000002</v>
      </c>
      <c r="G351" t="s">
        <v>595</v>
      </c>
      <c r="H351" t="s">
        <v>124</v>
      </c>
      <c r="I351" t="s">
        <v>4450</v>
      </c>
      <c r="J351" t="str">
        <f>"Plakophilin-4"</f>
        <v>Plakophilin-4</v>
      </c>
      <c r="K351" t="str">
        <f>"PKP4"</f>
        <v>PKP4</v>
      </c>
    </row>
    <row r="352" spans="1:11" x14ac:dyDescent="0.25">
      <c r="A352" s="1">
        <v>765</v>
      </c>
      <c r="B352" s="1">
        <v>3</v>
      </c>
      <c r="C352" s="1" t="s">
        <v>3</v>
      </c>
      <c r="D352" s="1">
        <v>8</v>
      </c>
      <c r="E352" s="1">
        <v>150.76</v>
      </c>
      <c r="F352" s="1">
        <v>0.999996</v>
      </c>
      <c r="G352" t="s">
        <v>596</v>
      </c>
      <c r="H352" t="s">
        <v>597</v>
      </c>
      <c r="I352" t="s">
        <v>4451</v>
      </c>
      <c r="J352" t="str">
        <f>"Thioredoxin reductase 1, cytoplasmic"</f>
        <v>Thioredoxin reductase 1, cytoplasmic</v>
      </c>
      <c r="K352" t="str">
        <f>"GML;TXNRD1"</f>
        <v>GML;TXNRD1</v>
      </c>
    </row>
    <row r="353" spans="1:11" x14ac:dyDescent="0.25">
      <c r="A353" s="1">
        <v>1252</v>
      </c>
      <c r="B353" s="1">
        <v>2</v>
      </c>
      <c r="C353" s="1" t="s">
        <v>3</v>
      </c>
      <c r="D353" s="1">
        <v>14</v>
      </c>
      <c r="E353" s="1">
        <v>54.834000000000003</v>
      </c>
      <c r="F353" s="1">
        <v>1</v>
      </c>
      <c r="G353" t="s">
        <v>598</v>
      </c>
      <c r="H353" t="s">
        <v>599</v>
      </c>
      <c r="I353">
        <v>28</v>
      </c>
      <c r="J353" t="str">
        <f>""</f>
        <v/>
      </c>
      <c r="K353" t="str">
        <f>"ARHGAP27"</f>
        <v>ARHGAP27</v>
      </c>
    </row>
    <row r="354" spans="1:11" x14ac:dyDescent="0.25">
      <c r="A354" s="1">
        <v>676</v>
      </c>
      <c r="B354" s="1">
        <v>3</v>
      </c>
      <c r="C354" s="1" t="s">
        <v>4</v>
      </c>
      <c r="D354" s="1">
        <v>6</v>
      </c>
      <c r="E354" s="1">
        <v>130.56</v>
      </c>
      <c r="F354" s="1">
        <v>0.99999499999999997</v>
      </c>
      <c r="G354" t="s">
        <v>600</v>
      </c>
      <c r="H354" t="s">
        <v>410</v>
      </c>
      <c r="I354">
        <v>761</v>
      </c>
      <c r="J354" t="str">
        <f>"Disintegrin and metalloproteinase domain-containing protein 9"</f>
        <v>Disintegrin and metalloproteinase domain-containing protein 9</v>
      </c>
      <c r="K354" t="str">
        <f>"ADAM9"</f>
        <v>ADAM9</v>
      </c>
    </row>
    <row r="355" spans="1:11" x14ac:dyDescent="0.25">
      <c r="A355" s="1">
        <v>2423</v>
      </c>
      <c r="B355" s="1">
        <v>3</v>
      </c>
      <c r="C355" s="1" t="s">
        <v>3</v>
      </c>
      <c r="D355" s="1">
        <v>14</v>
      </c>
      <c r="E355" s="1">
        <v>128.74</v>
      </c>
      <c r="F355" s="1">
        <v>1</v>
      </c>
      <c r="G355" t="s">
        <v>601</v>
      </c>
      <c r="H355" t="s">
        <v>410</v>
      </c>
      <c r="I355">
        <v>769</v>
      </c>
      <c r="J355" t="str">
        <f>"Disintegrin and metalloproteinase domain-containing protein 9"</f>
        <v>Disintegrin and metalloproteinase domain-containing protein 9</v>
      </c>
      <c r="K355" t="str">
        <f>"ADAM9"</f>
        <v>ADAM9</v>
      </c>
    </row>
    <row r="356" spans="1:11" x14ac:dyDescent="0.25">
      <c r="A356" s="1">
        <v>1709</v>
      </c>
      <c r="B356" s="1">
        <v>3</v>
      </c>
      <c r="C356" s="1" t="s">
        <v>3</v>
      </c>
      <c r="D356" s="1">
        <v>6</v>
      </c>
      <c r="E356" s="1">
        <v>69.188000000000002</v>
      </c>
      <c r="F356" s="1">
        <v>0.94609900000000002</v>
      </c>
      <c r="G356" t="s">
        <v>602</v>
      </c>
      <c r="H356" t="s">
        <v>603</v>
      </c>
      <c r="I356">
        <v>109</v>
      </c>
      <c r="J356" t="str">
        <f>"Glutathione S-transferase P"</f>
        <v>Glutathione S-transferase P</v>
      </c>
      <c r="K356" t="str">
        <f>"GSTP1"</f>
        <v>GSTP1</v>
      </c>
    </row>
    <row r="357" spans="1:11" x14ac:dyDescent="0.25">
      <c r="A357" s="1">
        <v>1374</v>
      </c>
      <c r="B357" s="1">
        <v>3</v>
      </c>
      <c r="C357" s="1" t="s">
        <v>3</v>
      </c>
      <c r="D357" s="1">
        <v>9</v>
      </c>
      <c r="E357" s="1">
        <v>150.63999999999999</v>
      </c>
      <c r="F357" s="1">
        <v>0.99930300000000005</v>
      </c>
      <c r="G357" t="s">
        <v>604</v>
      </c>
      <c r="H357" t="s">
        <v>605</v>
      </c>
      <c r="I357" t="s">
        <v>4358</v>
      </c>
      <c r="J357" t="str">
        <f>"E3 ubiquitin-protein ligase rififylin"</f>
        <v>E3 ubiquitin-protein ligase rififylin</v>
      </c>
      <c r="K357" t="str">
        <f>"RFFL"</f>
        <v>RFFL</v>
      </c>
    </row>
    <row r="358" spans="1:11" x14ac:dyDescent="0.25">
      <c r="A358" s="1">
        <v>2322</v>
      </c>
      <c r="B358" s="1">
        <v>3</v>
      </c>
      <c r="C358" s="1" t="s">
        <v>3</v>
      </c>
      <c r="D358" s="1">
        <v>1</v>
      </c>
      <c r="E358" s="1">
        <v>130.19999999999999</v>
      </c>
      <c r="F358" s="1">
        <v>1</v>
      </c>
      <c r="G358" t="s">
        <v>606</v>
      </c>
      <c r="H358" t="s">
        <v>63</v>
      </c>
      <c r="I358">
        <v>6</v>
      </c>
      <c r="J358" t="str">
        <f>"Caveolin-1"</f>
        <v>Caveolin-1</v>
      </c>
      <c r="K358" t="str">
        <f>"CAV1"</f>
        <v>CAV1</v>
      </c>
    </row>
    <row r="359" spans="1:11" x14ac:dyDescent="0.25">
      <c r="A359" s="1">
        <v>2241</v>
      </c>
      <c r="B359" s="1">
        <v>3</v>
      </c>
      <c r="C359" s="1" t="s">
        <v>3</v>
      </c>
      <c r="D359" s="1">
        <v>1</v>
      </c>
      <c r="E359" s="1">
        <v>126.63</v>
      </c>
      <c r="F359" s="1">
        <v>1</v>
      </c>
      <c r="G359" t="s">
        <v>607</v>
      </c>
      <c r="H359" t="s">
        <v>608</v>
      </c>
      <c r="I359" t="s">
        <v>4452</v>
      </c>
      <c r="J359" t="str">
        <f>"Serine/threonine-protein phosphatase PP1-alpha catalytic subunit"</f>
        <v>Serine/threonine-protein phosphatase PP1-alpha catalytic subunit</v>
      </c>
      <c r="K359" t="str">
        <f>"PPP1CA"</f>
        <v>PPP1CA</v>
      </c>
    </row>
    <row r="360" spans="1:11" x14ac:dyDescent="0.25">
      <c r="A360" s="1">
        <v>2448</v>
      </c>
      <c r="B360" s="1">
        <v>2</v>
      </c>
      <c r="C360" s="1" t="s">
        <v>3</v>
      </c>
      <c r="D360" s="1">
        <v>7</v>
      </c>
      <c r="E360" s="1">
        <v>81.771000000000001</v>
      </c>
      <c r="F360" s="1">
        <v>0.83405600000000002</v>
      </c>
      <c r="G360" t="s">
        <v>609</v>
      </c>
      <c r="H360" t="s">
        <v>549</v>
      </c>
      <c r="I360">
        <v>447</v>
      </c>
      <c r="J360" t="str">
        <f>"Protein-tyrosine kinase 6"</f>
        <v>Protein-tyrosine kinase 6</v>
      </c>
      <c r="K360" t="str">
        <f>"PTK6"</f>
        <v>PTK6</v>
      </c>
    </row>
    <row r="361" spans="1:11" x14ac:dyDescent="0.25">
      <c r="A361" s="1">
        <v>407</v>
      </c>
      <c r="B361" s="1">
        <v>3</v>
      </c>
      <c r="C361" s="1" t="s">
        <v>5</v>
      </c>
      <c r="D361" s="1">
        <v>10</v>
      </c>
      <c r="E361" s="1">
        <v>97.69</v>
      </c>
      <c r="F361" s="1">
        <v>0.808612</v>
      </c>
      <c r="G361" t="s">
        <v>307</v>
      </c>
      <c r="H361" t="s">
        <v>308</v>
      </c>
      <c r="I361">
        <v>355</v>
      </c>
      <c r="J361" t="str">
        <f>"Protein LTV1 homolog"</f>
        <v>Protein LTV1 homolog</v>
      </c>
      <c r="K361" t="str">
        <f>"LTV1"</f>
        <v>LTV1</v>
      </c>
    </row>
    <row r="362" spans="1:11" x14ac:dyDescent="0.25">
      <c r="A362" s="1">
        <v>2646</v>
      </c>
      <c r="B362" s="1">
        <v>3</v>
      </c>
      <c r="C362" s="1" t="s">
        <v>3</v>
      </c>
      <c r="D362" s="1">
        <v>4</v>
      </c>
      <c r="E362" s="1">
        <v>77.63</v>
      </c>
      <c r="F362" s="1">
        <v>0.84995600000000004</v>
      </c>
      <c r="G362" t="s">
        <v>610</v>
      </c>
      <c r="H362" t="s">
        <v>611</v>
      </c>
      <c r="I362">
        <v>430</v>
      </c>
      <c r="J362" t="str">
        <f>"Dynamin-binding protein"</f>
        <v>Dynamin-binding protein</v>
      </c>
      <c r="K362" t="str">
        <f>"DNMBP"</f>
        <v>DNMBP</v>
      </c>
    </row>
    <row r="363" spans="1:11" x14ac:dyDescent="0.25">
      <c r="A363" s="1">
        <v>731</v>
      </c>
      <c r="B363" s="1">
        <v>4</v>
      </c>
      <c r="C363" s="1" t="s">
        <v>4</v>
      </c>
      <c r="D363" s="1">
        <v>20</v>
      </c>
      <c r="E363" s="1">
        <v>130.75</v>
      </c>
      <c r="F363" s="1">
        <v>0.59422799999999998</v>
      </c>
      <c r="G363" t="s">
        <v>612</v>
      </c>
      <c r="H363" t="s">
        <v>328</v>
      </c>
      <c r="I363" t="s">
        <v>4453</v>
      </c>
      <c r="J363" t="str">
        <f>"CUB domain-containing protein 1"</f>
        <v>CUB domain-containing protein 1</v>
      </c>
      <c r="K363" t="str">
        <f>"CDCP1"</f>
        <v>CDCP1</v>
      </c>
    </row>
    <row r="364" spans="1:11" x14ac:dyDescent="0.25">
      <c r="A364" s="1">
        <v>1779</v>
      </c>
      <c r="B364" s="1">
        <v>4</v>
      </c>
      <c r="C364" s="1" t="s">
        <v>3</v>
      </c>
      <c r="D364" s="1">
        <v>28</v>
      </c>
      <c r="E364" s="1">
        <v>146.83000000000001</v>
      </c>
      <c r="F364" s="1">
        <v>0.99529800000000002</v>
      </c>
      <c r="G364" t="s">
        <v>613</v>
      </c>
      <c r="H364" t="s">
        <v>614</v>
      </c>
      <c r="I364" t="s">
        <v>4454</v>
      </c>
      <c r="J364" t="str">
        <f>"Pyruvate kinase PKM;Pyruvate kinase"</f>
        <v>Pyruvate kinase PKM;Pyruvate kinase</v>
      </c>
      <c r="K364" t="str">
        <f>"PKM"</f>
        <v>PKM</v>
      </c>
    </row>
    <row r="365" spans="1:11" x14ac:dyDescent="0.25">
      <c r="A365" s="1">
        <v>903</v>
      </c>
      <c r="B365" s="1">
        <v>2</v>
      </c>
      <c r="C365" s="1" t="s">
        <v>3</v>
      </c>
      <c r="D365" s="1">
        <v>7</v>
      </c>
      <c r="E365" s="1">
        <v>107.56</v>
      </c>
      <c r="F365" s="1">
        <v>0.97799700000000001</v>
      </c>
      <c r="G365" t="s">
        <v>615</v>
      </c>
      <c r="H365" t="s">
        <v>396</v>
      </c>
      <c r="I365" t="s">
        <v>4455</v>
      </c>
      <c r="J365" t="str">
        <f>""</f>
        <v/>
      </c>
      <c r="K365" t="str">
        <f>""</f>
        <v/>
      </c>
    </row>
    <row r="366" spans="1:11" x14ac:dyDescent="0.25">
      <c r="A366" s="1">
        <v>702</v>
      </c>
      <c r="B366" s="1">
        <v>3</v>
      </c>
      <c r="C366" s="1" t="s">
        <v>4</v>
      </c>
      <c r="D366" s="1">
        <v>17</v>
      </c>
      <c r="E366" s="1">
        <v>45.451999999999998</v>
      </c>
      <c r="F366" s="1">
        <v>0.99993699999999996</v>
      </c>
      <c r="G366" t="s">
        <v>616</v>
      </c>
      <c r="H366" t="s">
        <v>617</v>
      </c>
      <c r="I366">
        <v>783</v>
      </c>
      <c r="J366" t="str">
        <f>"Maestro heat-like repeat-containing protein family member 1"</f>
        <v>Maestro heat-like repeat-containing protein family member 1</v>
      </c>
      <c r="K366" t="str">
        <f>"MROH1"</f>
        <v>MROH1</v>
      </c>
    </row>
    <row r="367" spans="1:11" x14ac:dyDescent="0.25">
      <c r="A367" s="1">
        <v>811</v>
      </c>
      <c r="B367" s="1">
        <v>3</v>
      </c>
      <c r="C367" s="1" t="s">
        <v>3</v>
      </c>
      <c r="D367" s="1">
        <v>1</v>
      </c>
      <c r="E367" s="1">
        <v>220.34</v>
      </c>
      <c r="F367" s="1">
        <v>1</v>
      </c>
      <c r="G367" t="s">
        <v>618</v>
      </c>
      <c r="H367" t="s">
        <v>619</v>
      </c>
      <c r="I367" t="s">
        <v>4456</v>
      </c>
      <c r="J367" t="str">
        <f>"Cadherin-1;E-Cad/CTF1;E-Cad/CTF2;E-Cad/CTF3"</f>
        <v>Cadherin-1;E-Cad/CTF1;E-Cad/CTF2;E-Cad/CTF3</v>
      </c>
      <c r="K367" t="str">
        <f>"CDH1"</f>
        <v>CDH1</v>
      </c>
    </row>
    <row r="368" spans="1:11" x14ac:dyDescent="0.25">
      <c r="A368" s="1">
        <v>1107</v>
      </c>
      <c r="B368" s="1">
        <v>3</v>
      </c>
      <c r="C368" s="1" t="s">
        <v>3</v>
      </c>
      <c r="D368" s="1">
        <v>7</v>
      </c>
      <c r="E368" s="1">
        <v>98.048000000000002</v>
      </c>
      <c r="F368" s="1">
        <v>0.90004700000000004</v>
      </c>
      <c r="G368" t="s">
        <v>620</v>
      </c>
      <c r="H368" t="s">
        <v>621</v>
      </c>
      <c r="I368" t="s">
        <v>4457</v>
      </c>
      <c r="J368" t="str">
        <f>"Tyrosine-protein kinase receptor;Insulin receptor;Insulin receptor subunit alpha;Insulin receptor subunit beta"</f>
        <v>Tyrosine-protein kinase receptor;Insulin receptor;Insulin receptor subunit alpha;Insulin receptor subunit beta</v>
      </c>
      <c r="K368" t="str">
        <f>"IGF1R;INSR"</f>
        <v>IGF1R;INSR</v>
      </c>
    </row>
    <row r="369" spans="1:11" x14ac:dyDescent="0.25">
      <c r="A369" s="1">
        <v>1384</v>
      </c>
      <c r="B369" s="1">
        <v>4</v>
      </c>
      <c r="C369" s="1" t="s">
        <v>3</v>
      </c>
      <c r="D369" s="1">
        <v>17</v>
      </c>
      <c r="E369" s="1">
        <v>102.56</v>
      </c>
      <c r="F369" s="1">
        <v>0.69719100000000001</v>
      </c>
      <c r="G369" t="s">
        <v>622</v>
      </c>
      <c r="H369" t="s">
        <v>349</v>
      </c>
      <c r="I369" t="s">
        <v>4458</v>
      </c>
      <c r="J369" t="str">
        <f>"Tyrosine-protein kinase Yes"</f>
        <v>Tyrosine-protein kinase Yes</v>
      </c>
      <c r="K369" t="str">
        <f>"YES1"</f>
        <v>YES1</v>
      </c>
    </row>
    <row r="370" spans="1:11" x14ac:dyDescent="0.25">
      <c r="A370" s="1">
        <v>944</v>
      </c>
      <c r="B370" s="1">
        <v>3</v>
      </c>
      <c r="C370" s="1" t="s">
        <v>3</v>
      </c>
      <c r="D370" s="1">
        <v>9</v>
      </c>
      <c r="E370" s="1">
        <v>212.39</v>
      </c>
      <c r="F370" s="1">
        <v>0.99995500000000004</v>
      </c>
      <c r="G370" t="s">
        <v>623</v>
      </c>
      <c r="H370" t="s">
        <v>201</v>
      </c>
      <c r="I370" t="s">
        <v>4459</v>
      </c>
      <c r="J370" t="str">
        <f>"ARF GTPase-activating protein GIT1"</f>
        <v>ARF GTPase-activating protein GIT1</v>
      </c>
      <c r="K370" t="str">
        <f>"GIT1"</f>
        <v>GIT1</v>
      </c>
    </row>
    <row r="371" spans="1:11" x14ac:dyDescent="0.25">
      <c r="A371" s="1">
        <v>1711</v>
      </c>
      <c r="B371" s="1">
        <v>3</v>
      </c>
      <c r="C371" s="1" t="s">
        <v>3</v>
      </c>
      <c r="D371" s="1">
        <v>5</v>
      </c>
      <c r="E371" s="1">
        <v>62.694000000000003</v>
      </c>
      <c r="F371" s="1">
        <v>1</v>
      </c>
      <c r="G371" t="s">
        <v>624</v>
      </c>
      <c r="H371" t="s">
        <v>625</v>
      </c>
      <c r="I371">
        <v>105</v>
      </c>
      <c r="J371" t="str">
        <f>"Galectin-1"</f>
        <v>Galectin-1</v>
      </c>
      <c r="K371" t="str">
        <f>"LGALS1"</f>
        <v>LGALS1</v>
      </c>
    </row>
    <row r="372" spans="1:11" x14ac:dyDescent="0.25">
      <c r="A372" s="1">
        <v>952</v>
      </c>
      <c r="B372" s="1">
        <v>2</v>
      </c>
      <c r="C372" s="1" t="s">
        <v>3</v>
      </c>
      <c r="D372" s="1">
        <v>3</v>
      </c>
      <c r="E372" s="1">
        <v>148.52000000000001</v>
      </c>
      <c r="F372" s="1">
        <v>0.99998100000000001</v>
      </c>
      <c r="G372" t="s">
        <v>626</v>
      </c>
      <c r="H372" t="s">
        <v>627</v>
      </c>
      <c r="I372" t="s">
        <v>4460</v>
      </c>
      <c r="J372" t="str">
        <f>"ATP-dependent RNA helicase DDX3X;ATP-dependent RNA helicase DDX3Y"</f>
        <v>ATP-dependent RNA helicase DDX3X;ATP-dependent RNA helicase DDX3Y</v>
      </c>
      <c r="K372" t="str">
        <f>"DDX3X;DDX3Y"</f>
        <v>DDX3X;DDX3Y</v>
      </c>
    </row>
    <row r="373" spans="1:11" x14ac:dyDescent="0.25">
      <c r="A373" s="1">
        <v>2148</v>
      </c>
      <c r="B373" s="1">
        <v>2</v>
      </c>
      <c r="C373" s="1" t="s">
        <v>3</v>
      </c>
      <c r="D373" s="1">
        <v>5</v>
      </c>
      <c r="E373" s="1">
        <v>80.438000000000002</v>
      </c>
      <c r="F373" s="1">
        <v>0.99999400000000005</v>
      </c>
      <c r="G373" t="s">
        <v>628</v>
      </c>
      <c r="H373" t="s">
        <v>629</v>
      </c>
      <c r="I373" t="s">
        <v>4461</v>
      </c>
      <c r="J373" t="str">
        <f>"Calponin-1"</f>
        <v>Calponin-1</v>
      </c>
      <c r="K373" t="str">
        <f>"CNN1"</f>
        <v>CNN1</v>
      </c>
    </row>
    <row r="374" spans="1:11" x14ac:dyDescent="0.25">
      <c r="A374" s="1">
        <v>2222</v>
      </c>
      <c r="B374" s="1">
        <v>2</v>
      </c>
      <c r="C374" s="1" t="s">
        <v>3</v>
      </c>
      <c r="D374" s="1">
        <v>5</v>
      </c>
      <c r="E374" s="1">
        <v>114.5</v>
      </c>
      <c r="F374" s="1">
        <v>0.99997000000000003</v>
      </c>
      <c r="G374" t="s">
        <v>630</v>
      </c>
      <c r="H374" t="s">
        <v>631</v>
      </c>
      <c r="I374" t="s">
        <v>4462</v>
      </c>
      <c r="J374" t="s">
        <v>4463</v>
      </c>
      <c r="K374" t="str">
        <f>"ACTB;ACTA2;ACTG1;ACTBL2;ACTG2;ACTC1;ACTA1"</f>
        <v>ACTB;ACTA2;ACTG1;ACTBL2;ACTG2;ACTC1;ACTA1</v>
      </c>
    </row>
    <row r="375" spans="1:11" x14ac:dyDescent="0.25">
      <c r="A375" s="1">
        <v>1870</v>
      </c>
      <c r="B375" s="1">
        <v>4</v>
      </c>
      <c r="C375" s="1" t="s">
        <v>3</v>
      </c>
      <c r="D375" s="1">
        <v>21</v>
      </c>
      <c r="E375" s="1">
        <v>207.07</v>
      </c>
      <c r="F375" s="1">
        <v>1</v>
      </c>
      <c r="G375" t="s">
        <v>632</v>
      </c>
      <c r="H375" t="s">
        <v>78</v>
      </c>
      <c r="I375" t="s">
        <v>4464</v>
      </c>
      <c r="J375" t="str">
        <f>"Filamin-A"</f>
        <v>Filamin-A</v>
      </c>
      <c r="K375" t="str">
        <f>"FLNA"</f>
        <v>FLNA</v>
      </c>
    </row>
    <row r="376" spans="1:11" x14ac:dyDescent="0.25">
      <c r="A376" s="1">
        <v>2595</v>
      </c>
      <c r="B376" s="1">
        <v>2</v>
      </c>
      <c r="C376" s="1" t="s">
        <v>3</v>
      </c>
      <c r="D376" s="1">
        <v>2</v>
      </c>
      <c r="E376" s="1">
        <v>142.38999999999999</v>
      </c>
      <c r="F376" s="1">
        <v>0.5</v>
      </c>
      <c r="G376" t="s">
        <v>633</v>
      </c>
      <c r="H376" t="s">
        <v>553</v>
      </c>
      <c r="I376" t="s">
        <v>4465</v>
      </c>
      <c r="J376" t="str">
        <f>"Phospholysine phosphohistidine inorganic pyrophosphate phosphatase"</f>
        <v>Phospholysine phosphohistidine inorganic pyrophosphate phosphatase</v>
      </c>
      <c r="K376" t="str">
        <f>"LHPP"</f>
        <v>LHPP</v>
      </c>
    </row>
    <row r="377" spans="1:11" x14ac:dyDescent="0.25">
      <c r="A377" s="1">
        <v>1959</v>
      </c>
      <c r="B377" s="1">
        <v>3</v>
      </c>
      <c r="C377" s="1" t="s">
        <v>3</v>
      </c>
      <c r="D377" s="1">
        <v>5</v>
      </c>
      <c r="E377" s="1">
        <v>126.4</v>
      </c>
      <c r="F377" s="1">
        <v>0.99359299999999995</v>
      </c>
      <c r="G377" t="s">
        <v>634</v>
      </c>
      <c r="H377" t="s">
        <v>499</v>
      </c>
      <c r="I377" t="s">
        <v>4466</v>
      </c>
      <c r="J377" t="str">
        <f>"Tyrosine-protein phosphatase non-receptor type 6"</f>
        <v>Tyrosine-protein phosphatase non-receptor type 6</v>
      </c>
      <c r="K377" t="str">
        <f>"PTPN6"</f>
        <v>PTPN6</v>
      </c>
    </row>
    <row r="378" spans="1:11" x14ac:dyDescent="0.25">
      <c r="A378" s="1">
        <v>2608</v>
      </c>
      <c r="B378" s="1">
        <v>3</v>
      </c>
      <c r="C378" s="1" t="s">
        <v>3</v>
      </c>
      <c r="D378" s="1">
        <v>9</v>
      </c>
      <c r="E378" s="1">
        <v>64.120999999999995</v>
      </c>
      <c r="F378" s="1">
        <v>1</v>
      </c>
      <c r="G378" t="s">
        <v>635</v>
      </c>
      <c r="H378" t="s">
        <v>37</v>
      </c>
      <c r="I378" t="s">
        <v>4467</v>
      </c>
      <c r="J378" t="str">
        <f>"Partitioning defective 3 homolog"</f>
        <v>Partitioning defective 3 homolog</v>
      </c>
      <c r="K378" t="str">
        <f>"PARD3"</f>
        <v>PARD3</v>
      </c>
    </row>
    <row r="379" spans="1:11" x14ac:dyDescent="0.25">
      <c r="A379" s="1">
        <v>2966</v>
      </c>
      <c r="B379" s="1">
        <v>3</v>
      </c>
      <c r="C379" s="1" t="s">
        <v>3</v>
      </c>
      <c r="D379" s="1">
        <v>2</v>
      </c>
      <c r="E379" s="1">
        <v>89.010999999999996</v>
      </c>
      <c r="F379" s="1">
        <v>1</v>
      </c>
      <c r="G379" t="s">
        <v>636</v>
      </c>
      <c r="H379" t="s">
        <v>637</v>
      </c>
      <c r="I379" t="s">
        <v>4468</v>
      </c>
      <c r="J379" t="str">
        <f>"Inorganic pyrophosphatase 2, mitochondrial"</f>
        <v>Inorganic pyrophosphatase 2, mitochondrial</v>
      </c>
      <c r="K379" t="str">
        <f>"PPA2"</f>
        <v>PPA2</v>
      </c>
    </row>
    <row r="380" spans="1:11" x14ac:dyDescent="0.25">
      <c r="A380" s="1">
        <v>1380</v>
      </c>
      <c r="B380" s="1">
        <v>3</v>
      </c>
      <c r="C380" s="1" t="s">
        <v>3</v>
      </c>
      <c r="D380" s="1">
        <v>8</v>
      </c>
      <c r="E380" s="1">
        <v>116.71</v>
      </c>
      <c r="F380" s="1">
        <v>0.99943199999999999</v>
      </c>
      <c r="G380" t="s">
        <v>638</v>
      </c>
      <c r="H380" t="s">
        <v>220</v>
      </c>
      <c r="I380" t="s">
        <v>4469</v>
      </c>
      <c r="J380" t="str">
        <f>"Tyrosine-protein kinase Yes;Tyrosine-protein kinase Fyn"</f>
        <v>Tyrosine-protein kinase Yes;Tyrosine-protein kinase Fyn</v>
      </c>
      <c r="K380" t="str">
        <f>"YES1;FYN"</f>
        <v>YES1;FYN</v>
      </c>
    </row>
    <row r="381" spans="1:11" x14ac:dyDescent="0.25">
      <c r="A381" s="1">
        <v>2412</v>
      </c>
      <c r="B381" s="1">
        <v>3</v>
      </c>
      <c r="C381" s="1" t="s">
        <v>3</v>
      </c>
      <c r="D381" s="1">
        <v>24</v>
      </c>
      <c r="E381" s="1">
        <v>40.43</v>
      </c>
      <c r="F381" s="1">
        <v>0.80459999999999998</v>
      </c>
      <c r="G381" t="s">
        <v>639</v>
      </c>
      <c r="H381" t="s">
        <v>640</v>
      </c>
      <c r="I381" t="s">
        <v>4470</v>
      </c>
      <c r="J381" t="str">
        <f>"Transcription intermediary factor 1-beta"</f>
        <v>Transcription intermediary factor 1-beta</v>
      </c>
      <c r="K381" t="str">
        <f>"TRIM28"</f>
        <v>TRIM28</v>
      </c>
    </row>
    <row r="382" spans="1:11" x14ac:dyDescent="0.25">
      <c r="A382" s="1">
        <v>2877</v>
      </c>
      <c r="B382" s="1">
        <v>3</v>
      </c>
      <c r="C382" s="1" t="s">
        <v>3</v>
      </c>
      <c r="D382" s="1">
        <v>20</v>
      </c>
      <c r="E382" s="1">
        <v>209.24</v>
      </c>
      <c r="F382" s="1">
        <v>0.74015799999999998</v>
      </c>
      <c r="G382" t="s">
        <v>641</v>
      </c>
      <c r="H382" t="s">
        <v>111</v>
      </c>
      <c r="I382" t="s">
        <v>4471</v>
      </c>
      <c r="J382" t="str">
        <f>"Sodium-coupled neutral amino acid transporter 2"</f>
        <v>Sodium-coupled neutral amino acid transporter 2</v>
      </c>
      <c r="K382" t="str">
        <f>"SLC38A2"</f>
        <v>SLC38A2</v>
      </c>
    </row>
    <row r="383" spans="1:11" x14ac:dyDescent="0.25">
      <c r="A383" s="1">
        <v>1059</v>
      </c>
      <c r="B383" s="1">
        <v>3</v>
      </c>
      <c r="C383" s="1" t="s">
        <v>3</v>
      </c>
      <c r="D383" s="1">
        <v>7</v>
      </c>
      <c r="E383" s="1">
        <v>153</v>
      </c>
      <c r="F383" s="1">
        <v>0.998699</v>
      </c>
      <c r="G383" t="s">
        <v>642</v>
      </c>
      <c r="H383" t="s">
        <v>643</v>
      </c>
      <c r="I383" t="s">
        <v>4472</v>
      </c>
      <c r="J383" t="str">
        <f>"Kin of IRRE-like protein 1"</f>
        <v>Kin of IRRE-like protein 1</v>
      </c>
      <c r="K383" t="str">
        <f>"KIRREL"</f>
        <v>KIRREL</v>
      </c>
    </row>
    <row r="384" spans="1:11" x14ac:dyDescent="0.25">
      <c r="A384" s="1">
        <v>2553</v>
      </c>
      <c r="B384" s="1">
        <v>3</v>
      </c>
      <c r="C384" s="1" t="s">
        <v>3</v>
      </c>
      <c r="D384" s="1">
        <v>8</v>
      </c>
      <c r="E384" s="1">
        <v>122.34</v>
      </c>
      <c r="F384" s="1">
        <v>0.99999400000000005</v>
      </c>
      <c r="G384" t="s">
        <v>644</v>
      </c>
      <c r="H384" t="s">
        <v>645</v>
      </c>
      <c r="I384">
        <v>481</v>
      </c>
      <c r="J384" t="str">
        <f>"Discoidin domain-containing receptor 2"</f>
        <v>Discoidin domain-containing receptor 2</v>
      </c>
      <c r="K384" t="str">
        <f>"DDR2"</f>
        <v>DDR2</v>
      </c>
    </row>
    <row r="385" spans="1:11" x14ac:dyDescent="0.25">
      <c r="A385" s="1">
        <v>3104</v>
      </c>
      <c r="B385" s="1">
        <v>3</v>
      </c>
      <c r="C385" s="1" t="s">
        <v>3</v>
      </c>
      <c r="D385" s="1">
        <v>8</v>
      </c>
      <c r="E385" s="1">
        <v>120.87</v>
      </c>
      <c r="F385" s="1">
        <v>0.99762399999999996</v>
      </c>
      <c r="G385" t="s">
        <v>646</v>
      </c>
      <c r="H385" t="s">
        <v>647</v>
      </c>
      <c r="I385" t="s">
        <v>4473</v>
      </c>
      <c r="J385" t="str">
        <f>"Serine/threonine-protein kinase ICK"</f>
        <v>Serine/threonine-protein kinase ICK</v>
      </c>
      <c r="K385" t="str">
        <f>"ICK"</f>
        <v>ICK</v>
      </c>
    </row>
    <row r="386" spans="1:11" x14ac:dyDescent="0.25">
      <c r="A386" s="1">
        <v>1515</v>
      </c>
      <c r="B386" s="1">
        <v>3</v>
      </c>
      <c r="C386" s="1" t="s">
        <v>3</v>
      </c>
      <c r="D386" s="1">
        <v>9</v>
      </c>
      <c r="E386" s="1">
        <v>106.32</v>
      </c>
      <c r="F386" s="1">
        <v>0.99905699999999997</v>
      </c>
      <c r="G386" t="s">
        <v>648</v>
      </c>
      <c r="H386" t="s">
        <v>649</v>
      </c>
      <c r="I386">
        <v>138</v>
      </c>
      <c r="J386" t="str">
        <f>"Glycosaminoglycan xylosylkinase"</f>
        <v>Glycosaminoglycan xylosylkinase</v>
      </c>
      <c r="K386" t="str">
        <f>"FAM20B"</f>
        <v>FAM20B</v>
      </c>
    </row>
    <row r="387" spans="1:11" x14ac:dyDescent="0.25">
      <c r="A387" s="1">
        <v>1653</v>
      </c>
      <c r="B387" s="1">
        <v>3</v>
      </c>
      <c r="C387" s="1" t="s">
        <v>3</v>
      </c>
      <c r="D387" s="1">
        <v>2</v>
      </c>
      <c r="E387" s="1">
        <v>107.72</v>
      </c>
      <c r="F387" s="1">
        <v>0.99985400000000002</v>
      </c>
      <c r="G387" t="s">
        <v>650</v>
      </c>
      <c r="H387" t="s">
        <v>20</v>
      </c>
      <c r="I387" t="s">
        <v>4474</v>
      </c>
      <c r="J387" t="str">
        <f>"Annexin A2;Putative annexin A2-like protein;Annexin"</f>
        <v>Annexin A2;Putative annexin A2-like protein;Annexin</v>
      </c>
      <c r="K387" t="str">
        <f>"ANXA2;ANXA2P2"</f>
        <v>ANXA2;ANXA2P2</v>
      </c>
    </row>
    <row r="388" spans="1:11" x14ac:dyDescent="0.25">
      <c r="A388" s="1">
        <v>827</v>
      </c>
      <c r="B388" s="1">
        <v>3</v>
      </c>
      <c r="C388" s="1" t="s">
        <v>3</v>
      </c>
      <c r="D388" s="1">
        <v>5</v>
      </c>
      <c r="E388" s="1">
        <v>111.84</v>
      </c>
      <c r="F388" s="1">
        <v>0.96081300000000003</v>
      </c>
      <c r="G388" t="s">
        <v>651</v>
      </c>
      <c r="H388" t="s">
        <v>520</v>
      </c>
      <c r="I388" t="s">
        <v>4475</v>
      </c>
      <c r="J388" t="str">
        <f>"Lipoma-preferred partner"</f>
        <v>Lipoma-preferred partner</v>
      </c>
      <c r="K388" t="str">
        <f>"LPP"</f>
        <v>LPP</v>
      </c>
    </row>
    <row r="389" spans="1:11" x14ac:dyDescent="0.25">
      <c r="A389" s="1">
        <v>1646</v>
      </c>
      <c r="B389" s="1">
        <v>2</v>
      </c>
      <c r="C389" s="1" t="s">
        <v>3</v>
      </c>
      <c r="D389" s="1">
        <v>7</v>
      </c>
      <c r="E389" s="1">
        <v>62.466000000000001</v>
      </c>
      <c r="F389" s="1">
        <v>0.99368599999999996</v>
      </c>
      <c r="G389" t="s">
        <v>652</v>
      </c>
      <c r="H389" t="s">
        <v>653</v>
      </c>
      <c r="I389">
        <v>240</v>
      </c>
      <c r="J389" t="str">
        <f>"L-lactate dehydrogenase B chain"</f>
        <v>L-lactate dehydrogenase B chain</v>
      </c>
      <c r="K389" t="str">
        <f>"LDHB"</f>
        <v>LDHB</v>
      </c>
    </row>
    <row r="390" spans="1:11" x14ac:dyDescent="0.25">
      <c r="A390" s="1">
        <v>1148</v>
      </c>
      <c r="B390" s="1">
        <v>3</v>
      </c>
      <c r="C390" s="1" t="s">
        <v>3</v>
      </c>
      <c r="D390" s="1">
        <v>10</v>
      </c>
      <c r="E390" s="1">
        <v>101.28</v>
      </c>
      <c r="F390" s="1">
        <v>0.99357099999999998</v>
      </c>
      <c r="G390" t="s">
        <v>654</v>
      </c>
      <c r="H390" t="s">
        <v>655</v>
      </c>
      <c r="I390" t="s">
        <v>4476</v>
      </c>
      <c r="J390" t="str">
        <f>"Keratin, type II cytoskeletal 7"</f>
        <v>Keratin, type II cytoskeletal 7</v>
      </c>
      <c r="K390" t="str">
        <f>"KRT7"</f>
        <v>KRT7</v>
      </c>
    </row>
    <row r="391" spans="1:11" x14ac:dyDescent="0.25">
      <c r="A391" s="1">
        <v>1604</v>
      </c>
      <c r="B391" s="1">
        <v>4</v>
      </c>
      <c r="C391" s="1" t="s">
        <v>3</v>
      </c>
      <c r="D391" s="1">
        <v>15</v>
      </c>
      <c r="E391" s="1">
        <v>162.76</v>
      </c>
      <c r="F391" s="1">
        <v>0.94104399999999999</v>
      </c>
      <c r="G391" t="s">
        <v>656</v>
      </c>
      <c r="H391" t="s">
        <v>657</v>
      </c>
      <c r="I391" t="s">
        <v>4477</v>
      </c>
      <c r="J391" t="str">
        <f>"Low-density lipoprotein receptor"</f>
        <v>Low-density lipoprotein receptor</v>
      </c>
      <c r="K391" t="str">
        <f>"LDLR"</f>
        <v>LDLR</v>
      </c>
    </row>
    <row r="392" spans="1:11" x14ac:dyDescent="0.25">
      <c r="A392" s="1">
        <v>1964</v>
      </c>
      <c r="B392" s="1">
        <v>4</v>
      </c>
      <c r="C392" s="1" t="s">
        <v>3</v>
      </c>
      <c r="D392" s="1">
        <v>6</v>
      </c>
      <c r="E392" s="1">
        <v>112.44</v>
      </c>
      <c r="F392" s="1">
        <v>1</v>
      </c>
      <c r="G392" t="s">
        <v>658</v>
      </c>
      <c r="H392" t="s">
        <v>659</v>
      </c>
      <c r="I392" t="s">
        <v>4478</v>
      </c>
      <c r="J392" t="str">
        <f>"Tyrosine-protein phosphatase non-receptor type 6"</f>
        <v>Tyrosine-protein phosphatase non-receptor type 6</v>
      </c>
      <c r="K392" t="str">
        <f>"PTPN6"</f>
        <v>PTPN6</v>
      </c>
    </row>
    <row r="393" spans="1:11" x14ac:dyDescent="0.25">
      <c r="A393" s="1">
        <v>1398</v>
      </c>
      <c r="B393" s="1">
        <v>2</v>
      </c>
      <c r="C393" s="1" t="s">
        <v>3</v>
      </c>
      <c r="D393" s="1">
        <v>3</v>
      </c>
      <c r="E393" s="1">
        <v>113.76</v>
      </c>
      <c r="F393" s="1">
        <v>0.99959100000000001</v>
      </c>
      <c r="G393" t="s">
        <v>660</v>
      </c>
      <c r="H393" t="s">
        <v>661</v>
      </c>
      <c r="I393" t="s">
        <v>4479</v>
      </c>
      <c r="J393" t="str">
        <f>"Serine--tRNA ligase, mitochondrial"</f>
        <v>Serine--tRNA ligase, mitochondrial</v>
      </c>
      <c r="K393" t="str">
        <f>"SARS2"</f>
        <v>SARS2</v>
      </c>
    </row>
    <row r="394" spans="1:11" x14ac:dyDescent="0.25">
      <c r="A394" s="1">
        <v>1263</v>
      </c>
      <c r="B394" s="1">
        <v>3</v>
      </c>
      <c r="C394" s="1" t="s">
        <v>3</v>
      </c>
      <c r="D394" s="1">
        <v>9</v>
      </c>
      <c r="E394" s="1">
        <v>90.724999999999994</v>
      </c>
      <c r="F394" s="1">
        <v>0.99976600000000004</v>
      </c>
      <c r="G394" t="s">
        <v>662</v>
      </c>
      <c r="H394" t="s">
        <v>663</v>
      </c>
      <c r="I394" t="s">
        <v>4424</v>
      </c>
      <c r="J394" t="str">
        <f>"Transmembrane protein 106B"</f>
        <v>Transmembrane protein 106B</v>
      </c>
      <c r="K394" t="str">
        <f>"TMEM106B"</f>
        <v>TMEM106B</v>
      </c>
    </row>
    <row r="395" spans="1:11" x14ac:dyDescent="0.25">
      <c r="A395" s="1">
        <v>1655</v>
      </c>
      <c r="B395" s="1">
        <v>2</v>
      </c>
      <c r="C395" s="1" t="s">
        <v>3</v>
      </c>
      <c r="D395" s="1">
        <v>3</v>
      </c>
      <c r="E395" s="1">
        <v>170.52</v>
      </c>
      <c r="F395" s="1">
        <v>0.99990699999999999</v>
      </c>
      <c r="G395" t="s">
        <v>664</v>
      </c>
      <c r="H395" t="s">
        <v>234</v>
      </c>
      <c r="I395" t="s">
        <v>4480</v>
      </c>
      <c r="J395" t="str">
        <f>"Annexin A2;Putative annexin A2-like protein"</f>
        <v>Annexin A2;Putative annexin A2-like protein</v>
      </c>
      <c r="K395" t="str">
        <f>"ANXA2;ANXA2P2"</f>
        <v>ANXA2;ANXA2P2</v>
      </c>
    </row>
    <row r="396" spans="1:11" x14ac:dyDescent="0.25">
      <c r="A396" s="1">
        <v>1616</v>
      </c>
      <c r="B396" s="1">
        <v>2</v>
      </c>
      <c r="C396" s="1" t="s">
        <v>3</v>
      </c>
      <c r="D396" s="1">
        <v>4</v>
      </c>
      <c r="E396" s="1">
        <v>200.82</v>
      </c>
      <c r="F396" s="1">
        <v>1</v>
      </c>
      <c r="G396" t="s">
        <v>665</v>
      </c>
      <c r="H396" t="s">
        <v>480</v>
      </c>
      <c r="I396" t="s">
        <v>4481</v>
      </c>
      <c r="J396" t="str">
        <f>"Fructose-bisphosphate aldolase A"</f>
        <v>Fructose-bisphosphate aldolase A</v>
      </c>
      <c r="K396" t="str">
        <f>"ALDOA"</f>
        <v>ALDOA</v>
      </c>
    </row>
    <row r="397" spans="1:11" x14ac:dyDescent="0.25">
      <c r="A397" s="1">
        <v>934</v>
      </c>
      <c r="B397" s="1">
        <v>4</v>
      </c>
      <c r="C397" s="1" t="s">
        <v>3</v>
      </c>
      <c r="D397" s="1">
        <v>18</v>
      </c>
      <c r="E397" s="1">
        <v>185.96</v>
      </c>
      <c r="F397" s="1">
        <v>0.991456</v>
      </c>
      <c r="G397" t="s">
        <v>666</v>
      </c>
      <c r="H397" t="s">
        <v>155</v>
      </c>
      <c r="I397" t="s">
        <v>4482</v>
      </c>
      <c r="J397" t="str">
        <f>"G-protein coupled receptor family C group 5 member C"</f>
        <v>G-protein coupled receptor family C group 5 member C</v>
      </c>
      <c r="K397" t="str">
        <f>"GPRC5C"</f>
        <v>GPRC5C</v>
      </c>
    </row>
    <row r="398" spans="1:11" x14ac:dyDescent="0.25">
      <c r="A398" s="1">
        <v>2159</v>
      </c>
      <c r="B398" s="1">
        <v>3</v>
      </c>
      <c r="C398" s="1" t="s">
        <v>3</v>
      </c>
      <c r="D398" s="1">
        <v>1</v>
      </c>
      <c r="E398" s="1">
        <v>76.438999999999993</v>
      </c>
      <c r="F398" s="1">
        <v>0.99998299999999996</v>
      </c>
      <c r="G398" t="s">
        <v>667</v>
      </c>
      <c r="H398" t="s">
        <v>668</v>
      </c>
      <c r="I398" t="s">
        <v>4483</v>
      </c>
      <c r="J398" t="str">
        <f>"Arf-GAP domain and FG repeat-containing protein 1"</f>
        <v>Arf-GAP domain and FG repeat-containing protein 1</v>
      </c>
      <c r="K398" t="str">
        <f>"AGFG1"</f>
        <v>AGFG1</v>
      </c>
    </row>
    <row r="399" spans="1:11" x14ac:dyDescent="0.25">
      <c r="A399" s="1">
        <v>1828</v>
      </c>
      <c r="B399" s="1">
        <v>2</v>
      </c>
      <c r="C399" s="1" t="s">
        <v>3</v>
      </c>
      <c r="D399" s="1">
        <v>7</v>
      </c>
      <c r="E399" s="1">
        <v>159.04</v>
      </c>
      <c r="F399" s="1">
        <v>0.99999899999999997</v>
      </c>
      <c r="G399" t="s">
        <v>669</v>
      </c>
      <c r="H399" t="s">
        <v>412</v>
      </c>
      <c r="I399" t="s">
        <v>4484</v>
      </c>
      <c r="J399" t="str">
        <f>"Vinculin"</f>
        <v>Vinculin</v>
      </c>
      <c r="K399" t="str">
        <f>"VCL"</f>
        <v>VCL</v>
      </c>
    </row>
    <row r="400" spans="1:11" x14ac:dyDescent="0.25">
      <c r="A400" s="1">
        <v>2250</v>
      </c>
      <c r="B400" s="1">
        <v>3</v>
      </c>
      <c r="C400" s="1" t="s">
        <v>3</v>
      </c>
      <c r="D400" s="1">
        <v>1</v>
      </c>
      <c r="E400" s="1">
        <v>88.83</v>
      </c>
      <c r="F400" s="1">
        <v>1</v>
      </c>
      <c r="G400" t="s">
        <v>670</v>
      </c>
      <c r="H400" t="s">
        <v>671</v>
      </c>
      <c r="I400" t="s">
        <v>4485</v>
      </c>
      <c r="J400" t="str">
        <f>"14-3-3 protein epsilon"</f>
        <v>14-3-3 protein epsilon</v>
      </c>
      <c r="K400" t="str">
        <f>"YWHAE"</f>
        <v>YWHAE</v>
      </c>
    </row>
    <row r="401" spans="1:11" x14ac:dyDescent="0.25">
      <c r="A401" s="1">
        <v>867</v>
      </c>
      <c r="B401" s="1">
        <v>3</v>
      </c>
      <c r="C401" s="1" t="s">
        <v>3</v>
      </c>
      <c r="D401" s="1">
        <v>6</v>
      </c>
      <c r="E401" s="1">
        <v>150.26</v>
      </c>
      <c r="F401" s="1">
        <v>0.99999300000000002</v>
      </c>
      <c r="G401" t="s">
        <v>672</v>
      </c>
      <c r="H401" t="s">
        <v>673</v>
      </c>
      <c r="I401" t="s">
        <v>4486</v>
      </c>
      <c r="J401" t="str">
        <f>"Tyrosine-protein phosphatase non-receptor type 9"</f>
        <v>Tyrosine-protein phosphatase non-receptor type 9</v>
      </c>
      <c r="K401" t="str">
        <f>"PTPN9"</f>
        <v>PTPN9</v>
      </c>
    </row>
    <row r="402" spans="1:11" x14ac:dyDescent="0.25">
      <c r="A402" s="1">
        <v>1286</v>
      </c>
      <c r="B402" s="1">
        <v>4</v>
      </c>
      <c r="C402" s="1" t="s">
        <v>3</v>
      </c>
      <c r="D402" s="1">
        <v>5</v>
      </c>
      <c r="E402" s="1">
        <v>161.51</v>
      </c>
      <c r="F402" s="1">
        <v>1</v>
      </c>
      <c r="G402" t="s">
        <v>674</v>
      </c>
      <c r="H402" t="s">
        <v>675</v>
      </c>
      <c r="I402" t="s">
        <v>4487</v>
      </c>
      <c r="J402" t="str">
        <f>"Zinc transporter ZIP3"</f>
        <v>Zinc transporter ZIP3</v>
      </c>
      <c r="K402" t="str">
        <f>"SLC39A3"</f>
        <v>SLC39A3</v>
      </c>
    </row>
    <row r="403" spans="1:11" x14ac:dyDescent="0.25">
      <c r="A403" s="1">
        <v>2652</v>
      </c>
      <c r="B403" s="1">
        <v>3</v>
      </c>
      <c r="C403" s="1" t="s">
        <v>3</v>
      </c>
      <c r="D403" s="1">
        <v>9</v>
      </c>
      <c r="E403" s="1">
        <v>106.82</v>
      </c>
      <c r="F403" s="1">
        <v>0.99999099999999996</v>
      </c>
      <c r="G403" t="s">
        <v>676</v>
      </c>
      <c r="H403" t="s">
        <v>677</v>
      </c>
      <c r="I403" t="s">
        <v>4488</v>
      </c>
      <c r="J403" t="str">
        <f>"Phosphoinositide 3-kinase adapter protein 1"</f>
        <v>Phosphoinositide 3-kinase adapter protein 1</v>
      </c>
      <c r="K403" t="str">
        <f>"PIK3AP1"</f>
        <v>PIK3AP1</v>
      </c>
    </row>
    <row r="404" spans="1:11" x14ac:dyDescent="0.25">
      <c r="A404" s="1">
        <v>1996</v>
      </c>
      <c r="B404" s="1">
        <v>3</v>
      </c>
      <c r="C404" s="1" t="s">
        <v>3</v>
      </c>
      <c r="D404" s="1">
        <v>10</v>
      </c>
      <c r="E404" s="1">
        <v>70.197000000000003</v>
      </c>
      <c r="F404" s="1">
        <v>0.99963400000000002</v>
      </c>
      <c r="G404" t="s">
        <v>678</v>
      </c>
      <c r="H404" t="s">
        <v>679</v>
      </c>
      <c r="I404">
        <v>249</v>
      </c>
      <c r="J404" t="str">
        <f>"Prohibitin"</f>
        <v>Prohibitin</v>
      </c>
      <c r="K404" t="str">
        <f>"PHB"</f>
        <v>PHB</v>
      </c>
    </row>
    <row r="405" spans="1:11" x14ac:dyDescent="0.25">
      <c r="A405" s="1">
        <v>2235</v>
      </c>
      <c r="B405" s="1">
        <v>3</v>
      </c>
      <c r="C405" s="1" t="s">
        <v>3</v>
      </c>
      <c r="D405" s="1">
        <v>7</v>
      </c>
      <c r="E405" s="1">
        <v>102.52</v>
      </c>
      <c r="F405" s="1">
        <v>0.99931400000000004</v>
      </c>
      <c r="G405" t="s">
        <v>680</v>
      </c>
      <c r="H405" t="s">
        <v>681</v>
      </c>
      <c r="I405" t="s">
        <v>4489</v>
      </c>
      <c r="J405" t="str">
        <f>"Protein mago nashi homolog;Protein mago nashi homolog 2"</f>
        <v>Protein mago nashi homolog;Protein mago nashi homolog 2</v>
      </c>
      <c r="K405" t="str">
        <f>"MAGOH;MAGOHB"</f>
        <v>MAGOH;MAGOHB</v>
      </c>
    </row>
    <row r="406" spans="1:11" x14ac:dyDescent="0.25">
      <c r="A406" s="1">
        <v>1584</v>
      </c>
      <c r="B406" s="1">
        <v>3</v>
      </c>
      <c r="C406" s="1" t="s">
        <v>3</v>
      </c>
      <c r="D406" s="1">
        <v>9</v>
      </c>
      <c r="E406" s="1">
        <v>101.32</v>
      </c>
      <c r="F406" s="1">
        <v>0.988259</v>
      </c>
      <c r="G406" t="s">
        <v>682</v>
      </c>
      <c r="H406" t="s">
        <v>683</v>
      </c>
      <c r="I406" t="s">
        <v>4490</v>
      </c>
      <c r="J406" t="str">
        <f>"Glutamate dehydrogenase 1, mitochondrial"</f>
        <v>Glutamate dehydrogenase 1, mitochondrial</v>
      </c>
      <c r="K406" t="str">
        <f>"GLUD1"</f>
        <v>GLUD1</v>
      </c>
    </row>
    <row r="407" spans="1:11" x14ac:dyDescent="0.25">
      <c r="A407" s="1">
        <v>1769</v>
      </c>
      <c r="B407" s="1">
        <v>3</v>
      </c>
      <c r="C407" s="1" t="s">
        <v>3</v>
      </c>
      <c r="D407" s="1">
        <v>4</v>
      </c>
      <c r="E407" s="1">
        <v>87.718999999999994</v>
      </c>
      <c r="F407" s="1">
        <v>1</v>
      </c>
      <c r="G407" t="s">
        <v>684</v>
      </c>
      <c r="H407" t="s">
        <v>685</v>
      </c>
      <c r="I407">
        <v>276</v>
      </c>
      <c r="J407" t="str">
        <f>"Plastin-2"</f>
        <v>Plastin-2</v>
      </c>
      <c r="K407" t="str">
        <f>"LCP1"</f>
        <v>LCP1</v>
      </c>
    </row>
    <row r="408" spans="1:11" x14ac:dyDescent="0.25">
      <c r="A408" s="1">
        <v>2627</v>
      </c>
      <c r="B408" s="1">
        <v>3</v>
      </c>
      <c r="C408" s="1" t="s">
        <v>3</v>
      </c>
      <c r="D408" s="1">
        <v>9</v>
      </c>
      <c r="E408" s="1">
        <v>62.860999999999997</v>
      </c>
      <c r="F408" s="1">
        <v>0.93483300000000003</v>
      </c>
      <c r="G408" t="s">
        <v>686</v>
      </c>
      <c r="H408" t="s">
        <v>687</v>
      </c>
      <c r="I408" t="s">
        <v>4491</v>
      </c>
      <c r="J408" t="str">
        <f>"Ragulator complex protein LAMTOR1"</f>
        <v>Ragulator complex protein LAMTOR1</v>
      </c>
      <c r="K408" t="str">
        <f>"LAMTOR1"</f>
        <v>LAMTOR1</v>
      </c>
    </row>
    <row r="409" spans="1:11" x14ac:dyDescent="0.25">
      <c r="A409" s="1">
        <v>2682</v>
      </c>
      <c r="B409" s="1">
        <v>3</v>
      </c>
      <c r="C409" s="1" t="s">
        <v>3</v>
      </c>
      <c r="D409" s="1">
        <v>6</v>
      </c>
      <c r="E409" s="1">
        <v>100.48</v>
      </c>
      <c r="F409" s="1">
        <v>0.99983999999999995</v>
      </c>
      <c r="G409" t="s">
        <v>688</v>
      </c>
      <c r="H409" t="s">
        <v>279</v>
      </c>
      <c r="I409" t="s">
        <v>4492</v>
      </c>
      <c r="J409" t="str">
        <f>"Lipolysis-stimulated lipoprotein receptor"</f>
        <v>Lipolysis-stimulated lipoprotein receptor</v>
      </c>
      <c r="K409" t="str">
        <f>"LSR"</f>
        <v>LSR</v>
      </c>
    </row>
    <row r="410" spans="1:11" x14ac:dyDescent="0.25">
      <c r="A410" s="1">
        <v>941</v>
      </c>
      <c r="B410" s="1">
        <v>3</v>
      </c>
      <c r="C410" s="1" t="s">
        <v>3</v>
      </c>
      <c r="D410" s="1">
        <v>14</v>
      </c>
      <c r="E410" s="1">
        <v>132.13999999999999</v>
      </c>
      <c r="F410" s="1">
        <v>0.99912900000000004</v>
      </c>
      <c r="G410" t="s">
        <v>689</v>
      </c>
      <c r="H410" t="s">
        <v>690</v>
      </c>
      <c r="I410" t="s">
        <v>4493</v>
      </c>
      <c r="J410" t="str">
        <f>"Abl interactor 2"</f>
        <v>Abl interactor 2</v>
      </c>
      <c r="K410" t="str">
        <f>"ABI2"</f>
        <v>ABI2</v>
      </c>
    </row>
    <row r="411" spans="1:11" x14ac:dyDescent="0.25">
      <c r="A411" s="1">
        <v>998</v>
      </c>
      <c r="B411" s="1">
        <v>4</v>
      </c>
      <c r="C411" s="1" t="s">
        <v>3</v>
      </c>
      <c r="D411" s="1">
        <v>3</v>
      </c>
      <c r="E411" s="1">
        <v>137.72</v>
      </c>
      <c r="F411" s="1">
        <v>0.999614</v>
      </c>
      <c r="G411" t="s">
        <v>691</v>
      </c>
      <c r="H411" t="s">
        <v>692</v>
      </c>
      <c r="I411" t="s">
        <v>4494</v>
      </c>
      <c r="J411" t="str">
        <f>"Pericentriolar material 1 protein"</f>
        <v>Pericentriolar material 1 protein</v>
      </c>
      <c r="K411" t="str">
        <f>"PCM1"</f>
        <v>PCM1</v>
      </c>
    </row>
    <row r="412" spans="1:11" x14ac:dyDescent="0.25">
      <c r="A412" s="1">
        <v>1228</v>
      </c>
      <c r="B412" s="1">
        <v>3</v>
      </c>
      <c r="C412" s="1" t="s">
        <v>3</v>
      </c>
      <c r="D412" s="1">
        <v>6</v>
      </c>
      <c r="E412" s="1">
        <v>146.88</v>
      </c>
      <c r="F412" s="1">
        <v>0.99776299999999996</v>
      </c>
      <c r="G412" t="s">
        <v>693</v>
      </c>
      <c r="H412" t="s">
        <v>694</v>
      </c>
      <c r="I412" t="s">
        <v>4495</v>
      </c>
      <c r="J412" t="str">
        <f>"Ras GTPase-activating protein 1"</f>
        <v>Ras GTPase-activating protein 1</v>
      </c>
      <c r="K412" t="str">
        <f>"RASA1"</f>
        <v>RASA1</v>
      </c>
    </row>
    <row r="413" spans="1:11" x14ac:dyDescent="0.25">
      <c r="A413" s="1">
        <v>1343</v>
      </c>
      <c r="B413" s="1">
        <v>2</v>
      </c>
      <c r="C413" s="1" t="s">
        <v>3</v>
      </c>
      <c r="D413" s="1">
        <v>8</v>
      </c>
      <c r="E413" s="1">
        <v>110.58</v>
      </c>
      <c r="F413" s="1">
        <v>0.99579399999999996</v>
      </c>
      <c r="G413" t="s">
        <v>695</v>
      </c>
      <c r="H413" t="s">
        <v>696</v>
      </c>
      <c r="I413" t="s">
        <v>4496</v>
      </c>
      <c r="J413" t="str">
        <f>"Tyrosine-protein kinase HCK"</f>
        <v>Tyrosine-protein kinase HCK</v>
      </c>
      <c r="K413" t="str">
        <f>"HCK"</f>
        <v>HCK</v>
      </c>
    </row>
    <row r="414" spans="1:11" x14ac:dyDescent="0.25">
      <c r="A414" s="1">
        <v>2470</v>
      </c>
      <c r="B414" s="1">
        <v>2</v>
      </c>
      <c r="C414" s="1" t="s">
        <v>3</v>
      </c>
      <c r="D414" s="1">
        <v>15</v>
      </c>
      <c r="E414" s="1">
        <v>58.246000000000002</v>
      </c>
      <c r="F414" s="1">
        <v>0.98530600000000002</v>
      </c>
      <c r="G414" t="s">
        <v>697</v>
      </c>
      <c r="H414" t="s">
        <v>534</v>
      </c>
      <c r="I414" t="s">
        <v>4497</v>
      </c>
      <c r="J414" t="str">
        <f>"Src substrate cortactin"</f>
        <v>Src substrate cortactin</v>
      </c>
      <c r="K414" t="str">
        <f>"CTTN"</f>
        <v>CTTN</v>
      </c>
    </row>
    <row r="415" spans="1:11" x14ac:dyDescent="0.25">
      <c r="A415" s="1">
        <v>786</v>
      </c>
      <c r="B415" s="1">
        <v>2</v>
      </c>
      <c r="C415" s="1" t="s">
        <v>3</v>
      </c>
      <c r="D415" s="1">
        <v>3</v>
      </c>
      <c r="E415" s="1">
        <v>51.345999999999997</v>
      </c>
      <c r="F415" s="1">
        <v>1</v>
      </c>
      <c r="G415" t="s">
        <v>698</v>
      </c>
      <c r="H415" t="s">
        <v>250</v>
      </c>
      <c r="I415" t="s">
        <v>4498</v>
      </c>
      <c r="J415" t="str">
        <f>"Intersectin-2"</f>
        <v>Intersectin-2</v>
      </c>
      <c r="K415" t="str">
        <f>"ITSN2"</f>
        <v>ITSN2</v>
      </c>
    </row>
    <row r="416" spans="1:11" x14ac:dyDescent="0.25">
      <c r="A416" s="1">
        <v>174</v>
      </c>
      <c r="B416" s="1">
        <v>3</v>
      </c>
      <c r="C416" s="1" t="s">
        <v>5</v>
      </c>
      <c r="D416" s="1">
        <v>3</v>
      </c>
      <c r="E416" s="1">
        <v>136.49</v>
      </c>
      <c r="F416" s="1">
        <v>1</v>
      </c>
      <c r="G416" t="s">
        <v>699</v>
      </c>
      <c r="H416" t="s">
        <v>700</v>
      </c>
      <c r="I416" t="s">
        <v>4193</v>
      </c>
      <c r="J416" t="str">
        <f>"Heat shock protein beta-1"</f>
        <v>Heat shock protein beta-1</v>
      </c>
      <c r="K416" t="str">
        <f>"HSPB1"</f>
        <v>HSPB1</v>
      </c>
    </row>
    <row r="417" spans="1:11" x14ac:dyDescent="0.25">
      <c r="A417" s="1">
        <v>2113</v>
      </c>
      <c r="B417" s="1">
        <v>3</v>
      </c>
      <c r="C417" s="1" t="s">
        <v>3</v>
      </c>
      <c r="D417" s="1">
        <v>6</v>
      </c>
      <c r="E417" s="1">
        <v>145.6</v>
      </c>
      <c r="F417" s="1">
        <v>0.99999700000000002</v>
      </c>
      <c r="G417" t="s">
        <v>701</v>
      </c>
      <c r="H417" t="s">
        <v>702</v>
      </c>
      <c r="I417" t="s">
        <v>4499</v>
      </c>
      <c r="J417" t="str">
        <f>"YLP motif-containing protein 1"</f>
        <v>YLP motif-containing protein 1</v>
      </c>
      <c r="K417" t="str">
        <f>"YLPM1"</f>
        <v>YLPM1</v>
      </c>
    </row>
    <row r="418" spans="1:11" x14ac:dyDescent="0.25">
      <c r="A418" s="1">
        <v>1133</v>
      </c>
      <c r="B418" s="1">
        <v>3</v>
      </c>
      <c r="C418" s="1" t="s">
        <v>3</v>
      </c>
      <c r="D418" s="1">
        <v>23</v>
      </c>
      <c r="E418" s="1">
        <v>141.43</v>
      </c>
      <c r="F418" s="1">
        <v>0.99235700000000004</v>
      </c>
      <c r="G418" t="s">
        <v>703</v>
      </c>
      <c r="H418" t="s">
        <v>143</v>
      </c>
      <c r="I418">
        <v>174</v>
      </c>
      <c r="J418" t="str">
        <f>""</f>
        <v/>
      </c>
      <c r="K418" t="str">
        <f>"CTNND1"</f>
        <v>CTNND1</v>
      </c>
    </row>
    <row r="419" spans="1:11" x14ac:dyDescent="0.25">
      <c r="A419" s="1">
        <v>926</v>
      </c>
      <c r="B419" s="1">
        <v>2</v>
      </c>
      <c r="C419" s="1" t="s">
        <v>3</v>
      </c>
      <c r="D419" s="1">
        <v>4</v>
      </c>
      <c r="E419" s="1">
        <v>212.11</v>
      </c>
      <c r="F419" s="1">
        <v>0.99942399999999998</v>
      </c>
      <c r="G419" t="s">
        <v>704</v>
      </c>
      <c r="H419" t="s">
        <v>705</v>
      </c>
      <c r="I419" t="s">
        <v>4500</v>
      </c>
      <c r="J419" t="str">
        <f>"Tubulin beta-3 chain;Tubulin beta-4A chain;Tubulin beta chain;Tubulin beta-4B chain;Tubulin beta-2A chain;Tubulin beta-6 chain;Tubulin beta-2B chain"</f>
        <v>Tubulin beta-3 chain;Tubulin beta-4A chain;Tubulin beta chain;Tubulin beta-4B chain;Tubulin beta-2A chain;Tubulin beta-6 chain;Tubulin beta-2B chain</v>
      </c>
      <c r="K419" t="str">
        <f>"TUBB3;TUBB4A;TUBB;TUBB4B;TUBB2A;TUBB6;TUBB2B"</f>
        <v>TUBB3;TUBB4A;TUBB;TUBB4B;TUBB2A;TUBB6;TUBB2B</v>
      </c>
    </row>
    <row r="420" spans="1:11" x14ac:dyDescent="0.25">
      <c r="A420" s="1">
        <v>2598</v>
      </c>
      <c r="B420" s="1">
        <v>2</v>
      </c>
      <c r="C420" s="1" t="s">
        <v>3</v>
      </c>
      <c r="D420" s="1">
        <v>3</v>
      </c>
      <c r="E420" s="1">
        <v>143.5</v>
      </c>
      <c r="F420" s="1">
        <v>0.99980500000000005</v>
      </c>
      <c r="G420" t="s">
        <v>706</v>
      </c>
      <c r="H420" t="s">
        <v>707</v>
      </c>
      <c r="I420" t="s">
        <v>4501</v>
      </c>
      <c r="J420" t="str">
        <f>"Sickle tail protein homolog"</f>
        <v>Sickle tail protein homolog</v>
      </c>
      <c r="K420" t="str">
        <f>"KIAA1217"</f>
        <v>KIAA1217</v>
      </c>
    </row>
    <row r="421" spans="1:11" x14ac:dyDescent="0.25">
      <c r="A421" s="1">
        <v>1537</v>
      </c>
      <c r="B421" s="1">
        <v>3</v>
      </c>
      <c r="C421" s="1" t="s">
        <v>3</v>
      </c>
      <c r="D421" s="1">
        <v>5</v>
      </c>
      <c r="E421" s="1">
        <v>61.11</v>
      </c>
      <c r="F421" s="1">
        <v>0.96329200000000004</v>
      </c>
      <c r="G421" t="s">
        <v>708</v>
      </c>
      <c r="H421" t="s">
        <v>709</v>
      </c>
      <c r="I421">
        <v>151</v>
      </c>
      <c r="J421" t="str">
        <f>"Src kinase-associated phosphoprotein 2"</f>
        <v>Src kinase-associated phosphoprotein 2</v>
      </c>
      <c r="K421" t="str">
        <f>"SKAP2"</f>
        <v>SKAP2</v>
      </c>
    </row>
    <row r="422" spans="1:11" x14ac:dyDescent="0.25">
      <c r="A422" s="1">
        <v>2422</v>
      </c>
      <c r="B422" s="1">
        <v>2</v>
      </c>
      <c r="C422" s="1" t="s">
        <v>3</v>
      </c>
      <c r="D422" s="1">
        <v>6</v>
      </c>
      <c r="E422" s="1">
        <v>73.233000000000004</v>
      </c>
      <c r="F422" s="1">
        <v>0.97954200000000002</v>
      </c>
      <c r="G422" t="s">
        <v>710</v>
      </c>
      <c r="H422" t="s">
        <v>410</v>
      </c>
      <c r="I422">
        <v>778</v>
      </c>
      <c r="J422" t="str">
        <f>"Disintegrin and metalloproteinase domain-containing protein 9"</f>
        <v>Disintegrin and metalloproteinase domain-containing protein 9</v>
      </c>
      <c r="K422" t="str">
        <f>"ADAM9"</f>
        <v>ADAM9</v>
      </c>
    </row>
    <row r="423" spans="1:11" x14ac:dyDescent="0.25">
      <c r="A423" s="1">
        <v>1542</v>
      </c>
      <c r="B423" s="1">
        <v>4</v>
      </c>
      <c r="C423" s="1" t="s">
        <v>3</v>
      </c>
      <c r="D423" s="1">
        <v>19</v>
      </c>
      <c r="E423" s="1">
        <v>172.3</v>
      </c>
      <c r="F423" s="1">
        <v>1</v>
      </c>
      <c r="G423" t="s">
        <v>711</v>
      </c>
      <c r="H423" t="s">
        <v>712</v>
      </c>
      <c r="I423">
        <v>117</v>
      </c>
      <c r="J423" t="str">
        <f>"Breast cancer anti-estrogen resistance protein 3"</f>
        <v>Breast cancer anti-estrogen resistance protein 3</v>
      </c>
      <c r="K423" t="str">
        <f>"BCAR3"</f>
        <v>BCAR3</v>
      </c>
    </row>
    <row r="424" spans="1:11" x14ac:dyDescent="0.25">
      <c r="A424" s="1">
        <v>1991</v>
      </c>
      <c r="B424" s="1">
        <v>2</v>
      </c>
      <c r="C424" s="1" t="s">
        <v>3</v>
      </c>
      <c r="D424" s="1">
        <v>11</v>
      </c>
      <c r="E424" s="1">
        <v>55.261000000000003</v>
      </c>
      <c r="F424" s="1">
        <v>0.99999499999999997</v>
      </c>
      <c r="G424" t="s">
        <v>713</v>
      </c>
      <c r="H424" t="s">
        <v>714</v>
      </c>
      <c r="I424" t="s">
        <v>4502</v>
      </c>
      <c r="J424" t="str">
        <f>"DNA replication licensing factor MCM7"</f>
        <v>DNA replication licensing factor MCM7</v>
      </c>
      <c r="K424" t="str">
        <f>"MCM7"</f>
        <v>MCM7</v>
      </c>
    </row>
    <row r="425" spans="1:11" x14ac:dyDescent="0.25">
      <c r="A425" s="1">
        <v>1502</v>
      </c>
      <c r="B425" s="1">
        <v>3</v>
      </c>
      <c r="C425" s="1" t="s">
        <v>3</v>
      </c>
      <c r="D425" s="1">
        <v>11</v>
      </c>
      <c r="E425" s="1">
        <v>127.71</v>
      </c>
      <c r="F425" s="1">
        <v>0.99950099999999997</v>
      </c>
      <c r="G425" t="s">
        <v>715</v>
      </c>
      <c r="H425" t="s">
        <v>716</v>
      </c>
      <c r="I425" t="s">
        <v>4503</v>
      </c>
      <c r="J425" t="str">
        <f>"Perilipin-3"</f>
        <v>Perilipin-3</v>
      </c>
      <c r="K425" t="str">
        <f>"PLIN3"</f>
        <v>PLIN3</v>
      </c>
    </row>
    <row r="426" spans="1:11" x14ac:dyDescent="0.25">
      <c r="A426" s="1">
        <v>897</v>
      </c>
      <c r="B426" s="1">
        <v>3</v>
      </c>
      <c r="C426" s="1" t="s">
        <v>3</v>
      </c>
      <c r="D426" s="1">
        <v>8</v>
      </c>
      <c r="E426" s="1">
        <v>245.66</v>
      </c>
      <c r="F426" s="1">
        <v>1</v>
      </c>
      <c r="G426" t="s">
        <v>717</v>
      </c>
      <c r="H426" t="s">
        <v>718</v>
      </c>
      <c r="I426" t="s">
        <v>4504</v>
      </c>
      <c r="J426" t="str">
        <f>"Aldo-keto reductase family 1 member C3;Aldo-keto reductase family 1 member C1"</f>
        <v>Aldo-keto reductase family 1 member C3;Aldo-keto reductase family 1 member C1</v>
      </c>
      <c r="K426" t="str">
        <f>"AKR1C3;AKR1C1"</f>
        <v>AKR1C3;AKR1C1</v>
      </c>
    </row>
    <row r="427" spans="1:11" x14ac:dyDescent="0.25">
      <c r="A427" s="1">
        <v>1636</v>
      </c>
      <c r="B427" s="1">
        <v>2</v>
      </c>
      <c r="C427" s="1" t="s">
        <v>3</v>
      </c>
      <c r="D427" s="1">
        <v>8</v>
      </c>
      <c r="E427" s="1">
        <v>158.59</v>
      </c>
      <c r="F427" s="1">
        <v>0.994031</v>
      </c>
      <c r="G427" t="s">
        <v>719</v>
      </c>
      <c r="H427" t="s">
        <v>720</v>
      </c>
      <c r="I427" t="s">
        <v>4505</v>
      </c>
      <c r="J427" t="str">
        <f>"Tyrosine-protein kinase Lck"</f>
        <v>Tyrosine-protein kinase Lck</v>
      </c>
      <c r="K427" t="str">
        <f>"LCK"</f>
        <v>LCK</v>
      </c>
    </row>
    <row r="428" spans="1:11" x14ac:dyDescent="0.25">
      <c r="A428" s="1">
        <v>1424</v>
      </c>
      <c r="B428" s="1">
        <v>3</v>
      </c>
      <c r="C428" s="1" t="s">
        <v>3</v>
      </c>
      <c r="D428" s="1">
        <v>8</v>
      </c>
      <c r="E428" s="1">
        <v>93.381</v>
      </c>
      <c r="F428" s="1">
        <v>0.94323999999999997</v>
      </c>
      <c r="G428" t="s">
        <v>721</v>
      </c>
      <c r="H428" t="s">
        <v>448</v>
      </c>
      <c r="I428" t="s">
        <v>4506</v>
      </c>
      <c r="J428" t="str">
        <f>"Syntenin-1"</f>
        <v>Syntenin-1</v>
      </c>
      <c r="K428" t="str">
        <f>"SDCBP"</f>
        <v>SDCBP</v>
      </c>
    </row>
    <row r="429" spans="1:11" x14ac:dyDescent="0.25">
      <c r="A429" s="1">
        <v>640</v>
      </c>
      <c r="B429" s="1">
        <v>3</v>
      </c>
      <c r="C429" s="1" t="s">
        <v>4</v>
      </c>
      <c r="D429" s="1">
        <v>12</v>
      </c>
      <c r="E429" s="1">
        <v>42.716000000000001</v>
      </c>
      <c r="F429" s="1">
        <v>0.68279900000000004</v>
      </c>
      <c r="G429" t="s">
        <v>722</v>
      </c>
      <c r="H429" t="s">
        <v>187</v>
      </c>
      <c r="I429" t="s">
        <v>4507</v>
      </c>
      <c r="J429" t="str">
        <f>"Breast cancer anti-estrogen resistance protein 1"</f>
        <v>Breast cancer anti-estrogen resistance protein 1</v>
      </c>
      <c r="K429" t="str">
        <f>"BCAR1"</f>
        <v>BCAR1</v>
      </c>
    </row>
    <row r="430" spans="1:11" x14ac:dyDescent="0.25">
      <c r="A430" s="1">
        <v>843</v>
      </c>
      <c r="B430" s="1">
        <v>5</v>
      </c>
      <c r="C430" s="1" t="s">
        <v>3</v>
      </c>
      <c r="D430" s="1">
        <v>18</v>
      </c>
      <c r="E430" s="1">
        <v>105.03</v>
      </c>
      <c r="F430" s="1">
        <v>0.93857999999999997</v>
      </c>
      <c r="G430" t="s">
        <v>723</v>
      </c>
      <c r="H430" t="s">
        <v>724</v>
      </c>
      <c r="I430" t="s">
        <v>4508</v>
      </c>
      <c r="J430" t="str">
        <f>"Tight junction protein ZO-1"</f>
        <v>Tight junction protein ZO-1</v>
      </c>
      <c r="K430" t="str">
        <f>"TJP1"</f>
        <v>TJP1</v>
      </c>
    </row>
    <row r="431" spans="1:11" x14ac:dyDescent="0.25">
      <c r="A431" s="1">
        <v>2512</v>
      </c>
      <c r="B431" s="1">
        <v>2</v>
      </c>
      <c r="C431" s="1" t="s">
        <v>3</v>
      </c>
      <c r="D431" s="1">
        <v>4</v>
      </c>
      <c r="E431" s="1">
        <v>40.493000000000002</v>
      </c>
      <c r="F431" s="1">
        <v>1</v>
      </c>
      <c r="G431" t="s">
        <v>725</v>
      </c>
      <c r="H431" t="s">
        <v>72</v>
      </c>
      <c r="I431" t="s">
        <v>4509</v>
      </c>
      <c r="J431" t="str">
        <f>"Phosphoglucomutase-like protein 5"</f>
        <v>Phosphoglucomutase-like protein 5</v>
      </c>
      <c r="K431" t="str">
        <f>"PGM5"</f>
        <v>PGM5</v>
      </c>
    </row>
    <row r="432" spans="1:11" x14ac:dyDescent="0.25">
      <c r="A432" s="1">
        <v>932</v>
      </c>
      <c r="B432" s="1">
        <v>4</v>
      </c>
      <c r="C432" s="1" t="s">
        <v>3</v>
      </c>
      <c r="D432" s="1">
        <v>6</v>
      </c>
      <c r="E432" s="1">
        <v>105.35</v>
      </c>
      <c r="F432" s="1">
        <v>0.94050299999999998</v>
      </c>
      <c r="G432" t="s">
        <v>726</v>
      </c>
      <c r="H432" t="s">
        <v>155</v>
      </c>
      <c r="I432" t="s">
        <v>4510</v>
      </c>
      <c r="J432" t="str">
        <f>"G-protein coupled receptor family C group 5 member C"</f>
        <v>G-protein coupled receptor family C group 5 member C</v>
      </c>
      <c r="K432" t="str">
        <f>"GPRC5C"</f>
        <v>GPRC5C</v>
      </c>
    </row>
    <row r="433" spans="1:11" x14ac:dyDescent="0.25">
      <c r="A433" s="1">
        <v>2122</v>
      </c>
      <c r="B433" s="1">
        <v>3</v>
      </c>
      <c r="C433" s="1" t="s">
        <v>3</v>
      </c>
      <c r="D433" s="1">
        <v>10</v>
      </c>
      <c r="E433" s="1">
        <v>94.673000000000002</v>
      </c>
      <c r="F433" s="1">
        <v>0.99700100000000003</v>
      </c>
      <c r="G433" t="s">
        <v>727</v>
      </c>
      <c r="H433" t="s">
        <v>728</v>
      </c>
      <c r="I433" t="s">
        <v>4511</v>
      </c>
      <c r="J433" t="str">
        <f>"Rab GDP dissociation inhibitor beta"</f>
        <v>Rab GDP dissociation inhibitor beta</v>
      </c>
      <c r="K433" t="str">
        <f>"GDI2"</f>
        <v>GDI2</v>
      </c>
    </row>
    <row r="434" spans="1:11" x14ac:dyDescent="0.25">
      <c r="A434" s="1">
        <v>2729</v>
      </c>
      <c r="B434" s="1">
        <v>5</v>
      </c>
      <c r="C434" s="1" t="s">
        <v>3</v>
      </c>
      <c r="D434" s="1">
        <v>27</v>
      </c>
      <c r="E434" s="1">
        <v>143.91999999999999</v>
      </c>
      <c r="F434" s="1">
        <v>0.59961200000000003</v>
      </c>
      <c r="G434" t="s">
        <v>729</v>
      </c>
      <c r="H434" t="s">
        <v>287</v>
      </c>
      <c r="I434">
        <v>696</v>
      </c>
      <c r="J434" t="str">
        <f>"Discoidin, CUB and LCCL domain-containing protein 1"</f>
        <v>Discoidin, CUB and LCCL domain-containing protein 1</v>
      </c>
      <c r="K434" t="str">
        <f>"DCBLD1"</f>
        <v>DCBLD1</v>
      </c>
    </row>
    <row r="435" spans="1:11" x14ac:dyDescent="0.25">
      <c r="A435" s="1">
        <v>663</v>
      </c>
      <c r="B435" s="1">
        <v>3</v>
      </c>
      <c r="C435" s="1" t="s">
        <v>4</v>
      </c>
      <c r="D435" s="1">
        <v>10</v>
      </c>
      <c r="E435" s="1">
        <v>44.511000000000003</v>
      </c>
      <c r="F435" s="1">
        <v>0.82782599999999995</v>
      </c>
      <c r="G435" t="s">
        <v>730</v>
      </c>
      <c r="H435" t="s">
        <v>63</v>
      </c>
      <c r="I435">
        <v>15</v>
      </c>
      <c r="J435" t="str">
        <f>"Caveolin-1"</f>
        <v>Caveolin-1</v>
      </c>
      <c r="K435" t="str">
        <f>"CAV1"</f>
        <v>CAV1</v>
      </c>
    </row>
    <row r="436" spans="1:11" x14ac:dyDescent="0.25">
      <c r="A436" s="1">
        <v>1359</v>
      </c>
      <c r="B436" s="1">
        <v>2</v>
      </c>
      <c r="C436" s="1" t="s">
        <v>3</v>
      </c>
      <c r="D436" s="1">
        <v>4</v>
      </c>
      <c r="E436" s="1">
        <v>72.704999999999998</v>
      </c>
      <c r="F436" s="1">
        <v>0.99981100000000001</v>
      </c>
      <c r="G436" t="s">
        <v>731</v>
      </c>
      <c r="H436" t="s">
        <v>732</v>
      </c>
      <c r="I436" t="s">
        <v>4512</v>
      </c>
      <c r="J436" t="str">
        <f>"Afadin"</f>
        <v>Afadin</v>
      </c>
      <c r="K436" t="str">
        <f>"MLLT4"</f>
        <v>MLLT4</v>
      </c>
    </row>
    <row r="437" spans="1:11" x14ac:dyDescent="0.25">
      <c r="A437" s="1">
        <v>1244</v>
      </c>
      <c r="B437" s="1">
        <v>3</v>
      </c>
      <c r="C437" s="1" t="s">
        <v>3</v>
      </c>
      <c r="D437" s="1">
        <v>11</v>
      </c>
      <c r="E437" s="1">
        <v>98.942999999999998</v>
      </c>
      <c r="F437" s="1">
        <v>0.79693499999999995</v>
      </c>
      <c r="G437" t="s">
        <v>733</v>
      </c>
      <c r="H437" t="s">
        <v>734</v>
      </c>
      <c r="I437" t="s">
        <v>4513</v>
      </c>
      <c r="J437" t="str">
        <f>"Protein arginine N-methyltransferase 1"</f>
        <v>Protein arginine N-methyltransferase 1</v>
      </c>
      <c r="K437" t="str">
        <f>"PRMT1"</f>
        <v>PRMT1</v>
      </c>
    </row>
    <row r="438" spans="1:11" x14ac:dyDescent="0.25">
      <c r="A438" s="1">
        <v>2525</v>
      </c>
      <c r="B438" s="1">
        <v>3</v>
      </c>
      <c r="C438" s="1" t="s">
        <v>3</v>
      </c>
      <c r="D438" s="1">
        <v>1</v>
      </c>
      <c r="E438" s="1">
        <v>95.703000000000003</v>
      </c>
      <c r="F438" s="1">
        <v>1</v>
      </c>
      <c r="G438" t="s">
        <v>735</v>
      </c>
      <c r="H438" t="s">
        <v>736</v>
      </c>
      <c r="I438">
        <v>193</v>
      </c>
      <c r="J438" t="str">
        <f>"Inorganic pyrophosphatase"</f>
        <v>Inorganic pyrophosphatase</v>
      </c>
      <c r="K438" t="str">
        <f>"PPA1"</f>
        <v>PPA1</v>
      </c>
    </row>
    <row r="439" spans="1:11" x14ac:dyDescent="0.25">
      <c r="A439" s="1">
        <v>1939</v>
      </c>
      <c r="B439" s="1">
        <v>2</v>
      </c>
      <c r="C439" s="1" t="s">
        <v>3</v>
      </c>
      <c r="D439" s="1">
        <v>5</v>
      </c>
      <c r="E439" s="1">
        <v>77.504999999999995</v>
      </c>
      <c r="F439" s="1">
        <v>0.87439299999999998</v>
      </c>
      <c r="G439" t="s">
        <v>737</v>
      </c>
      <c r="H439" t="s">
        <v>45</v>
      </c>
      <c r="I439" t="s">
        <v>4514</v>
      </c>
      <c r="J439" t="str">
        <f>"Phosphatidylinositol 3-kinase regulatory subunit alpha"</f>
        <v>Phosphatidylinositol 3-kinase regulatory subunit alpha</v>
      </c>
      <c r="K439" t="str">
        <f>"PIK3R1"</f>
        <v>PIK3R1</v>
      </c>
    </row>
    <row r="440" spans="1:11" x14ac:dyDescent="0.25">
      <c r="A440" s="1">
        <v>790</v>
      </c>
      <c r="B440" s="1">
        <v>3</v>
      </c>
      <c r="C440" s="1" t="s">
        <v>3</v>
      </c>
      <c r="D440" s="1">
        <v>3</v>
      </c>
      <c r="E440" s="1">
        <v>161.68</v>
      </c>
      <c r="F440" s="1">
        <v>0.99942699999999995</v>
      </c>
      <c r="G440" t="s">
        <v>738</v>
      </c>
      <c r="H440" t="s">
        <v>739</v>
      </c>
      <c r="I440" t="s">
        <v>4515</v>
      </c>
      <c r="J440" t="str">
        <f>"Protocadherin Fat 1;Protocadherin Fat 1, nuclear form"</f>
        <v>Protocadherin Fat 1;Protocadherin Fat 1, nuclear form</v>
      </c>
      <c r="K440" t="str">
        <f>"FAT1"</f>
        <v>FAT1</v>
      </c>
    </row>
    <row r="441" spans="1:11" x14ac:dyDescent="0.25">
      <c r="A441" s="1">
        <v>1222</v>
      </c>
      <c r="B441" s="1">
        <v>3</v>
      </c>
      <c r="C441" s="1" t="s">
        <v>3</v>
      </c>
      <c r="D441" s="1">
        <v>3</v>
      </c>
      <c r="E441" s="1">
        <v>195.17</v>
      </c>
      <c r="F441" s="1">
        <v>0.99832900000000002</v>
      </c>
      <c r="G441" t="s">
        <v>740</v>
      </c>
      <c r="H441" t="s">
        <v>433</v>
      </c>
      <c r="I441" t="s">
        <v>4516</v>
      </c>
      <c r="J441" t="str">
        <f>"Tensin-1"</f>
        <v>Tensin-1</v>
      </c>
      <c r="K441" t="str">
        <f>"TNS1"</f>
        <v>TNS1</v>
      </c>
    </row>
    <row r="442" spans="1:11" x14ac:dyDescent="0.25">
      <c r="A442" s="1">
        <v>2206</v>
      </c>
      <c r="B442" s="1">
        <v>3</v>
      </c>
      <c r="C442" s="1" t="s">
        <v>3</v>
      </c>
      <c r="D442" s="1">
        <v>11</v>
      </c>
      <c r="E442" s="1">
        <v>83.822999999999993</v>
      </c>
      <c r="F442" s="1">
        <v>1</v>
      </c>
      <c r="G442" t="s">
        <v>741</v>
      </c>
      <c r="H442" t="s">
        <v>187</v>
      </c>
      <c r="I442" t="s">
        <v>4517</v>
      </c>
      <c r="J442" t="str">
        <f>"Breast cancer anti-estrogen resistance protein 1"</f>
        <v>Breast cancer anti-estrogen resistance protein 1</v>
      </c>
      <c r="K442" t="str">
        <f>"BCAR1"</f>
        <v>BCAR1</v>
      </c>
    </row>
    <row r="443" spans="1:11" x14ac:dyDescent="0.25">
      <c r="A443" s="1">
        <v>1582</v>
      </c>
      <c r="B443" s="1">
        <v>3</v>
      </c>
      <c r="C443" s="1" t="s">
        <v>3</v>
      </c>
      <c r="D443" s="1">
        <v>5</v>
      </c>
      <c r="E443" s="1">
        <v>71.879000000000005</v>
      </c>
      <c r="F443" s="1">
        <v>0.999641</v>
      </c>
      <c r="G443" t="s">
        <v>742</v>
      </c>
      <c r="H443" t="s">
        <v>743</v>
      </c>
      <c r="I443">
        <v>481</v>
      </c>
      <c r="J443" t="str">
        <f>"Retinal dehydrogenase 1"</f>
        <v>Retinal dehydrogenase 1</v>
      </c>
      <c r="K443" t="str">
        <f>"ALDH1A1"</f>
        <v>ALDH1A1</v>
      </c>
    </row>
    <row r="444" spans="1:11" x14ac:dyDescent="0.25">
      <c r="A444" s="1">
        <v>2232</v>
      </c>
      <c r="B444" s="1">
        <v>3</v>
      </c>
      <c r="C444" s="1" t="s">
        <v>3</v>
      </c>
      <c r="D444" s="1">
        <v>12</v>
      </c>
      <c r="E444" s="1">
        <v>50.896999999999998</v>
      </c>
      <c r="F444" s="1">
        <v>0.94436299999999995</v>
      </c>
      <c r="G444" t="s">
        <v>744</v>
      </c>
      <c r="H444" t="s">
        <v>745</v>
      </c>
      <c r="I444" t="s">
        <v>4518</v>
      </c>
      <c r="J444" t="str">
        <f>"Actin-related protein 3"</f>
        <v>Actin-related protein 3</v>
      </c>
      <c r="K444" t="str">
        <f>"ACTR3"</f>
        <v>ACTR3</v>
      </c>
    </row>
    <row r="445" spans="1:11" x14ac:dyDescent="0.25">
      <c r="A445" s="1">
        <v>2904</v>
      </c>
      <c r="B445" s="1">
        <v>3</v>
      </c>
      <c r="C445" s="1" t="s">
        <v>3</v>
      </c>
      <c r="D445" s="1">
        <v>16</v>
      </c>
      <c r="E445" s="1">
        <v>118.72</v>
      </c>
      <c r="F445" s="1">
        <v>0.99450499999999997</v>
      </c>
      <c r="G445" t="s">
        <v>746</v>
      </c>
      <c r="H445" t="s">
        <v>124</v>
      </c>
      <c r="I445" t="s">
        <v>4519</v>
      </c>
      <c r="J445" t="str">
        <f>"Plakophilin-4"</f>
        <v>Plakophilin-4</v>
      </c>
      <c r="K445" t="str">
        <f>"PKP4"</f>
        <v>PKP4</v>
      </c>
    </row>
    <row r="446" spans="1:11" x14ac:dyDescent="0.25">
      <c r="A446" s="1">
        <v>1861</v>
      </c>
      <c r="B446" s="1">
        <v>3</v>
      </c>
      <c r="C446" s="1" t="s">
        <v>3</v>
      </c>
      <c r="D446" s="1">
        <v>4</v>
      </c>
      <c r="E446" s="1">
        <v>84.945999999999998</v>
      </c>
      <c r="F446" s="1">
        <v>0.99756199999999995</v>
      </c>
      <c r="G446" t="s">
        <v>747</v>
      </c>
      <c r="H446" t="s">
        <v>748</v>
      </c>
      <c r="I446" t="s">
        <v>4520</v>
      </c>
      <c r="J446" t="str">
        <f>"Cysteine and glycine-rich protein 1"</f>
        <v>Cysteine and glycine-rich protein 1</v>
      </c>
      <c r="K446" t="str">
        <f>"CSRP1"</f>
        <v>CSRP1</v>
      </c>
    </row>
    <row r="447" spans="1:11" x14ac:dyDescent="0.25">
      <c r="A447" s="1">
        <v>1181</v>
      </c>
      <c r="B447" s="1">
        <v>3</v>
      </c>
      <c r="C447" s="1" t="s">
        <v>3</v>
      </c>
      <c r="D447" s="1">
        <v>8</v>
      </c>
      <c r="E447" s="1">
        <v>46.795999999999999</v>
      </c>
      <c r="F447" s="1">
        <v>1</v>
      </c>
      <c r="G447" t="s">
        <v>749</v>
      </c>
      <c r="H447" t="s">
        <v>750</v>
      </c>
      <c r="I447" t="s">
        <v>4521</v>
      </c>
      <c r="J447" t="str">
        <f>"Ezrin;Moesin;Radixin"</f>
        <v>Ezrin;Moesin;Radixin</v>
      </c>
      <c r="K447" t="str">
        <f>"EZR;MSN;RDX"</f>
        <v>EZR;MSN;RDX</v>
      </c>
    </row>
    <row r="448" spans="1:11" x14ac:dyDescent="0.25">
      <c r="A448" s="1">
        <v>1227</v>
      </c>
      <c r="B448" s="1">
        <v>2</v>
      </c>
      <c r="C448" s="1" t="s">
        <v>3</v>
      </c>
      <c r="D448" s="1">
        <v>8</v>
      </c>
      <c r="E448" s="1">
        <v>78.323999999999998</v>
      </c>
      <c r="F448" s="1">
        <v>0.99997000000000003</v>
      </c>
      <c r="G448" t="s">
        <v>751</v>
      </c>
      <c r="H448" t="s">
        <v>752</v>
      </c>
      <c r="I448" t="s">
        <v>4522</v>
      </c>
      <c r="J448" t="str">
        <f>"Uridine 5'-monophosphate synthase;Orotate phosphoribosyltransferase;Orotidine 5'-phosphate decarboxylase"</f>
        <v>Uridine 5'-monophosphate synthase;Orotate phosphoribosyltransferase;Orotidine 5'-phosphate decarboxylase</v>
      </c>
      <c r="K448" t="str">
        <f>"UMPS"</f>
        <v>UMPS</v>
      </c>
    </row>
    <row r="449" spans="1:11" x14ac:dyDescent="0.25">
      <c r="A449" s="1">
        <v>1112</v>
      </c>
      <c r="B449" s="1">
        <v>3</v>
      </c>
      <c r="C449" s="1" t="s">
        <v>3</v>
      </c>
      <c r="D449" s="1">
        <v>13</v>
      </c>
      <c r="E449" s="1">
        <v>139.78</v>
      </c>
      <c r="F449" s="1">
        <v>0.998668</v>
      </c>
      <c r="G449" t="s">
        <v>753</v>
      </c>
      <c r="H449" t="s">
        <v>754</v>
      </c>
      <c r="I449" t="s">
        <v>4523</v>
      </c>
      <c r="J449" t="str">
        <f>"60S ribosomal export protein NMD3"</f>
        <v>60S ribosomal export protein NMD3</v>
      </c>
      <c r="K449" t="str">
        <f>"NMD3"</f>
        <v>NMD3</v>
      </c>
    </row>
    <row r="450" spans="1:11" x14ac:dyDescent="0.25">
      <c r="A450" s="1">
        <v>1518</v>
      </c>
      <c r="B450" s="1">
        <v>2</v>
      </c>
      <c r="C450" s="1" t="s">
        <v>3</v>
      </c>
      <c r="D450" s="1">
        <v>2</v>
      </c>
      <c r="E450" s="1">
        <v>182.02</v>
      </c>
      <c r="F450" s="1">
        <v>0.99999800000000005</v>
      </c>
      <c r="G450" t="s">
        <v>755</v>
      </c>
      <c r="H450" t="s">
        <v>183</v>
      </c>
      <c r="I450" t="s">
        <v>4524</v>
      </c>
      <c r="J450" t="str">
        <f>"WD repeat-containing protein 1"</f>
        <v>WD repeat-containing protein 1</v>
      </c>
      <c r="K450" t="str">
        <f>"WDR1"</f>
        <v>WDR1</v>
      </c>
    </row>
    <row r="451" spans="1:11" x14ac:dyDescent="0.25">
      <c r="A451" s="1">
        <v>2787</v>
      </c>
      <c r="B451" s="1">
        <v>3</v>
      </c>
      <c r="C451" s="1" t="s">
        <v>3</v>
      </c>
      <c r="D451" s="1">
        <v>5</v>
      </c>
      <c r="E451" s="1">
        <v>113.22</v>
      </c>
      <c r="F451" s="1">
        <v>1</v>
      </c>
      <c r="G451" t="s">
        <v>756</v>
      </c>
      <c r="H451" t="s">
        <v>757</v>
      </c>
      <c r="I451">
        <v>388</v>
      </c>
      <c r="J451" t="str">
        <f>"Sodium-dependent phosphate transporter 1"</f>
        <v>Sodium-dependent phosphate transporter 1</v>
      </c>
      <c r="K451" t="str">
        <f>"SLC20A1"</f>
        <v>SLC20A1</v>
      </c>
    </row>
    <row r="452" spans="1:11" x14ac:dyDescent="0.25">
      <c r="A452" s="1">
        <v>136</v>
      </c>
      <c r="B452" s="1">
        <v>3</v>
      </c>
      <c r="C452" s="1" t="s">
        <v>5</v>
      </c>
      <c r="D452" s="1">
        <v>3</v>
      </c>
      <c r="E452" s="1">
        <v>89.5</v>
      </c>
      <c r="F452" s="1">
        <v>0.99348899999999996</v>
      </c>
      <c r="G452" t="s">
        <v>758</v>
      </c>
      <c r="H452" t="s">
        <v>444</v>
      </c>
      <c r="I452">
        <v>90</v>
      </c>
      <c r="J452" t="str">
        <f>"Cytoplasmic protein NCK2"</f>
        <v>Cytoplasmic protein NCK2</v>
      </c>
      <c r="K452" t="str">
        <f>"NCK2"</f>
        <v>NCK2</v>
      </c>
    </row>
    <row r="453" spans="1:11" x14ac:dyDescent="0.25">
      <c r="A453" s="1">
        <v>1550</v>
      </c>
      <c r="B453" s="1">
        <v>2</v>
      </c>
      <c r="C453" s="1" t="s">
        <v>3</v>
      </c>
      <c r="D453" s="1">
        <v>5</v>
      </c>
      <c r="E453" s="1">
        <v>119.96</v>
      </c>
      <c r="F453" s="1">
        <v>0.99994400000000006</v>
      </c>
      <c r="G453" t="s">
        <v>759</v>
      </c>
      <c r="H453" t="s">
        <v>760</v>
      </c>
      <c r="I453" t="s">
        <v>4525</v>
      </c>
      <c r="J453" t="str">
        <f>"Flotillin-1"</f>
        <v>Flotillin-1</v>
      </c>
      <c r="K453" t="str">
        <f>"FLOT1"</f>
        <v>FLOT1</v>
      </c>
    </row>
    <row r="454" spans="1:11" x14ac:dyDescent="0.25">
      <c r="A454" s="1">
        <v>928</v>
      </c>
      <c r="B454" s="1">
        <v>4</v>
      </c>
      <c r="C454" s="1" t="s">
        <v>3</v>
      </c>
      <c r="D454" s="1">
        <v>10</v>
      </c>
      <c r="E454" s="1">
        <v>113.33</v>
      </c>
      <c r="F454" s="1">
        <v>0.99999800000000005</v>
      </c>
      <c r="G454" t="s">
        <v>761</v>
      </c>
      <c r="H454" t="s">
        <v>762</v>
      </c>
      <c r="I454" t="s">
        <v>4526</v>
      </c>
      <c r="J454" t="str">
        <f>"Disks large homolog 1"</f>
        <v>Disks large homolog 1</v>
      </c>
      <c r="K454" t="str">
        <f>"DLG1"</f>
        <v>DLG1</v>
      </c>
    </row>
    <row r="455" spans="1:11" x14ac:dyDescent="0.25">
      <c r="A455" s="1">
        <v>1888</v>
      </c>
      <c r="B455" s="1">
        <v>3</v>
      </c>
      <c r="C455" s="1" t="s">
        <v>3</v>
      </c>
      <c r="D455" s="1">
        <v>6</v>
      </c>
      <c r="E455" s="1">
        <v>126.04</v>
      </c>
      <c r="F455" s="1">
        <v>0.99999000000000005</v>
      </c>
      <c r="G455" t="s">
        <v>763</v>
      </c>
      <c r="H455" t="s">
        <v>547</v>
      </c>
      <c r="I455" t="s">
        <v>4527</v>
      </c>
      <c r="J455" t="str">
        <f>"Heterogeneous nuclear ribonucleoproteins A2/B1"</f>
        <v>Heterogeneous nuclear ribonucleoproteins A2/B1</v>
      </c>
      <c r="K455" t="str">
        <f>"HNRNPA2B1"</f>
        <v>HNRNPA2B1</v>
      </c>
    </row>
    <row r="456" spans="1:11" x14ac:dyDescent="0.25">
      <c r="A456" s="1">
        <v>2192</v>
      </c>
      <c r="B456" s="1">
        <v>3</v>
      </c>
      <c r="C456" s="1" t="s">
        <v>3</v>
      </c>
      <c r="D456" s="1">
        <v>11</v>
      </c>
      <c r="E456" s="1">
        <v>137.91</v>
      </c>
      <c r="F456" s="1">
        <v>0.92832199999999998</v>
      </c>
      <c r="G456" t="s">
        <v>764</v>
      </c>
      <c r="H456" t="s">
        <v>129</v>
      </c>
      <c r="I456" t="s">
        <v>4528</v>
      </c>
      <c r="J456" t="str">
        <f>"Ephrin type-B receptor 4"</f>
        <v>Ephrin type-B receptor 4</v>
      </c>
      <c r="K456" t="str">
        <f>"EPHB4"</f>
        <v>EPHB4</v>
      </c>
    </row>
    <row r="457" spans="1:11" x14ac:dyDescent="0.25">
      <c r="A457" s="1">
        <v>507</v>
      </c>
      <c r="B457" s="1">
        <v>2</v>
      </c>
      <c r="C457" s="1" t="s">
        <v>4</v>
      </c>
      <c r="D457" s="1">
        <v>9</v>
      </c>
      <c r="E457" s="1">
        <v>94.45</v>
      </c>
      <c r="F457" s="1">
        <v>0.99939599999999995</v>
      </c>
      <c r="G457" t="s">
        <v>765</v>
      </c>
      <c r="H457" t="s">
        <v>242</v>
      </c>
      <c r="I457" t="s">
        <v>4529</v>
      </c>
      <c r="J457" t="str">
        <f>"Mitogen-activated protein kinase 10;Mitogen-activated protein kinase 8"</f>
        <v>Mitogen-activated protein kinase 10;Mitogen-activated protein kinase 8</v>
      </c>
      <c r="K457" t="str">
        <f>"MAPK8;MAPK10"</f>
        <v>MAPK8;MAPK10</v>
      </c>
    </row>
    <row r="458" spans="1:11" x14ac:dyDescent="0.25">
      <c r="A458" s="1">
        <v>1758</v>
      </c>
      <c r="B458" s="1">
        <v>3</v>
      </c>
      <c r="C458" s="1" t="s">
        <v>3</v>
      </c>
      <c r="D458" s="1">
        <v>10</v>
      </c>
      <c r="E458" s="1">
        <v>118.76</v>
      </c>
      <c r="F458" s="1">
        <v>0.99885400000000002</v>
      </c>
      <c r="G458" t="s">
        <v>766</v>
      </c>
      <c r="H458" t="s">
        <v>767</v>
      </c>
      <c r="I458" t="s">
        <v>4530</v>
      </c>
      <c r="J458" t="str">
        <f>"Low affinity immunoglobulin gamma Fc region receptor II-a;Low affinity immunoglobulin gamma Fc region receptor II-c"</f>
        <v>Low affinity immunoglobulin gamma Fc region receptor II-a;Low affinity immunoglobulin gamma Fc region receptor II-c</v>
      </c>
      <c r="K458" t="str">
        <f>"FCGR2A;FCGR2C"</f>
        <v>FCGR2A;FCGR2C</v>
      </c>
    </row>
    <row r="459" spans="1:11" x14ac:dyDescent="0.25">
      <c r="A459" s="1">
        <v>1018</v>
      </c>
      <c r="B459" s="1">
        <v>5</v>
      </c>
      <c r="C459" s="1" t="s">
        <v>3</v>
      </c>
      <c r="D459" s="1">
        <v>15</v>
      </c>
      <c r="E459" s="1">
        <v>40.085999999999999</v>
      </c>
      <c r="F459" s="1">
        <v>1</v>
      </c>
      <c r="G459" t="s">
        <v>768</v>
      </c>
      <c r="H459" t="s">
        <v>769</v>
      </c>
      <c r="I459" t="s">
        <v>4531</v>
      </c>
      <c r="J459" t="str">
        <f>"Breakpoint cluster region protein"</f>
        <v>Breakpoint cluster region protein</v>
      </c>
      <c r="K459" t="str">
        <f>"BCR/ABL fusion;BCR"</f>
        <v>BCR/ABL fusion;BCR</v>
      </c>
    </row>
    <row r="460" spans="1:11" x14ac:dyDescent="0.25">
      <c r="A460" s="1">
        <v>1929</v>
      </c>
      <c r="B460" s="1">
        <v>2</v>
      </c>
      <c r="C460" s="1" t="s">
        <v>3</v>
      </c>
      <c r="D460" s="1">
        <v>2</v>
      </c>
      <c r="E460" s="1">
        <v>133.81</v>
      </c>
      <c r="F460" s="1">
        <v>1</v>
      </c>
      <c r="G460" t="s">
        <v>770</v>
      </c>
      <c r="H460" t="s">
        <v>771</v>
      </c>
      <c r="I460" t="s">
        <v>4532</v>
      </c>
      <c r="J460" t="str">
        <f>"Threonine--tRNA ligase, cytoplasmic"</f>
        <v>Threonine--tRNA ligase, cytoplasmic</v>
      </c>
      <c r="K460" t="str">
        <f>"TARS"</f>
        <v>TARS</v>
      </c>
    </row>
    <row r="461" spans="1:11" x14ac:dyDescent="0.25">
      <c r="A461" s="1">
        <v>865</v>
      </c>
      <c r="B461" s="1">
        <v>2</v>
      </c>
      <c r="C461" s="1" t="s">
        <v>3</v>
      </c>
      <c r="D461" s="1">
        <v>5</v>
      </c>
      <c r="E461" s="1">
        <v>74.028999999999996</v>
      </c>
      <c r="F461" s="1">
        <v>0.98328099999999996</v>
      </c>
      <c r="G461" t="s">
        <v>772</v>
      </c>
      <c r="H461" t="s">
        <v>773</v>
      </c>
      <c r="I461" t="s">
        <v>4533</v>
      </c>
      <c r="J461" t="str">
        <f>"Protein prune homolog 2"</f>
        <v>Protein prune homolog 2</v>
      </c>
      <c r="K461" t="str">
        <f>"PRUNE2"</f>
        <v>PRUNE2</v>
      </c>
    </row>
    <row r="462" spans="1:11" x14ac:dyDescent="0.25">
      <c r="A462" s="1">
        <v>2920</v>
      </c>
      <c r="B462" s="1">
        <v>3</v>
      </c>
      <c r="C462" s="1" t="s">
        <v>3</v>
      </c>
      <c r="D462" s="1">
        <v>8</v>
      </c>
      <c r="E462" s="1">
        <v>80.632000000000005</v>
      </c>
      <c r="F462" s="1">
        <v>0.99888900000000003</v>
      </c>
      <c r="G462" t="s">
        <v>774</v>
      </c>
      <c r="H462" t="s">
        <v>775</v>
      </c>
      <c r="I462">
        <v>261</v>
      </c>
      <c r="J462" t="str">
        <f>"Protein NipSnap homolog 1"</f>
        <v>Protein NipSnap homolog 1</v>
      </c>
      <c r="K462" t="str">
        <f>"NIPSNAP1"</f>
        <v>NIPSNAP1</v>
      </c>
    </row>
    <row r="463" spans="1:11" x14ac:dyDescent="0.25">
      <c r="A463" s="1">
        <v>1472</v>
      </c>
      <c r="B463" s="1">
        <v>3</v>
      </c>
      <c r="C463" s="1" t="s">
        <v>3</v>
      </c>
      <c r="D463" s="1">
        <v>4</v>
      </c>
      <c r="E463" s="1">
        <v>139.08000000000001</v>
      </c>
      <c r="F463" s="1">
        <v>1</v>
      </c>
      <c r="G463" t="s">
        <v>776</v>
      </c>
      <c r="H463" t="s">
        <v>777</v>
      </c>
      <c r="I463" t="s">
        <v>4534</v>
      </c>
      <c r="J463" t="str">
        <f>"Prominin-1"</f>
        <v>Prominin-1</v>
      </c>
      <c r="K463" t="str">
        <f>"PROM1"</f>
        <v>PROM1</v>
      </c>
    </row>
    <row r="464" spans="1:11" x14ac:dyDescent="0.25">
      <c r="A464" s="1">
        <v>1946</v>
      </c>
      <c r="B464" s="1">
        <v>2</v>
      </c>
      <c r="C464" s="1" t="s">
        <v>3</v>
      </c>
      <c r="D464" s="1">
        <v>3</v>
      </c>
      <c r="E464" s="1">
        <v>103.55</v>
      </c>
      <c r="F464" s="1">
        <v>0.99876600000000004</v>
      </c>
      <c r="G464" t="s">
        <v>778</v>
      </c>
      <c r="H464" t="s">
        <v>47</v>
      </c>
      <c r="I464">
        <v>960</v>
      </c>
      <c r="J464" t="str">
        <f>"Ephrin type-A receptor 2"</f>
        <v>Ephrin type-A receptor 2</v>
      </c>
      <c r="K464" t="str">
        <f>"EPHA2"</f>
        <v>EPHA2</v>
      </c>
    </row>
    <row r="465" spans="1:11" x14ac:dyDescent="0.25">
      <c r="A465" s="1">
        <v>2219</v>
      </c>
      <c r="B465" s="1">
        <v>3</v>
      </c>
      <c r="C465" s="1" t="s">
        <v>3</v>
      </c>
      <c r="D465" s="1">
        <v>7</v>
      </c>
      <c r="E465" s="1">
        <v>143.97</v>
      </c>
      <c r="F465" s="1">
        <v>0.99920799999999999</v>
      </c>
      <c r="G465" t="s">
        <v>779</v>
      </c>
      <c r="H465" t="s">
        <v>780</v>
      </c>
      <c r="I465" t="s">
        <v>4535</v>
      </c>
      <c r="J465" t="str">
        <f>"Myosin light polypeptide 6"</f>
        <v>Myosin light polypeptide 6</v>
      </c>
      <c r="K465" t="str">
        <f>"MYL6;PDE6H"</f>
        <v>MYL6;PDE6H</v>
      </c>
    </row>
    <row r="466" spans="1:11" x14ac:dyDescent="0.25">
      <c r="A466" s="1">
        <v>1458</v>
      </c>
      <c r="B466" s="1">
        <v>3</v>
      </c>
      <c r="C466" s="1" t="s">
        <v>3</v>
      </c>
      <c r="D466" s="1">
        <v>7</v>
      </c>
      <c r="E466" s="1">
        <v>138.97999999999999</v>
      </c>
      <c r="F466" s="1">
        <v>1</v>
      </c>
      <c r="G466" t="s">
        <v>781</v>
      </c>
      <c r="H466" t="s">
        <v>782</v>
      </c>
      <c r="I466" t="s">
        <v>4536</v>
      </c>
      <c r="J466" t="str">
        <f>"Serine palmitoyltransferase 1"</f>
        <v>Serine palmitoyltransferase 1</v>
      </c>
      <c r="K466" t="str">
        <f>"SPTLC1"</f>
        <v>SPTLC1</v>
      </c>
    </row>
    <row r="467" spans="1:11" x14ac:dyDescent="0.25">
      <c r="A467" s="1">
        <v>1327</v>
      </c>
      <c r="B467" s="1">
        <v>2</v>
      </c>
      <c r="C467" s="1" t="s">
        <v>3</v>
      </c>
      <c r="D467" s="1">
        <v>3</v>
      </c>
      <c r="E467" s="1">
        <v>51.771000000000001</v>
      </c>
      <c r="F467" s="1">
        <v>0.97722100000000001</v>
      </c>
      <c r="G467" t="s">
        <v>783</v>
      </c>
      <c r="H467" t="s">
        <v>458</v>
      </c>
      <c r="I467" t="s">
        <v>4537</v>
      </c>
      <c r="J467" t="str">
        <f>"Proteasome subunit alpha type;Proteasome subunit alpha type-6"</f>
        <v>Proteasome subunit alpha type;Proteasome subunit alpha type-6</v>
      </c>
      <c r="K467" t="str">
        <f>"PSMA6"</f>
        <v>PSMA6</v>
      </c>
    </row>
    <row r="468" spans="1:11" x14ac:dyDescent="0.25">
      <c r="A468" s="1">
        <v>2876</v>
      </c>
      <c r="B468" s="1">
        <v>3</v>
      </c>
      <c r="C468" s="1" t="s">
        <v>3</v>
      </c>
      <c r="D468" s="1">
        <v>12</v>
      </c>
      <c r="E468" s="1">
        <v>181.65</v>
      </c>
      <c r="F468" s="1">
        <v>0.98619299999999999</v>
      </c>
      <c r="G468" t="s">
        <v>784</v>
      </c>
      <c r="H468" t="s">
        <v>111</v>
      </c>
      <c r="I468" t="s">
        <v>4403</v>
      </c>
      <c r="J468" t="str">
        <f>"Sodium-coupled neutral amino acid transporter 2"</f>
        <v>Sodium-coupled neutral amino acid transporter 2</v>
      </c>
      <c r="K468" t="str">
        <f>"SLC38A2"</f>
        <v>SLC38A2</v>
      </c>
    </row>
    <row r="469" spans="1:11" x14ac:dyDescent="0.25">
      <c r="A469" s="1">
        <v>1134</v>
      </c>
      <c r="B469" s="1">
        <v>3</v>
      </c>
      <c r="C469" s="1" t="s">
        <v>3</v>
      </c>
      <c r="D469" s="1">
        <v>1</v>
      </c>
      <c r="E469" s="1">
        <v>113.73</v>
      </c>
      <c r="F469" s="1">
        <v>1</v>
      </c>
      <c r="G469" t="s">
        <v>785</v>
      </c>
      <c r="H469" t="s">
        <v>143</v>
      </c>
      <c r="I469">
        <v>600</v>
      </c>
      <c r="J469" t="str">
        <f>""</f>
        <v/>
      </c>
      <c r="K469" t="str">
        <f>"CTNND1"</f>
        <v>CTNND1</v>
      </c>
    </row>
    <row r="470" spans="1:11" x14ac:dyDescent="0.25">
      <c r="A470" s="1">
        <v>2376</v>
      </c>
      <c r="B470" s="1">
        <v>2</v>
      </c>
      <c r="C470" s="1" t="s">
        <v>3</v>
      </c>
      <c r="D470" s="1">
        <v>2</v>
      </c>
      <c r="E470" s="1">
        <v>65.466999999999999</v>
      </c>
      <c r="F470" s="1">
        <v>0.99696200000000001</v>
      </c>
      <c r="G470" t="s">
        <v>786</v>
      </c>
      <c r="H470" t="s">
        <v>787</v>
      </c>
      <c r="I470">
        <v>656</v>
      </c>
      <c r="J470" t="str">
        <f>"Rho guanine nucleotide exchange factor 5"</f>
        <v>Rho guanine nucleotide exchange factor 5</v>
      </c>
      <c r="K470" t="str">
        <f>"ARHGEF5"</f>
        <v>ARHGEF5</v>
      </c>
    </row>
    <row r="471" spans="1:11" x14ac:dyDescent="0.25">
      <c r="A471" s="1">
        <v>3090</v>
      </c>
      <c r="B471" s="1">
        <v>4</v>
      </c>
      <c r="C471" s="1" t="s">
        <v>3</v>
      </c>
      <c r="D471" s="1">
        <v>7</v>
      </c>
      <c r="E471" s="1">
        <v>107.59</v>
      </c>
      <c r="F471" s="1">
        <v>0.97151699999999996</v>
      </c>
      <c r="G471" t="s">
        <v>788</v>
      </c>
      <c r="H471" t="s">
        <v>789</v>
      </c>
      <c r="I471" t="s">
        <v>4538</v>
      </c>
      <c r="J471" t="str">
        <f>"Mucin-12"</f>
        <v>Mucin-12</v>
      </c>
      <c r="K471" t="str">
        <f>"MUC12"</f>
        <v>MUC12</v>
      </c>
    </row>
    <row r="472" spans="1:11" x14ac:dyDescent="0.25">
      <c r="A472" s="1">
        <v>1144</v>
      </c>
      <c r="B472" s="1">
        <v>4</v>
      </c>
      <c r="C472" s="1" t="s">
        <v>3</v>
      </c>
      <c r="D472" s="1">
        <v>9</v>
      </c>
      <c r="E472" s="1">
        <v>127.35</v>
      </c>
      <c r="F472" s="1">
        <v>0.99980000000000002</v>
      </c>
      <c r="G472" t="s">
        <v>790</v>
      </c>
      <c r="H472" t="s">
        <v>791</v>
      </c>
      <c r="I472" t="s">
        <v>4539</v>
      </c>
      <c r="J472" t="str">
        <f>"Keratin, type II cytoskeletal 8"</f>
        <v>Keratin, type II cytoskeletal 8</v>
      </c>
      <c r="K472" t="str">
        <f>"KRT8"</f>
        <v>KRT8</v>
      </c>
    </row>
    <row r="473" spans="1:11" x14ac:dyDescent="0.25">
      <c r="A473" s="1">
        <v>1420</v>
      </c>
      <c r="B473" s="1">
        <v>3</v>
      </c>
      <c r="C473" s="1" t="s">
        <v>3</v>
      </c>
      <c r="D473" s="1">
        <v>4</v>
      </c>
      <c r="E473" s="1">
        <v>71.513000000000005</v>
      </c>
      <c r="F473" s="1">
        <v>0.91544499999999995</v>
      </c>
      <c r="G473" t="s">
        <v>792</v>
      </c>
      <c r="H473" t="s">
        <v>230</v>
      </c>
      <c r="I473" t="s">
        <v>4540</v>
      </c>
      <c r="J473" t="str">
        <f>"Phosphatidylinositol 3-kinase regulatory subunit beta"</f>
        <v>Phosphatidylinositol 3-kinase regulatory subunit beta</v>
      </c>
      <c r="K473" t="str">
        <f>"PIK3R2"</f>
        <v>PIK3R2</v>
      </c>
    </row>
    <row r="474" spans="1:11" x14ac:dyDescent="0.25">
      <c r="A474" s="1">
        <v>3067</v>
      </c>
      <c r="B474" s="1">
        <v>3</v>
      </c>
      <c r="C474" s="1" t="s">
        <v>3</v>
      </c>
      <c r="D474" s="1">
        <v>7</v>
      </c>
      <c r="E474" s="1">
        <v>117.65</v>
      </c>
      <c r="F474" s="1">
        <v>0.96623999999999999</v>
      </c>
      <c r="G474" t="s">
        <v>793</v>
      </c>
      <c r="H474" t="s">
        <v>794</v>
      </c>
      <c r="I474" t="s">
        <v>4541</v>
      </c>
      <c r="J474" t="str">
        <f>"Zinc finger CCCH domain-containing protein 7B"</f>
        <v>Zinc finger CCCH domain-containing protein 7B</v>
      </c>
      <c r="K474" t="str">
        <f>"ZC3H7B"</f>
        <v>ZC3H7B</v>
      </c>
    </row>
    <row r="475" spans="1:11" x14ac:dyDescent="0.25">
      <c r="A475" s="1">
        <v>378</v>
      </c>
      <c r="B475" s="1">
        <v>4</v>
      </c>
      <c r="C475" s="1" t="s">
        <v>5</v>
      </c>
      <c r="D475" s="1">
        <v>26</v>
      </c>
      <c r="E475" s="1">
        <v>40.456000000000003</v>
      </c>
      <c r="F475" s="1">
        <v>0.80839799999999995</v>
      </c>
      <c r="G475" t="s">
        <v>795</v>
      </c>
      <c r="H475" t="s">
        <v>287</v>
      </c>
      <c r="I475">
        <v>657</v>
      </c>
      <c r="J475" t="str">
        <f>"Discoidin, CUB and LCCL domain-containing protein 1"</f>
        <v>Discoidin, CUB and LCCL domain-containing protein 1</v>
      </c>
      <c r="K475" t="str">
        <f>"DCBLD1"</f>
        <v>DCBLD1</v>
      </c>
    </row>
    <row r="476" spans="1:11" x14ac:dyDescent="0.25">
      <c r="A476" s="1">
        <v>1843</v>
      </c>
      <c r="B476" s="1">
        <v>2</v>
      </c>
      <c r="C476" s="1" t="s">
        <v>3</v>
      </c>
      <c r="D476" s="1">
        <v>8</v>
      </c>
      <c r="E476" s="1">
        <v>94.486999999999995</v>
      </c>
      <c r="F476" s="1">
        <v>0.99816199999999999</v>
      </c>
      <c r="G476" t="s">
        <v>796</v>
      </c>
      <c r="H476" t="s">
        <v>797</v>
      </c>
      <c r="I476" t="s">
        <v>4542</v>
      </c>
      <c r="J476" t="str">
        <f>"1-phosphatidylinositol 4,5-bisphosphate phosphodiesterase gamma-1"</f>
        <v>1-phosphatidylinositol 4,5-bisphosphate phosphodiesterase gamma-1</v>
      </c>
      <c r="K476" t="str">
        <f>"PLCG1"</f>
        <v>PLCG1</v>
      </c>
    </row>
    <row r="477" spans="1:11" x14ac:dyDescent="0.25">
      <c r="A477" s="1">
        <v>830</v>
      </c>
      <c r="B477" s="1">
        <v>4</v>
      </c>
      <c r="C477" s="1" t="s">
        <v>3</v>
      </c>
      <c r="D477" s="1">
        <v>18</v>
      </c>
      <c r="E477" s="1">
        <v>47.281999999999996</v>
      </c>
      <c r="F477" s="1">
        <v>0.59786399999999995</v>
      </c>
      <c r="G477" t="s">
        <v>798</v>
      </c>
      <c r="H477" t="s">
        <v>520</v>
      </c>
      <c r="I477" t="s">
        <v>4543</v>
      </c>
      <c r="J477" t="str">
        <f>"Lipoma-preferred partner"</f>
        <v>Lipoma-preferred partner</v>
      </c>
      <c r="K477" t="str">
        <f>"LPP"</f>
        <v>LPP</v>
      </c>
    </row>
    <row r="478" spans="1:11" x14ac:dyDescent="0.25">
      <c r="A478" s="1">
        <v>2965</v>
      </c>
      <c r="B478" s="1">
        <v>3</v>
      </c>
      <c r="C478" s="1" t="s">
        <v>3</v>
      </c>
      <c r="D478" s="1">
        <v>15</v>
      </c>
      <c r="E478" s="1">
        <v>101.53</v>
      </c>
      <c r="F478" s="1">
        <v>1</v>
      </c>
      <c r="G478" t="s">
        <v>799</v>
      </c>
      <c r="H478" t="s">
        <v>800</v>
      </c>
      <c r="I478" t="s">
        <v>4544</v>
      </c>
      <c r="J478" t="str">
        <f>"Inorganic pyrophosphatase 2, mitochondrial"</f>
        <v>Inorganic pyrophosphatase 2, mitochondrial</v>
      </c>
      <c r="K478" t="str">
        <f>"PPA2"</f>
        <v>PPA2</v>
      </c>
    </row>
    <row r="479" spans="1:11" x14ac:dyDescent="0.25">
      <c r="A479" s="1">
        <v>1047</v>
      </c>
      <c r="B479" s="1">
        <v>3</v>
      </c>
      <c r="C479" s="1" t="s">
        <v>3</v>
      </c>
      <c r="D479" s="1">
        <v>3</v>
      </c>
      <c r="E479" s="1">
        <v>46.462000000000003</v>
      </c>
      <c r="F479" s="1">
        <v>1</v>
      </c>
      <c r="G479" t="s">
        <v>801</v>
      </c>
      <c r="H479" t="s">
        <v>802</v>
      </c>
      <c r="I479" t="s">
        <v>4545</v>
      </c>
      <c r="J479" t="str">
        <f>"Catenin beta-1"</f>
        <v>Catenin beta-1</v>
      </c>
      <c r="K479" t="str">
        <f>"CTNNB1"</f>
        <v>CTNNB1</v>
      </c>
    </row>
    <row r="480" spans="1:11" x14ac:dyDescent="0.25">
      <c r="A480" s="1">
        <v>2340</v>
      </c>
      <c r="B480" s="1">
        <v>3</v>
      </c>
      <c r="C480" s="1" t="s">
        <v>3</v>
      </c>
      <c r="D480" s="1">
        <v>12</v>
      </c>
      <c r="E480" s="1">
        <v>201.15</v>
      </c>
      <c r="F480" s="1">
        <v>0.99909199999999998</v>
      </c>
      <c r="G480" t="s">
        <v>803</v>
      </c>
      <c r="H480" t="s">
        <v>804</v>
      </c>
      <c r="I480" t="s">
        <v>4546</v>
      </c>
      <c r="J480" t="str">
        <f>"Focal adhesion kinase 1"</f>
        <v>Focal adhesion kinase 1</v>
      </c>
      <c r="K480" t="str">
        <f>"PTK2"</f>
        <v>PTK2</v>
      </c>
    </row>
    <row r="481" spans="1:11" x14ac:dyDescent="0.25">
      <c r="A481" s="1">
        <v>2224</v>
      </c>
      <c r="B481" s="1">
        <v>4</v>
      </c>
      <c r="C481" s="1" t="s">
        <v>3</v>
      </c>
      <c r="D481" s="1">
        <v>19</v>
      </c>
      <c r="E481" s="1">
        <v>98.150999999999996</v>
      </c>
      <c r="F481" s="1">
        <v>0.990313</v>
      </c>
      <c r="G481" t="s">
        <v>805</v>
      </c>
      <c r="H481" t="s">
        <v>169</v>
      </c>
      <c r="I481" t="s">
        <v>4547</v>
      </c>
      <c r="J481" t="str">
        <f>"Actin, cytoplasmic 1;Actin, cytoplasmic 1, N-terminally processed;Actin, cytoplasmic 2;Actin, cytoplasmic 2, N-terminally processed"</f>
        <v>Actin, cytoplasmic 1;Actin, cytoplasmic 1, N-terminally processed;Actin, cytoplasmic 2;Actin, cytoplasmic 2, N-terminally processed</v>
      </c>
      <c r="K481" t="str">
        <f>"ACTB;ACTG1"</f>
        <v>ACTB;ACTG1</v>
      </c>
    </row>
    <row r="482" spans="1:11" x14ac:dyDescent="0.25">
      <c r="A482" s="1">
        <v>1792</v>
      </c>
      <c r="B482" s="1">
        <v>2</v>
      </c>
      <c r="C482" s="1" t="s">
        <v>3</v>
      </c>
      <c r="D482" s="1">
        <v>3</v>
      </c>
      <c r="E482" s="1">
        <v>75.652000000000001</v>
      </c>
      <c r="F482" s="1">
        <v>1</v>
      </c>
      <c r="G482" t="s">
        <v>806</v>
      </c>
      <c r="H482" t="s">
        <v>807</v>
      </c>
      <c r="I482">
        <v>480</v>
      </c>
      <c r="J482" t="str">
        <f>"Junction plakoglobin"</f>
        <v>Junction plakoglobin</v>
      </c>
      <c r="K482" t="str">
        <f>"JUP"</f>
        <v>JUP</v>
      </c>
    </row>
    <row r="483" spans="1:11" x14ac:dyDescent="0.25">
      <c r="A483" s="1">
        <v>2978</v>
      </c>
      <c r="B483" s="1">
        <v>3</v>
      </c>
      <c r="C483" s="1" t="s">
        <v>3</v>
      </c>
      <c r="D483" s="1">
        <v>16</v>
      </c>
      <c r="E483" s="1">
        <v>71.353999999999999</v>
      </c>
      <c r="F483" s="1">
        <v>1</v>
      </c>
      <c r="G483" t="s">
        <v>210</v>
      </c>
      <c r="H483" t="s">
        <v>211</v>
      </c>
      <c r="I483" t="s">
        <v>4548</v>
      </c>
      <c r="J483" t="str">
        <f>"Pseudopodium-enriched atypical kinase 1"</f>
        <v>Pseudopodium-enriched atypical kinase 1</v>
      </c>
      <c r="K483" t="str">
        <f>"PEAK1"</f>
        <v>PEAK1</v>
      </c>
    </row>
    <row r="484" spans="1:11" x14ac:dyDescent="0.25">
      <c r="A484" s="1">
        <v>1585</v>
      </c>
      <c r="B484" s="1">
        <v>3</v>
      </c>
      <c r="C484" s="1" t="s">
        <v>3</v>
      </c>
      <c r="D484" s="1">
        <v>4</v>
      </c>
      <c r="E484" s="1">
        <v>141.1</v>
      </c>
      <c r="F484" s="1">
        <v>0.98928899999999997</v>
      </c>
      <c r="G484" t="s">
        <v>808</v>
      </c>
      <c r="H484" t="s">
        <v>683</v>
      </c>
      <c r="I484" t="s">
        <v>4549</v>
      </c>
      <c r="J484" t="str">
        <f>"Glutamate dehydrogenase 1, mitochondrial"</f>
        <v>Glutamate dehydrogenase 1, mitochondrial</v>
      </c>
      <c r="K484" t="str">
        <f>"GLUD1"</f>
        <v>GLUD1</v>
      </c>
    </row>
    <row r="485" spans="1:11" x14ac:dyDescent="0.25">
      <c r="A485" s="1">
        <v>1751</v>
      </c>
      <c r="B485" s="1">
        <v>2</v>
      </c>
      <c r="C485" s="1" t="s">
        <v>3</v>
      </c>
      <c r="D485" s="1">
        <v>8</v>
      </c>
      <c r="E485" s="1">
        <v>120.87</v>
      </c>
      <c r="F485" s="1">
        <v>0.99999800000000005</v>
      </c>
      <c r="G485" t="s">
        <v>809</v>
      </c>
      <c r="H485" t="s">
        <v>810</v>
      </c>
      <c r="I485" t="s">
        <v>4550</v>
      </c>
      <c r="J485" t="str">
        <f>"Polyadenylate-binding protein 1;Polyadenylate-binding protein 3"</f>
        <v>Polyadenylate-binding protein 1;Polyadenylate-binding protein 3</v>
      </c>
      <c r="K485" t="str">
        <f>"PABPC1;PABPC3"</f>
        <v>PABPC1;PABPC3</v>
      </c>
    </row>
    <row r="486" spans="1:11" x14ac:dyDescent="0.25">
      <c r="A486" s="1">
        <v>3127</v>
      </c>
      <c r="B486" s="1">
        <v>3</v>
      </c>
      <c r="C486" s="1" t="s">
        <v>3</v>
      </c>
      <c r="D486" s="1">
        <v>11</v>
      </c>
      <c r="E486" s="1">
        <v>166.29</v>
      </c>
      <c r="F486" s="1">
        <v>0.99989899999999998</v>
      </c>
      <c r="G486" t="s">
        <v>811</v>
      </c>
      <c r="H486" t="s">
        <v>812</v>
      </c>
      <c r="I486" t="s">
        <v>4551</v>
      </c>
      <c r="J486" t="str">
        <f>"Signaling threshold-regulating transmembrane adapter 1"</f>
        <v>Signaling threshold-regulating transmembrane adapter 1</v>
      </c>
      <c r="K486" t="str">
        <f>"SIT1"</f>
        <v>SIT1</v>
      </c>
    </row>
    <row r="487" spans="1:11" x14ac:dyDescent="0.25">
      <c r="A487" s="1">
        <v>1177</v>
      </c>
      <c r="B487" s="1">
        <v>2</v>
      </c>
      <c r="C487" s="1" t="s">
        <v>3</v>
      </c>
      <c r="D487" s="1">
        <v>3</v>
      </c>
      <c r="E487" s="1">
        <v>63.682000000000002</v>
      </c>
      <c r="F487" s="1">
        <v>0.99956400000000001</v>
      </c>
      <c r="G487" t="s">
        <v>813</v>
      </c>
      <c r="H487" t="s">
        <v>814</v>
      </c>
      <c r="I487" t="s">
        <v>4552</v>
      </c>
      <c r="J487" t="str">
        <f>"Eukaryotic initiation factor 4A-II;Eukaryotic initiation factor 4A-III;Eukaryotic initiation factor 4A-III, N-terminally processed;Eukaryotic initiation factor 4A-I"</f>
        <v>Eukaryotic initiation factor 4A-II;Eukaryotic initiation factor 4A-III;Eukaryotic initiation factor 4A-III, N-terminally processed;Eukaryotic initiation factor 4A-I</v>
      </c>
      <c r="K487" t="str">
        <f>"EIF4A2;EIF4A1;EIF4A3"</f>
        <v>EIF4A2;EIF4A1;EIF4A3</v>
      </c>
    </row>
    <row r="488" spans="1:11" x14ac:dyDescent="0.25">
      <c r="A488" s="1">
        <v>2780</v>
      </c>
      <c r="B488" s="1">
        <v>4</v>
      </c>
      <c r="C488" s="1" t="s">
        <v>3</v>
      </c>
      <c r="D488" s="1">
        <v>15</v>
      </c>
      <c r="E488" s="1">
        <v>98.893000000000001</v>
      </c>
      <c r="F488" s="1">
        <v>0.99998200000000004</v>
      </c>
      <c r="G488" t="s">
        <v>815</v>
      </c>
      <c r="H488" t="s">
        <v>816</v>
      </c>
      <c r="I488" t="s">
        <v>4553</v>
      </c>
      <c r="J488" t="str">
        <f>"WAS/WASL-interacting protein family member 2"</f>
        <v>WAS/WASL-interacting protein family member 2</v>
      </c>
      <c r="K488" t="str">
        <f>"WIPF2"</f>
        <v>WIPF2</v>
      </c>
    </row>
    <row r="489" spans="1:11" x14ac:dyDescent="0.25">
      <c r="A489" s="1">
        <v>1264</v>
      </c>
      <c r="B489" s="1">
        <v>4</v>
      </c>
      <c r="C489" s="1" t="s">
        <v>3</v>
      </c>
      <c r="D489" s="1">
        <v>15</v>
      </c>
      <c r="E489" s="1">
        <v>82.885000000000005</v>
      </c>
      <c r="F489" s="1">
        <v>0.89968400000000004</v>
      </c>
      <c r="G489" t="s">
        <v>817</v>
      </c>
      <c r="H489" t="s">
        <v>663</v>
      </c>
      <c r="I489" t="s">
        <v>4554</v>
      </c>
      <c r="J489" t="str">
        <f>"Transmembrane protein 106B"</f>
        <v>Transmembrane protein 106B</v>
      </c>
      <c r="K489" t="str">
        <f>"TMEM106B"</f>
        <v>TMEM106B</v>
      </c>
    </row>
    <row r="490" spans="1:11" x14ac:dyDescent="0.25">
      <c r="A490" s="1">
        <v>164</v>
      </c>
      <c r="B490" s="1">
        <v>3</v>
      </c>
      <c r="C490" s="1" t="s">
        <v>5</v>
      </c>
      <c r="D490" s="1">
        <v>2</v>
      </c>
      <c r="E490" s="1">
        <v>145.69</v>
      </c>
      <c r="F490" s="1">
        <v>0.65492899999999998</v>
      </c>
      <c r="G490" t="s">
        <v>818</v>
      </c>
      <c r="H490" t="s">
        <v>683</v>
      </c>
      <c r="I490" t="s">
        <v>4555</v>
      </c>
      <c r="J490" t="str">
        <f>"Glutamate dehydrogenase 1, mitochondrial"</f>
        <v>Glutamate dehydrogenase 1, mitochondrial</v>
      </c>
      <c r="K490" t="str">
        <f>"GLUD1"</f>
        <v>GLUD1</v>
      </c>
    </row>
    <row r="491" spans="1:11" x14ac:dyDescent="0.25">
      <c r="A491" s="1">
        <v>2344</v>
      </c>
      <c r="B491" s="1">
        <v>3</v>
      </c>
      <c r="C491" s="1" t="s">
        <v>3</v>
      </c>
      <c r="D491" s="1">
        <v>9</v>
      </c>
      <c r="E491" s="1">
        <v>48.052999999999997</v>
      </c>
      <c r="F491" s="1">
        <v>1</v>
      </c>
      <c r="G491" t="s">
        <v>819</v>
      </c>
      <c r="H491" t="s">
        <v>820</v>
      </c>
      <c r="I491">
        <v>688</v>
      </c>
      <c r="J491" t="str">
        <f>"Focal adhesion kinase 1"</f>
        <v>Focal adhesion kinase 1</v>
      </c>
      <c r="K491" t="str">
        <f>"PTK2"</f>
        <v>PTK2</v>
      </c>
    </row>
    <row r="492" spans="1:11" x14ac:dyDescent="0.25">
      <c r="A492" s="1">
        <v>258</v>
      </c>
      <c r="B492" s="1">
        <v>2</v>
      </c>
      <c r="C492" s="1" t="s">
        <v>5</v>
      </c>
      <c r="D492" s="1">
        <v>6</v>
      </c>
      <c r="E492" s="1">
        <v>98.156000000000006</v>
      </c>
      <c r="F492" s="1">
        <v>0.58790600000000004</v>
      </c>
      <c r="G492" t="s">
        <v>821</v>
      </c>
      <c r="H492" t="s">
        <v>14</v>
      </c>
      <c r="I492" t="s">
        <v>4556</v>
      </c>
      <c r="J492" t="str">
        <f>"Glycogen synthase kinase-3 alpha;Glycogen synthase kinase-3 beta"</f>
        <v>Glycogen synthase kinase-3 alpha;Glycogen synthase kinase-3 beta</v>
      </c>
      <c r="K492" t="str">
        <f>"GSK3A;GSK3B"</f>
        <v>GSK3A;GSK3B</v>
      </c>
    </row>
    <row r="493" spans="1:11" x14ac:dyDescent="0.25">
      <c r="A493" s="1">
        <v>2536</v>
      </c>
      <c r="B493" s="1">
        <v>3</v>
      </c>
      <c r="C493" s="1" t="s">
        <v>3</v>
      </c>
      <c r="D493" s="1">
        <v>5</v>
      </c>
      <c r="E493" s="1">
        <v>163.29</v>
      </c>
      <c r="F493" s="1">
        <v>0.99821000000000004</v>
      </c>
      <c r="G493" t="s">
        <v>822</v>
      </c>
      <c r="H493" t="s">
        <v>545</v>
      </c>
      <c r="I493">
        <v>297</v>
      </c>
      <c r="J493" t="str">
        <f>"SH2 domain-containing adapter protein B"</f>
        <v>SH2 domain-containing adapter protein B</v>
      </c>
      <c r="K493" t="str">
        <f>"SHB"</f>
        <v>SHB</v>
      </c>
    </row>
    <row r="494" spans="1:11" x14ac:dyDescent="0.25">
      <c r="A494" s="1">
        <v>2255</v>
      </c>
      <c r="B494" s="1">
        <v>2</v>
      </c>
      <c r="C494" s="1" t="s">
        <v>3</v>
      </c>
      <c r="D494" s="1">
        <v>2</v>
      </c>
      <c r="E494" s="1">
        <v>100.88</v>
      </c>
      <c r="F494" s="1">
        <v>0.99997800000000003</v>
      </c>
      <c r="G494" t="s">
        <v>823</v>
      </c>
      <c r="H494" t="s">
        <v>824</v>
      </c>
      <c r="I494" t="s">
        <v>4557</v>
      </c>
      <c r="J494" t="str">
        <f>"Actin, aortic smooth muscle;Actin, gamma-enteric smooth muscle;Actin, alpha cardiac muscle 1;Actin, alpha skeletal muscle"</f>
        <v>Actin, aortic smooth muscle;Actin, gamma-enteric smooth muscle;Actin, alpha cardiac muscle 1;Actin, alpha skeletal muscle</v>
      </c>
      <c r="K494" t="str">
        <f>"ACTA2;ACTG2;ACTC1;ACTA1"</f>
        <v>ACTA2;ACTG2;ACTC1;ACTA1</v>
      </c>
    </row>
    <row r="495" spans="1:11" x14ac:dyDescent="0.25">
      <c r="A495" s="1">
        <v>3002</v>
      </c>
      <c r="B495" s="1">
        <v>3</v>
      </c>
      <c r="C495" s="1" t="s">
        <v>3</v>
      </c>
      <c r="D495" s="1">
        <v>4</v>
      </c>
      <c r="E495" s="1">
        <v>41.115000000000002</v>
      </c>
      <c r="F495" s="1">
        <v>1</v>
      </c>
      <c r="G495" t="s">
        <v>825</v>
      </c>
      <c r="H495" t="s">
        <v>826</v>
      </c>
      <c r="I495" t="s">
        <v>4558</v>
      </c>
      <c r="J495" t="str">
        <f>"Inner centromere protein"</f>
        <v>Inner centromere protein</v>
      </c>
      <c r="K495" t="str">
        <f>"INCENP"</f>
        <v>INCENP</v>
      </c>
    </row>
    <row r="496" spans="1:11" x14ac:dyDescent="0.25">
      <c r="A496" s="1">
        <v>2633</v>
      </c>
      <c r="B496" s="1">
        <v>2</v>
      </c>
      <c r="C496" s="1" t="s">
        <v>3</v>
      </c>
      <c r="D496" s="1">
        <v>4</v>
      </c>
      <c r="E496" s="1">
        <v>85.536000000000001</v>
      </c>
      <c r="F496" s="1">
        <v>1</v>
      </c>
      <c r="G496" t="s">
        <v>827</v>
      </c>
      <c r="H496" t="s">
        <v>828</v>
      </c>
      <c r="I496">
        <v>156</v>
      </c>
      <c r="J496" t="str">
        <f>"Polymerase I and transcript release factor"</f>
        <v>Polymerase I and transcript release factor</v>
      </c>
      <c r="K496" t="str">
        <f>"PTRF"</f>
        <v>PTRF</v>
      </c>
    </row>
    <row r="497" spans="1:11" x14ac:dyDescent="0.25">
      <c r="A497" s="1">
        <v>1967</v>
      </c>
      <c r="B497" s="1">
        <v>3</v>
      </c>
      <c r="C497" s="1" t="s">
        <v>3</v>
      </c>
      <c r="D497" s="1">
        <v>1</v>
      </c>
      <c r="E497" s="1">
        <v>103.69</v>
      </c>
      <c r="F497" s="1">
        <v>1</v>
      </c>
      <c r="G497" t="s">
        <v>829</v>
      </c>
      <c r="H497" t="s">
        <v>499</v>
      </c>
      <c r="I497" t="s">
        <v>4559</v>
      </c>
      <c r="J497" t="str">
        <f>"Tyrosine-protein phosphatase non-receptor type 6"</f>
        <v>Tyrosine-protein phosphatase non-receptor type 6</v>
      </c>
      <c r="K497" t="str">
        <f>"PTPN6"</f>
        <v>PTPN6</v>
      </c>
    </row>
    <row r="498" spans="1:11" x14ac:dyDescent="0.25">
      <c r="A498" s="1">
        <v>271</v>
      </c>
      <c r="B498" s="1">
        <v>3</v>
      </c>
      <c r="C498" s="1" t="s">
        <v>5</v>
      </c>
      <c r="D498" s="1">
        <v>2</v>
      </c>
      <c r="E498" s="1">
        <v>99.13</v>
      </c>
      <c r="F498" s="1">
        <v>0.66316399999999998</v>
      </c>
      <c r="G498" t="s">
        <v>830</v>
      </c>
      <c r="H498" t="s">
        <v>831</v>
      </c>
      <c r="I498" t="s">
        <v>4560</v>
      </c>
      <c r="J498" t="str">
        <f>"Ephrin-B2;Ephrin-B1"</f>
        <v>Ephrin-B2;Ephrin-B1</v>
      </c>
      <c r="K498" t="str">
        <f>"EFNB2;EFNB1"</f>
        <v>EFNB2;EFNB1</v>
      </c>
    </row>
    <row r="499" spans="1:11" x14ac:dyDescent="0.25">
      <c r="A499" s="1">
        <v>2134</v>
      </c>
      <c r="B499" s="1">
        <v>3</v>
      </c>
      <c r="C499" s="1" t="s">
        <v>3</v>
      </c>
      <c r="D499" s="1">
        <v>15</v>
      </c>
      <c r="E499" s="1">
        <v>77.037000000000006</v>
      </c>
      <c r="F499" s="1">
        <v>0.99995900000000004</v>
      </c>
      <c r="G499" t="s">
        <v>832</v>
      </c>
      <c r="H499" t="s">
        <v>833</v>
      </c>
      <c r="I499" t="s">
        <v>4561</v>
      </c>
      <c r="J499" t="str">
        <f>"T-complex protein 1 subunit theta"</f>
        <v>T-complex protein 1 subunit theta</v>
      </c>
      <c r="K499" t="str">
        <f>"CCT8"</f>
        <v>CCT8</v>
      </c>
    </row>
    <row r="500" spans="1:11" x14ac:dyDescent="0.25">
      <c r="A500" s="1">
        <v>2236</v>
      </c>
      <c r="B500" s="1">
        <v>4</v>
      </c>
      <c r="C500" s="1" t="s">
        <v>3</v>
      </c>
      <c r="D500" s="1">
        <v>22</v>
      </c>
      <c r="E500" s="1">
        <v>93.632999999999996</v>
      </c>
      <c r="F500" s="1">
        <v>0.99996799999999997</v>
      </c>
      <c r="G500" t="s">
        <v>834</v>
      </c>
      <c r="H500" t="s">
        <v>835</v>
      </c>
      <c r="I500">
        <v>49</v>
      </c>
      <c r="J500" t="str">
        <f>"60S ribosomal protein L27"</f>
        <v>60S ribosomal protein L27</v>
      </c>
      <c r="K500" t="str">
        <f>"RPL27"</f>
        <v>RPL27</v>
      </c>
    </row>
    <row r="501" spans="1:11" x14ac:dyDescent="0.25">
      <c r="A501" s="1">
        <v>1668</v>
      </c>
      <c r="B501" s="1">
        <v>3</v>
      </c>
      <c r="C501" s="1" t="s">
        <v>3</v>
      </c>
      <c r="D501" s="1">
        <v>13</v>
      </c>
      <c r="E501" s="1">
        <v>210.12</v>
      </c>
      <c r="F501" s="1">
        <v>0.99953800000000004</v>
      </c>
      <c r="G501" t="s">
        <v>836</v>
      </c>
      <c r="H501" t="s">
        <v>837</v>
      </c>
      <c r="I501" t="s">
        <v>4562</v>
      </c>
      <c r="J501" t="str">
        <f>"Heat shock protein HSP 90-alpha"</f>
        <v>Heat shock protein HSP 90-alpha</v>
      </c>
      <c r="K501" t="str">
        <f>"HSP90AA1"</f>
        <v>HSP90AA1</v>
      </c>
    </row>
    <row r="502" spans="1:11" x14ac:dyDescent="0.25">
      <c r="A502" s="1">
        <v>2883</v>
      </c>
      <c r="B502" s="1">
        <v>2</v>
      </c>
      <c r="C502" s="1" t="s">
        <v>3</v>
      </c>
      <c r="D502" s="1">
        <v>2</v>
      </c>
      <c r="E502" s="1">
        <v>102.89</v>
      </c>
      <c r="F502" s="1">
        <v>1</v>
      </c>
      <c r="G502" t="s">
        <v>838</v>
      </c>
      <c r="H502" t="s">
        <v>262</v>
      </c>
      <c r="I502" t="s">
        <v>4563</v>
      </c>
      <c r="J502" t="str">
        <f>"Protein LAP2"</f>
        <v>Protein LAP2</v>
      </c>
      <c r="K502" t="str">
        <f>"ERBB2IP"</f>
        <v>ERBB2IP</v>
      </c>
    </row>
    <row r="503" spans="1:11" x14ac:dyDescent="0.25">
      <c r="A503" s="1">
        <v>1874</v>
      </c>
      <c r="B503" s="1">
        <v>3</v>
      </c>
      <c r="C503" s="1" t="s">
        <v>3</v>
      </c>
      <c r="D503" s="1">
        <v>9</v>
      </c>
      <c r="E503" s="1">
        <v>84.653000000000006</v>
      </c>
      <c r="F503" s="1">
        <v>0.95441900000000002</v>
      </c>
      <c r="G503" t="s">
        <v>839</v>
      </c>
      <c r="H503" t="s">
        <v>840</v>
      </c>
      <c r="I503">
        <v>781</v>
      </c>
      <c r="J503" t="str">
        <f>"Ephrin type-A receptor 1"</f>
        <v>Ephrin type-A receptor 1</v>
      </c>
      <c r="K503" t="str">
        <f>"EPHA1"</f>
        <v>EPHA1</v>
      </c>
    </row>
    <row r="504" spans="1:11" x14ac:dyDescent="0.25">
      <c r="A504" s="1">
        <v>287</v>
      </c>
      <c r="B504" s="1">
        <v>3</v>
      </c>
      <c r="C504" s="1" t="s">
        <v>5</v>
      </c>
      <c r="D504" s="1">
        <v>7</v>
      </c>
      <c r="E504" s="1">
        <v>157.54</v>
      </c>
      <c r="F504" s="1">
        <v>0.91917899999999997</v>
      </c>
      <c r="G504" t="s">
        <v>841</v>
      </c>
      <c r="H504" t="s">
        <v>509</v>
      </c>
      <c r="I504" t="s">
        <v>4564</v>
      </c>
      <c r="J504" t="str">
        <f>"Spectrin beta chain, non-erythrocytic 1"</f>
        <v>Spectrin beta chain, non-erythrocytic 1</v>
      </c>
      <c r="K504" t="str">
        <f>"SPTBN1"</f>
        <v>SPTBN1</v>
      </c>
    </row>
    <row r="505" spans="1:11" x14ac:dyDescent="0.25">
      <c r="A505" s="1">
        <v>2794</v>
      </c>
      <c r="B505" s="1">
        <v>3</v>
      </c>
      <c r="C505" s="1" t="s">
        <v>3</v>
      </c>
      <c r="D505" s="1">
        <v>13</v>
      </c>
      <c r="E505" s="1">
        <v>126.77</v>
      </c>
      <c r="F505" s="1">
        <v>0.99994000000000005</v>
      </c>
      <c r="G505" t="s">
        <v>842</v>
      </c>
      <c r="H505" t="s">
        <v>843</v>
      </c>
      <c r="I505" t="s">
        <v>4565</v>
      </c>
      <c r="J505" t="str">
        <f>"Palladin"</f>
        <v>Palladin</v>
      </c>
      <c r="K505" t="str">
        <f>"PALLD"</f>
        <v>PALLD</v>
      </c>
    </row>
    <row r="506" spans="1:11" x14ac:dyDescent="0.25">
      <c r="A506" s="1">
        <v>2058</v>
      </c>
      <c r="B506" s="1">
        <v>3</v>
      </c>
      <c r="C506" s="1" t="s">
        <v>3</v>
      </c>
      <c r="D506" s="1">
        <v>14</v>
      </c>
      <c r="E506" s="1">
        <v>93.582999999999998</v>
      </c>
      <c r="F506" s="1">
        <v>0.98541800000000002</v>
      </c>
      <c r="G506" t="s">
        <v>844</v>
      </c>
      <c r="H506" t="s">
        <v>237</v>
      </c>
      <c r="I506" t="s">
        <v>4566</v>
      </c>
      <c r="J506" t="str">
        <f>"Tyrosine-protein kinase SYK"</f>
        <v>Tyrosine-protein kinase SYK</v>
      </c>
      <c r="K506" t="str">
        <f>"SYK"</f>
        <v>SYK</v>
      </c>
    </row>
    <row r="507" spans="1:11" x14ac:dyDescent="0.25">
      <c r="A507" s="1">
        <v>3107</v>
      </c>
      <c r="B507" s="1">
        <v>3</v>
      </c>
      <c r="C507" s="1" t="s">
        <v>3</v>
      </c>
      <c r="D507" s="1">
        <v>18</v>
      </c>
      <c r="E507" s="1">
        <v>179</v>
      </c>
      <c r="F507" s="1">
        <v>1</v>
      </c>
      <c r="G507" t="s">
        <v>845</v>
      </c>
      <c r="H507" t="s">
        <v>846</v>
      </c>
      <c r="I507" t="s">
        <v>4567</v>
      </c>
      <c r="J507" t="str">
        <f>"Brain-specific angiogenesis inhibitor 1-associated protein 2"</f>
        <v>Brain-specific angiogenesis inhibitor 1-associated protein 2</v>
      </c>
      <c r="K507" t="str">
        <f>"BAIAP2;CCDC43"</f>
        <v>BAIAP2;CCDC43</v>
      </c>
    </row>
    <row r="508" spans="1:11" x14ac:dyDescent="0.25">
      <c r="A508" s="1">
        <v>3102</v>
      </c>
      <c r="B508" s="1">
        <v>3</v>
      </c>
      <c r="C508" s="1" t="s">
        <v>3</v>
      </c>
      <c r="D508" s="1">
        <v>11</v>
      </c>
      <c r="E508" s="1">
        <v>66.825999999999993</v>
      </c>
      <c r="F508" s="1">
        <v>0.98833199999999999</v>
      </c>
      <c r="G508" t="s">
        <v>847</v>
      </c>
      <c r="H508" t="s">
        <v>848</v>
      </c>
      <c r="I508" t="s">
        <v>4568</v>
      </c>
      <c r="J508" t="str">
        <f>"NSFL1 cofactor p47"</f>
        <v>NSFL1 cofactor p47</v>
      </c>
      <c r="K508" t="str">
        <f>"NSFL1C"</f>
        <v>NSFL1C</v>
      </c>
    </row>
    <row r="509" spans="1:11" x14ac:dyDescent="0.25">
      <c r="A509" s="1">
        <v>1123</v>
      </c>
      <c r="B509" s="1">
        <v>3</v>
      </c>
      <c r="C509" s="1" t="s">
        <v>3</v>
      </c>
      <c r="D509" s="1">
        <v>6</v>
      </c>
      <c r="E509" s="1">
        <v>53.448</v>
      </c>
      <c r="F509" s="1">
        <v>1</v>
      </c>
      <c r="G509" t="s">
        <v>849</v>
      </c>
      <c r="H509" t="s">
        <v>143</v>
      </c>
      <c r="I509">
        <v>280</v>
      </c>
      <c r="J509" t="str">
        <f>""</f>
        <v/>
      </c>
      <c r="K509" t="str">
        <f>"CTNND1"</f>
        <v>CTNND1</v>
      </c>
    </row>
    <row r="510" spans="1:11" x14ac:dyDescent="0.25">
      <c r="A510" s="1">
        <v>2890</v>
      </c>
      <c r="B510" s="1">
        <v>3</v>
      </c>
      <c r="C510" s="1" t="s">
        <v>3</v>
      </c>
      <c r="D510" s="1">
        <v>13</v>
      </c>
      <c r="E510" s="1">
        <v>90.463999999999999</v>
      </c>
      <c r="F510" s="1">
        <v>0.98407800000000001</v>
      </c>
      <c r="G510" t="s">
        <v>850</v>
      </c>
      <c r="H510" t="s">
        <v>851</v>
      </c>
      <c r="I510" t="s">
        <v>4569</v>
      </c>
      <c r="J510" t="str">
        <f>"Plakophilin-4"</f>
        <v>Plakophilin-4</v>
      </c>
      <c r="K510" t="str">
        <f>"PKP4"</f>
        <v>PKP4</v>
      </c>
    </row>
    <row r="511" spans="1:11" x14ac:dyDescent="0.25">
      <c r="A511" s="1">
        <v>2800</v>
      </c>
      <c r="B511" s="1">
        <v>3</v>
      </c>
      <c r="C511" s="1" t="s">
        <v>3</v>
      </c>
      <c r="D511" s="1">
        <v>7</v>
      </c>
      <c r="E511" s="1">
        <v>94.486999999999995</v>
      </c>
      <c r="F511" s="1">
        <v>1</v>
      </c>
      <c r="G511" t="s">
        <v>852</v>
      </c>
      <c r="H511" t="s">
        <v>853</v>
      </c>
      <c r="I511">
        <v>455</v>
      </c>
      <c r="J511" t="str">
        <f>"Ankyrin repeat and SAM domain-containing protein 1A"</f>
        <v>Ankyrin repeat and SAM domain-containing protein 1A</v>
      </c>
      <c r="K511" t="str">
        <f>"ANKS1A"</f>
        <v>ANKS1A</v>
      </c>
    </row>
    <row r="512" spans="1:11" x14ac:dyDescent="0.25">
      <c r="A512" s="1">
        <v>382</v>
      </c>
      <c r="B512" s="1">
        <v>4</v>
      </c>
      <c r="C512" s="1" t="s">
        <v>5</v>
      </c>
      <c r="D512" s="1">
        <v>22</v>
      </c>
      <c r="E512" s="1">
        <v>66.376000000000005</v>
      </c>
      <c r="F512" s="1">
        <v>0.70259899999999997</v>
      </c>
      <c r="G512" t="s">
        <v>854</v>
      </c>
      <c r="H512" t="s">
        <v>491</v>
      </c>
      <c r="I512">
        <v>112</v>
      </c>
      <c r="J512" t="str">
        <f>"Protein FAM83F"</f>
        <v>Protein FAM83F</v>
      </c>
      <c r="K512" t="str">
        <f>"FAM83F"</f>
        <v>FAM83F</v>
      </c>
    </row>
    <row r="513" spans="1:11" x14ac:dyDescent="0.25">
      <c r="A513" s="1">
        <v>2377</v>
      </c>
      <c r="B513" s="1">
        <v>3</v>
      </c>
      <c r="C513" s="1" t="s">
        <v>3</v>
      </c>
      <c r="D513" s="1">
        <v>7</v>
      </c>
      <c r="E513" s="1">
        <v>133.79</v>
      </c>
      <c r="F513" s="1">
        <v>0.99999899999999997</v>
      </c>
      <c r="G513" t="s">
        <v>855</v>
      </c>
      <c r="H513" t="s">
        <v>856</v>
      </c>
      <c r="I513" t="s">
        <v>4570</v>
      </c>
      <c r="J513" t="str">
        <f>"Rho guanine nucleotide exchange factor 5"</f>
        <v>Rho guanine nucleotide exchange factor 5</v>
      </c>
      <c r="K513" t="str">
        <f>"ARHGEF5"</f>
        <v>ARHGEF5</v>
      </c>
    </row>
    <row r="514" spans="1:11" x14ac:dyDescent="0.25">
      <c r="A514" s="1">
        <v>1520</v>
      </c>
      <c r="B514" s="1">
        <v>3</v>
      </c>
      <c r="C514" s="1" t="s">
        <v>3</v>
      </c>
      <c r="D514" s="1">
        <v>4</v>
      </c>
      <c r="E514" s="1">
        <v>89.722999999999999</v>
      </c>
      <c r="F514" s="1">
        <v>0.836171</v>
      </c>
      <c r="G514" t="s">
        <v>857</v>
      </c>
      <c r="H514" t="s">
        <v>183</v>
      </c>
      <c r="I514" t="s">
        <v>4571</v>
      </c>
      <c r="J514" t="str">
        <f>"WD repeat-containing protein 1"</f>
        <v>WD repeat-containing protein 1</v>
      </c>
      <c r="K514" t="str">
        <f>"WDR1"</f>
        <v>WDR1</v>
      </c>
    </row>
    <row r="515" spans="1:11" x14ac:dyDescent="0.25">
      <c r="A515" s="1">
        <v>2173</v>
      </c>
      <c r="B515" s="1">
        <v>3</v>
      </c>
      <c r="C515" s="1" t="s">
        <v>3</v>
      </c>
      <c r="D515" s="1">
        <v>12</v>
      </c>
      <c r="E515" s="1">
        <v>81.531999999999996</v>
      </c>
      <c r="F515" s="1">
        <v>0.96203300000000003</v>
      </c>
      <c r="G515" t="s">
        <v>858</v>
      </c>
      <c r="H515" t="s">
        <v>859</v>
      </c>
      <c r="I515" t="s">
        <v>4572</v>
      </c>
      <c r="J515" t="str">
        <f>"Cysteine-rich protein 2"</f>
        <v>Cysteine-rich protein 2</v>
      </c>
      <c r="K515" t="str">
        <f>"CRIP2"</f>
        <v>CRIP2</v>
      </c>
    </row>
    <row r="516" spans="1:11" x14ac:dyDescent="0.25">
      <c r="A516" s="1">
        <v>1879</v>
      </c>
      <c r="B516" s="1">
        <v>2</v>
      </c>
      <c r="C516" s="1" t="s">
        <v>3</v>
      </c>
      <c r="D516" s="1">
        <v>5</v>
      </c>
      <c r="E516" s="1">
        <v>100.04</v>
      </c>
      <c r="F516" s="1">
        <v>0.99832299999999996</v>
      </c>
      <c r="G516" t="s">
        <v>860</v>
      </c>
      <c r="H516" t="s">
        <v>861</v>
      </c>
      <c r="I516" t="s">
        <v>4573</v>
      </c>
      <c r="J516" t="str">
        <f>"Protein-glutamine gamma-glutamyltransferase 2"</f>
        <v>Protein-glutamine gamma-glutamyltransferase 2</v>
      </c>
      <c r="K516" t="str">
        <f>"TGM2"</f>
        <v>TGM2</v>
      </c>
    </row>
    <row r="517" spans="1:11" x14ac:dyDescent="0.25">
      <c r="A517" s="1">
        <v>1999</v>
      </c>
      <c r="B517" s="1">
        <v>5</v>
      </c>
      <c r="C517" s="1" t="s">
        <v>3</v>
      </c>
      <c r="D517" s="1">
        <v>18</v>
      </c>
      <c r="E517" s="1">
        <v>67.234999999999999</v>
      </c>
      <c r="F517" s="1">
        <v>0.97079400000000005</v>
      </c>
      <c r="G517" t="s">
        <v>862</v>
      </c>
      <c r="H517" t="s">
        <v>863</v>
      </c>
      <c r="I517">
        <v>612</v>
      </c>
      <c r="J517" t="str">
        <f>"Insulin receptor substrate 1"</f>
        <v>Insulin receptor substrate 1</v>
      </c>
      <c r="K517" t="str">
        <f>"IRS1"</f>
        <v>IRS1</v>
      </c>
    </row>
    <row r="518" spans="1:11" x14ac:dyDescent="0.25">
      <c r="A518" s="1">
        <v>2659</v>
      </c>
      <c r="B518" s="1">
        <v>2</v>
      </c>
      <c r="C518" s="1" t="s">
        <v>3</v>
      </c>
      <c r="D518" s="1">
        <v>6</v>
      </c>
      <c r="E518" s="1">
        <v>41.652000000000001</v>
      </c>
      <c r="F518" s="1">
        <v>1</v>
      </c>
      <c r="G518" t="s">
        <v>864</v>
      </c>
      <c r="H518" t="s">
        <v>865</v>
      </c>
      <c r="I518" t="s">
        <v>4574</v>
      </c>
      <c r="J518" t="str">
        <f>"Nephrocystin-3"</f>
        <v>Nephrocystin-3</v>
      </c>
      <c r="K518" t="str">
        <f>"NPHP3"</f>
        <v>NPHP3</v>
      </c>
    </row>
    <row r="519" spans="1:11" x14ac:dyDescent="0.25">
      <c r="A519" s="1">
        <v>2281</v>
      </c>
      <c r="B519" s="1">
        <v>3</v>
      </c>
      <c r="C519" s="1" t="s">
        <v>3</v>
      </c>
      <c r="D519" s="1">
        <v>11</v>
      </c>
      <c r="E519" s="1">
        <v>124.62</v>
      </c>
      <c r="F519" s="1">
        <v>0.82339099999999998</v>
      </c>
      <c r="G519" t="s">
        <v>866</v>
      </c>
      <c r="H519" t="s">
        <v>867</v>
      </c>
      <c r="I519" t="s">
        <v>4575</v>
      </c>
      <c r="J519" t="str">
        <f>"Elongation factor 1-alpha 1;Putative elongation factor 1-alpha-like 3"</f>
        <v>Elongation factor 1-alpha 1;Putative elongation factor 1-alpha-like 3</v>
      </c>
      <c r="K519" t="str">
        <f>"EEF1A1;EEF1A1P5"</f>
        <v>EEF1A1;EEF1A1P5</v>
      </c>
    </row>
    <row r="520" spans="1:11" x14ac:dyDescent="0.25">
      <c r="A520" s="1">
        <v>1797</v>
      </c>
      <c r="B520" s="1">
        <v>3</v>
      </c>
      <c r="C520" s="1" t="s">
        <v>3</v>
      </c>
      <c r="D520" s="1">
        <v>13</v>
      </c>
      <c r="E520" s="1">
        <v>91.316999999999993</v>
      </c>
      <c r="F520" s="1">
        <v>0.94519699999999995</v>
      </c>
      <c r="G520" t="s">
        <v>868</v>
      </c>
      <c r="H520" t="s">
        <v>869</v>
      </c>
      <c r="I520" t="s">
        <v>4576</v>
      </c>
      <c r="J520" t="str">
        <f>"Aldose reductase"</f>
        <v>Aldose reductase</v>
      </c>
      <c r="K520" t="str">
        <f>"AKR1B1"</f>
        <v>AKR1B1</v>
      </c>
    </row>
    <row r="521" spans="1:11" x14ac:dyDescent="0.25">
      <c r="A521" s="1">
        <v>936</v>
      </c>
      <c r="B521" s="1">
        <v>3</v>
      </c>
      <c r="C521" s="1" t="s">
        <v>3</v>
      </c>
      <c r="D521" s="1">
        <v>12</v>
      </c>
      <c r="E521" s="1">
        <v>95.072999999999993</v>
      </c>
      <c r="F521" s="1">
        <v>0.98678299999999997</v>
      </c>
      <c r="G521" t="s">
        <v>870</v>
      </c>
      <c r="H521" t="s">
        <v>871</v>
      </c>
      <c r="I521" t="s">
        <v>4577</v>
      </c>
      <c r="J521" t="str">
        <f>"G-protein coupled receptor family C group 5 member C"</f>
        <v>G-protein coupled receptor family C group 5 member C</v>
      </c>
      <c r="K521" t="str">
        <f>"GPRC5C"</f>
        <v>GPRC5C</v>
      </c>
    </row>
    <row r="522" spans="1:11" x14ac:dyDescent="0.25">
      <c r="A522" s="1">
        <v>2867</v>
      </c>
      <c r="B522" s="1">
        <v>3</v>
      </c>
      <c r="C522" s="1" t="s">
        <v>3</v>
      </c>
      <c r="D522" s="1">
        <v>6</v>
      </c>
      <c r="E522" s="1">
        <v>73.927000000000007</v>
      </c>
      <c r="F522" s="1">
        <v>0.99391499999999999</v>
      </c>
      <c r="G522" t="s">
        <v>872</v>
      </c>
      <c r="H522" t="s">
        <v>228</v>
      </c>
      <c r="I522" t="s">
        <v>4578</v>
      </c>
      <c r="J522" t="str">
        <f>"Discoidin, CUB and LCCL domain-containing protein 2"</f>
        <v>Discoidin, CUB and LCCL domain-containing protein 2</v>
      </c>
      <c r="K522" t="str">
        <f>"DCBLD2"</f>
        <v>DCBLD2</v>
      </c>
    </row>
    <row r="523" spans="1:11" x14ac:dyDescent="0.25">
      <c r="A523" s="1">
        <v>862</v>
      </c>
      <c r="B523" s="1">
        <v>2</v>
      </c>
      <c r="C523" s="1" t="s">
        <v>3</v>
      </c>
      <c r="D523" s="1">
        <v>4</v>
      </c>
      <c r="E523" s="1">
        <v>116.73</v>
      </c>
      <c r="F523" s="1">
        <v>0.99962600000000001</v>
      </c>
      <c r="G523" t="s">
        <v>873</v>
      </c>
      <c r="H523" t="s">
        <v>874</v>
      </c>
      <c r="I523" t="s">
        <v>4579</v>
      </c>
      <c r="J523" t="str">
        <f>"Serine/arginine-rich splicing factor 3"</f>
        <v>Serine/arginine-rich splicing factor 3</v>
      </c>
      <c r="K523" t="str">
        <f>"SRSF3"</f>
        <v>SRSF3</v>
      </c>
    </row>
    <row r="524" spans="1:11" x14ac:dyDescent="0.25">
      <c r="A524" s="1">
        <v>1170</v>
      </c>
      <c r="B524" s="1">
        <v>4</v>
      </c>
      <c r="C524" s="1" t="s">
        <v>3</v>
      </c>
      <c r="D524" s="1">
        <v>20</v>
      </c>
      <c r="E524" s="1">
        <v>168.5</v>
      </c>
      <c r="F524" s="1">
        <v>0.99844500000000003</v>
      </c>
      <c r="G524" t="s">
        <v>875</v>
      </c>
      <c r="H524" t="s">
        <v>876</v>
      </c>
      <c r="I524" t="s">
        <v>4580</v>
      </c>
      <c r="J524" t="str">
        <f>"FCH and double SH3 domains protein 2"</f>
        <v>FCH and double SH3 domains protein 2</v>
      </c>
      <c r="K524" t="str">
        <f>"FCHSD2"</f>
        <v>FCHSD2</v>
      </c>
    </row>
    <row r="525" spans="1:11" x14ac:dyDescent="0.25">
      <c r="A525" s="1">
        <v>880</v>
      </c>
      <c r="B525" s="1">
        <v>3</v>
      </c>
      <c r="C525" s="1" t="s">
        <v>3</v>
      </c>
      <c r="D525" s="1">
        <v>11</v>
      </c>
      <c r="E525" s="1">
        <v>139.88</v>
      </c>
      <c r="F525" s="1">
        <v>0.95483799999999996</v>
      </c>
      <c r="G525" t="s">
        <v>877</v>
      </c>
      <c r="H525" t="s">
        <v>878</v>
      </c>
      <c r="I525" t="s">
        <v>4581</v>
      </c>
      <c r="J525" t="str">
        <f>""</f>
        <v/>
      </c>
      <c r="K525" t="str">
        <f>"APP"</f>
        <v>APP</v>
      </c>
    </row>
    <row r="526" spans="1:11" x14ac:dyDescent="0.25">
      <c r="A526" s="1">
        <v>2283</v>
      </c>
      <c r="B526" s="1">
        <v>3</v>
      </c>
      <c r="C526" s="1" t="s">
        <v>3</v>
      </c>
      <c r="D526" s="1">
        <v>8</v>
      </c>
      <c r="E526" s="1">
        <v>120.7</v>
      </c>
      <c r="F526" s="1">
        <v>0.99951999999999996</v>
      </c>
      <c r="G526" t="s">
        <v>879</v>
      </c>
      <c r="H526" t="s">
        <v>880</v>
      </c>
      <c r="I526" t="s">
        <v>4582</v>
      </c>
      <c r="J526" t="str">
        <f>"Tubulin alpha-1B chain;Tubulin alpha-4A chain;Tubulin alpha-1A chain;Tubulin alpha-3C/D chain;Tubulin alpha-3E chain;Tubulin alpha-1C chain"</f>
        <v>Tubulin alpha-1B chain;Tubulin alpha-4A chain;Tubulin alpha-1A chain;Tubulin alpha-3C/D chain;Tubulin alpha-3E chain;Tubulin alpha-1C chain</v>
      </c>
      <c r="K526" t="str">
        <f>"TUBA1B;TUBA4A;TUBA1A;TUBA3C;TUBA3E;TUBA1C"</f>
        <v>TUBA1B;TUBA4A;TUBA1A;TUBA3C;TUBA3E;TUBA1C</v>
      </c>
    </row>
    <row r="527" spans="1:11" x14ac:dyDescent="0.25">
      <c r="A527" s="1">
        <v>1715</v>
      </c>
      <c r="B527" s="1">
        <v>4</v>
      </c>
      <c r="C527" s="1" t="s">
        <v>3</v>
      </c>
      <c r="D527" s="1">
        <v>10</v>
      </c>
      <c r="E527" s="1">
        <v>83.691999999999993</v>
      </c>
      <c r="F527" s="1">
        <v>1</v>
      </c>
      <c r="G527" t="s">
        <v>881</v>
      </c>
      <c r="H527" t="s">
        <v>882</v>
      </c>
      <c r="I527" t="s">
        <v>4583</v>
      </c>
      <c r="J527" t="str">
        <f>"Tropomyosin alpha-1 chain"</f>
        <v>Tropomyosin alpha-1 chain</v>
      </c>
      <c r="K527" t="str">
        <f>"TPM1"</f>
        <v>TPM1</v>
      </c>
    </row>
    <row r="528" spans="1:11" x14ac:dyDescent="0.25">
      <c r="A528" s="1">
        <v>1007</v>
      </c>
      <c r="B528" s="1">
        <v>2</v>
      </c>
      <c r="C528" s="1" t="s">
        <v>3</v>
      </c>
      <c r="D528" s="1">
        <v>2</v>
      </c>
      <c r="E528" s="1">
        <v>134.51</v>
      </c>
      <c r="F528" s="1">
        <v>1</v>
      </c>
      <c r="G528" t="s">
        <v>883</v>
      </c>
      <c r="H528" t="s">
        <v>884</v>
      </c>
      <c r="I528" t="s">
        <v>4584</v>
      </c>
      <c r="J528" t="str">
        <f>"Afadin"</f>
        <v>Afadin</v>
      </c>
      <c r="K528" t="str">
        <f>"MLLT4"</f>
        <v>MLLT4</v>
      </c>
    </row>
    <row r="529" spans="1:11" x14ac:dyDescent="0.25">
      <c r="A529" s="1">
        <v>1868</v>
      </c>
      <c r="B529" s="1">
        <v>2</v>
      </c>
      <c r="C529" s="1" t="s">
        <v>3</v>
      </c>
      <c r="D529" s="1">
        <v>6</v>
      </c>
      <c r="E529" s="1">
        <v>63.624000000000002</v>
      </c>
      <c r="F529" s="1">
        <v>0.99999899999999997</v>
      </c>
      <c r="G529" t="s">
        <v>885</v>
      </c>
      <c r="H529" t="s">
        <v>78</v>
      </c>
      <c r="I529" t="s">
        <v>4585</v>
      </c>
      <c r="J529" t="str">
        <f>"Filamin-A"</f>
        <v>Filamin-A</v>
      </c>
      <c r="K529" t="str">
        <f>"FLNA"</f>
        <v>FLNA</v>
      </c>
    </row>
    <row r="530" spans="1:11" x14ac:dyDescent="0.25">
      <c r="A530" s="1">
        <v>2870</v>
      </c>
      <c r="B530" s="1">
        <v>3</v>
      </c>
      <c r="C530" s="1" t="s">
        <v>3</v>
      </c>
      <c r="D530" s="1">
        <v>3</v>
      </c>
      <c r="E530" s="1">
        <v>92.938999999999993</v>
      </c>
      <c r="F530" s="1">
        <v>0.86817100000000003</v>
      </c>
      <c r="G530" t="s">
        <v>886</v>
      </c>
      <c r="H530" t="s">
        <v>887</v>
      </c>
      <c r="I530">
        <v>226</v>
      </c>
      <c r="J530" t="str">
        <f>"RNA-binding protein 14"</f>
        <v>RNA-binding protein 14</v>
      </c>
      <c r="K530" t="str">
        <f>"RBM14"</f>
        <v>RBM14</v>
      </c>
    </row>
    <row r="531" spans="1:11" x14ac:dyDescent="0.25">
      <c r="A531" s="1">
        <v>1676</v>
      </c>
      <c r="B531" s="1">
        <v>3</v>
      </c>
      <c r="C531" s="1" t="s">
        <v>3</v>
      </c>
      <c r="D531" s="1">
        <v>19</v>
      </c>
      <c r="E531" s="1">
        <v>118.05</v>
      </c>
      <c r="F531" s="1">
        <v>0.94136299999999995</v>
      </c>
      <c r="G531" t="s">
        <v>888</v>
      </c>
      <c r="H531" t="s">
        <v>889</v>
      </c>
      <c r="I531" t="s">
        <v>4586</v>
      </c>
      <c r="J531" t="str">
        <f>"Annexin A6;Annexin"</f>
        <v>Annexin A6;Annexin</v>
      </c>
      <c r="K531" t="str">
        <f>"ANXA6"</f>
        <v>ANXA6</v>
      </c>
    </row>
    <row r="532" spans="1:11" x14ac:dyDescent="0.25">
      <c r="A532" s="1">
        <v>1051</v>
      </c>
      <c r="B532" s="1">
        <v>3</v>
      </c>
      <c r="C532" s="1" t="s">
        <v>3</v>
      </c>
      <c r="D532" s="1">
        <v>3</v>
      </c>
      <c r="E532" s="1">
        <v>96.745000000000005</v>
      </c>
      <c r="F532" s="1">
        <v>0.985711</v>
      </c>
      <c r="G532" t="s">
        <v>890</v>
      </c>
      <c r="H532" t="s">
        <v>891</v>
      </c>
      <c r="I532" t="s">
        <v>4587</v>
      </c>
      <c r="J532" t="str">
        <f>"Protein tweety homolog;Protein tweety homolog 2"</f>
        <v>Protein tweety homolog;Protein tweety homolog 2</v>
      </c>
      <c r="K532" t="str">
        <f>"TTYH2"</f>
        <v>TTYH2</v>
      </c>
    </row>
    <row r="533" spans="1:11" x14ac:dyDescent="0.25">
      <c r="A533" s="1">
        <v>853</v>
      </c>
      <c r="B533" s="1">
        <v>3</v>
      </c>
      <c r="C533" s="1" t="s">
        <v>3</v>
      </c>
      <c r="D533" s="1">
        <v>5</v>
      </c>
      <c r="E533" s="1">
        <v>87.061999999999998</v>
      </c>
      <c r="F533" s="1">
        <v>0.99995299999999998</v>
      </c>
      <c r="G533" t="s">
        <v>892</v>
      </c>
      <c r="H533" t="s">
        <v>518</v>
      </c>
      <c r="I533" t="s">
        <v>4588</v>
      </c>
      <c r="J533" t="str">
        <f>"SRC kinase signaling inhibitor 1"</f>
        <v>SRC kinase signaling inhibitor 1</v>
      </c>
      <c r="K533" t="str">
        <f>"SRCIN1"</f>
        <v>SRCIN1</v>
      </c>
    </row>
    <row r="534" spans="1:11" x14ac:dyDescent="0.25">
      <c r="A534" s="1">
        <v>1587</v>
      </c>
      <c r="B534" s="1">
        <v>3</v>
      </c>
      <c r="C534" s="1" t="s">
        <v>3</v>
      </c>
      <c r="D534" s="1">
        <v>6</v>
      </c>
      <c r="E534" s="1">
        <v>45.618000000000002</v>
      </c>
      <c r="F534" s="1">
        <v>1</v>
      </c>
      <c r="G534" t="s">
        <v>893</v>
      </c>
      <c r="H534" t="s">
        <v>894</v>
      </c>
      <c r="I534">
        <v>96</v>
      </c>
      <c r="J534" t="str">
        <f>"Aspartate aminotransferase, mitochondrial"</f>
        <v>Aspartate aminotransferase, mitochondrial</v>
      </c>
      <c r="K534" t="str">
        <f>"GOT2"</f>
        <v>GOT2</v>
      </c>
    </row>
    <row r="535" spans="1:11" x14ac:dyDescent="0.25">
      <c r="A535" s="1">
        <v>1317</v>
      </c>
      <c r="B535" s="1">
        <v>2</v>
      </c>
      <c r="C535" s="1" t="s">
        <v>3</v>
      </c>
      <c r="D535" s="1">
        <v>2</v>
      </c>
      <c r="E535" s="1">
        <v>42.707999999999998</v>
      </c>
      <c r="F535" s="1">
        <v>0.96999800000000003</v>
      </c>
      <c r="G535" t="s">
        <v>895</v>
      </c>
      <c r="H535" t="s">
        <v>896</v>
      </c>
      <c r="I535" t="s">
        <v>4589</v>
      </c>
      <c r="J535" t="str">
        <f>"28 kDa heat- and acid-stable phosphoprotein"</f>
        <v>28 kDa heat- and acid-stable phosphoprotein</v>
      </c>
      <c r="K535" t="str">
        <f>"PDAP1"</f>
        <v>PDAP1</v>
      </c>
    </row>
    <row r="536" spans="1:11" x14ac:dyDescent="0.25">
      <c r="A536" s="1">
        <v>3145</v>
      </c>
      <c r="B536" s="1">
        <v>3</v>
      </c>
      <c r="C536" s="1" t="s">
        <v>3</v>
      </c>
      <c r="D536" s="1">
        <v>12</v>
      </c>
      <c r="E536" s="1">
        <v>112.55</v>
      </c>
      <c r="F536" s="1">
        <v>0.99998900000000002</v>
      </c>
      <c r="G536" t="s">
        <v>897</v>
      </c>
      <c r="H536" t="s">
        <v>898</v>
      </c>
      <c r="I536">
        <v>823</v>
      </c>
      <c r="J536" t="str">
        <f>"Insulin receptor substrate 2"</f>
        <v>Insulin receptor substrate 2</v>
      </c>
      <c r="K536" t="str">
        <f>"IRS2"</f>
        <v>IRS2</v>
      </c>
    </row>
    <row r="537" spans="1:11" x14ac:dyDescent="0.25">
      <c r="A537" s="1">
        <v>1061</v>
      </c>
      <c r="B537" s="1">
        <v>2</v>
      </c>
      <c r="C537" s="1" t="s">
        <v>3</v>
      </c>
      <c r="D537" s="1">
        <v>3</v>
      </c>
      <c r="E537" s="1">
        <v>119.74</v>
      </c>
      <c r="F537" s="1">
        <v>0.99984799999999996</v>
      </c>
      <c r="G537" t="s">
        <v>899</v>
      </c>
      <c r="H537" t="s">
        <v>643</v>
      </c>
      <c r="I537" t="s">
        <v>4590</v>
      </c>
      <c r="J537" t="str">
        <f>"Kin of IRRE-like protein 1"</f>
        <v>Kin of IRRE-like protein 1</v>
      </c>
      <c r="K537" t="str">
        <f>"KIRREL"</f>
        <v>KIRREL</v>
      </c>
    </row>
    <row r="538" spans="1:11" x14ac:dyDescent="0.25">
      <c r="A538" s="1">
        <v>3060</v>
      </c>
      <c r="B538" s="1">
        <v>3</v>
      </c>
      <c r="C538" s="1" t="s">
        <v>3</v>
      </c>
      <c r="D538" s="1">
        <v>13</v>
      </c>
      <c r="E538" s="1">
        <v>160.02000000000001</v>
      </c>
      <c r="F538" s="1">
        <v>0.999247</v>
      </c>
      <c r="G538" t="s">
        <v>900</v>
      </c>
      <c r="H538" t="s">
        <v>901</v>
      </c>
      <c r="I538" t="s">
        <v>4591</v>
      </c>
      <c r="J538" t="str">
        <f>"Tight junction protein ZO-2"</f>
        <v>Tight junction protein ZO-2</v>
      </c>
      <c r="K538" t="str">
        <f>"TJP2"</f>
        <v>TJP2</v>
      </c>
    </row>
    <row r="539" spans="1:11" x14ac:dyDescent="0.25">
      <c r="A539" s="1">
        <v>2390</v>
      </c>
      <c r="B539" s="1">
        <v>4</v>
      </c>
      <c r="C539" s="1" t="s">
        <v>3</v>
      </c>
      <c r="D539" s="1">
        <v>22</v>
      </c>
      <c r="E539" s="1">
        <v>81.197000000000003</v>
      </c>
      <c r="F539" s="1">
        <v>0.74449699999999996</v>
      </c>
      <c r="G539" t="s">
        <v>902</v>
      </c>
      <c r="H539" t="s">
        <v>903</v>
      </c>
      <c r="I539" t="s">
        <v>4592</v>
      </c>
      <c r="J539" t="str">
        <f>"Ankyrin-3"</f>
        <v>Ankyrin-3</v>
      </c>
      <c r="K539" t="str">
        <f>"ANK3"</f>
        <v>ANK3</v>
      </c>
    </row>
    <row r="540" spans="1:11" x14ac:dyDescent="0.25">
      <c r="A540" s="1">
        <v>1664</v>
      </c>
      <c r="B540" s="1">
        <v>3</v>
      </c>
      <c r="C540" s="1" t="s">
        <v>3</v>
      </c>
      <c r="D540" s="1">
        <v>15</v>
      </c>
      <c r="E540" s="1">
        <v>72.206999999999994</v>
      </c>
      <c r="F540" s="1">
        <v>0.91047999999999996</v>
      </c>
      <c r="G540" t="s">
        <v>904</v>
      </c>
      <c r="H540" t="s">
        <v>905</v>
      </c>
      <c r="I540">
        <v>690</v>
      </c>
      <c r="J540" t="str">
        <f>"Bifunctional glutamate/proline--tRNA ligase;Glutamate--tRNA ligase;Proline--tRNA ligase"</f>
        <v>Bifunctional glutamate/proline--tRNA ligase;Glutamate--tRNA ligase;Proline--tRNA ligase</v>
      </c>
      <c r="K540" t="str">
        <f>"EPRS"</f>
        <v>EPRS</v>
      </c>
    </row>
    <row r="541" spans="1:11" x14ac:dyDescent="0.25">
      <c r="A541" s="1">
        <v>2318</v>
      </c>
      <c r="B541" s="1">
        <v>3</v>
      </c>
      <c r="C541" s="1" t="s">
        <v>3</v>
      </c>
      <c r="D541" s="1">
        <v>7</v>
      </c>
      <c r="E541" s="1">
        <v>176.69</v>
      </c>
      <c r="F541" s="1">
        <v>1</v>
      </c>
      <c r="G541" t="s">
        <v>906</v>
      </c>
      <c r="H541" t="s">
        <v>907</v>
      </c>
      <c r="I541">
        <v>220</v>
      </c>
      <c r="J541" t="str">
        <f>"Peptidyl-prolyl cis-trans isomerase FKBP4;Peptidyl-prolyl cis-trans isomerase FKBP4, N-terminally processed"</f>
        <v>Peptidyl-prolyl cis-trans isomerase FKBP4;Peptidyl-prolyl cis-trans isomerase FKBP4, N-terminally processed</v>
      </c>
      <c r="K541" t="str">
        <f>"FKBP4"</f>
        <v>FKBP4</v>
      </c>
    </row>
    <row r="542" spans="1:11" x14ac:dyDescent="0.25">
      <c r="A542" s="1">
        <v>2449</v>
      </c>
      <c r="B542" s="1">
        <v>3</v>
      </c>
      <c r="C542" s="1" t="s">
        <v>3</v>
      </c>
      <c r="D542" s="1">
        <v>9</v>
      </c>
      <c r="E542" s="1">
        <v>86.497</v>
      </c>
      <c r="F542" s="1">
        <v>0.99950300000000003</v>
      </c>
      <c r="G542" t="s">
        <v>908</v>
      </c>
      <c r="H542" t="s">
        <v>549</v>
      </c>
      <c r="I542">
        <v>114</v>
      </c>
      <c r="J542" t="str">
        <f>"Protein-tyrosine kinase 6"</f>
        <v>Protein-tyrosine kinase 6</v>
      </c>
      <c r="K542" t="str">
        <f>"PTK6"</f>
        <v>PTK6</v>
      </c>
    </row>
    <row r="543" spans="1:11" x14ac:dyDescent="0.25">
      <c r="A543" s="1">
        <v>1872</v>
      </c>
      <c r="B543" s="1">
        <v>4</v>
      </c>
      <c r="C543" s="1" t="s">
        <v>3</v>
      </c>
      <c r="D543" s="1">
        <v>1</v>
      </c>
      <c r="E543" s="1">
        <v>53.997999999999998</v>
      </c>
      <c r="F543" s="1">
        <v>0.99293699999999996</v>
      </c>
      <c r="G543" t="s">
        <v>909</v>
      </c>
      <c r="H543" t="s">
        <v>910</v>
      </c>
      <c r="I543" t="s">
        <v>4593</v>
      </c>
      <c r="J543" t="str">
        <f>"Filamin-A"</f>
        <v>Filamin-A</v>
      </c>
      <c r="K543" t="str">
        <f>"FLNA"</f>
        <v>FLNA</v>
      </c>
    </row>
    <row r="544" spans="1:11" x14ac:dyDescent="0.25">
      <c r="A544" s="1">
        <v>320</v>
      </c>
      <c r="B544" s="1">
        <v>3</v>
      </c>
      <c r="C544" s="1" t="s">
        <v>5</v>
      </c>
      <c r="D544" s="1">
        <v>8</v>
      </c>
      <c r="E544" s="1">
        <v>41.046999999999997</v>
      </c>
      <c r="F544" s="1">
        <v>0.505027</v>
      </c>
      <c r="G544" t="s">
        <v>911</v>
      </c>
      <c r="H544" t="s">
        <v>16</v>
      </c>
      <c r="I544">
        <v>839</v>
      </c>
      <c r="J544" t="str">
        <f>"Serine/threonine-protein kinase PRP4 homolog"</f>
        <v>Serine/threonine-protein kinase PRP4 homolog</v>
      </c>
      <c r="K544" t="str">
        <f>"PRPF4B"</f>
        <v>PRPF4B</v>
      </c>
    </row>
    <row r="545" spans="1:11" x14ac:dyDescent="0.25">
      <c r="A545" s="1">
        <v>2795</v>
      </c>
      <c r="B545" s="1">
        <v>2</v>
      </c>
      <c r="C545" s="1" t="s">
        <v>3</v>
      </c>
      <c r="D545" s="1">
        <v>1</v>
      </c>
      <c r="E545" s="1">
        <v>90.793000000000006</v>
      </c>
      <c r="F545" s="1">
        <v>1</v>
      </c>
      <c r="G545" t="s">
        <v>912</v>
      </c>
      <c r="H545" t="s">
        <v>133</v>
      </c>
      <c r="I545" t="s">
        <v>4594</v>
      </c>
      <c r="J545" t="str">
        <f>"Palladin"</f>
        <v>Palladin</v>
      </c>
      <c r="K545" t="str">
        <f>"PALLD"</f>
        <v>PALLD</v>
      </c>
    </row>
    <row r="546" spans="1:11" x14ac:dyDescent="0.25">
      <c r="A546" s="1">
        <v>1552</v>
      </c>
      <c r="B546" s="1">
        <v>3</v>
      </c>
      <c r="C546" s="1" t="s">
        <v>3</v>
      </c>
      <c r="D546" s="1">
        <v>13</v>
      </c>
      <c r="E546" s="1">
        <v>78.165999999999997</v>
      </c>
      <c r="F546" s="1">
        <v>0.95853500000000003</v>
      </c>
      <c r="G546" t="s">
        <v>913</v>
      </c>
      <c r="H546" t="s">
        <v>914</v>
      </c>
      <c r="I546" t="s">
        <v>4595</v>
      </c>
      <c r="J546" t="str">
        <f>"Cyclin-dependent kinase-like 5"</f>
        <v>Cyclin-dependent kinase-like 5</v>
      </c>
      <c r="K546" t="str">
        <f>"CDKL5"</f>
        <v>CDKL5</v>
      </c>
    </row>
    <row r="547" spans="1:11" x14ac:dyDescent="0.25">
      <c r="A547" s="1">
        <v>2188</v>
      </c>
      <c r="B547" s="1">
        <v>3</v>
      </c>
      <c r="C547" s="1" t="s">
        <v>3</v>
      </c>
      <c r="D547" s="1">
        <v>8</v>
      </c>
      <c r="E547" s="1">
        <v>110.97</v>
      </c>
      <c r="F547" s="1">
        <v>0.99550499999999997</v>
      </c>
      <c r="G547" t="s">
        <v>915</v>
      </c>
      <c r="H547" t="s">
        <v>582</v>
      </c>
      <c r="I547" t="s">
        <v>4596</v>
      </c>
      <c r="J547" t="str">
        <f>"Ephrin type-B receptor 3;Ephrin type-B receptor 4"</f>
        <v>Ephrin type-B receptor 3;Ephrin type-B receptor 4</v>
      </c>
      <c r="K547" t="str">
        <f>"EPHB3;EPHB4"</f>
        <v>EPHB3;EPHB4</v>
      </c>
    </row>
    <row r="548" spans="1:11" x14ac:dyDescent="0.25">
      <c r="A548" s="1">
        <v>1788</v>
      </c>
      <c r="B548" s="1">
        <v>4</v>
      </c>
      <c r="C548" s="1" t="s">
        <v>3</v>
      </c>
      <c r="D548" s="1">
        <v>1</v>
      </c>
      <c r="E548" s="1">
        <v>106.94</v>
      </c>
      <c r="F548" s="1">
        <v>0.536856</v>
      </c>
      <c r="G548" t="s">
        <v>916</v>
      </c>
      <c r="H548" t="s">
        <v>917</v>
      </c>
      <c r="I548" t="s">
        <v>4597</v>
      </c>
      <c r="J548" t="str">
        <f>"Heterogeneous nuclear ribonucleoprotein L"</f>
        <v>Heterogeneous nuclear ribonucleoprotein L</v>
      </c>
      <c r="K548" t="str">
        <f>"HNRNPL"</f>
        <v>HNRNPL</v>
      </c>
    </row>
    <row r="549" spans="1:11" x14ac:dyDescent="0.25">
      <c r="A549" s="1">
        <v>553</v>
      </c>
      <c r="B549" s="1">
        <v>2</v>
      </c>
      <c r="C549" s="1" t="s">
        <v>4</v>
      </c>
      <c r="D549" s="1">
        <v>7</v>
      </c>
      <c r="E549" s="1">
        <v>124.68</v>
      </c>
      <c r="F549" s="1">
        <v>0.99990400000000002</v>
      </c>
      <c r="G549" t="s">
        <v>918</v>
      </c>
      <c r="H549" t="s">
        <v>173</v>
      </c>
      <c r="I549" t="s">
        <v>4598</v>
      </c>
      <c r="J549" t="str">
        <f>"Mitogen-activated protein kinase 13"</f>
        <v>Mitogen-activated protein kinase 13</v>
      </c>
      <c r="K549" t="str">
        <f>"MAPK13"</f>
        <v>MAPK13</v>
      </c>
    </row>
    <row r="550" spans="1:11" x14ac:dyDescent="0.25">
      <c r="A550" s="1">
        <v>1682</v>
      </c>
      <c r="B550" s="1">
        <v>2</v>
      </c>
      <c r="C550" s="1" t="s">
        <v>3</v>
      </c>
      <c r="D550" s="1">
        <v>10</v>
      </c>
      <c r="E550" s="1">
        <v>304.8</v>
      </c>
      <c r="F550" s="1">
        <v>0.99998399999999998</v>
      </c>
      <c r="G550" t="s">
        <v>919</v>
      </c>
      <c r="H550" t="s">
        <v>378</v>
      </c>
      <c r="I550">
        <v>301</v>
      </c>
      <c r="J550" t="str">
        <f>"Heat shock protein HSP 90-beta"</f>
        <v>Heat shock protein HSP 90-beta</v>
      </c>
      <c r="K550" t="str">
        <f>"HSP90AB1"</f>
        <v>HSP90AB1</v>
      </c>
    </row>
    <row r="551" spans="1:11" x14ac:dyDescent="0.25">
      <c r="A551" s="1">
        <v>1325</v>
      </c>
      <c r="B551" s="1">
        <v>2</v>
      </c>
      <c r="C551" s="1" t="s">
        <v>3</v>
      </c>
      <c r="D551" s="1">
        <v>10</v>
      </c>
      <c r="E551" s="1">
        <v>87.183999999999997</v>
      </c>
      <c r="F551" s="1">
        <v>0.999444</v>
      </c>
      <c r="G551" t="s">
        <v>383</v>
      </c>
      <c r="H551" t="s">
        <v>12</v>
      </c>
      <c r="I551" t="s">
        <v>4599</v>
      </c>
      <c r="J551" t="str">
        <f>"Cyclin-dependent kinase 3"</f>
        <v>Cyclin-dependent kinase 3</v>
      </c>
      <c r="K551" t="str">
        <f>"CDK2;CDK3"</f>
        <v>CDK2;CDK3</v>
      </c>
    </row>
    <row r="552" spans="1:11" x14ac:dyDescent="0.25">
      <c r="A552" s="1">
        <v>177</v>
      </c>
      <c r="B552" s="1">
        <v>3</v>
      </c>
      <c r="C552" s="1" t="s">
        <v>5</v>
      </c>
      <c r="D552" s="1">
        <v>1</v>
      </c>
      <c r="E552" s="1">
        <v>104.81</v>
      </c>
      <c r="F552" s="1">
        <v>0.64759599999999995</v>
      </c>
      <c r="G552" t="s">
        <v>920</v>
      </c>
      <c r="H552" t="s">
        <v>524</v>
      </c>
      <c r="I552" t="s">
        <v>4600</v>
      </c>
      <c r="J552" t="str">
        <f>"Alpha-enolase"</f>
        <v>Alpha-enolase</v>
      </c>
      <c r="K552" t="str">
        <f>"ENO1"</f>
        <v>ENO1</v>
      </c>
    </row>
    <row r="553" spans="1:11" x14ac:dyDescent="0.25">
      <c r="A553" s="1">
        <v>1860</v>
      </c>
      <c r="B553" s="1">
        <v>3</v>
      </c>
      <c r="C553" s="1" t="s">
        <v>3</v>
      </c>
      <c r="D553" s="1">
        <v>2</v>
      </c>
      <c r="E553" s="1">
        <v>123.19</v>
      </c>
      <c r="F553" s="1">
        <v>0.99985000000000002</v>
      </c>
      <c r="G553" t="s">
        <v>921</v>
      </c>
      <c r="H553" t="s">
        <v>748</v>
      </c>
      <c r="I553" t="s">
        <v>4601</v>
      </c>
      <c r="J553" t="str">
        <f>"Cysteine and glycine-rich protein 1"</f>
        <v>Cysteine and glycine-rich protein 1</v>
      </c>
      <c r="K553" t="str">
        <f>"CSRP1"</f>
        <v>CSRP1</v>
      </c>
    </row>
    <row r="554" spans="1:11" x14ac:dyDescent="0.25">
      <c r="A554" s="1">
        <v>986</v>
      </c>
      <c r="B554" s="1">
        <v>3</v>
      </c>
      <c r="C554" s="1" t="s">
        <v>3</v>
      </c>
      <c r="D554" s="1">
        <v>4</v>
      </c>
      <c r="E554" s="1">
        <v>121.68</v>
      </c>
      <c r="F554" s="1">
        <v>0.99995199999999995</v>
      </c>
      <c r="G554" t="s">
        <v>922</v>
      </c>
      <c r="H554" t="s">
        <v>923</v>
      </c>
      <c r="I554" t="s">
        <v>4602</v>
      </c>
      <c r="J554" t="str">
        <f>"ADP-sugar pyrophosphatase"</f>
        <v>ADP-sugar pyrophosphatase</v>
      </c>
      <c r="K554" t="str">
        <f>"NUDT5"</f>
        <v>NUDT5</v>
      </c>
    </row>
    <row r="555" spans="1:11" x14ac:dyDescent="0.25">
      <c r="A555" s="1">
        <v>1922</v>
      </c>
      <c r="B555" s="1">
        <v>3</v>
      </c>
      <c r="C555" s="1" t="s">
        <v>3</v>
      </c>
      <c r="D555" s="1">
        <v>7</v>
      </c>
      <c r="E555" s="1">
        <v>105.65</v>
      </c>
      <c r="F555" s="1">
        <v>0.96309</v>
      </c>
      <c r="G555" t="s">
        <v>924</v>
      </c>
      <c r="H555" t="s">
        <v>925</v>
      </c>
      <c r="I555" t="s">
        <v>4603</v>
      </c>
      <c r="J555" t="str">
        <f>"DnaJ homolog subfamily B member 1"</f>
        <v>DnaJ homolog subfamily B member 1</v>
      </c>
      <c r="K555" t="str">
        <f>"DNAJB1"</f>
        <v>DNAJB1</v>
      </c>
    </row>
    <row r="556" spans="1:11" x14ac:dyDescent="0.25">
      <c r="A556" s="1">
        <v>2333</v>
      </c>
      <c r="B556" s="1">
        <v>2</v>
      </c>
      <c r="C556" s="1" t="s">
        <v>3</v>
      </c>
      <c r="D556" s="1">
        <v>7</v>
      </c>
      <c r="E556" s="1">
        <v>175.66</v>
      </c>
      <c r="F556" s="1">
        <v>1</v>
      </c>
      <c r="G556" t="s">
        <v>926</v>
      </c>
      <c r="H556" t="s">
        <v>927</v>
      </c>
      <c r="I556">
        <v>73</v>
      </c>
      <c r="J556" t="str">
        <f>"Single-stranded DNA-binding protein, mitochondrial"</f>
        <v>Single-stranded DNA-binding protein, mitochondrial</v>
      </c>
      <c r="K556" t="str">
        <f>"SSBP1"</f>
        <v>SSBP1</v>
      </c>
    </row>
    <row r="557" spans="1:11" x14ac:dyDescent="0.25">
      <c r="A557" s="1">
        <v>1053</v>
      </c>
      <c r="B557" s="1">
        <v>2</v>
      </c>
      <c r="C557" s="1" t="s">
        <v>3</v>
      </c>
      <c r="D557" s="1">
        <v>1</v>
      </c>
      <c r="E557" s="1">
        <v>64.653999999999996</v>
      </c>
      <c r="F557" s="1">
        <v>1</v>
      </c>
      <c r="G557" t="s">
        <v>928</v>
      </c>
      <c r="H557" t="s">
        <v>891</v>
      </c>
      <c r="I557" t="s">
        <v>4604</v>
      </c>
      <c r="J557" t="str">
        <f>"Protein tweety homolog;Protein tweety homolog 2"</f>
        <v>Protein tweety homolog;Protein tweety homolog 2</v>
      </c>
      <c r="K557" t="str">
        <f>"TTYH2"</f>
        <v>TTYH2</v>
      </c>
    </row>
    <row r="558" spans="1:11" x14ac:dyDescent="0.25">
      <c r="A558" s="1">
        <v>1499</v>
      </c>
      <c r="B558" s="1">
        <v>3</v>
      </c>
      <c r="C558" s="1" t="s">
        <v>3</v>
      </c>
      <c r="D558" s="1">
        <v>1</v>
      </c>
      <c r="E558" s="1">
        <v>166.3</v>
      </c>
      <c r="F558" s="1">
        <v>0.499913</v>
      </c>
      <c r="G558" t="s">
        <v>929</v>
      </c>
      <c r="H558" t="s">
        <v>930</v>
      </c>
      <c r="I558" t="s">
        <v>4605</v>
      </c>
      <c r="J558" t="str">
        <f>"GDP-mannose 4,6 dehydratase"</f>
        <v>GDP-mannose 4,6 dehydratase</v>
      </c>
      <c r="K558" t="str">
        <f>"GMDS"</f>
        <v>GMDS</v>
      </c>
    </row>
    <row r="559" spans="1:11" x14ac:dyDescent="0.25">
      <c r="A559" s="1">
        <v>1500</v>
      </c>
      <c r="B559" s="1">
        <v>3</v>
      </c>
      <c r="C559" s="1" t="s">
        <v>3</v>
      </c>
      <c r="D559" s="1">
        <v>2</v>
      </c>
      <c r="E559" s="1">
        <v>166.3</v>
      </c>
      <c r="F559" s="1">
        <v>0.499913</v>
      </c>
      <c r="G559" t="s">
        <v>929</v>
      </c>
      <c r="H559" t="s">
        <v>930</v>
      </c>
      <c r="I559" t="s">
        <v>4606</v>
      </c>
      <c r="J559" t="str">
        <f>"GDP-mannose 4,6 dehydratase"</f>
        <v>GDP-mannose 4,6 dehydratase</v>
      </c>
      <c r="K559" t="str">
        <f>"GMDS"</f>
        <v>GMDS</v>
      </c>
    </row>
    <row r="560" spans="1:11" x14ac:dyDescent="0.25">
      <c r="A560" s="1">
        <v>594</v>
      </c>
      <c r="B560" s="1">
        <v>3</v>
      </c>
      <c r="C560" s="1" t="s">
        <v>4</v>
      </c>
      <c r="D560" s="1">
        <v>10</v>
      </c>
      <c r="E560" s="1">
        <v>168.64</v>
      </c>
      <c r="F560" s="1">
        <v>0.69185799999999997</v>
      </c>
      <c r="G560" t="s">
        <v>931</v>
      </c>
      <c r="H560" t="s">
        <v>78</v>
      </c>
      <c r="I560" t="s">
        <v>4607</v>
      </c>
      <c r="J560" t="str">
        <f>"Filamin-A"</f>
        <v>Filamin-A</v>
      </c>
      <c r="K560" t="str">
        <f>"FLNA"</f>
        <v>FLNA</v>
      </c>
    </row>
    <row r="561" spans="1:11" x14ac:dyDescent="0.25">
      <c r="A561" s="1">
        <v>1118</v>
      </c>
      <c r="B561" s="1">
        <v>3</v>
      </c>
      <c r="C561" s="1" t="s">
        <v>3</v>
      </c>
      <c r="D561" s="1">
        <v>20</v>
      </c>
      <c r="E561" s="1">
        <v>99.837999999999994</v>
      </c>
      <c r="F561" s="1">
        <v>0.99991799999999997</v>
      </c>
      <c r="G561" t="s">
        <v>932</v>
      </c>
      <c r="H561" t="s">
        <v>933</v>
      </c>
      <c r="I561" t="s">
        <v>4403</v>
      </c>
      <c r="J561" t="str">
        <f>"Interferon-induced transmembrane protein 3;Putative dispanin subfamily A member 2d"</f>
        <v>Interferon-induced transmembrane protein 3;Putative dispanin subfamily A member 2d</v>
      </c>
      <c r="K561" t="str">
        <f>"IFITM3"</f>
        <v>IFITM3</v>
      </c>
    </row>
    <row r="562" spans="1:11" x14ac:dyDescent="0.25">
      <c r="A562" s="1">
        <v>530</v>
      </c>
      <c r="B562" s="1">
        <v>2</v>
      </c>
      <c r="C562" s="1" t="s">
        <v>4</v>
      </c>
      <c r="D562" s="1">
        <v>9</v>
      </c>
      <c r="E562" s="1">
        <v>96.379000000000005</v>
      </c>
      <c r="F562" s="1">
        <v>0.99951000000000001</v>
      </c>
      <c r="G562" t="s">
        <v>934</v>
      </c>
      <c r="H562" t="s">
        <v>153</v>
      </c>
      <c r="I562" t="s">
        <v>4608</v>
      </c>
      <c r="J562" t="str">
        <f>"Mitogen-activated protein kinase 9"</f>
        <v>Mitogen-activated protein kinase 9</v>
      </c>
      <c r="K562" t="str">
        <f>"MAPK9"</f>
        <v>MAPK9</v>
      </c>
    </row>
    <row r="563" spans="1:11" x14ac:dyDescent="0.25">
      <c r="A563" s="1">
        <v>3029</v>
      </c>
      <c r="B563" s="1">
        <v>2</v>
      </c>
      <c r="C563" s="1" t="s">
        <v>3</v>
      </c>
      <c r="D563" s="1">
        <v>4</v>
      </c>
      <c r="E563" s="1">
        <v>93.477999999999994</v>
      </c>
      <c r="F563" s="1">
        <v>0.999996</v>
      </c>
      <c r="G563" t="s">
        <v>935</v>
      </c>
      <c r="H563" t="s">
        <v>232</v>
      </c>
      <c r="I563">
        <v>417</v>
      </c>
      <c r="J563" t="str">
        <f>"Phosphoprotein associated with glycosphingolipid-enriched microdomains 1"</f>
        <v>Phosphoprotein associated with glycosphingolipid-enriched microdomains 1</v>
      </c>
      <c r="K563" t="str">
        <f>"PAG1"</f>
        <v>PAG1</v>
      </c>
    </row>
    <row r="564" spans="1:11" x14ac:dyDescent="0.25">
      <c r="A564" s="1">
        <v>2467</v>
      </c>
      <c r="B564" s="1">
        <v>3</v>
      </c>
      <c r="C564" s="1" t="s">
        <v>3</v>
      </c>
      <c r="D564" s="1">
        <v>12</v>
      </c>
      <c r="E564" s="1">
        <v>128.79</v>
      </c>
      <c r="F564" s="1">
        <v>0.99884600000000001</v>
      </c>
      <c r="G564" t="s">
        <v>936</v>
      </c>
      <c r="H564" t="s">
        <v>534</v>
      </c>
      <c r="I564" t="s">
        <v>4609</v>
      </c>
      <c r="J564" t="str">
        <f>"Src substrate cortactin"</f>
        <v>Src substrate cortactin</v>
      </c>
      <c r="K564" t="str">
        <f>"CTTN"</f>
        <v>CTTN</v>
      </c>
    </row>
    <row r="565" spans="1:11" x14ac:dyDescent="0.25">
      <c r="A565" s="1">
        <v>746</v>
      </c>
      <c r="B565" s="1">
        <v>3</v>
      </c>
      <c r="C565" s="1" t="s">
        <v>4</v>
      </c>
      <c r="D565" s="1">
        <v>6</v>
      </c>
      <c r="E565" s="1">
        <v>62.055</v>
      </c>
      <c r="F565" s="1">
        <v>0.98986799999999997</v>
      </c>
      <c r="G565" t="s">
        <v>937</v>
      </c>
      <c r="H565" t="s">
        <v>647</v>
      </c>
      <c r="I565" t="s">
        <v>4610</v>
      </c>
      <c r="J565" t="str">
        <f>"Serine/threonine-protein kinase ICK"</f>
        <v>Serine/threonine-protein kinase ICK</v>
      </c>
      <c r="K565" t="str">
        <f>"ICK"</f>
        <v>ICK</v>
      </c>
    </row>
    <row r="566" spans="1:11" x14ac:dyDescent="0.25">
      <c r="A566" s="1">
        <v>2042</v>
      </c>
      <c r="B566" s="1">
        <v>2</v>
      </c>
      <c r="C566" s="1" t="s">
        <v>3</v>
      </c>
      <c r="D566" s="1">
        <v>1</v>
      </c>
      <c r="E566" s="1">
        <v>74.611000000000004</v>
      </c>
      <c r="F566" s="1">
        <v>0.99999400000000005</v>
      </c>
      <c r="G566" t="s">
        <v>938</v>
      </c>
      <c r="H566" t="s">
        <v>939</v>
      </c>
      <c r="I566" t="s">
        <v>4611</v>
      </c>
      <c r="J566" t="str">
        <f>"Abelson tyrosine-protein kinase 2"</f>
        <v>Abelson tyrosine-protein kinase 2</v>
      </c>
      <c r="K566" t="str">
        <f>"ABL2"</f>
        <v>ABL2</v>
      </c>
    </row>
    <row r="567" spans="1:11" x14ac:dyDescent="0.25">
      <c r="A567" s="1">
        <v>1820</v>
      </c>
      <c r="B567" s="1">
        <v>3</v>
      </c>
      <c r="C567" s="1" t="s">
        <v>3</v>
      </c>
      <c r="D567" s="1">
        <v>8</v>
      </c>
      <c r="E567" s="1">
        <v>123.28</v>
      </c>
      <c r="F567" s="1">
        <v>0.99289000000000005</v>
      </c>
      <c r="G567" t="s">
        <v>940</v>
      </c>
      <c r="H567" t="s">
        <v>941</v>
      </c>
      <c r="I567">
        <v>423</v>
      </c>
      <c r="J567" t="str">
        <f>"Desmin"</f>
        <v>Desmin</v>
      </c>
      <c r="K567" t="str">
        <f>"DES"</f>
        <v>DES</v>
      </c>
    </row>
    <row r="568" spans="1:11" x14ac:dyDescent="0.25">
      <c r="A568" s="1">
        <v>2998</v>
      </c>
      <c r="B568" s="1">
        <v>3</v>
      </c>
      <c r="C568" s="1" t="s">
        <v>3</v>
      </c>
      <c r="D568" s="1">
        <v>9</v>
      </c>
      <c r="E568" s="1">
        <v>78.325999999999993</v>
      </c>
      <c r="F568" s="1">
        <v>0.99494899999999997</v>
      </c>
      <c r="G568" t="s">
        <v>942</v>
      </c>
      <c r="H568" t="s">
        <v>943</v>
      </c>
      <c r="I568">
        <v>628</v>
      </c>
      <c r="J568" t="str">
        <f>"Complement component C1q receptor"</f>
        <v>Complement component C1q receptor</v>
      </c>
      <c r="K568" t="str">
        <f>"CD93"</f>
        <v>CD93</v>
      </c>
    </row>
    <row r="569" spans="1:11" x14ac:dyDescent="0.25">
      <c r="A569" s="1">
        <v>1319</v>
      </c>
      <c r="B569" s="1">
        <v>3</v>
      </c>
      <c r="C569" s="1" t="s">
        <v>3</v>
      </c>
      <c r="D569" s="1">
        <v>7</v>
      </c>
      <c r="E569" s="1">
        <v>149.72999999999999</v>
      </c>
      <c r="F569" s="1">
        <v>0.99906200000000001</v>
      </c>
      <c r="G569" t="s">
        <v>944</v>
      </c>
      <c r="H569" t="s">
        <v>945</v>
      </c>
      <c r="I569" t="s">
        <v>4612</v>
      </c>
      <c r="J569" t="str">
        <f>"Gasdermin-D"</f>
        <v>Gasdermin-D</v>
      </c>
      <c r="K569" t="str">
        <f>"GSDMD"</f>
        <v>GSDMD</v>
      </c>
    </row>
    <row r="570" spans="1:11" x14ac:dyDescent="0.25">
      <c r="A570" s="1">
        <v>1961</v>
      </c>
      <c r="B570" s="1">
        <v>3</v>
      </c>
      <c r="C570" s="1" t="s">
        <v>3</v>
      </c>
      <c r="D570" s="1">
        <v>9</v>
      </c>
      <c r="E570" s="1">
        <v>102.65</v>
      </c>
      <c r="F570" s="1">
        <v>0.99500500000000003</v>
      </c>
      <c r="G570" t="s">
        <v>946</v>
      </c>
      <c r="H570" t="s">
        <v>499</v>
      </c>
      <c r="I570" t="s">
        <v>4613</v>
      </c>
      <c r="J570" t="str">
        <f>"Tyrosine-protein phosphatase non-receptor type 6"</f>
        <v>Tyrosine-protein phosphatase non-receptor type 6</v>
      </c>
      <c r="K570" t="str">
        <f>"PTPN6"</f>
        <v>PTPN6</v>
      </c>
    </row>
    <row r="571" spans="1:11" x14ac:dyDescent="0.25">
      <c r="A571" s="1">
        <v>30</v>
      </c>
      <c r="B571" s="1">
        <v>3</v>
      </c>
      <c r="C571" s="1" t="s">
        <v>5</v>
      </c>
      <c r="D571" s="1">
        <v>18</v>
      </c>
      <c r="E571" s="1">
        <v>215.79</v>
      </c>
      <c r="F571" s="1">
        <v>0.54395499999999997</v>
      </c>
      <c r="G571" t="s">
        <v>947</v>
      </c>
      <c r="H571" t="s">
        <v>239</v>
      </c>
      <c r="I571" t="s">
        <v>4614</v>
      </c>
      <c r="J571" t="str">
        <f>"Enoyl-CoA delta isomerase 2, mitochondrial"</f>
        <v>Enoyl-CoA delta isomerase 2, mitochondrial</v>
      </c>
      <c r="K571" t="str">
        <f>"ECI2"</f>
        <v>ECI2</v>
      </c>
    </row>
    <row r="572" spans="1:11" x14ac:dyDescent="0.25">
      <c r="A572" s="1">
        <v>2043</v>
      </c>
      <c r="B572" s="1">
        <v>3</v>
      </c>
      <c r="C572" s="1" t="s">
        <v>3</v>
      </c>
      <c r="D572" s="1">
        <v>10</v>
      </c>
      <c r="E572" s="1">
        <v>97.271000000000001</v>
      </c>
      <c r="F572" s="1">
        <v>0.999942</v>
      </c>
      <c r="G572" t="s">
        <v>948</v>
      </c>
      <c r="H572" t="s">
        <v>122</v>
      </c>
      <c r="I572">
        <v>99</v>
      </c>
      <c r="J572" t="str">
        <f>"Tyrosine-protein kinase FRK"</f>
        <v>Tyrosine-protein kinase FRK</v>
      </c>
      <c r="K572" t="str">
        <f>"FRK"</f>
        <v>FRK</v>
      </c>
    </row>
    <row r="573" spans="1:11" x14ac:dyDescent="0.25">
      <c r="A573" s="1">
        <v>1662</v>
      </c>
      <c r="B573" s="1">
        <v>2</v>
      </c>
      <c r="C573" s="1" t="s">
        <v>3</v>
      </c>
      <c r="D573" s="1">
        <v>2</v>
      </c>
      <c r="E573" s="1">
        <v>65.224000000000004</v>
      </c>
      <c r="F573" s="1">
        <v>1</v>
      </c>
      <c r="G573" t="s">
        <v>949</v>
      </c>
      <c r="H573" t="s">
        <v>950</v>
      </c>
      <c r="I573">
        <v>92</v>
      </c>
      <c r="J573" t="str">
        <f>"Bisphosphoglycerate mutase"</f>
        <v>Bisphosphoglycerate mutase</v>
      </c>
      <c r="K573" t="str">
        <f>"BPGM"</f>
        <v>BPGM</v>
      </c>
    </row>
    <row r="574" spans="1:11" x14ac:dyDescent="0.25">
      <c r="A574" s="1">
        <v>2383</v>
      </c>
      <c r="B574" s="1">
        <v>3</v>
      </c>
      <c r="C574" s="1" t="s">
        <v>3</v>
      </c>
      <c r="D574" s="1">
        <v>11</v>
      </c>
      <c r="E574" s="1">
        <v>146.15</v>
      </c>
      <c r="F574" s="1">
        <v>0.97003799999999996</v>
      </c>
      <c r="G574" t="s">
        <v>951</v>
      </c>
      <c r="H574" t="s">
        <v>400</v>
      </c>
      <c r="I574" t="s">
        <v>4615</v>
      </c>
      <c r="J574" t="str">
        <f>"Epidermal growth factor receptor kinase substrate 8"</f>
        <v>Epidermal growth factor receptor kinase substrate 8</v>
      </c>
      <c r="K574" t="str">
        <f>"EPS8"</f>
        <v>EPS8</v>
      </c>
    </row>
    <row r="575" spans="1:11" x14ac:dyDescent="0.25">
      <c r="A575" s="1">
        <v>2830</v>
      </c>
      <c r="B575" s="1">
        <v>4</v>
      </c>
      <c r="C575" s="1" t="s">
        <v>3</v>
      </c>
      <c r="D575" s="1">
        <v>27</v>
      </c>
      <c r="E575" s="1">
        <v>104.48</v>
      </c>
      <c r="F575" s="1">
        <v>0.85559200000000002</v>
      </c>
      <c r="G575" t="s">
        <v>952</v>
      </c>
      <c r="H575" t="s">
        <v>358</v>
      </c>
      <c r="I575" t="s">
        <v>4616</v>
      </c>
      <c r="J575" t="str">
        <f>"Fermitin family homolog 2"</f>
        <v>Fermitin family homolog 2</v>
      </c>
      <c r="K575" t="str">
        <f>"FERMT2"</f>
        <v>FERMT2</v>
      </c>
    </row>
    <row r="576" spans="1:11" x14ac:dyDescent="0.25">
      <c r="A576" s="1">
        <v>353</v>
      </c>
      <c r="B576" s="1">
        <v>3</v>
      </c>
      <c r="C576" s="1" t="s">
        <v>5</v>
      </c>
      <c r="D576" s="1">
        <v>6</v>
      </c>
      <c r="E576" s="1">
        <v>47.036999999999999</v>
      </c>
      <c r="F576" s="1">
        <v>0.86433499999999996</v>
      </c>
      <c r="G576" t="s">
        <v>953</v>
      </c>
      <c r="H576" t="s">
        <v>51</v>
      </c>
      <c r="I576" t="s">
        <v>4617</v>
      </c>
      <c r="J576" t="str">
        <f>"Tensin-like C1 domain-containing phosphatase"</f>
        <v>Tensin-like C1 domain-containing phosphatase</v>
      </c>
      <c r="K576" t="str">
        <f>"TENC1"</f>
        <v>TENC1</v>
      </c>
    </row>
    <row r="577" spans="1:11" x14ac:dyDescent="0.25">
      <c r="A577" s="1">
        <v>467</v>
      </c>
      <c r="B577" s="1">
        <v>3</v>
      </c>
      <c r="C577" s="1" t="s">
        <v>5</v>
      </c>
      <c r="D577" s="1">
        <v>5</v>
      </c>
      <c r="E577" s="1">
        <v>154.46</v>
      </c>
      <c r="F577" s="1">
        <v>0.59108899999999998</v>
      </c>
      <c r="G577" t="s">
        <v>954</v>
      </c>
      <c r="H577" t="s">
        <v>846</v>
      </c>
      <c r="I577" t="s">
        <v>4618</v>
      </c>
      <c r="J577" t="str">
        <f>"Brain-specific angiogenesis inhibitor 1-associated protein 2"</f>
        <v>Brain-specific angiogenesis inhibitor 1-associated protein 2</v>
      </c>
      <c r="K577" t="str">
        <f>"BAIAP2;CCDC43"</f>
        <v>BAIAP2;CCDC43</v>
      </c>
    </row>
    <row r="578" spans="1:11" x14ac:dyDescent="0.25">
      <c r="A578" s="1">
        <v>1679</v>
      </c>
      <c r="B578" s="1">
        <v>2</v>
      </c>
      <c r="C578" s="1" t="s">
        <v>3</v>
      </c>
      <c r="D578" s="1">
        <v>3</v>
      </c>
      <c r="E578" s="1">
        <v>77.281999999999996</v>
      </c>
      <c r="F578" s="1">
        <v>0.99715500000000001</v>
      </c>
      <c r="G578" t="s">
        <v>955</v>
      </c>
      <c r="H578" t="s">
        <v>956</v>
      </c>
      <c r="I578" t="s">
        <v>4619</v>
      </c>
      <c r="J578" t="str">
        <f>"Annexin A6;Annexin"</f>
        <v>Annexin A6;Annexin</v>
      </c>
      <c r="K578" t="str">
        <f>"ANXA6"</f>
        <v>ANXA6</v>
      </c>
    </row>
    <row r="579" spans="1:11" x14ac:dyDescent="0.25">
      <c r="A579" s="1">
        <v>2837</v>
      </c>
      <c r="B579" s="1">
        <v>3</v>
      </c>
      <c r="C579" s="1" t="s">
        <v>3</v>
      </c>
      <c r="D579" s="1">
        <v>2</v>
      </c>
      <c r="E579" s="1">
        <v>102.4</v>
      </c>
      <c r="F579" s="1">
        <v>0.99970899999999996</v>
      </c>
      <c r="G579" t="s">
        <v>957</v>
      </c>
      <c r="H579" t="s">
        <v>958</v>
      </c>
      <c r="I579">
        <v>79</v>
      </c>
      <c r="J579" t="str">
        <f>"FAS-associated factor 2"</f>
        <v>FAS-associated factor 2</v>
      </c>
      <c r="K579" t="str">
        <f>"FAF2"</f>
        <v>FAF2</v>
      </c>
    </row>
    <row r="580" spans="1:11" x14ac:dyDescent="0.25">
      <c r="A580" s="1">
        <v>1375</v>
      </c>
      <c r="B580" s="1">
        <v>3</v>
      </c>
      <c r="C580" s="1" t="s">
        <v>3</v>
      </c>
      <c r="D580" s="1">
        <v>2</v>
      </c>
      <c r="E580" s="1">
        <v>51.771000000000001</v>
      </c>
      <c r="F580" s="1">
        <v>0.99746400000000002</v>
      </c>
      <c r="G580" t="s">
        <v>959</v>
      </c>
      <c r="H580" t="s">
        <v>960</v>
      </c>
      <c r="I580" t="s">
        <v>4620</v>
      </c>
      <c r="J580" t="str">
        <f>"BUB3-interacting and GLEBS motif-containing protein ZNF207"</f>
        <v>BUB3-interacting and GLEBS motif-containing protein ZNF207</v>
      </c>
      <c r="K580" t="str">
        <f>"ZNF207"</f>
        <v>ZNF207</v>
      </c>
    </row>
    <row r="581" spans="1:11" x14ac:dyDescent="0.25">
      <c r="A581" s="1">
        <v>1233</v>
      </c>
      <c r="B581" s="1">
        <v>4</v>
      </c>
      <c r="C581" s="1" t="s">
        <v>3</v>
      </c>
      <c r="D581" s="1">
        <v>5</v>
      </c>
      <c r="E581" s="1">
        <v>82.177000000000007</v>
      </c>
      <c r="F581" s="1">
        <v>0.97431900000000005</v>
      </c>
      <c r="G581" t="s">
        <v>961</v>
      </c>
      <c r="H581" t="s">
        <v>962</v>
      </c>
      <c r="I581" t="s">
        <v>4621</v>
      </c>
      <c r="J581" t="str">
        <f>"E3 ubiquitin-protein ligase CBL-B"</f>
        <v>E3 ubiquitin-protein ligase CBL-B</v>
      </c>
      <c r="K581" t="str">
        <f>"CBLB"</f>
        <v>CBLB</v>
      </c>
    </row>
    <row r="582" spans="1:11" x14ac:dyDescent="0.25">
      <c r="A582" s="1">
        <v>237</v>
      </c>
      <c r="B582" s="1">
        <v>4</v>
      </c>
      <c r="C582" s="1" t="s">
        <v>5</v>
      </c>
      <c r="D582" s="1">
        <v>3</v>
      </c>
      <c r="E582" s="1">
        <v>85.468999999999994</v>
      </c>
      <c r="F582" s="1">
        <v>0.61704599999999998</v>
      </c>
      <c r="G582" t="s">
        <v>963</v>
      </c>
      <c r="H582" t="s">
        <v>659</v>
      </c>
      <c r="I582" t="s">
        <v>4622</v>
      </c>
      <c r="J582" t="str">
        <f>"Tyrosine-protein phosphatase non-receptor type 6"</f>
        <v>Tyrosine-protein phosphatase non-receptor type 6</v>
      </c>
      <c r="K582" t="str">
        <f>"PTPN6"</f>
        <v>PTPN6</v>
      </c>
    </row>
    <row r="583" spans="1:11" x14ac:dyDescent="0.25">
      <c r="A583" s="1">
        <v>2531</v>
      </c>
      <c r="B583" s="1">
        <v>4</v>
      </c>
      <c r="C583" s="1" t="s">
        <v>3</v>
      </c>
      <c r="D583" s="1">
        <v>29</v>
      </c>
      <c r="E583" s="1">
        <v>107.62</v>
      </c>
      <c r="F583" s="1">
        <v>0.99994099999999997</v>
      </c>
      <c r="G583" t="s">
        <v>964</v>
      </c>
      <c r="H583" t="s">
        <v>965</v>
      </c>
      <c r="I583" t="s">
        <v>4623</v>
      </c>
      <c r="J583" t="str">
        <f>"Poly(rC)-binding protein 2"</f>
        <v>Poly(rC)-binding protein 2</v>
      </c>
      <c r="K583" t="str">
        <f>"PCBP2"</f>
        <v>PCBP2</v>
      </c>
    </row>
    <row r="584" spans="1:11" x14ac:dyDescent="0.25">
      <c r="A584" s="1">
        <v>838</v>
      </c>
      <c r="B584" s="1">
        <v>3</v>
      </c>
      <c r="C584" s="1" t="s">
        <v>3</v>
      </c>
      <c r="D584" s="1">
        <v>11</v>
      </c>
      <c r="E584" s="1">
        <v>73.057000000000002</v>
      </c>
      <c r="F584" s="1">
        <v>0.91658300000000004</v>
      </c>
      <c r="G584" t="s">
        <v>966</v>
      </c>
      <c r="H584" t="s">
        <v>724</v>
      </c>
      <c r="I584" t="s">
        <v>4624</v>
      </c>
      <c r="J584" t="str">
        <f>"Tight junction protein ZO-1"</f>
        <v>Tight junction protein ZO-1</v>
      </c>
      <c r="K584" t="str">
        <f>"TJP1"</f>
        <v>TJP1</v>
      </c>
    </row>
    <row r="585" spans="1:11" x14ac:dyDescent="0.25">
      <c r="A585" s="1">
        <v>1844</v>
      </c>
      <c r="B585" s="1">
        <v>2</v>
      </c>
      <c r="C585" s="1" t="s">
        <v>3</v>
      </c>
      <c r="D585" s="1">
        <v>5</v>
      </c>
      <c r="E585" s="1">
        <v>139.34</v>
      </c>
      <c r="F585" s="1">
        <v>1</v>
      </c>
      <c r="G585" t="s">
        <v>967</v>
      </c>
      <c r="H585" t="s">
        <v>797</v>
      </c>
      <c r="I585" t="s">
        <v>4625</v>
      </c>
      <c r="J585" t="str">
        <f>"1-phosphatidylinositol 4,5-bisphosphate phosphodiesterase gamma-1"</f>
        <v>1-phosphatidylinositol 4,5-bisphosphate phosphodiesterase gamma-1</v>
      </c>
      <c r="K585" t="str">
        <f>"PLCG1"</f>
        <v>PLCG1</v>
      </c>
    </row>
    <row r="586" spans="1:11" x14ac:dyDescent="0.25">
      <c r="A586" s="1">
        <v>2833</v>
      </c>
      <c r="B586" s="1">
        <v>4</v>
      </c>
      <c r="C586" s="1" t="s">
        <v>3</v>
      </c>
      <c r="D586" s="1">
        <v>3</v>
      </c>
      <c r="E586" s="1">
        <v>202.58</v>
      </c>
      <c r="F586" s="1">
        <v>0.99640099999999998</v>
      </c>
      <c r="G586" t="s">
        <v>968</v>
      </c>
      <c r="H586" t="s">
        <v>969</v>
      </c>
      <c r="I586" t="s">
        <v>4626</v>
      </c>
      <c r="J586" t="str">
        <f>"Phosphotriesterase-related protein"</f>
        <v>Phosphotriesterase-related protein</v>
      </c>
      <c r="K586" t="str">
        <f>"PTER"</f>
        <v>PTER</v>
      </c>
    </row>
    <row r="587" spans="1:11" x14ac:dyDescent="0.25">
      <c r="A587" s="1">
        <v>2891</v>
      </c>
      <c r="B587" s="1">
        <v>3</v>
      </c>
      <c r="C587" s="1" t="s">
        <v>3</v>
      </c>
      <c r="D587" s="1">
        <v>7</v>
      </c>
      <c r="E587" s="1">
        <v>73.296000000000006</v>
      </c>
      <c r="F587" s="1">
        <v>0.99802199999999996</v>
      </c>
      <c r="G587" t="s">
        <v>970</v>
      </c>
      <c r="H587" t="s">
        <v>124</v>
      </c>
      <c r="I587" t="s">
        <v>4627</v>
      </c>
      <c r="J587" t="str">
        <f>"Plakophilin-4"</f>
        <v>Plakophilin-4</v>
      </c>
      <c r="K587" t="str">
        <f>"PKP4"</f>
        <v>PKP4</v>
      </c>
    </row>
    <row r="588" spans="1:11" x14ac:dyDescent="0.25">
      <c r="A588" s="1">
        <v>3038</v>
      </c>
      <c r="B588" s="1">
        <v>3</v>
      </c>
      <c r="C588" s="1" t="s">
        <v>3</v>
      </c>
      <c r="D588" s="1">
        <v>8</v>
      </c>
      <c r="E588" s="1">
        <v>63.753999999999998</v>
      </c>
      <c r="F588" s="1">
        <v>0.99992599999999998</v>
      </c>
      <c r="G588" t="s">
        <v>971</v>
      </c>
      <c r="H588" t="s">
        <v>972</v>
      </c>
      <c r="I588">
        <v>708</v>
      </c>
      <c r="J588" t="str">
        <f>"Myotubularin-related protein 10"</f>
        <v>Myotubularin-related protein 10</v>
      </c>
      <c r="K588" t="str">
        <f>"MTMR10"</f>
        <v>MTMR10</v>
      </c>
    </row>
    <row r="589" spans="1:11" x14ac:dyDescent="0.25">
      <c r="A589" s="1">
        <v>2945</v>
      </c>
      <c r="B589" s="1">
        <v>2</v>
      </c>
      <c r="C589" s="1" t="s">
        <v>3</v>
      </c>
      <c r="D589" s="1">
        <v>3</v>
      </c>
      <c r="E589" s="1">
        <v>95.540999999999997</v>
      </c>
      <c r="F589" s="1">
        <v>0.99796799999999997</v>
      </c>
      <c r="G589" t="s">
        <v>973</v>
      </c>
      <c r="H589" t="s">
        <v>974</v>
      </c>
      <c r="I589" t="s">
        <v>4628</v>
      </c>
      <c r="J589" t="str">
        <f>"UBX domain-containing protein 6"</f>
        <v>UBX domain-containing protein 6</v>
      </c>
      <c r="K589" t="str">
        <f>"UBXN6"</f>
        <v>UBXN6</v>
      </c>
    </row>
    <row r="590" spans="1:11" x14ac:dyDescent="0.25">
      <c r="A590" s="1">
        <v>1102</v>
      </c>
      <c r="B590" s="1">
        <v>3</v>
      </c>
      <c r="C590" s="1" t="s">
        <v>3</v>
      </c>
      <c r="D590" s="1">
        <v>7</v>
      </c>
      <c r="E590" s="1">
        <v>86.453000000000003</v>
      </c>
      <c r="F590" s="1">
        <v>0.99455700000000002</v>
      </c>
      <c r="G590" t="s">
        <v>975</v>
      </c>
      <c r="H590" t="s">
        <v>70</v>
      </c>
      <c r="I590" t="s">
        <v>4629</v>
      </c>
      <c r="J590" t="str">
        <f>"Activated CDC42 kinase 1"</f>
        <v>Activated CDC42 kinase 1</v>
      </c>
      <c r="K590" t="str">
        <f>"TNK2"</f>
        <v>TNK2</v>
      </c>
    </row>
    <row r="591" spans="1:11" x14ac:dyDescent="0.25">
      <c r="A591" s="1">
        <v>2454</v>
      </c>
      <c r="B591" s="1">
        <v>3</v>
      </c>
      <c r="C591" s="1" t="s">
        <v>3</v>
      </c>
      <c r="D591" s="1">
        <v>12</v>
      </c>
      <c r="E591" s="1">
        <v>88.872</v>
      </c>
      <c r="F591" s="1">
        <v>0.79985700000000004</v>
      </c>
      <c r="G591" t="s">
        <v>976</v>
      </c>
      <c r="H591" t="s">
        <v>536</v>
      </c>
      <c r="I591">
        <v>1061</v>
      </c>
      <c r="J591" t="str">
        <f>"Desmoglein-2"</f>
        <v>Desmoglein-2</v>
      </c>
      <c r="K591" t="str">
        <f>"DSG2"</f>
        <v>DSG2</v>
      </c>
    </row>
    <row r="592" spans="1:11" x14ac:dyDescent="0.25">
      <c r="A592" s="1">
        <v>3031</v>
      </c>
      <c r="B592" s="1">
        <v>3</v>
      </c>
      <c r="C592" s="1" t="s">
        <v>3</v>
      </c>
      <c r="D592" s="1">
        <v>9</v>
      </c>
      <c r="E592" s="1">
        <v>118.23</v>
      </c>
      <c r="F592" s="1">
        <v>0.99987099999999995</v>
      </c>
      <c r="G592" t="s">
        <v>977</v>
      </c>
      <c r="H592" t="s">
        <v>232</v>
      </c>
      <c r="I592">
        <v>359</v>
      </c>
      <c r="J592" t="str">
        <f>"Phosphoprotein associated with glycosphingolipid-enriched microdomains 1"</f>
        <v>Phosphoprotein associated with glycosphingolipid-enriched microdomains 1</v>
      </c>
      <c r="K592" t="str">
        <f>"PAG1"</f>
        <v>PAG1</v>
      </c>
    </row>
    <row r="593" spans="1:11" x14ac:dyDescent="0.25">
      <c r="A593" s="1">
        <v>1235</v>
      </c>
      <c r="B593" s="1">
        <v>3</v>
      </c>
      <c r="C593" s="1" t="s">
        <v>3</v>
      </c>
      <c r="D593" s="1">
        <v>9</v>
      </c>
      <c r="E593" s="1">
        <v>100.43</v>
      </c>
      <c r="F593" s="1">
        <v>0.76180599999999998</v>
      </c>
      <c r="G593" t="s">
        <v>978</v>
      </c>
      <c r="H593" t="s">
        <v>979</v>
      </c>
      <c r="I593" t="s">
        <v>4630</v>
      </c>
      <c r="J593" t="str">
        <f>"Sperm-specific antigen 2"</f>
        <v>Sperm-specific antigen 2</v>
      </c>
      <c r="K593" t="str">
        <f>"SSFA2"</f>
        <v>SSFA2</v>
      </c>
    </row>
    <row r="594" spans="1:11" x14ac:dyDescent="0.25">
      <c r="A594" s="1">
        <v>2330</v>
      </c>
      <c r="B594" s="1">
        <v>2</v>
      </c>
      <c r="C594" s="1" t="s">
        <v>3</v>
      </c>
      <c r="D594" s="1">
        <v>1</v>
      </c>
      <c r="E594" s="1">
        <v>85.837000000000003</v>
      </c>
      <c r="F594" s="1">
        <v>1</v>
      </c>
      <c r="G594" t="s">
        <v>980</v>
      </c>
      <c r="H594" t="s">
        <v>442</v>
      </c>
      <c r="I594" t="s">
        <v>4631</v>
      </c>
      <c r="J594" t="str">
        <f>"1,4-alpha-glucan-branching enzyme"</f>
        <v>1,4-alpha-glucan-branching enzyme</v>
      </c>
      <c r="K594" t="str">
        <f>"GBE1"</f>
        <v>GBE1</v>
      </c>
    </row>
    <row r="595" spans="1:11" x14ac:dyDescent="0.25">
      <c r="A595" s="1">
        <v>1818</v>
      </c>
      <c r="B595" s="1">
        <v>2</v>
      </c>
      <c r="C595" s="1" t="s">
        <v>3</v>
      </c>
      <c r="D595" s="1">
        <v>8</v>
      </c>
      <c r="E595" s="1">
        <v>124.07</v>
      </c>
      <c r="F595" s="1">
        <v>0.95898099999999997</v>
      </c>
      <c r="G595" t="s">
        <v>981</v>
      </c>
      <c r="H595" t="s">
        <v>941</v>
      </c>
      <c r="I595">
        <v>363</v>
      </c>
      <c r="J595" t="str">
        <f>"Desmin"</f>
        <v>Desmin</v>
      </c>
      <c r="K595" t="str">
        <f>"DES"</f>
        <v>DES</v>
      </c>
    </row>
    <row r="596" spans="1:11" x14ac:dyDescent="0.25">
      <c r="A596" s="1">
        <v>1303</v>
      </c>
      <c r="B596" s="1">
        <v>2</v>
      </c>
      <c r="C596" s="1" t="s">
        <v>3</v>
      </c>
      <c r="D596" s="1">
        <v>4</v>
      </c>
      <c r="E596" s="1">
        <v>59.067</v>
      </c>
      <c r="F596" s="1">
        <v>1</v>
      </c>
      <c r="G596" t="s">
        <v>982</v>
      </c>
      <c r="H596" t="s">
        <v>983</v>
      </c>
      <c r="I596" t="s">
        <v>4632</v>
      </c>
      <c r="J596" t="str">
        <f>"40S ribosomal protein S10"</f>
        <v>40S ribosomal protein S10</v>
      </c>
      <c r="K596" t="str">
        <f>"RPS10"</f>
        <v>RPS10</v>
      </c>
    </row>
    <row r="597" spans="1:11" x14ac:dyDescent="0.25">
      <c r="A597" s="1">
        <v>2909</v>
      </c>
      <c r="B597" s="1">
        <v>3</v>
      </c>
      <c r="C597" s="1" t="s">
        <v>3</v>
      </c>
      <c r="D597" s="1">
        <v>12</v>
      </c>
      <c r="E597" s="1">
        <v>104.45</v>
      </c>
      <c r="F597" s="1">
        <v>0.92988099999999996</v>
      </c>
      <c r="G597" t="s">
        <v>984</v>
      </c>
      <c r="H597" t="s">
        <v>985</v>
      </c>
      <c r="I597">
        <v>837</v>
      </c>
      <c r="J597" t="str">
        <f>"Oncostatin-M-specific receptor subunit beta"</f>
        <v>Oncostatin-M-specific receptor subunit beta</v>
      </c>
      <c r="K597" t="str">
        <f>"OSMR"</f>
        <v>OSMR</v>
      </c>
    </row>
    <row r="598" spans="1:11" x14ac:dyDescent="0.25">
      <c r="A598" s="1">
        <v>1840</v>
      </c>
      <c r="B598" s="1">
        <v>3</v>
      </c>
      <c r="C598" s="1" t="s">
        <v>3</v>
      </c>
      <c r="D598" s="1">
        <v>16</v>
      </c>
      <c r="E598" s="1">
        <v>74.213999999999999</v>
      </c>
      <c r="F598" s="1">
        <v>0.70007399999999997</v>
      </c>
      <c r="G598" t="s">
        <v>986</v>
      </c>
      <c r="H598" t="s">
        <v>987</v>
      </c>
      <c r="I598" t="s">
        <v>4633</v>
      </c>
      <c r="J598" t="str">
        <f>"Phosphoglycerate mutase 1;Probable phosphoglycerate mutase 4"</f>
        <v>Phosphoglycerate mutase 1;Probable phosphoglycerate mutase 4</v>
      </c>
      <c r="K598" t="str">
        <f>"PGAM1;PGAM4"</f>
        <v>PGAM1;PGAM4</v>
      </c>
    </row>
    <row r="599" spans="1:11" x14ac:dyDescent="0.25">
      <c r="A599" s="1">
        <v>3103</v>
      </c>
      <c r="B599" s="1">
        <v>3</v>
      </c>
      <c r="C599" s="1" t="s">
        <v>3</v>
      </c>
      <c r="D599" s="1">
        <v>4</v>
      </c>
      <c r="E599" s="1">
        <v>104.45</v>
      </c>
      <c r="F599" s="1">
        <v>1</v>
      </c>
      <c r="G599" t="s">
        <v>988</v>
      </c>
      <c r="H599" t="s">
        <v>989</v>
      </c>
      <c r="I599" t="s">
        <v>4634</v>
      </c>
      <c r="J599" t="str">
        <f>"Solute carrier family 12 member 4"</f>
        <v>Solute carrier family 12 member 4</v>
      </c>
      <c r="K599" t="str">
        <f>"SLC12A4"</f>
        <v>SLC12A4</v>
      </c>
    </row>
    <row r="600" spans="1:11" x14ac:dyDescent="0.25">
      <c r="A600" s="1">
        <v>2090</v>
      </c>
      <c r="B600" s="1">
        <v>3</v>
      </c>
      <c r="C600" s="1" t="s">
        <v>3</v>
      </c>
      <c r="D600" s="1">
        <v>7</v>
      </c>
      <c r="E600" s="1">
        <v>148.36000000000001</v>
      </c>
      <c r="F600" s="1">
        <v>1</v>
      </c>
      <c r="G600" t="s">
        <v>990</v>
      </c>
      <c r="H600" t="s">
        <v>991</v>
      </c>
      <c r="I600" t="s">
        <v>4635</v>
      </c>
      <c r="J600" t="str">
        <f>"Ras GTPase-activating-like protein IQGAP1"</f>
        <v>Ras GTPase-activating-like protein IQGAP1</v>
      </c>
      <c r="K600" t="str">
        <f>"IQGAP1"</f>
        <v>IQGAP1</v>
      </c>
    </row>
    <row r="601" spans="1:11" x14ac:dyDescent="0.25">
      <c r="A601" s="1">
        <v>165</v>
      </c>
      <c r="B601" s="1">
        <v>4</v>
      </c>
      <c r="C601" s="1" t="s">
        <v>5</v>
      </c>
      <c r="D601" s="1">
        <v>21</v>
      </c>
      <c r="E601" s="1">
        <v>87.319000000000003</v>
      </c>
      <c r="F601" s="1">
        <v>0.62709700000000002</v>
      </c>
      <c r="G601" t="s">
        <v>992</v>
      </c>
      <c r="H601" t="s">
        <v>417</v>
      </c>
      <c r="I601" t="s">
        <v>4636</v>
      </c>
      <c r="J601" t="str">
        <f>"NADH-cytochrome b5 reductase 3;NADH-cytochrome b5 reductase 3 membrane-bound form;NADH-cytochrome b5 reductase 3 soluble form"</f>
        <v>NADH-cytochrome b5 reductase 3;NADH-cytochrome b5 reductase 3 membrane-bound form;NADH-cytochrome b5 reductase 3 soluble form</v>
      </c>
      <c r="K601" t="str">
        <f>"CYB5R3"</f>
        <v>CYB5R3</v>
      </c>
    </row>
    <row r="602" spans="1:11" x14ac:dyDescent="0.25">
      <c r="A602" s="1">
        <v>3077</v>
      </c>
      <c r="B602" s="1">
        <v>4</v>
      </c>
      <c r="C602" s="1" t="s">
        <v>3</v>
      </c>
      <c r="D602" s="1">
        <v>23</v>
      </c>
      <c r="E602" s="1">
        <v>149.29</v>
      </c>
      <c r="F602" s="1">
        <v>0.99947200000000003</v>
      </c>
      <c r="G602" t="s">
        <v>993</v>
      </c>
      <c r="H602" t="s">
        <v>994</v>
      </c>
      <c r="I602" t="s">
        <v>4637</v>
      </c>
      <c r="J602" t="str">
        <f>"Ras GTPase-activating protein nGAP"</f>
        <v>Ras GTPase-activating protein nGAP</v>
      </c>
      <c r="K602" t="str">
        <f>"RASAL2"</f>
        <v>RASAL2</v>
      </c>
    </row>
    <row r="603" spans="1:11" x14ac:dyDescent="0.25">
      <c r="A603" s="1">
        <v>1768</v>
      </c>
      <c r="B603" s="1">
        <v>2</v>
      </c>
      <c r="C603" s="1" t="s">
        <v>3</v>
      </c>
      <c r="D603" s="1">
        <v>1</v>
      </c>
      <c r="E603" s="1">
        <v>51.345999999999997</v>
      </c>
      <c r="F603" s="1">
        <v>1</v>
      </c>
      <c r="G603" t="s">
        <v>995</v>
      </c>
      <c r="H603" t="s">
        <v>996</v>
      </c>
      <c r="I603">
        <v>392</v>
      </c>
      <c r="J603" t="str">
        <f>"Protein disulfide-isomerase A4"</f>
        <v>Protein disulfide-isomerase A4</v>
      </c>
      <c r="K603" t="str">
        <f>"PDIA4"</f>
        <v>PDIA4</v>
      </c>
    </row>
    <row r="604" spans="1:11" x14ac:dyDescent="0.25">
      <c r="A604" s="1">
        <v>3105</v>
      </c>
      <c r="B604" s="1">
        <v>2</v>
      </c>
      <c r="C604" s="1" t="s">
        <v>3</v>
      </c>
      <c r="D604" s="1">
        <v>5</v>
      </c>
      <c r="E604" s="1">
        <v>197.43</v>
      </c>
      <c r="F604" s="1">
        <v>0.99967700000000004</v>
      </c>
      <c r="G604" t="s">
        <v>997</v>
      </c>
      <c r="H604" t="s">
        <v>846</v>
      </c>
      <c r="I604" t="s">
        <v>4638</v>
      </c>
      <c r="J604" t="str">
        <f>"Brain-specific angiogenesis inhibitor 1-associated protein 2"</f>
        <v>Brain-specific angiogenesis inhibitor 1-associated protein 2</v>
      </c>
      <c r="K604" t="str">
        <f>"BAIAP2;CCDC43"</f>
        <v>BAIAP2;CCDC43</v>
      </c>
    </row>
    <row r="605" spans="1:11" x14ac:dyDescent="0.25">
      <c r="A605" s="1">
        <v>3131</v>
      </c>
      <c r="B605" s="1">
        <v>2</v>
      </c>
      <c r="C605" s="1" t="s">
        <v>3</v>
      </c>
      <c r="D605" s="1">
        <v>3</v>
      </c>
      <c r="E605" s="1">
        <v>157.34</v>
      </c>
      <c r="F605" s="1">
        <v>1</v>
      </c>
      <c r="G605" t="s">
        <v>998</v>
      </c>
      <c r="H605" t="s">
        <v>999</v>
      </c>
      <c r="I605" t="s">
        <v>4639</v>
      </c>
      <c r="J605" t="str">
        <f>"Plakophilin-3"</f>
        <v>Plakophilin-3</v>
      </c>
      <c r="K605" t="str">
        <f>"PKP3"</f>
        <v>PKP3</v>
      </c>
    </row>
    <row r="606" spans="1:11" x14ac:dyDescent="0.25">
      <c r="A606" s="1">
        <v>2229</v>
      </c>
      <c r="B606" s="1">
        <v>2</v>
      </c>
      <c r="C606" s="1" t="s">
        <v>3</v>
      </c>
      <c r="D606" s="1">
        <v>3</v>
      </c>
      <c r="E606" s="1">
        <v>64.710999999999999</v>
      </c>
      <c r="F606" s="1">
        <v>0.96932200000000002</v>
      </c>
      <c r="G606" t="s">
        <v>1000</v>
      </c>
      <c r="H606" t="s">
        <v>1001</v>
      </c>
      <c r="I606">
        <v>6</v>
      </c>
      <c r="J606" t="str">
        <f>"Ras-related protein Rab-10"</f>
        <v>Ras-related protein Rab-10</v>
      </c>
      <c r="K606" t="str">
        <f>"RAB10"</f>
        <v>RAB10</v>
      </c>
    </row>
    <row r="607" spans="1:11" x14ac:dyDescent="0.25">
      <c r="A607" s="1">
        <v>1836</v>
      </c>
      <c r="B607" s="1">
        <v>3</v>
      </c>
      <c r="C607" s="1" t="s">
        <v>3</v>
      </c>
      <c r="D607" s="1">
        <v>5</v>
      </c>
      <c r="E607" s="1">
        <v>105.03</v>
      </c>
      <c r="F607" s="1">
        <v>0.999996</v>
      </c>
      <c r="G607" t="s">
        <v>1002</v>
      </c>
      <c r="H607" t="s">
        <v>151</v>
      </c>
      <c r="I607" t="s">
        <v>4640</v>
      </c>
      <c r="J607" t="str">
        <f>"Protein SON"</f>
        <v>Protein SON</v>
      </c>
      <c r="K607" t="str">
        <f>"SON"</f>
        <v>SON</v>
      </c>
    </row>
    <row r="608" spans="1:11" x14ac:dyDescent="0.25">
      <c r="A608" s="1">
        <v>1344</v>
      </c>
      <c r="B608" s="1">
        <v>4</v>
      </c>
      <c r="C608" s="1" t="s">
        <v>3</v>
      </c>
      <c r="D608" s="1">
        <v>12</v>
      </c>
      <c r="E608" s="1">
        <v>103.13</v>
      </c>
      <c r="F608" s="1">
        <v>0.99987599999999999</v>
      </c>
      <c r="G608" t="s">
        <v>1003</v>
      </c>
      <c r="H608" t="s">
        <v>1004</v>
      </c>
      <c r="I608" t="s">
        <v>4641</v>
      </c>
      <c r="J608" t="str">
        <f>"LysM and putative peptidoglycan-binding domain-containing protein 2"</f>
        <v>LysM and putative peptidoglycan-binding domain-containing protein 2</v>
      </c>
      <c r="K608" t="str">
        <f>"LYSMD2"</f>
        <v>LYSMD2</v>
      </c>
    </row>
    <row r="609" spans="1:11" x14ac:dyDescent="0.25">
      <c r="A609" s="1">
        <v>1145</v>
      </c>
      <c r="B609" s="1">
        <v>3</v>
      </c>
      <c r="C609" s="1" t="s">
        <v>3</v>
      </c>
      <c r="D609" s="1">
        <v>6</v>
      </c>
      <c r="E609" s="1">
        <v>93.424000000000007</v>
      </c>
      <c r="F609" s="1">
        <v>0.99999899999999997</v>
      </c>
      <c r="G609" t="s">
        <v>1005</v>
      </c>
      <c r="H609" t="s">
        <v>791</v>
      </c>
      <c r="I609" t="s">
        <v>4642</v>
      </c>
      <c r="J609" t="str">
        <f>"Keratin, type II cytoskeletal 8"</f>
        <v>Keratin, type II cytoskeletal 8</v>
      </c>
      <c r="K609" t="str">
        <f>"KRT8"</f>
        <v>KRT8</v>
      </c>
    </row>
    <row r="610" spans="1:11" x14ac:dyDescent="0.25">
      <c r="A610" s="1">
        <v>2947</v>
      </c>
      <c r="B610" s="1">
        <v>3</v>
      </c>
      <c r="C610" s="1" t="s">
        <v>3</v>
      </c>
      <c r="D610" s="1">
        <v>16</v>
      </c>
      <c r="E610" s="1">
        <v>44.252000000000002</v>
      </c>
      <c r="F610" s="1">
        <v>1</v>
      </c>
      <c r="G610" t="s">
        <v>1006</v>
      </c>
      <c r="H610" t="s">
        <v>293</v>
      </c>
      <c r="I610" t="s">
        <v>4643</v>
      </c>
      <c r="J610" t="str">
        <f>"Palmitoyltransferase ZDHHC5"</f>
        <v>Palmitoyltransferase ZDHHC5</v>
      </c>
      <c r="K610" t="str">
        <f>"ZDHHC5"</f>
        <v>ZDHHC5</v>
      </c>
    </row>
    <row r="611" spans="1:11" x14ac:dyDescent="0.25">
      <c r="A611" s="1">
        <v>2817</v>
      </c>
      <c r="B611" s="1">
        <v>2</v>
      </c>
      <c r="C611" s="1" t="s">
        <v>3</v>
      </c>
      <c r="D611" s="1">
        <v>2</v>
      </c>
      <c r="E611" s="1">
        <v>145.04</v>
      </c>
      <c r="F611" s="1">
        <v>0.99917999999999996</v>
      </c>
      <c r="G611" t="s">
        <v>1007</v>
      </c>
      <c r="H611" t="s">
        <v>1008</v>
      </c>
      <c r="I611" t="s">
        <v>4644</v>
      </c>
      <c r="J611" t="str">
        <f>"Ras-related protein Rab-8B;Ras-related protein Rab-8A"</f>
        <v>Ras-related protein Rab-8B;Ras-related protein Rab-8A</v>
      </c>
      <c r="K611" t="str">
        <f>"RAB8B;RAB8A"</f>
        <v>RAB8B;RAB8A</v>
      </c>
    </row>
    <row r="612" spans="1:11" x14ac:dyDescent="0.25">
      <c r="A612" s="1">
        <v>3074</v>
      </c>
      <c r="B612" s="1">
        <v>2</v>
      </c>
      <c r="C612" s="1" t="s">
        <v>3</v>
      </c>
      <c r="D612" s="1">
        <v>2</v>
      </c>
      <c r="E612" s="1">
        <v>172.59</v>
      </c>
      <c r="F612" s="1">
        <v>1</v>
      </c>
      <c r="G612" t="s">
        <v>1009</v>
      </c>
      <c r="H612" t="s">
        <v>1010</v>
      </c>
      <c r="I612" t="s">
        <v>4645</v>
      </c>
      <c r="J612" t="str">
        <f>"SLAM family member 5"</f>
        <v>SLAM family member 5</v>
      </c>
      <c r="K612" t="str">
        <f>"CD84"</f>
        <v>CD84</v>
      </c>
    </row>
    <row r="613" spans="1:11" x14ac:dyDescent="0.25">
      <c r="A613" s="1">
        <v>3080</v>
      </c>
      <c r="B613" s="1">
        <v>2</v>
      </c>
      <c r="C613" s="1" t="s">
        <v>3</v>
      </c>
      <c r="D613" s="1">
        <v>14</v>
      </c>
      <c r="E613" s="1">
        <v>83.54</v>
      </c>
      <c r="F613" s="1">
        <v>0.963449</v>
      </c>
      <c r="G613" t="s">
        <v>1011</v>
      </c>
      <c r="H613" t="s">
        <v>1012</v>
      </c>
      <c r="I613" t="s">
        <v>4646</v>
      </c>
      <c r="J613" t="str">
        <f>"Drebrin-like protein"</f>
        <v>Drebrin-like protein</v>
      </c>
      <c r="K613" t="str">
        <f>"DBNL"</f>
        <v>DBNL</v>
      </c>
    </row>
    <row r="614" spans="1:11" x14ac:dyDescent="0.25">
      <c r="A614" s="1">
        <v>1217</v>
      </c>
      <c r="B614" s="1">
        <v>3</v>
      </c>
      <c r="C614" s="1" t="s">
        <v>3</v>
      </c>
      <c r="D614" s="1">
        <v>6</v>
      </c>
      <c r="E614" s="1">
        <v>80.317999999999998</v>
      </c>
      <c r="F614" s="1">
        <v>0.99999899999999997</v>
      </c>
      <c r="G614" t="s">
        <v>1013</v>
      </c>
      <c r="H614" t="s">
        <v>270</v>
      </c>
      <c r="I614" t="s">
        <v>4647</v>
      </c>
      <c r="J614" t="str">
        <f>"Tensin-1"</f>
        <v>Tensin-1</v>
      </c>
      <c r="K614" t="str">
        <f>"TNS1"</f>
        <v>TNS1</v>
      </c>
    </row>
    <row r="615" spans="1:11" x14ac:dyDescent="0.25">
      <c r="A615" s="1">
        <v>1547</v>
      </c>
      <c r="B615" s="1">
        <v>2</v>
      </c>
      <c r="C615" s="1" t="s">
        <v>3</v>
      </c>
      <c r="D615" s="1">
        <v>1</v>
      </c>
      <c r="E615" s="1">
        <v>167.11</v>
      </c>
      <c r="F615" s="1">
        <v>0.99834000000000001</v>
      </c>
      <c r="G615" t="s">
        <v>1014</v>
      </c>
      <c r="H615" t="s">
        <v>1015</v>
      </c>
      <c r="I615" t="s">
        <v>4648</v>
      </c>
      <c r="J615" t="str">
        <f>"ATP synthase subunit d, mitochondrial"</f>
        <v>ATP synthase subunit d, mitochondrial</v>
      </c>
      <c r="K615" t="str">
        <f>"ATP5H"</f>
        <v>ATP5H</v>
      </c>
    </row>
    <row r="616" spans="1:11" x14ac:dyDescent="0.25">
      <c r="A616" s="1">
        <v>3137</v>
      </c>
      <c r="B616" s="1">
        <v>3</v>
      </c>
      <c r="C616" s="1" t="s">
        <v>3</v>
      </c>
      <c r="D616" s="1">
        <v>9</v>
      </c>
      <c r="E616" s="1">
        <v>80.959999999999994</v>
      </c>
      <c r="F616" s="1">
        <v>0.96902600000000005</v>
      </c>
      <c r="G616" t="s">
        <v>1016</v>
      </c>
      <c r="H616" t="s">
        <v>209</v>
      </c>
      <c r="I616">
        <v>127</v>
      </c>
      <c r="J616" t="str">
        <f>"Talin-1"</f>
        <v>Talin-1</v>
      </c>
      <c r="K616" t="str">
        <f>"TLN1"</f>
        <v>TLN1</v>
      </c>
    </row>
    <row r="617" spans="1:11" x14ac:dyDescent="0.25">
      <c r="A617" s="1">
        <v>1511</v>
      </c>
      <c r="B617" s="1">
        <v>2</v>
      </c>
      <c r="C617" s="1" t="s">
        <v>3</v>
      </c>
      <c r="D617" s="1">
        <v>7</v>
      </c>
      <c r="E617" s="1">
        <v>90.614000000000004</v>
      </c>
      <c r="F617" s="1">
        <v>0.99749399999999999</v>
      </c>
      <c r="G617" t="s">
        <v>1017</v>
      </c>
      <c r="H617" t="s">
        <v>1018</v>
      </c>
      <c r="I617" t="s">
        <v>4649</v>
      </c>
      <c r="J617" t="str">
        <f>"Histone H2B;Histone H2B type 1-L;Histone H2B type 1-M;Histone H2B type 1-N;Histone H2B type 1-H;Histone H2B type 2-F;Histone H2B type 1-C/E/F/G/I;Histone H2B type 1-D;Histone H2B type F-S;Histone H2B type 1-K"</f>
        <v>Histone H2B;Histone H2B type 1-L;Histone H2B type 1-M;Histone H2B type 1-N;Histone H2B type 1-H;Histone H2B type 2-F;Histone H2B type 1-C/E/F/G/I;Histone H2B type 1-D;Histone H2B type F-S;Histone H2B type 1-K</v>
      </c>
      <c r="K617" t="str">
        <f>"HIST1H2BN;HIST1H2BL;HIST1H2BM;HIST1H2BH;HIST2H2BF;HIST1H2BC;HIST1H2BD;H2BFS;HIST1H2BK"</f>
        <v>HIST1H2BN;HIST1H2BL;HIST1H2BM;HIST1H2BH;HIST2H2BF;HIST1H2BC;HIST1H2BD;H2BFS;HIST1H2BK</v>
      </c>
    </row>
    <row r="618" spans="1:11" x14ac:dyDescent="0.25">
      <c r="A618" s="1">
        <v>1774</v>
      </c>
      <c r="B618" s="1">
        <v>4</v>
      </c>
      <c r="C618" s="1" t="s">
        <v>3</v>
      </c>
      <c r="D618" s="1">
        <v>8</v>
      </c>
      <c r="E618" s="1">
        <v>178.69</v>
      </c>
      <c r="F618" s="1">
        <v>1</v>
      </c>
      <c r="G618" t="s">
        <v>1019</v>
      </c>
      <c r="H618" t="s">
        <v>1020</v>
      </c>
      <c r="I618" t="s">
        <v>4424</v>
      </c>
      <c r="J618" t="str">
        <f>"Alcohol dehydrogenase [NADP(+)]"</f>
        <v>Alcohol dehydrogenase [NADP(+)]</v>
      </c>
      <c r="K618" t="str">
        <f>"AKR1A1"</f>
        <v>AKR1A1</v>
      </c>
    </row>
    <row r="619" spans="1:11" x14ac:dyDescent="0.25">
      <c r="A619" s="1">
        <v>757</v>
      </c>
      <c r="B619" s="1">
        <v>3</v>
      </c>
      <c r="C619" s="1" t="s">
        <v>3</v>
      </c>
      <c r="D619" s="1">
        <v>12</v>
      </c>
      <c r="E619" s="1">
        <v>49.332999999999998</v>
      </c>
      <c r="F619" s="1">
        <v>1</v>
      </c>
      <c r="G619" t="s">
        <v>1021</v>
      </c>
      <c r="H619" t="s">
        <v>1022</v>
      </c>
      <c r="I619" t="s">
        <v>4650</v>
      </c>
      <c r="J619" t="str">
        <f>"EH domain-containing protein 1"</f>
        <v>EH domain-containing protein 1</v>
      </c>
      <c r="K619" t="str">
        <f>"EHD1"</f>
        <v>EHD1</v>
      </c>
    </row>
    <row r="620" spans="1:11" x14ac:dyDescent="0.25">
      <c r="A620" s="1">
        <v>2440</v>
      </c>
      <c r="B620" s="1">
        <v>3</v>
      </c>
      <c r="C620" s="1" t="s">
        <v>3</v>
      </c>
      <c r="D620" s="1">
        <v>12</v>
      </c>
      <c r="E620" s="1">
        <v>145.33000000000001</v>
      </c>
      <c r="F620" s="1">
        <v>0.99968500000000005</v>
      </c>
      <c r="G620" t="s">
        <v>1023</v>
      </c>
      <c r="H620" t="s">
        <v>1024</v>
      </c>
      <c r="I620" t="s">
        <v>4651</v>
      </c>
      <c r="J620" t="str">
        <f>"Dual specificity tyrosine-phosphorylation-regulated kinase 1A"</f>
        <v>Dual specificity tyrosine-phosphorylation-regulated kinase 1A</v>
      </c>
      <c r="K620" t="str">
        <f>"DYRK1A"</f>
        <v>DYRK1A</v>
      </c>
    </row>
    <row r="621" spans="1:11" x14ac:dyDescent="0.25">
      <c r="A621" s="1">
        <v>2051</v>
      </c>
      <c r="B621" s="1">
        <v>4</v>
      </c>
      <c r="C621" s="1" t="s">
        <v>3</v>
      </c>
      <c r="D621" s="1">
        <v>10</v>
      </c>
      <c r="E621" s="1">
        <v>74.793000000000006</v>
      </c>
      <c r="F621" s="1">
        <v>0.94779199999999997</v>
      </c>
      <c r="G621" t="s">
        <v>1025</v>
      </c>
      <c r="H621" t="s">
        <v>528</v>
      </c>
      <c r="I621" t="s">
        <v>4652</v>
      </c>
      <c r="J621" t="str">
        <f>"Tyrosine-protein kinase FRK"</f>
        <v>Tyrosine-protein kinase FRK</v>
      </c>
      <c r="K621" t="str">
        <f>"FRK"</f>
        <v>FRK</v>
      </c>
    </row>
    <row r="622" spans="1:11" x14ac:dyDescent="0.25">
      <c r="A622" s="1">
        <v>1032</v>
      </c>
      <c r="B622" s="1">
        <v>4</v>
      </c>
      <c r="C622" s="1" t="s">
        <v>3</v>
      </c>
      <c r="D622" s="1">
        <v>5</v>
      </c>
      <c r="E622" s="1">
        <v>41.615000000000002</v>
      </c>
      <c r="F622" s="1">
        <v>0.92686800000000003</v>
      </c>
      <c r="G622" t="s">
        <v>1026</v>
      </c>
      <c r="H622" t="s">
        <v>1027</v>
      </c>
      <c r="I622" t="s">
        <v>4653</v>
      </c>
      <c r="J622" t="str">
        <f>"Ephrin type-B receptor 2"</f>
        <v>Ephrin type-B receptor 2</v>
      </c>
      <c r="K622" t="str">
        <f>"EPHB2"</f>
        <v>EPHB2</v>
      </c>
    </row>
    <row r="623" spans="1:11" x14ac:dyDescent="0.25">
      <c r="A623" s="1">
        <v>3030</v>
      </c>
      <c r="B623" s="1">
        <v>3</v>
      </c>
      <c r="C623" s="1" t="s">
        <v>3</v>
      </c>
      <c r="D623" s="1">
        <v>12</v>
      </c>
      <c r="E623" s="1">
        <v>71.852999999999994</v>
      </c>
      <c r="F623" s="1">
        <v>0.84507299999999996</v>
      </c>
      <c r="G623" t="s">
        <v>1028</v>
      </c>
      <c r="H623" t="s">
        <v>232</v>
      </c>
      <c r="I623">
        <v>341</v>
      </c>
      <c r="J623" t="str">
        <f>"Phosphoprotein associated with glycosphingolipid-enriched microdomains 1"</f>
        <v>Phosphoprotein associated with glycosphingolipid-enriched microdomains 1</v>
      </c>
      <c r="K623" t="str">
        <f>"PAG1"</f>
        <v>PAG1</v>
      </c>
    </row>
    <row r="624" spans="1:11" x14ac:dyDescent="0.25">
      <c r="A624" s="1">
        <v>1783</v>
      </c>
      <c r="B624" s="1">
        <v>3</v>
      </c>
      <c r="C624" s="1" t="s">
        <v>3</v>
      </c>
      <c r="D624" s="1">
        <v>13</v>
      </c>
      <c r="E624" s="1">
        <v>144.5</v>
      </c>
      <c r="F624" s="1">
        <v>0.99961800000000001</v>
      </c>
      <c r="G624" t="s">
        <v>1029</v>
      </c>
      <c r="H624" t="s">
        <v>1030</v>
      </c>
      <c r="I624" t="s">
        <v>4654</v>
      </c>
      <c r="J624" t="str">
        <f>"Pyruvate kinase PKM;Pyruvate kinase"</f>
        <v>Pyruvate kinase PKM;Pyruvate kinase</v>
      </c>
      <c r="K624" t="str">
        <f>"PKM"</f>
        <v>PKM</v>
      </c>
    </row>
    <row r="625" spans="1:11" x14ac:dyDescent="0.25">
      <c r="A625" s="1">
        <v>1940</v>
      </c>
      <c r="B625" s="1">
        <v>3</v>
      </c>
      <c r="C625" s="1" t="s">
        <v>3</v>
      </c>
      <c r="D625" s="1">
        <v>6</v>
      </c>
      <c r="E625" s="1">
        <v>148.57</v>
      </c>
      <c r="F625" s="1">
        <v>0.97806000000000004</v>
      </c>
      <c r="G625" t="s">
        <v>1031</v>
      </c>
      <c r="H625" t="s">
        <v>1032</v>
      </c>
      <c r="I625" t="s">
        <v>4655</v>
      </c>
      <c r="J625" t="str">
        <f>"Proteasome subunit beta type;Proteasome subunit beta type-8"</f>
        <v>Proteasome subunit beta type;Proteasome subunit beta type-8</v>
      </c>
      <c r="K625" t="str">
        <f>"PSMB8;PSM8"</f>
        <v>PSMB8;PSM8</v>
      </c>
    </row>
    <row r="626" spans="1:11" x14ac:dyDescent="0.25">
      <c r="A626" s="1">
        <v>2226</v>
      </c>
      <c r="B626" s="1">
        <v>3</v>
      </c>
      <c r="C626" s="1" t="s">
        <v>3</v>
      </c>
      <c r="D626" s="1">
        <v>7</v>
      </c>
      <c r="E626" s="1">
        <v>84.478999999999999</v>
      </c>
      <c r="F626" s="1">
        <v>1</v>
      </c>
      <c r="G626" t="s">
        <v>1033</v>
      </c>
      <c r="H626" t="s">
        <v>1034</v>
      </c>
      <c r="I626" t="s">
        <v>4656</v>
      </c>
      <c r="J626" t="str">
        <f>"Eukaryotic initiation factor 4A-I"</f>
        <v>Eukaryotic initiation factor 4A-I</v>
      </c>
      <c r="K626" t="str">
        <f>"EIF4A1"</f>
        <v>EIF4A1</v>
      </c>
    </row>
    <row r="627" spans="1:11" x14ac:dyDescent="0.25">
      <c r="A627" s="1">
        <v>911</v>
      </c>
      <c r="B627" s="1">
        <v>3</v>
      </c>
      <c r="C627" s="1" t="s">
        <v>3</v>
      </c>
      <c r="D627" s="1">
        <v>13</v>
      </c>
      <c r="E627" s="1">
        <v>57.972999999999999</v>
      </c>
      <c r="F627" s="1">
        <v>0.99999700000000002</v>
      </c>
      <c r="G627" t="s">
        <v>1035</v>
      </c>
      <c r="H627" t="s">
        <v>1036</v>
      </c>
      <c r="I627" t="s">
        <v>4657</v>
      </c>
      <c r="J627" t="str">
        <f>"Aldo-keto reductase family 1 member C1;Aldo-keto reductase family 1 member C2"</f>
        <v>Aldo-keto reductase family 1 member C1;Aldo-keto reductase family 1 member C2</v>
      </c>
      <c r="K627" t="str">
        <f>"AKR1C1;AKR1C2"</f>
        <v>AKR1C1;AKR1C2</v>
      </c>
    </row>
    <row r="628" spans="1:11" x14ac:dyDescent="0.25">
      <c r="A628" s="1">
        <v>2316</v>
      </c>
      <c r="B628" s="1">
        <v>3</v>
      </c>
      <c r="C628" s="1" t="s">
        <v>3</v>
      </c>
      <c r="D628" s="1">
        <v>1</v>
      </c>
      <c r="E628" s="1">
        <v>70.088999999999999</v>
      </c>
      <c r="F628" s="1">
        <v>0.90063400000000005</v>
      </c>
      <c r="G628" t="s">
        <v>1037</v>
      </c>
      <c r="H628" t="s">
        <v>352</v>
      </c>
      <c r="I628" t="s">
        <v>4658</v>
      </c>
      <c r="J628" t="str">
        <f>"Desmocollin-2;Desmocollin-3"</f>
        <v>Desmocollin-2;Desmocollin-3</v>
      </c>
      <c r="K628" t="str">
        <f>"DSC2;DSC3"</f>
        <v>DSC2;DSC3</v>
      </c>
    </row>
    <row r="629" spans="1:11" x14ac:dyDescent="0.25">
      <c r="A629" s="1">
        <v>1882</v>
      </c>
      <c r="B629" s="1">
        <v>5</v>
      </c>
      <c r="C629" s="1" t="s">
        <v>3</v>
      </c>
      <c r="D629" s="1">
        <v>19</v>
      </c>
      <c r="E629" s="1">
        <v>153.55000000000001</v>
      </c>
      <c r="F629" s="1">
        <v>0.98969300000000004</v>
      </c>
      <c r="G629" t="s">
        <v>1038</v>
      </c>
      <c r="H629" t="s">
        <v>1039</v>
      </c>
      <c r="I629" t="s">
        <v>4659</v>
      </c>
      <c r="J629" t="str">
        <f>"Cadherin-3"</f>
        <v>Cadherin-3</v>
      </c>
      <c r="K629" t="str">
        <f>"CDH3"</f>
        <v>CDH3</v>
      </c>
    </row>
    <row r="630" spans="1:11" x14ac:dyDescent="0.25">
      <c r="A630" s="1">
        <v>2169</v>
      </c>
      <c r="B630" s="1">
        <v>2</v>
      </c>
      <c r="C630" s="1" t="s">
        <v>3</v>
      </c>
      <c r="D630" s="1">
        <v>10</v>
      </c>
      <c r="E630" s="1">
        <v>107.09</v>
      </c>
      <c r="F630" s="1">
        <v>1</v>
      </c>
      <c r="G630" t="s">
        <v>1040</v>
      </c>
      <c r="H630" t="s">
        <v>1041</v>
      </c>
      <c r="I630">
        <v>304</v>
      </c>
      <c r="J630" t="str">
        <f>"Ephrin-B2"</f>
        <v>Ephrin-B2</v>
      </c>
      <c r="K630" t="str">
        <f>"EFNB2"</f>
        <v>EFNB2</v>
      </c>
    </row>
    <row r="631" spans="1:11" x14ac:dyDescent="0.25">
      <c r="A631" s="1">
        <v>2455</v>
      </c>
      <c r="B631" s="1">
        <v>3</v>
      </c>
      <c r="C631" s="1" t="s">
        <v>3</v>
      </c>
      <c r="D631" s="1">
        <v>2</v>
      </c>
      <c r="E631" s="1">
        <v>190.37</v>
      </c>
      <c r="F631" s="1">
        <v>0.99975899999999995</v>
      </c>
      <c r="G631" t="s">
        <v>1042</v>
      </c>
      <c r="H631" t="s">
        <v>536</v>
      </c>
      <c r="I631">
        <v>968</v>
      </c>
      <c r="J631" t="str">
        <f>"Desmoglein-2"</f>
        <v>Desmoglein-2</v>
      </c>
      <c r="K631" t="str">
        <f>"DSG2"</f>
        <v>DSG2</v>
      </c>
    </row>
    <row r="632" spans="1:11" x14ac:dyDescent="0.25">
      <c r="A632" s="1">
        <v>2462</v>
      </c>
      <c r="B632" s="1">
        <v>3</v>
      </c>
      <c r="C632" s="1" t="s">
        <v>3</v>
      </c>
      <c r="D632" s="1">
        <v>8</v>
      </c>
      <c r="E632" s="1">
        <v>132.63999999999999</v>
      </c>
      <c r="F632" s="1">
        <v>0.99999400000000005</v>
      </c>
      <c r="G632" t="s">
        <v>1043</v>
      </c>
      <c r="H632" t="s">
        <v>1044</v>
      </c>
      <c r="I632" t="s">
        <v>4660</v>
      </c>
      <c r="J632" t="str">
        <f>"Dihydropyrimidinase-related protein 3"</f>
        <v>Dihydropyrimidinase-related protein 3</v>
      </c>
      <c r="K632" t="str">
        <f>"DPYSL3"</f>
        <v>DPYSL3</v>
      </c>
    </row>
    <row r="633" spans="1:11" x14ac:dyDescent="0.25">
      <c r="A633" s="1">
        <v>1670</v>
      </c>
      <c r="B633" s="1">
        <v>2</v>
      </c>
      <c r="C633" s="1" t="s">
        <v>3</v>
      </c>
      <c r="D633" s="1">
        <v>7</v>
      </c>
      <c r="E633" s="1">
        <v>77.185000000000002</v>
      </c>
      <c r="F633" s="1">
        <v>0.83572100000000005</v>
      </c>
      <c r="G633" t="s">
        <v>1045</v>
      </c>
      <c r="H633" t="s">
        <v>82</v>
      </c>
      <c r="I633" t="s">
        <v>4661</v>
      </c>
      <c r="J633" t="str">
        <f>"Tyrosine-protein kinase Lyn"</f>
        <v>Tyrosine-protein kinase Lyn</v>
      </c>
      <c r="K633" t="str">
        <f>"LYN"</f>
        <v>LYN</v>
      </c>
    </row>
    <row r="634" spans="1:11" x14ac:dyDescent="0.25">
      <c r="A634" s="1">
        <v>1111</v>
      </c>
      <c r="B634" s="1">
        <v>3</v>
      </c>
      <c r="C634" s="1" t="s">
        <v>3</v>
      </c>
      <c r="D634" s="1">
        <v>11</v>
      </c>
      <c r="E634" s="1">
        <v>143.31</v>
      </c>
      <c r="F634" s="1">
        <v>0.95216400000000001</v>
      </c>
      <c r="G634" t="s">
        <v>1046</v>
      </c>
      <c r="H634" t="s">
        <v>754</v>
      </c>
      <c r="I634" t="s">
        <v>4662</v>
      </c>
      <c r="J634" t="str">
        <f>"60S ribosomal export protein NMD3"</f>
        <v>60S ribosomal export protein NMD3</v>
      </c>
      <c r="K634" t="str">
        <f>"NMD3"</f>
        <v>NMD3</v>
      </c>
    </row>
    <row r="635" spans="1:11" x14ac:dyDescent="0.25">
      <c r="A635" s="1">
        <v>1686</v>
      </c>
      <c r="B635" s="1">
        <v>3</v>
      </c>
      <c r="C635" s="1" t="s">
        <v>3</v>
      </c>
      <c r="D635" s="1">
        <v>4</v>
      </c>
      <c r="E635" s="1">
        <v>68.242999999999995</v>
      </c>
      <c r="F635" s="1">
        <v>1</v>
      </c>
      <c r="G635" t="s">
        <v>1047</v>
      </c>
      <c r="H635" t="s">
        <v>1048</v>
      </c>
      <c r="I635" t="s">
        <v>4663</v>
      </c>
      <c r="J635" t="str">
        <f>"Glutathione S-transferase A1;Glutathione S-transferase A1, N-terminally processed;Glutathione S-transferase A2"</f>
        <v>Glutathione S-transferase A1;Glutathione S-transferase A1, N-terminally processed;Glutathione S-transferase A2</v>
      </c>
      <c r="K635" t="str">
        <f>"GSTA1;GSTA2"</f>
        <v>GSTA1;GSTA2</v>
      </c>
    </row>
    <row r="636" spans="1:11" x14ac:dyDescent="0.25">
      <c r="A636" s="1">
        <v>1644</v>
      </c>
      <c r="B636" s="1">
        <v>4</v>
      </c>
      <c r="C636" s="1" t="s">
        <v>3</v>
      </c>
      <c r="D636" s="1">
        <v>10</v>
      </c>
      <c r="E636" s="1">
        <v>52.576000000000001</v>
      </c>
      <c r="F636" s="1">
        <v>1</v>
      </c>
      <c r="G636" t="s">
        <v>1049</v>
      </c>
      <c r="H636" t="s">
        <v>1050</v>
      </c>
      <c r="I636" t="s">
        <v>4664</v>
      </c>
      <c r="J636" t="str">
        <f>"Tropomyosin alpha-3 chain;Tropomyosin alpha-4 chain"</f>
        <v>Tropomyosin alpha-3 chain;Tropomyosin alpha-4 chain</v>
      </c>
      <c r="K636" t="str">
        <f>"TPM3;DKFZp686J1372;TPM4"</f>
        <v>TPM3;DKFZp686J1372;TPM4</v>
      </c>
    </row>
    <row r="637" spans="1:11" x14ac:dyDescent="0.25">
      <c r="A637" s="1">
        <v>1434</v>
      </c>
      <c r="B637" s="1">
        <v>2</v>
      </c>
      <c r="C637" s="1" t="s">
        <v>3</v>
      </c>
      <c r="D637" s="1">
        <v>2</v>
      </c>
      <c r="E637" s="1">
        <v>169.4</v>
      </c>
      <c r="F637" s="1">
        <v>1</v>
      </c>
      <c r="G637" t="s">
        <v>1051</v>
      </c>
      <c r="H637" t="s">
        <v>1052</v>
      </c>
      <c r="I637">
        <v>35</v>
      </c>
      <c r="J637" t="str">
        <f>"Secretory carrier-associated membrane protein 3"</f>
        <v>Secretory carrier-associated membrane protein 3</v>
      </c>
      <c r="K637" t="str">
        <f>"SCAMP3"</f>
        <v>SCAMP3</v>
      </c>
    </row>
    <row r="638" spans="1:11" x14ac:dyDescent="0.25">
      <c r="A638" s="1">
        <v>2017</v>
      </c>
      <c r="B638" s="1">
        <v>3</v>
      </c>
      <c r="C638" s="1" t="s">
        <v>3</v>
      </c>
      <c r="D638" s="1">
        <v>3</v>
      </c>
      <c r="E638" s="1">
        <v>103.88</v>
      </c>
      <c r="F638" s="1">
        <v>1</v>
      </c>
      <c r="G638" t="s">
        <v>1053</v>
      </c>
      <c r="H638" t="s">
        <v>1054</v>
      </c>
      <c r="I638">
        <v>155</v>
      </c>
      <c r="J638" t="str">
        <f>"Eukaryotic initiation factor 4A-III;Eukaryotic initiation factor 4A-III, N-terminally processed"</f>
        <v>Eukaryotic initiation factor 4A-III;Eukaryotic initiation factor 4A-III, N-terminally processed</v>
      </c>
      <c r="K638" t="str">
        <f>"EIF4A3"</f>
        <v>EIF4A3</v>
      </c>
    </row>
    <row r="639" spans="1:11" x14ac:dyDescent="0.25">
      <c r="A639" s="1">
        <v>596</v>
      </c>
      <c r="B639" s="1">
        <v>3</v>
      </c>
      <c r="C639" s="1" t="s">
        <v>4</v>
      </c>
      <c r="D639" s="1">
        <v>13</v>
      </c>
      <c r="E639" s="1">
        <v>140.96</v>
      </c>
      <c r="F639" s="1">
        <v>0.661551</v>
      </c>
      <c r="G639" t="s">
        <v>1055</v>
      </c>
      <c r="H639" t="s">
        <v>910</v>
      </c>
      <c r="I639" t="s">
        <v>4665</v>
      </c>
      <c r="J639" t="str">
        <f>"Filamin-A"</f>
        <v>Filamin-A</v>
      </c>
      <c r="K639" t="str">
        <f>"FLNA"</f>
        <v>FLNA</v>
      </c>
    </row>
    <row r="640" spans="1:11" x14ac:dyDescent="0.25">
      <c r="A640" s="1">
        <v>1050</v>
      </c>
      <c r="B640" s="1">
        <v>3</v>
      </c>
      <c r="C640" s="1" t="s">
        <v>3</v>
      </c>
      <c r="D640" s="1">
        <v>15</v>
      </c>
      <c r="E640" s="1">
        <v>136.02000000000001</v>
      </c>
      <c r="F640" s="1">
        <v>0.99996499999999999</v>
      </c>
      <c r="G640" t="s">
        <v>1056</v>
      </c>
      <c r="H640" t="s">
        <v>1057</v>
      </c>
      <c r="I640" t="s">
        <v>4666</v>
      </c>
      <c r="J640" t="str">
        <f>"Elongator complex protein 3"</f>
        <v>Elongator complex protein 3</v>
      </c>
      <c r="K640" t="str">
        <f>"ELP3"</f>
        <v>ELP3</v>
      </c>
    </row>
    <row r="641" spans="1:11" x14ac:dyDescent="0.25">
      <c r="A641" s="1">
        <v>1010</v>
      </c>
      <c r="B641" s="1">
        <v>2</v>
      </c>
      <c r="C641" s="1" t="s">
        <v>3</v>
      </c>
      <c r="D641" s="1">
        <v>4</v>
      </c>
      <c r="E641" s="1">
        <v>109.83</v>
      </c>
      <c r="F641" s="1">
        <v>0.99995400000000001</v>
      </c>
      <c r="G641" t="s">
        <v>1058</v>
      </c>
      <c r="H641" t="s">
        <v>1059</v>
      </c>
      <c r="I641">
        <v>52</v>
      </c>
      <c r="J641" t="str">
        <f>""</f>
        <v/>
      </c>
      <c r="K641" t="str">
        <f>"MLLT4"</f>
        <v>MLLT4</v>
      </c>
    </row>
    <row r="642" spans="1:11" x14ac:dyDescent="0.25">
      <c r="A642" s="1">
        <v>1798</v>
      </c>
      <c r="B642" s="1">
        <v>2</v>
      </c>
      <c r="C642" s="1" t="s">
        <v>3</v>
      </c>
      <c r="D642" s="1">
        <v>1</v>
      </c>
      <c r="E642" s="1">
        <v>123.29</v>
      </c>
      <c r="F642" s="1">
        <v>0.999664</v>
      </c>
      <c r="G642" t="s">
        <v>1060</v>
      </c>
      <c r="H642" t="s">
        <v>1061</v>
      </c>
      <c r="I642">
        <v>304</v>
      </c>
      <c r="J642" t="str">
        <f>"Interferon gamma receptor 1"</f>
        <v>Interferon gamma receptor 1</v>
      </c>
      <c r="K642" t="str">
        <f>"IFNGR1"</f>
        <v>IFNGR1</v>
      </c>
    </row>
    <row r="643" spans="1:11" x14ac:dyDescent="0.25">
      <c r="A643" s="1">
        <v>2127</v>
      </c>
      <c r="B643" s="1">
        <v>2</v>
      </c>
      <c r="C643" s="1" t="s">
        <v>3</v>
      </c>
      <c r="D643" s="1">
        <v>5</v>
      </c>
      <c r="E643" s="1">
        <v>84.063999999999993</v>
      </c>
      <c r="F643" s="1">
        <v>1</v>
      </c>
      <c r="G643" t="s">
        <v>1062</v>
      </c>
      <c r="H643" t="s">
        <v>454</v>
      </c>
      <c r="I643" t="s">
        <v>4667</v>
      </c>
      <c r="J643" t="str">
        <f>"Glycine amidinotransferase, mitochondrial"</f>
        <v>Glycine amidinotransferase, mitochondrial</v>
      </c>
      <c r="K643" t="str">
        <f>"GATM"</f>
        <v>GATM</v>
      </c>
    </row>
    <row r="644" spans="1:11" x14ac:dyDescent="0.25">
      <c r="A644" s="1">
        <v>1597</v>
      </c>
      <c r="B644" s="1">
        <v>3</v>
      </c>
      <c r="C644" s="1" t="s">
        <v>3</v>
      </c>
      <c r="D644" s="1">
        <v>24</v>
      </c>
      <c r="E644" s="1">
        <v>153.82</v>
      </c>
      <c r="F644" s="1">
        <v>0.98731899999999995</v>
      </c>
      <c r="G644" t="s">
        <v>1063</v>
      </c>
      <c r="H644" t="s">
        <v>114</v>
      </c>
      <c r="I644" t="s">
        <v>4668</v>
      </c>
      <c r="J644" t="str">
        <f>"Epidermal growth factor receptor"</f>
        <v>Epidermal growth factor receptor</v>
      </c>
      <c r="K644" t="str">
        <f>"EGFR"</f>
        <v>EGFR</v>
      </c>
    </row>
    <row r="645" spans="1:11" x14ac:dyDescent="0.25">
      <c r="A645" s="1">
        <v>2191</v>
      </c>
      <c r="B645" s="1">
        <v>3</v>
      </c>
      <c r="C645" s="1" t="s">
        <v>3</v>
      </c>
      <c r="D645" s="1">
        <v>11</v>
      </c>
      <c r="E645" s="1">
        <v>77.221000000000004</v>
      </c>
      <c r="F645" s="1">
        <v>0.99171299999999996</v>
      </c>
      <c r="G645" t="s">
        <v>1064</v>
      </c>
      <c r="H645" t="s">
        <v>129</v>
      </c>
      <c r="I645" t="s">
        <v>4669</v>
      </c>
      <c r="J645" t="str">
        <f>"Ephrin type-B receptor 4"</f>
        <v>Ephrin type-B receptor 4</v>
      </c>
      <c r="K645" t="str">
        <f>"EPHB4"</f>
        <v>EPHB4</v>
      </c>
    </row>
    <row r="646" spans="1:11" x14ac:dyDescent="0.25">
      <c r="A646" s="1">
        <v>2718</v>
      </c>
      <c r="B646" s="1">
        <v>4</v>
      </c>
      <c r="C646" s="1" t="s">
        <v>3</v>
      </c>
      <c r="D646" s="1">
        <v>21</v>
      </c>
      <c r="E646" s="1">
        <v>80.728999999999999</v>
      </c>
      <c r="F646" s="1">
        <v>0.99822500000000003</v>
      </c>
      <c r="G646" t="s">
        <v>1065</v>
      </c>
      <c r="H646" t="s">
        <v>1066</v>
      </c>
      <c r="I646" t="s">
        <v>4670</v>
      </c>
      <c r="J646" t="str">
        <f>"Actin filament-associated protein 1"</f>
        <v>Actin filament-associated protein 1</v>
      </c>
      <c r="K646" t="str">
        <f>"AFAP1"</f>
        <v>AFAP1</v>
      </c>
    </row>
    <row r="647" spans="1:11" x14ac:dyDescent="0.25">
      <c r="A647" s="1">
        <v>1494</v>
      </c>
      <c r="B647" s="1">
        <v>2</v>
      </c>
      <c r="C647" s="1" t="s">
        <v>3</v>
      </c>
      <c r="D647" s="1">
        <v>6</v>
      </c>
      <c r="E647" s="1">
        <v>63.462000000000003</v>
      </c>
      <c r="F647" s="1">
        <v>1</v>
      </c>
      <c r="G647" t="s">
        <v>1067</v>
      </c>
      <c r="H647" t="s">
        <v>1068</v>
      </c>
      <c r="I647">
        <v>299</v>
      </c>
      <c r="J647" t="str">
        <f>"Docking protein 2"</f>
        <v>Docking protein 2</v>
      </c>
      <c r="K647" t="str">
        <f>"DOK2"</f>
        <v>DOK2</v>
      </c>
    </row>
    <row r="648" spans="1:11" x14ac:dyDescent="0.25">
      <c r="A648" s="1">
        <v>1178</v>
      </c>
      <c r="B648" s="1">
        <v>3</v>
      </c>
      <c r="C648" s="1" t="s">
        <v>3</v>
      </c>
      <c r="D648" s="1">
        <v>5</v>
      </c>
      <c r="E648" s="1">
        <v>61.265000000000001</v>
      </c>
      <c r="F648" s="1">
        <v>0.98880000000000001</v>
      </c>
      <c r="G648" t="s">
        <v>1069</v>
      </c>
      <c r="H648" t="s">
        <v>814</v>
      </c>
      <c r="I648" t="s">
        <v>4671</v>
      </c>
      <c r="J648" t="str">
        <f>"Eukaryotic initiation factor 4A-II;Eukaryotic initiation factor 4A-III;Eukaryotic initiation factor 4A-III, N-terminally processed;Eukaryotic initiation factor 4A-I"</f>
        <v>Eukaryotic initiation factor 4A-II;Eukaryotic initiation factor 4A-III;Eukaryotic initiation factor 4A-III, N-terminally processed;Eukaryotic initiation factor 4A-I</v>
      </c>
      <c r="K648" t="str">
        <f>"EIF4A2;EIF4A1;EIF4A3"</f>
        <v>EIF4A2;EIF4A1;EIF4A3</v>
      </c>
    </row>
    <row r="649" spans="1:11" x14ac:dyDescent="0.25">
      <c r="A649" s="1">
        <v>1224</v>
      </c>
      <c r="B649" s="1">
        <v>3</v>
      </c>
      <c r="C649" s="1" t="s">
        <v>3</v>
      </c>
      <c r="D649" s="1">
        <v>7</v>
      </c>
      <c r="E649" s="1">
        <v>69.747</v>
      </c>
      <c r="F649" s="1">
        <v>0.83627600000000002</v>
      </c>
      <c r="G649" t="s">
        <v>1070</v>
      </c>
      <c r="H649" t="s">
        <v>433</v>
      </c>
      <c r="I649" t="s">
        <v>4672</v>
      </c>
      <c r="J649" t="str">
        <f>"Tensin-1"</f>
        <v>Tensin-1</v>
      </c>
      <c r="K649" t="str">
        <f>"TNS1"</f>
        <v>TNS1</v>
      </c>
    </row>
    <row r="650" spans="1:11" x14ac:dyDescent="0.25">
      <c r="A650" s="1">
        <v>3026</v>
      </c>
      <c r="B650" s="1">
        <v>2</v>
      </c>
      <c r="C650" s="1" t="s">
        <v>3</v>
      </c>
      <c r="D650" s="1">
        <v>6</v>
      </c>
      <c r="E650" s="1">
        <v>75.819000000000003</v>
      </c>
      <c r="F650" s="1">
        <v>0.99451199999999995</v>
      </c>
      <c r="G650" t="s">
        <v>1071</v>
      </c>
      <c r="H650" t="s">
        <v>232</v>
      </c>
      <c r="I650">
        <v>227</v>
      </c>
      <c r="J650" t="str">
        <f>"Phosphoprotein associated with glycosphingolipid-enriched microdomains 1"</f>
        <v>Phosphoprotein associated with glycosphingolipid-enriched microdomains 1</v>
      </c>
      <c r="K650" t="str">
        <f>"PAG1"</f>
        <v>PAG1</v>
      </c>
    </row>
    <row r="651" spans="1:11" x14ac:dyDescent="0.25">
      <c r="A651" s="1">
        <v>1629</v>
      </c>
      <c r="B651" s="1">
        <v>2</v>
      </c>
      <c r="C651" s="1" t="s">
        <v>3</v>
      </c>
      <c r="D651" s="1">
        <v>1</v>
      </c>
      <c r="E651" s="1">
        <v>105.46</v>
      </c>
      <c r="F651" s="1">
        <v>1</v>
      </c>
      <c r="G651" t="s">
        <v>1072</v>
      </c>
      <c r="H651" t="s">
        <v>1073</v>
      </c>
      <c r="I651" t="s">
        <v>4673</v>
      </c>
      <c r="J651" t="str">
        <f>"ADP/ATP translocase 2;ADP/ATP translocase 2, N-terminally processed;ADP/ATP translocase 1;ADP/ATP translocase 4;ADP/ATP translocase 3;ADP/ATP translocase 3, N-terminally processed"</f>
        <v>ADP/ATP translocase 2;ADP/ATP translocase 2, N-terminally processed;ADP/ATP translocase 1;ADP/ATP translocase 4;ADP/ATP translocase 3;ADP/ATP translocase 3, N-terminally processed</v>
      </c>
      <c r="K651" t="str">
        <f>"SLC25A5;SLC25A4;SLC25A31;SLC25A6"</f>
        <v>SLC25A5;SLC25A4;SLC25A31;SLC25A6</v>
      </c>
    </row>
    <row r="652" spans="1:11" x14ac:dyDescent="0.25">
      <c r="A652" s="1">
        <v>1332</v>
      </c>
      <c r="B652" s="1">
        <v>4</v>
      </c>
      <c r="C652" s="1" t="s">
        <v>3</v>
      </c>
      <c r="D652" s="1">
        <v>34</v>
      </c>
      <c r="E652" s="1">
        <v>80.692999999999998</v>
      </c>
      <c r="F652" s="1">
        <v>0.99521400000000004</v>
      </c>
      <c r="G652" t="s">
        <v>1074</v>
      </c>
      <c r="H652" t="s">
        <v>1075</v>
      </c>
      <c r="I652">
        <v>280</v>
      </c>
      <c r="J652" t="str">
        <f>""</f>
        <v/>
      </c>
      <c r="K652" t="str">
        <f>"CTNNA1"</f>
        <v>CTNNA1</v>
      </c>
    </row>
    <row r="653" spans="1:11" x14ac:dyDescent="0.25">
      <c r="A653" s="1">
        <v>2563</v>
      </c>
      <c r="B653" s="1">
        <v>3</v>
      </c>
      <c r="C653" s="1" t="s">
        <v>3</v>
      </c>
      <c r="D653" s="1">
        <v>4</v>
      </c>
      <c r="E653" s="1">
        <v>102.08</v>
      </c>
      <c r="F653" s="1">
        <v>1</v>
      </c>
      <c r="G653" t="s">
        <v>1076</v>
      </c>
      <c r="H653" t="s">
        <v>1077</v>
      </c>
      <c r="I653" t="s">
        <v>4674</v>
      </c>
      <c r="J653" t="str">
        <f>"Pleckstrin homology domain-containing family N member 1"</f>
        <v>Pleckstrin homology domain-containing family N member 1</v>
      </c>
      <c r="K653" t="str">
        <f>"PLEKHN1"</f>
        <v>PLEKHN1</v>
      </c>
    </row>
    <row r="654" spans="1:11" x14ac:dyDescent="0.25">
      <c r="A654" s="1">
        <v>1125</v>
      </c>
      <c r="B654" s="1">
        <v>3</v>
      </c>
      <c r="C654" s="1" t="s">
        <v>3</v>
      </c>
      <c r="D654" s="1">
        <v>2</v>
      </c>
      <c r="E654" s="1">
        <v>89.039000000000001</v>
      </c>
      <c r="F654" s="1">
        <v>0.99915600000000004</v>
      </c>
      <c r="G654" t="s">
        <v>1078</v>
      </c>
      <c r="H654" t="s">
        <v>143</v>
      </c>
      <c r="I654">
        <v>217</v>
      </c>
      <c r="J654" t="str">
        <f>""</f>
        <v/>
      </c>
      <c r="K654" t="str">
        <f>"CTNND1"</f>
        <v>CTNND1</v>
      </c>
    </row>
    <row r="655" spans="1:11" x14ac:dyDescent="0.25">
      <c r="A655" s="1">
        <v>2290</v>
      </c>
      <c r="B655" s="1">
        <v>3</v>
      </c>
      <c r="C655" s="1" t="s">
        <v>3</v>
      </c>
      <c r="D655" s="1">
        <v>3</v>
      </c>
      <c r="E655" s="1">
        <v>73.927000000000007</v>
      </c>
      <c r="F655" s="1">
        <v>0.99918600000000002</v>
      </c>
      <c r="G655" t="s">
        <v>1079</v>
      </c>
      <c r="H655" t="s">
        <v>1080</v>
      </c>
      <c r="I655" t="s">
        <v>4675</v>
      </c>
      <c r="J655" t="str">
        <f>"Coxsackievirus and adenovirus receptor"</f>
        <v>Coxsackievirus and adenovirus receptor</v>
      </c>
      <c r="K655" t="str">
        <f>"CXADR"</f>
        <v>CXADR</v>
      </c>
    </row>
    <row r="656" spans="1:11" x14ac:dyDescent="0.25">
      <c r="A656" s="1">
        <v>3007</v>
      </c>
      <c r="B656" s="1">
        <v>2</v>
      </c>
      <c r="C656" s="1" t="s">
        <v>3</v>
      </c>
      <c r="D656" s="1">
        <v>6</v>
      </c>
      <c r="E656" s="1">
        <v>143.63999999999999</v>
      </c>
      <c r="F656" s="1">
        <v>0.95386899999999997</v>
      </c>
      <c r="G656" t="s">
        <v>1081</v>
      </c>
      <c r="H656" t="s">
        <v>1082</v>
      </c>
      <c r="I656">
        <v>116</v>
      </c>
      <c r="J656" t="str">
        <f>"14 kDa phosphohistidine phosphatase"</f>
        <v>14 kDa phosphohistidine phosphatase</v>
      </c>
      <c r="K656" t="str">
        <f>"PHPT1"</f>
        <v>PHPT1</v>
      </c>
    </row>
    <row r="657" spans="1:11" x14ac:dyDescent="0.25">
      <c r="A657" s="1">
        <v>2180</v>
      </c>
      <c r="B657" s="1">
        <v>3</v>
      </c>
      <c r="C657" s="1" t="s">
        <v>3</v>
      </c>
      <c r="D657" s="1">
        <v>3</v>
      </c>
      <c r="E657" s="1">
        <v>148.96</v>
      </c>
      <c r="F657" s="1">
        <v>1</v>
      </c>
      <c r="G657" t="s">
        <v>1083</v>
      </c>
      <c r="H657" t="s">
        <v>1084</v>
      </c>
      <c r="I657" t="s">
        <v>4372</v>
      </c>
      <c r="J657" t="str">
        <f>"Coatomer subunit alpha;Xenin;Proxenin"</f>
        <v>Coatomer subunit alpha;Xenin;Proxenin</v>
      </c>
      <c r="K657" t="str">
        <f>"COPA"</f>
        <v>COPA</v>
      </c>
    </row>
    <row r="658" spans="1:11" x14ac:dyDescent="0.25">
      <c r="A658" s="1">
        <v>1617</v>
      </c>
      <c r="B658" s="1">
        <v>2</v>
      </c>
      <c r="C658" s="1" t="s">
        <v>3</v>
      </c>
      <c r="D658" s="1">
        <v>8</v>
      </c>
      <c r="E658" s="1">
        <v>76.344999999999999</v>
      </c>
      <c r="F658" s="1">
        <v>0.99966500000000003</v>
      </c>
      <c r="G658" t="s">
        <v>1085</v>
      </c>
      <c r="H658" t="s">
        <v>1086</v>
      </c>
      <c r="I658">
        <v>97</v>
      </c>
      <c r="J658" t="str">
        <f>"Cystatin-B"</f>
        <v>Cystatin-B</v>
      </c>
      <c r="K658" t="str">
        <f>"CSTB"</f>
        <v>CSTB</v>
      </c>
    </row>
    <row r="659" spans="1:11" x14ac:dyDescent="0.25">
      <c r="A659" s="1">
        <v>1275</v>
      </c>
      <c r="B659" s="1">
        <v>3</v>
      </c>
      <c r="C659" s="1" t="s">
        <v>3</v>
      </c>
      <c r="D659" s="1">
        <v>5</v>
      </c>
      <c r="E659" s="1">
        <v>104.88</v>
      </c>
      <c r="F659" s="1">
        <v>0.99999300000000002</v>
      </c>
      <c r="G659" t="s">
        <v>1087</v>
      </c>
      <c r="H659" t="s">
        <v>513</v>
      </c>
      <c r="I659" t="s">
        <v>4676</v>
      </c>
      <c r="J659" t="str">
        <f>"Paxillin"</f>
        <v>Paxillin</v>
      </c>
      <c r="K659" t="str">
        <f>"PXN"</f>
        <v>PXN</v>
      </c>
    </row>
    <row r="660" spans="1:11" x14ac:dyDescent="0.25">
      <c r="A660" s="1">
        <v>2212</v>
      </c>
      <c r="B660" s="1">
        <v>2</v>
      </c>
      <c r="C660" s="1" t="s">
        <v>3</v>
      </c>
      <c r="D660" s="1">
        <v>4</v>
      </c>
      <c r="E660" s="1">
        <v>83.757999999999996</v>
      </c>
      <c r="F660" s="1">
        <v>0.93930100000000005</v>
      </c>
      <c r="G660" t="s">
        <v>1088</v>
      </c>
      <c r="H660" t="s">
        <v>1089</v>
      </c>
      <c r="I660">
        <v>195</v>
      </c>
      <c r="J660" t="str">
        <f>"Claudin-2"</f>
        <v>Claudin-2</v>
      </c>
      <c r="K660" t="str">
        <f>"CLDN2"</f>
        <v>CLDN2</v>
      </c>
    </row>
    <row r="661" spans="1:11" x14ac:dyDescent="0.25">
      <c r="A661" s="1">
        <v>803</v>
      </c>
      <c r="B661" s="1">
        <v>4</v>
      </c>
      <c r="C661" s="1" t="s">
        <v>3</v>
      </c>
      <c r="D661" s="1">
        <v>9</v>
      </c>
      <c r="E661" s="1">
        <v>81.346000000000004</v>
      </c>
      <c r="F661" s="1">
        <v>0.96899500000000005</v>
      </c>
      <c r="G661" t="s">
        <v>1090</v>
      </c>
      <c r="H661" t="s">
        <v>497</v>
      </c>
      <c r="I661" t="s">
        <v>4677</v>
      </c>
      <c r="J661" t="str">
        <f>"Mucin-1;Mucin-1 subunit alpha;Mucin-1 subunit beta"</f>
        <v>Mucin-1;Mucin-1 subunit alpha;Mucin-1 subunit beta</v>
      </c>
      <c r="K661" t="str">
        <f>"MUC1"</f>
        <v>MUC1</v>
      </c>
    </row>
    <row r="662" spans="1:11" x14ac:dyDescent="0.25">
      <c r="A662" s="1">
        <v>2585</v>
      </c>
      <c r="B662" s="1">
        <v>3</v>
      </c>
      <c r="C662" s="1" t="s">
        <v>3</v>
      </c>
      <c r="D662" s="1">
        <v>13</v>
      </c>
      <c r="E662" s="1">
        <v>75.018000000000001</v>
      </c>
      <c r="F662" s="1">
        <v>0.77953399999999995</v>
      </c>
      <c r="G662" t="s">
        <v>1091</v>
      </c>
      <c r="H662" t="s">
        <v>1092</v>
      </c>
      <c r="I662" t="s">
        <v>4678</v>
      </c>
      <c r="J662" t="str">
        <f>"Engulfment and cell motility protein 2"</f>
        <v>Engulfment and cell motility protein 2</v>
      </c>
      <c r="K662" t="str">
        <f>"ELMO2"</f>
        <v>ELMO2</v>
      </c>
    </row>
    <row r="663" spans="1:11" x14ac:dyDescent="0.25">
      <c r="A663" s="1">
        <v>2497</v>
      </c>
      <c r="B663" s="1">
        <v>3</v>
      </c>
      <c r="C663" s="1" t="s">
        <v>3</v>
      </c>
      <c r="D663" s="1">
        <v>7</v>
      </c>
      <c r="E663" s="1">
        <v>72.846000000000004</v>
      </c>
      <c r="F663" s="1">
        <v>0.99713799999999997</v>
      </c>
      <c r="G663" t="s">
        <v>1093</v>
      </c>
      <c r="H663" t="s">
        <v>394</v>
      </c>
      <c r="I663" t="s">
        <v>4679</v>
      </c>
      <c r="J663" t="str">
        <f>"Enhancer of filamentation 1;Enhancer of filamentation 1 p55"</f>
        <v>Enhancer of filamentation 1;Enhancer of filamentation 1 p55</v>
      </c>
      <c r="K663" t="str">
        <f>"NEDD9"</f>
        <v>NEDD9</v>
      </c>
    </row>
    <row r="664" spans="1:11" x14ac:dyDescent="0.25">
      <c r="A664" s="1">
        <v>2284</v>
      </c>
      <c r="B664" s="1">
        <v>4</v>
      </c>
      <c r="C664" s="1" t="s">
        <v>3</v>
      </c>
      <c r="D664" s="1">
        <v>19</v>
      </c>
      <c r="E664" s="1">
        <v>93.370999999999995</v>
      </c>
      <c r="F664" s="1">
        <v>0.99999899999999997</v>
      </c>
      <c r="G664" t="s">
        <v>1094</v>
      </c>
      <c r="H664" t="s">
        <v>1095</v>
      </c>
      <c r="I664" t="s">
        <v>4680</v>
      </c>
      <c r="J664" t="str">
        <f>"Tubulin alpha-1B chain;Tubulin alpha-4A chain;Tubulin alpha-1A chain;Tubulin alpha-3C/D chain;Tubulin alpha-1C chain"</f>
        <v>Tubulin alpha-1B chain;Tubulin alpha-4A chain;Tubulin alpha-1A chain;Tubulin alpha-3C/D chain;Tubulin alpha-1C chain</v>
      </c>
      <c r="K664" t="str">
        <f>"TUBA1B;TUBA4A;TUBA1A;TUBA3C;TUBA1C"</f>
        <v>TUBA1B;TUBA4A;TUBA1A;TUBA3C;TUBA1C</v>
      </c>
    </row>
    <row r="665" spans="1:11" x14ac:dyDescent="0.25">
      <c r="A665" s="1">
        <v>1684</v>
      </c>
      <c r="B665" s="1">
        <v>2</v>
      </c>
      <c r="C665" s="1" t="s">
        <v>3</v>
      </c>
      <c r="D665" s="1">
        <v>3</v>
      </c>
      <c r="E665" s="1">
        <v>90.05</v>
      </c>
      <c r="F665" s="1">
        <v>0.99771399999999999</v>
      </c>
      <c r="G665" t="s">
        <v>1096</v>
      </c>
      <c r="H665" t="s">
        <v>1097</v>
      </c>
      <c r="I665" t="s">
        <v>4681</v>
      </c>
      <c r="J665" t="str">
        <f>"Heat shock protein HSP 90-beta;Putative heat shock protein HSP 90-beta 2"</f>
        <v>Heat shock protein HSP 90-beta;Putative heat shock protein HSP 90-beta 2</v>
      </c>
      <c r="K665" t="str">
        <f>"HSP90AB1;HSP90AB2P"</f>
        <v>HSP90AB1;HSP90AB2P</v>
      </c>
    </row>
    <row r="666" spans="1:11" x14ac:dyDescent="0.25">
      <c r="A666" s="1">
        <v>988</v>
      </c>
      <c r="B666" s="1">
        <v>2</v>
      </c>
      <c r="C666" s="1" t="s">
        <v>3</v>
      </c>
      <c r="D666" s="1">
        <v>4</v>
      </c>
      <c r="E666" s="1">
        <v>80.959999999999994</v>
      </c>
      <c r="F666" s="1">
        <v>0.96903799999999995</v>
      </c>
      <c r="G666" t="s">
        <v>1098</v>
      </c>
      <c r="H666" t="s">
        <v>408</v>
      </c>
      <c r="I666" t="s">
        <v>4682</v>
      </c>
      <c r="J666" t="str">
        <f>"Rho GTPase-activating protein 42"</f>
        <v>Rho GTPase-activating protein 42</v>
      </c>
      <c r="K666" t="str">
        <f>"ARHGAP42"</f>
        <v>ARHGAP42</v>
      </c>
    </row>
    <row r="667" spans="1:11" x14ac:dyDescent="0.25">
      <c r="A667" s="1">
        <v>3051</v>
      </c>
      <c r="B667" s="1">
        <v>4</v>
      </c>
      <c r="C667" s="1" t="s">
        <v>3</v>
      </c>
      <c r="D667" s="1">
        <v>21</v>
      </c>
      <c r="E667" s="1">
        <v>76.899000000000001</v>
      </c>
      <c r="F667" s="1">
        <v>0.99999899999999997</v>
      </c>
      <c r="G667" t="s">
        <v>1099</v>
      </c>
      <c r="H667" t="s">
        <v>1100</v>
      </c>
      <c r="I667">
        <v>423</v>
      </c>
      <c r="J667" t="str">
        <f>"Junctional protein associated with coronary artery disease"</f>
        <v>Junctional protein associated with coronary artery disease</v>
      </c>
      <c r="K667" t="str">
        <f>"KIAA1462"</f>
        <v>KIAA1462</v>
      </c>
    </row>
    <row r="668" spans="1:11" x14ac:dyDescent="0.25">
      <c r="A668" s="1">
        <v>1272</v>
      </c>
      <c r="B668" s="1">
        <v>4</v>
      </c>
      <c r="C668" s="1" t="s">
        <v>3</v>
      </c>
      <c r="D668" s="1">
        <v>22</v>
      </c>
      <c r="E668" s="1">
        <v>102.66</v>
      </c>
      <c r="F668" s="1">
        <v>0.94310400000000005</v>
      </c>
      <c r="G668" t="s">
        <v>1101</v>
      </c>
      <c r="H668" t="s">
        <v>1102</v>
      </c>
      <c r="I668" t="s">
        <v>4683</v>
      </c>
      <c r="J668" t="str">
        <f>"Transmembrane channel-like protein;Transmembrane channel-like protein 5"</f>
        <v>Transmembrane channel-like protein;Transmembrane channel-like protein 5</v>
      </c>
      <c r="K668" t="str">
        <f>"TMC5"</f>
        <v>TMC5</v>
      </c>
    </row>
    <row r="669" spans="1:11" x14ac:dyDescent="0.25">
      <c r="A669" s="1">
        <v>2846</v>
      </c>
      <c r="B669" s="1">
        <v>3</v>
      </c>
      <c r="C669" s="1" t="s">
        <v>3</v>
      </c>
      <c r="D669" s="1">
        <v>3</v>
      </c>
      <c r="E669" s="1">
        <v>71.531000000000006</v>
      </c>
      <c r="F669" s="1">
        <v>0.98737399999999997</v>
      </c>
      <c r="G669" t="s">
        <v>1103</v>
      </c>
      <c r="H669" t="s">
        <v>1104</v>
      </c>
      <c r="I669">
        <v>481</v>
      </c>
      <c r="J669" t="str">
        <f>"Phosphoglucomutase-2"</f>
        <v>Phosphoglucomutase-2</v>
      </c>
      <c r="K669" t="str">
        <f>"PGM2"</f>
        <v>PGM2</v>
      </c>
    </row>
    <row r="670" spans="1:11" x14ac:dyDescent="0.25">
      <c r="A670" s="1">
        <v>1748</v>
      </c>
      <c r="B670" s="1">
        <v>2</v>
      </c>
      <c r="C670" s="1" t="s">
        <v>3</v>
      </c>
      <c r="D670" s="1">
        <v>9</v>
      </c>
      <c r="E670" s="1">
        <v>102.52</v>
      </c>
      <c r="F670" s="1">
        <v>0.986514</v>
      </c>
      <c r="G670" t="s">
        <v>1105</v>
      </c>
      <c r="H670" t="s">
        <v>285</v>
      </c>
      <c r="I670" t="s">
        <v>4684</v>
      </c>
      <c r="J670" t="str">
        <f>"Glucose-6-phosphate 1-dehydrogenase"</f>
        <v>Glucose-6-phosphate 1-dehydrogenase</v>
      </c>
      <c r="K670" t="str">
        <f>"G6PD"</f>
        <v>G6PD</v>
      </c>
    </row>
    <row r="671" spans="1:11" x14ac:dyDescent="0.25">
      <c r="A671" s="1">
        <v>2592</v>
      </c>
      <c r="B671" s="1">
        <v>3</v>
      </c>
      <c r="C671" s="1" t="s">
        <v>3</v>
      </c>
      <c r="D671" s="1">
        <v>19</v>
      </c>
      <c r="E671" s="1">
        <v>70.114000000000004</v>
      </c>
      <c r="F671" s="1">
        <v>0.99136199999999997</v>
      </c>
      <c r="G671" t="s">
        <v>1106</v>
      </c>
      <c r="H671" t="s">
        <v>1107</v>
      </c>
      <c r="I671" t="s">
        <v>4685</v>
      </c>
      <c r="J671" t="str">
        <f>"Formin-binding protein 1-like"</f>
        <v>Formin-binding protein 1-like</v>
      </c>
      <c r="K671" t="str">
        <f>"FNBP1L"</f>
        <v>FNBP1L</v>
      </c>
    </row>
    <row r="672" spans="1:11" x14ac:dyDescent="0.25">
      <c r="A672" s="1">
        <v>3112</v>
      </c>
      <c r="B672" s="1">
        <v>3</v>
      </c>
      <c r="C672" s="1" t="s">
        <v>3</v>
      </c>
      <c r="D672" s="1">
        <v>3</v>
      </c>
      <c r="E672" s="1">
        <v>105.99</v>
      </c>
      <c r="F672" s="1">
        <v>1</v>
      </c>
      <c r="G672" t="s">
        <v>1108</v>
      </c>
      <c r="H672" t="s">
        <v>1109</v>
      </c>
      <c r="I672">
        <v>560</v>
      </c>
      <c r="J672" t="str">
        <f>"Structural maintenance of chromosomes protein 3"</f>
        <v>Structural maintenance of chromosomes protein 3</v>
      </c>
      <c r="K672" t="str">
        <f>"SMC3"</f>
        <v>SMC3</v>
      </c>
    </row>
    <row r="673" spans="1:11" x14ac:dyDescent="0.25">
      <c r="A673" s="1">
        <v>371</v>
      </c>
      <c r="B673" s="1">
        <v>4</v>
      </c>
      <c r="C673" s="1" t="s">
        <v>5</v>
      </c>
      <c r="D673" s="1">
        <v>19</v>
      </c>
      <c r="E673" s="1">
        <v>80.355000000000004</v>
      </c>
      <c r="F673" s="1">
        <v>0.60128599999999999</v>
      </c>
      <c r="G673" t="s">
        <v>1110</v>
      </c>
      <c r="H673" t="s">
        <v>274</v>
      </c>
      <c r="I673" t="s">
        <v>4686</v>
      </c>
      <c r="J673" t="str">
        <f>"MAGUK p55 subfamily member 5"</f>
        <v>MAGUK p55 subfamily member 5</v>
      </c>
      <c r="K673" t="str">
        <f>"MPP5"</f>
        <v>MPP5</v>
      </c>
    </row>
    <row r="674" spans="1:11" x14ac:dyDescent="0.25">
      <c r="A674" s="1">
        <v>1342</v>
      </c>
      <c r="B674" s="1">
        <v>4</v>
      </c>
      <c r="C674" s="1" t="s">
        <v>3</v>
      </c>
      <c r="D674" s="1">
        <v>12</v>
      </c>
      <c r="E674" s="1">
        <v>48.392000000000003</v>
      </c>
      <c r="F674" s="1">
        <v>0.71355000000000002</v>
      </c>
      <c r="G674" t="s">
        <v>1111</v>
      </c>
      <c r="H674" t="s">
        <v>696</v>
      </c>
      <c r="I674" t="s">
        <v>4687</v>
      </c>
      <c r="J674" t="str">
        <f>"Tyrosine-protein kinase HCK"</f>
        <v>Tyrosine-protein kinase HCK</v>
      </c>
      <c r="K674" t="str">
        <f>"HCK"</f>
        <v>HCK</v>
      </c>
    </row>
    <row r="675" spans="1:11" x14ac:dyDescent="0.25">
      <c r="A675" s="1">
        <v>2643</v>
      </c>
      <c r="B675" s="1">
        <v>3</v>
      </c>
      <c r="C675" s="1" t="s">
        <v>3</v>
      </c>
      <c r="D675" s="1">
        <v>2</v>
      </c>
      <c r="E675" s="1">
        <v>77.775999999999996</v>
      </c>
      <c r="F675" s="1">
        <v>0.99938499999999997</v>
      </c>
      <c r="G675" t="s">
        <v>1112</v>
      </c>
      <c r="H675" t="s">
        <v>1113</v>
      </c>
      <c r="I675" t="s">
        <v>4688</v>
      </c>
      <c r="J675" t="str">
        <f>"Phosphofurin acidic cluster sorting protein 1"</f>
        <v>Phosphofurin acidic cluster sorting protein 1</v>
      </c>
      <c r="K675" t="str">
        <f>"PACS1"</f>
        <v>PACS1</v>
      </c>
    </row>
    <row r="676" spans="1:11" x14ac:dyDescent="0.25">
      <c r="A676" s="1">
        <v>2738</v>
      </c>
      <c r="B676" s="1">
        <v>3</v>
      </c>
      <c r="C676" s="1" t="s">
        <v>3</v>
      </c>
      <c r="D676" s="1">
        <v>6</v>
      </c>
      <c r="E676" s="1">
        <v>91.844999999999999</v>
      </c>
      <c r="F676" s="1">
        <v>1</v>
      </c>
      <c r="G676" t="s">
        <v>1114</v>
      </c>
      <c r="H676" t="s">
        <v>1115</v>
      </c>
      <c r="I676">
        <v>77</v>
      </c>
      <c r="J676" t="str">
        <f>"Nitric oxide-associated protein 1"</f>
        <v>Nitric oxide-associated protein 1</v>
      </c>
      <c r="K676" t="str">
        <f>"NOA1"</f>
        <v>NOA1</v>
      </c>
    </row>
    <row r="677" spans="1:11" x14ac:dyDescent="0.25">
      <c r="A677" s="1">
        <v>2041</v>
      </c>
      <c r="B677" s="1">
        <v>4</v>
      </c>
      <c r="C677" s="1" t="s">
        <v>3</v>
      </c>
      <c r="D677" s="1">
        <v>19</v>
      </c>
      <c r="E677" s="1">
        <v>40.799999999999997</v>
      </c>
      <c r="F677" s="1">
        <v>0.73722699999999997</v>
      </c>
      <c r="G677" t="s">
        <v>1116</v>
      </c>
      <c r="H677" t="s">
        <v>1117</v>
      </c>
      <c r="I677" t="s">
        <v>4689</v>
      </c>
      <c r="J677" t="str">
        <f>"Abelson tyrosine-protein kinase 2"</f>
        <v>Abelson tyrosine-protein kinase 2</v>
      </c>
      <c r="K677" t="str">
        <f>"ABL2"</f>
        <v>ABL2</v>
      </c>
    </row>
    <row r="678" spans="1:11" x14ac:dyDescent="0.25">
      <c r="A678" s="1">
        <v>881</v>
      </c>
      <c r="B678" s="1">
        <v>3</v>
      </c>
      <c r="C678" s="1" t="s">
        <v>3</v>
      </c>
      <c r="D678" s="1">
        <v>14</v>
      </c>
      <c r="E678" s="1">
        <v>91.968999999999994</v>
      </c>
      <c r="F678" s="1">
        <v>0.99006799999999995</v>
      </c>
      <c r="G678" t="s">
        <v>1118</v>
      </c>
      <c r="H678" t="s">
        <v>1119</v>
      </c>
      <c r="I678" t="s">
        <v>4690</v>
      </c>
      <c r="J678" t="str">
        <f>"Actin-binding LIM protein 1"</f>
        <v>Actin-binding LIM protein 1</v>
      </c>
      <c r="K678" t="str">
        <f>"ABLIM1"</f>
        <v>ABLIM1</v>
      </c>
    </row>
    <row r="679" spans="1:11" x14ac:dyDescent="0.25">
      <c r="A679" s="1">
        <v>2276</v>
      </c>
      <c r="B679" s="1">
        <v>3</v>
      </c>
      <c r="C679" s="1" t="s">
        <v>3</v>
      </c>
      <c r="D679" s="1">
        <v>11</v>
      </c>
      <c r="E679" s="1">
        <v>44.511000000000003</v>
      </c>
      <c r="F679" s="1">
        <v>0.86898799999999998</v>
      </c>
      <c r="G679" t="s">
        <v>1120</v>
      </c>
      <c r="H679" t="s">
        <v>1121</v>
      </c>
      <c r="I679">
        <v>336</v>
      </c>
      <c r="J679" t="str">
        <f>"Inward rectifier potassium channel 2"</f>
        <v>Inward rectifier potassium channel 2</v>
      </c>
      <c r="K679" t="str">
        <f>"KCNJ2"</f>
        <v>KCNJ2</v>
      </c>
    </row>
    <row r="680" spans="1:11" x14ac:dyDescent="0.25">
      <c r="A680" s="1">
        <v>882</v>
      </c>
      <c r="B680" s="1">
        <v>3</v>
      </c>
      <c r="C680" s="1" t="s">
        <v>3</v>
      </c>
      <c r="D680" s="1">
        <v>7</v>
      </c>
      <c r="E680" s="1">
        <v>49.094999999999999</v>
      </c>
      <c r="F680" s="1">
        <v>0.71961399999999998</v>
      </c>
      <c r="G680" t="s">
        <v>1122</v>
      </c>
      <c r="H680" t="s">
        <v>1119</v>
      </c>
      <c r="I680" t="s">
        <v>4691</v>
      </c>
      <c r="J680" t="str">
        <f>"Actin-binding LIM protein 1"</f>
        <v>Actin-binding LIM protein 1</v>
      </c>
      <c r="K680" t="str">
        <f>"ABLIM1"</f>
        <v>ABLIM1</v>
      </c>
    </row>
    <row r="681" spans="1:11" x14ac:dyDescent="0.25">
      <c r="A681" s="1">
        <v>1135</v>
      </c>
      <c r="B681" s="1">
        <v>3</v>
      </c>
      <c r="C681" s="1" t="s">
        <v>3</v>
      </c>
      <c r="D681" s="1">
        <v>2</v>
      </c>
      <c r="E681" s="1">
        <v>87.519000000000005</v>
      </c>
      <c r="F681" s="1">
        <v>0.97780199999999995</v>
      </c>
      <c r="G681" t="s">
        <v>1123</v>
      </c>
      <c r="H681" t="s">
        <v>1124</v>
      </c>
      <c r="I681" t="s">
        <v>4692</v>
      </c>
      <c r="J681" t="str">
        <f>"Hemoglobin subunit alpha"</f>
        <v>Hemoglobin subunit alpha</v>
      </c>
      <c r="K681" t="str">
        <f>"HBA2;HBA1"</f>
        <v>HBA2;HBA1</v>
      </c>
    </row>
    <row r="682" spans="1:11" x14ac:dyDescent="0.25">
      <c r="A682" s="1">
        <v>1842</v>
      </c>
      <c r="B682" s="1">
        <v>3</v>
      </c>
      <c r="C682" s="1" t="s">
        <v>3</v>
      </c>
      <c r="D682" s="1">
        <v>3</v>
      </c>
      <c r="E682" s="1">
        <v>71.879000000000005</v>
      </c>
      <c r="F682" s="1">
        <v>0.99773100000000003</v>
      </c>
      <c r="G682" t="s">
        <v>1125</v>
      </c>
      <c r="H682" t="s">
        <v>797</v>
      </c>
      <c r="I682" t="s">
        <v>4693</v>
      </c>
      <c r="J682" t="str">
        <f>"1-phosphatidylinositol 4,5-bisphosphate phosphodiesterase gamma-1"</f>
        <v>1-phosphatidylinositol 4,5-bisphosphate phosphodiesterase gamma-1</v>
      </c>
      <c r="K682" t="str">
        <f>"PLCG1"</f>
        <v>PLCG1</v>
      </c>
    </row>
    <row r="683" spans="1:11" x14ac:dyDescent="0.25">
      <c r="A683" s="1">
        <v>819</v>
      </c>
      <c r="B683" s="1">
        <v>4</v>
      </c>
      <c r="C683" s="1" t="s">
        <v>3</v>
      </c>
      <c r="D683" s="1">
        <v>16</v>
      </c>
      <c r="E683" s="1">
        <v>82.01</v>
      </c>
      <c r="F683" s="1">
        <v>0.99999899999999997</v>
      </c>
      <c r="G683" t="s">
        <v>1126</v>
      </c>
      <c r="H683" t="s">
        <v>1127</v>
      </c>
      <c r="I683" t="s">
        <v>4694</v>
      </c>
      <c r="J683" t="str">
        <f>"Partitioning defective 3 homolog B"</f>
        <v>Partitioning defective 3 homolog B</v>
      </c>
      <c r="K683" t="str">
        <f>"PARD3B"</f>
        <v>PARD3B</v>
      </c>
    </row>
    <row r="684" spans="1:11" x14ac:dyDescent="0.25">
      <c r="A684" s="1">
        <v>2570</v>
      </c>
      <c r="B684" s="1">
        <v>3</v>
      </c>
      <c r="C684" s="1" t="s">
        <v>3</v>
      </c>
      <c r="D684" s="1">
        <v>7</v>
      </c>
      <c r="E684" s="1">
        <v>83.757999999999996</v>
      </c>
      <c r="F684" s="1">
        <v>0.99944900000000003</v>
      </c>
      <c r="G684" t="s">
        <v>1128</v>
      </c>
      <c r="H684" t="s">
        <v>1129</v>
      </c>
      <c r="I684" t="s">
        <v>4695</v>
      </c>
      <c r="J684" t="str">
        <f>"Choline transporter-like protein 4"</f>
        <v>Choline transporter-like protein 4</v>
      </c>
      <c r="K684" t="str">
        <f>"SLC44A4"</f>
        <v>SLC44A4</v>
      </c>
    </row>
    <row r="685" spans="1:11" x14ac:dyDescent="0.25">
      <c r="A685" s="1">
        <v>3069</v>
      </c>
      <c r="B685" s="1">
        <v>4</v>
      </c>
      <c r="C685" s="1" t="s">
        <v>3</v>
      </c>
      <c r="D685" s="1">
        <v>8</v>
      </c>
      <c r="E685" s="1">
        <v>97.69</v>
      </c>
      <c r="F685" s="1">
        <v>0.99995400000000001</v>
      </c>
      <c r="G685" t="s">
        <v>1130</v>
      </c>
      <c r="H685" t="s">
        <v>1131</v>
      </c>
      <c r="I685">
        <v>27</v>
      </c>
      <c r="J685" t="str">
        <f>"Metalloreductase STEAP1"</f>
        <v>Metalloreductase STEAP1</v>
      </c>
      <c r="K685" t="str">
        <f>"STEAP1"</f>
        <v>STEAP1</v>
      </c>
    </row>
    <row r="686" spans="1:11" x14ac:dyDescent="0.25">
      <c r="A686" s="1">
        <v>2073</v>
      </c>
      <c r="B686" s="1">
        <v>2</v>
      </c>
      <c r="C686" s="1" t="s">
        <v>3</v>
      </c>
      <c r="D686" s="1">
        <v>2</v>
      </c>
      <c r="E686" s="1">
        <v>126.52</v>
      </c>
      <c r="F686" s="1">
        <v>0.99999199999999999</v>
      </c>
      <c r="G686" t="s">
        <v>1132</v>
      </c>
      <c r="H686" t="s">
        <v>1133</v>
      </c>
      <c r="I686" t="s">
        <v>4696</v>
      </c>
      <c r="J686" t="str">
        <f>"Nicotinamide phosphoribosyltransferase"</f>
        <v>Nicotinamide phosphoribosyltransferase</v>
      </c>
      <c r="K686" t="str">
        <f>"NAMPT"</f>
        <v>NAMPT</v>
      </c>
    </row>
    <row r="687" spans="1:11" x14ac:dyDescent="0.25">
      <c r="A687" s="1">
        <v>2312</v>
      </c>
      <c r="B687" s="1">
        <v>2</v>
      </c>
      <c r="C687" s="1" t="s">
        <v>3</v>
      </c>
      <c r="D687" s="1">
        <v>1</v>
      </c>
      <c r="E687" s="1">
        <v>136.96</v>
      </c>
      <c r="F687" s="1">
        <v>1</v>
      </c>
      <c r="G687" t="s">
        <v>1134</v>
      </c>
      <c r="H687" t="s">
        <v>1135</v>
      </c>
      <c r="I687" t="s">
        <v>4697</v>
      </c>
      <c r="J687" t="str">
        <f>"ATP-dependent 6-phosphofructokinase, platelet type"</f>
        <v>ATP-dependent 6-phosphofructokinase, platelet type</v>
      </c>
      <c r="K687" t="str">
        <f>"PFKP"</f>
        <v>PFKP</v>
      </c>
    </row>
    <row r="688" spans="1:11" x14ac:dyDescent="0.25">
      <c r="A688" s="1">
        <v>1739</v>
      </c>
      <c r="B688" s="1">
        <v>2</v>
      </c>
      <c r="C688" s="1" t="s">
        <v>3</v>
      </c>
      <c r="D688" s="1">
        <v>6</v>
      </c>
      <c r="E688" s="1">
        <v>107.09</v>
      </c>
      <c r="F688" s="1">
        <v>0.99961199999999995</v>
      </c>
      <c r="G688" t="s">
        <v>1136</v>
      </c>
      <c r="H688" t="s">
        <v>1137</v>
      </c>
      <c r="I688">
        <v>227</v>
      </c>
      <c r="J688" t="str">
        <f>"60 kDa heat shock protein, mitochondrial"</f>
        <v>60 kDa heat shock protein, mitochondrial</v>
      </c>
      <c r="K688" t="str">
        <f>"HSPD1"</f>
        <v>HSPD1</v>
      </c>
    </row>
    <row r="689" spans="1:11" x14ac:dyDescent="0.25">
      <c r="A689" s="1">
        <v>2205</v>
      </c>
      <c r="B689" s="1">
        <v>3</v>
      </c>
      <c r="C689" s="1" t="s">
        <v>3</v>
      </c>
      <c r="D689" s="1">
        <v>11</v>
      </c>
      <c r="E689" s="1">
        <v>60.621000000000002</v>
      </c>
      <c r="F689" s="1">
        <v>0.99721199999999999</v>
      </c>
      <c r="G689" t="s">
        <v>1138</v>
      </c>
      <c r="H689" t="s">
        <v>1139</v>
      </c>
      <c r="I689" t="s">
        <v>4698</v>
      </c>
      <c r="J689" t="str">
        <f>"Breast cancer anti-estrogen resistance protein 1"</f>
        <v>Breast cancer anti-estrogen resistance protein 1</v>
      </c>
      <c r="K689" t="str">
        <f>"BCAR1"</f>
        <v>BCAR1</v>
      </c>
    </row>
    <row r="690" spans="1:11" x14ac:dyDescent="0.25">
      <c r="A690" s="1">
        <v>571</v>
      </c>
      <c r="B690" s="1">
        <v>2</v>
      </c>
      <c r="C690" s="1" t="s">
        <v>4</v>
      </c>
      <c r="D690" s="1">
        <v>10</v>
      </c>
      <c r="E690" s="1">
        <v>44.511000000000003</v>
      </c>
      <c r="F690" s="1">
        <v>0.57966300000000004</v>
      </c>
      <c r="G690" t="s">
        <v>1140</v>
      </c>
      <c r="H690" t="s">
        <v>683</v>
      </c>
      <c r="I690" t="s">
        <v>4699</v>
      </c>
      <c r="J690" t="str">
        <f>"Glutamate dehydrogenase 1, mitochondrial"</f>
        <v>Glutamate dehydrogenase 1, mitochondrial</v>
      </c>
      <c r="K690" t="str">
        <f>"GLUD1"</f>
        <v>GLUD1</v>
      </c>
    </row>
    <row r="691" spans="1:11" x14ac:dyDescent="0.25">
      <c r="A691" s="1">
        <v>2248</v>
      </c>
      <c r="B691" s="1">
        <v>2</v>
      </c>
      <c r="C691" s="1" t="s">
        <v>3</v>
      </c>
      <c r="D691" s="1">
        <v>10</v>
      </c>
      <c r="E691" s="1">
        <v>88.596000000000004</v>
      </c>
      <c r="F691" s="1">
        <v>1</v>
      </c>
      <c r="G691" t="s">
        <v>1141</v>
      </c>
      <c r="H691" t="s">
        <v>1142</v>
      </c>
      <c r="I691" t="s">
        <v>4700</v>
      </c>
      <c r="J691" t="str">
        <f>"26S protease regulatory subunit 4"</f>
        <v>26S protease regulatory subunit 4</v>
      </c>
      <c r="K691" t="str">
        <f>"PSMC1"</f>
        <v>PSMC1</v>
      </c>
    </row>
    <row r="692" spans="1:11" x14ac:dyDescent="0.25">
      <c r="A692" s="1">
        <v>1770</v>
      </c>
      <c r="B692" s="1">
        <v>4</v>
      </c>
      <c r="C692" s="1" t="s">
        <v>3</v>
      </c>
      <c r="D692" s="1">
        <v>1</v>
      </c>
      <c r="E692" s="1">
        <v>79.466999999999999</v>
      </c>
      <c r="F692" s="1">
        <v>1</v>
      </c>
      <c r="G692" t="s">
        <v>1143</v>
      </c>
      <c r="H692" t="s">
        <v>685</v>
      </c>
      <c r="I692">
        <v>374</v>
      </c>
      <c r="J692" t="str">
        <f>"Plastin-2"</f>
        <v>Plastin-2</v>
      </c>
      <c r="K692" t="str">
        <f>"LCP1"</f>
        <v>LCP1</v>
      </c>
    </row>
    <row r="693" spans="1:11" x14ac:dyDescent="0.25">
      <c r="A693" s="1">
        <v>3009</v>
      </c>
      <c r="B693" s="1">
        <v>3</v>
      </c>
      <c r="C693" s="1" t="s">
        <v>3</v>
      </c>
      <c r="D693" s="1">
        <v>6</v>
      </c>
      <c r="E693" s="1">
        <v>168.79</v>
      </c>
      <c r="F693" s="1">
        <v>0.96543599999999996</v>
      </c>
      <c r="G693" t="s">
        <v>1144</v>
      </c>
      <c r="H693" t="s">
        <v>1082</v>
      </c>
      <c r="I693">
        <v>93</v>
      </c>
      <c r="J693" t="str">
        <f>"14 kDa phosphohistidine phosphatase"</f>
        <v>14 kDa phosphohistidine phosphatase</v>
      </c>
      <c r="K693" t="str">
        <f>"PHPT1"</f>
        <v>PHPT1</v>
      </c>
    </row>
    <row r="694" spans="1:11" x14ac:dyDescent="0.25">
      <c r="A694" s="1">
        <v>2380</v>
      </c>
      <c r="B694" s="1">
        <v>5</v>
      </c>
      <c r="C694" s="1" t="s">
        <v>3</v>
      </c>
      <c r="D694" s="1">
        <v>31</v>
      </c>
      <c r="E694" s="1">
        <v>74.869</v>
      </c>
      <c r="F694" s="1">
        <v>0.69645900000000005</v>
      </c>
      <c r="G694" t="s">
        <v>1145</v>
      </c>
      <c r="H694" t="s">
        <v>1146</v>
      </c>
      <c r="I694" t="s">
        <v>4701</v>
      </c>
      <c r="J694" t="str">
        <f>"Interleukin enhancer-binding factor 3"</f>
        <v>Interleukin enhancer-binding factor 3</v>
      </c>
      <c r="K694" t="str">
        <f>"ILF3"</f>
        <v>ILF3</v>
      </c>
    </row>
    <row r="695" spans="1:11" x14ac:dyDescent="0.25">
      <c r="A695" s="1">
        <v>1667</v>
      </c>
      <c r="B695" s="1">
        <v>3</v>
      </c>
      <c r="C695" s="1" t="s">
        <v>3</v>
      </c>
      <c r="D695" s="1">
        <v>5</v>
      </c>
      <c r="E695" s="1">
        <v>113.53</v>
      </c>
      <c r="F695" s="1">
        <v>1</v>
      </c>
      <c r="G695" t="s">
        <v>1147</v>
      </c>
      <c r="H695" t="s">
        <v>1148</v>
      </c>
      <c r="I695" t="s">
        <v>4702</v>
      </c>
      <c r="J695" t="str">
        <f>"Heat shock protein HSP 90-alpha;Heat shock protein HSP 90-beta;Putative heat shock protein HSP 90-beta 2"</f>
        <v>Heat shock protein HSP 90-alpha;Heat shock protein HSP 90-beta;Putative heat shock protein HSP 90-beta 2</v>
      </c>
      <c r="K695" t="str">
        <f>"HSP90AA1;HSP90AB1;HSP90AB2P"</f>
        <v>HSP90AA1;HSP90AB1;HSP90AB2P</v>
      </c>
    </row>
    <row r="696" spans="1:11" x14ac:dyDescent="0.25">
      <c r="A696" s="1">
        <v>1716</v>
      </c>
      <c r="B696" s="1">
        <v>2</v>
      </c>
      <c r="C696" s="1" t="s">
        <v>3</v>
      </c>
      <c r="D696" s="1">
        <v>9</v>
      </c>
      <c r="E696" s="1">
        <v>66.055999999999997</v>
      </c>
      <c r="F696" s="1">
        <v>0.99999700000000002</v>
      </c>
      <c r="G696" t="s">
        <v>1149</v>
      </c>
      <c r="H696" t="s">
        <v>185</v>
      </c>
      <c r="I696" t="s">
        <v>4703</v>
      </c>
      <c r="J696" t="str">
        <f>"Annexin A4;Annexin"</f>
        <v>Annexin A4;Annexin</v>
      </c>
      <c r="K696" t="str">
        <f>"ANXA4"</f>
        <v>ANXA4</v>
      </c>
    </row>
    <row r="697" spans="1:11" x14ac:dyDescent="0.25">
      <c r="A697" s="1">
        <v>1822</v>
      </c>
      <c r="B697" s="1">
        <v>3</v>
      </c>
      <c r="C697" s="1" t="s">
        <v>3</v>
      </c>
      <c r="D697" s="1">
        <v>4</v>
      </c>
      <c r="E697" s="1">
        <v>73.13</v>
      </c>
      <c r="F697" s="1">
        <v>0.98149600000000004</v>
      </c>
      <c r="G697" t="s">
        <v>1150</v>
      </c>
      <c r="H697" t="s">
        <v>1151</v>
      </c>
      <c r="I697" t="s">
        <v>4704</v>
      </c>
      <c r="J697" t="str">
        <f>"ATP-dependent 6-phosphofructokinase, liver type"</f>
        <v>ATP-dependent 6-phosphofructokinase, liver type</v>
      </c>
      <c r="K697" t="str">
        <f>"PFKL"</f>
        <v>PFKL</v>
      </c>
    </row>
    <row r="698" spans="1:11" x14ac:dyDescent="0.25">
      <c r="A698" s="1">
        <v>2665</v>
      </c>
      <c r="B698" s="1">
        <v>4</v>
      </c>
      <c r="C698" s="1" t="s">
        <v>3</v>
      </c>
      <c r="D698" s="1">
        <v>13</v>
      </c>
      <c r="E698" s="1">
        <v>73.927999999999997</v>
      </c>
      <c r="F698" s="1">
        <v>0.98802900000000005</v>
      </c>
      <c r="G698" t="s">
        <v>1152</v>
      </c>
      <c r="H698" t="s">
        <v>1153</v>
      </c>
      <c r="I698" t="s">
        <v>4705</v>
      </c>
      <c r="J698" t="str">
        <f>"General receptor for phosphoinositides 1-associated scaffold protein"</f>
        <v>General receptor for phosphoinositides 1-associated scaffold protein</v>
      </c>
      <c r="K698" t="str">
        <f>"GRASP"</f>
        <v>GRASP</v>
      </c>
    </row>
    <row r="699" spans="1:11" x14ac:dyDescent="0.25">
      <c r="A699" s="1">
        <v>1216</v>
      </c>
      <c r="B699" s="1">
        <v>4</v>
      </c>
      <c r="C699" s="1" t="s">
        <v>3</v>
      </c>
      <c r="D699" s="1">
        <v>16</v>
      </c>
      <c r="E699" s="1">
        <v>89.721000000000004</v>
      </c>
      <c r="F699" s="1">
        <v>0.91756899999999997</v>
      </c>
      <c r="G699" t="s">
        <v>1154</v>
      </c>
      <c r="H699" t="s">
        <v>433</v>
      </c>
      <c r="I699" t="s">
        <v>4706</v>
      </c>
      <c r="J699" t="str">
        <f>"Tensin-1"</f>
        <v>Tensin-1</v>
      </c>
      <c r="K699" t="str">
        <f>"TNS1"</f>
        <v>TNS1</v>
      </c>
    </row>
    <row r="700" spans="1:11" x14ac:dyDescent="0.25">
      <c r="A700" s="1">
        <v>642</v>
      </c>
      <c r="B700" s="1">
        <v>3</v>
      </c>
      <c r="C700" s="1" t="s">
        <v>4</v>
      </c>
      <c r="D700" s="1">
        <v>7</v>
      </c>
      <c r="E700" s="1">
        <v>63.225000000000001</v>
      </c>
      <c r="F700" s="1">
        <v>0.67073000000000005</v>
      </c>
      <c r="G700" t="s">
        <v>1155</v>
      </c>
      <c r="H700" t="s">
        <v>169</v>
      </c>
      <c r="I700" t="s">
        <v>4707</v>
      </c>
      <c r="J700" t="str">
        <f>"Actin, cytoplasmic 1;Actin, cytoplasmic 1, N-terminally processed;Actin, cytoplasmic 2;Actin, cytoplasmic 2, N-terminally processed"</f>
        <v>Actin, cytoplasmic 1;Actin, cytoplasmic 1, N-terminally processed;Actin, cytoplasmic 2;Actin, cytoplasmic 2, N-terminally processed</v>
      </c>
      <c r="K700" t="str">
        <f>"ACTB;ACTG1"</f>
        <v>ACTB;ACTG1</v>
      </c>
    </row>
    <row r="701" spans="1:11" x14ac:dyDescent="0.25">
      <c r="A701" s="1">
        <v>1376</v>
      </c>
      <c r="B701" s="1">
        <v>2</v>
      </c>
      <c r="C701" s="1" t="s">
        <v>3</v>
      </c>
      <c r="D701" s="1">
        <v>3</v>
      </c>
      <c r="E701" s="1">
        <v>77.731999999999999</v>
      </c>
      <c r="F701" s="1">
        <v>0.99829900000000005</v>
      </c>
      <c r="G701" t="s">
        <v>1156</v>
      </c>
      <c r="H701" t="s">
        <v>1157</v>
      </c>
      <c r="I701" t="s">
        <v>4708</v>
      </c>
      <c r="J701" t="str">
        <f>"Tyrosine-protein kinase Yes;Tyrosine-protein kinase Fyn;Tyrosine-protein kinase Fgr"</f>
        <v>Tyrosine-protein kinase Yes;Tyrosine-protein kinase Fyn;Tyrosine-protein kinase Fgr</v>
      </c>
      <c r="K701" t="str">
        <f>"YES1;FYN;FGR"</f>
        <v>YES1;FYN;FGR</v>
      </c>
    </row>
    <row r="702" spans="1:11" x14ac:dyDescent="0.25">
      <c r="A702" s="1">
        <v>2841</v>
      </c>
      <c r="B702" s="1">
        <v>3</v>
      </c>
      <c r="C702" s="1" t="s">
        <v>3</v>
      </c>
      <c r="D702" s="1">
        <v>15</v>
      </c>
      <c r="E702" s="1">
        <v>195.36</v>
      </c>
      <c r="F702" s="1">
        <v>0.819747</v>
      </c>
      <c r="G702" t="s">
        <v>1158</v>
      </c>
      <c r="H702" t="s">
        <v>1159</v>
      </c>
      <c r="I702" t="s">
        <v>4709</v>
      </c>
      <c r="J702" t="str">
        <f>"SLAM family member 6"</f>
        <v>SLAM family member 6</v>
      </c>
      <c r="K702" t="str">
        <f>"SLAMF6"</f>
        <v>SLAMF6</v>
      </c>
    </row>
    <row r="703" spans="1:11" x14ac:dyDescent="0.25">
      <c r="A703" s="1">
        <v>3089</v>
      </c>
      <c r="B703" s="1">
        <v>3</v>
      </c>
      <c r="C703" s="1" t="s">
        <v>3</v>
      </c>
      <c r="D703" s="1">
        <v>5</v>
      </c>
      <c r="E703" s="1">
        <v>92.039000000000001</v>
      </c>
      <c r="F703" s="1">
        <v>1</v>
      </c>
      <c r="G703" t="s">
        <v>1160</v>
      </c>
      <c r="H703" t="s">
        <v>789</v>
      </c>
      <c r="I703" t="s">
        <v>4710</v>
      </c>
      <c r="J703" t="str">
        <f>"Mucin-12"</f>
        <v>Mucin-12</v>
      </c>
      <c r="K703" t="str">
        <f>"MUC12"</f>
        <v>MUC12</v>
      </c>
    </row>
    <row r="704" spans="1:11" x14ac:dyDescent="0.25">
      <c r="A704" s="1">
        <v>1777</v>
      </c>
      <c r="B704" s="1">
        <v>2</v>
      </c>
      <c r="C704" s="1" t="s">
        <v>3</v>
      </c>
      <c r="D704" s="1">
        <v>5</v>
      </c>
      <c r="E704" s="1">
        <v>113.62</v>
      </c>
      <c r="F704" s="1">
        <v>1</v>
      </c>
      <c r="G704" t="s">
        <v>1161</v>
      </c>
      <c r="H704" t="s">
        <v>1162</v>
      </c>
      <c r="I704" t="s">
        <v>4711</v>
      </c>
      <c r="J704" t="str">
        <f>"Neutrophil cytosol factor 1;Putative neutrophil cytosol factor 1B;Putative neutrophil cytosol factor 1C"</f>
        <v>Neutrophil cytosol factor 1;Putative neutrophil cytosol factor 1B;Putative neutrophil cytosol factor 1C</v>
      </c>
      <c r="K704" t="str">
        <f>"NCF1;NCF1B;NCF1C"</f>
        <v>NCF1;NCF1B;NCF1C</v>
      </c>
    </row>
    <row r="705" spans="1:11" x14ac:dyDescent="0.25">
      <c r="A705" s="1">
        <v>1080</v>
      </c>
      <c r="B705" s="1">
        <v>3</v>
      </c>
      <c r="C705" s="1" t="s">
        <v>3</v>
      </c>
      <c r="D705" s="1">
        <v>7</v>
      </c>
      <c r="E705" s="1">
        <v>130.29</v>
      </c>
      <c r="F705" s="1">
        <v>1</v>
      </c>
      <c r="G705" t="s">
        <v>1163</v>
      </c>
      <c r="H705" t="s">
        <v>336</v>
      </c>
      <c r="I705" t="s">
        <v>4712</v>
      </c>
      <c r="J705" t="str">
        <f>"GRB2-associated-binding protein 1"</f>
        <v>GRB2-associated-binding protein 1</v>
      </c>
      <c r="K705" t="str">
        <f>"GAB1"</f>
        <v>GAB1</v>
      </c>
    </row>
    <row r="706" spans="1:11" x14ac:dyDescent="0.25">
      <c r="A706" s="1">
        <v>1182</v>
      </c>
      <c r="B706" s="1">
        <v>2</v>
      </c>
      <c r="C706" s="1" t="s">
        <v>3</v>
      </c>
      <c r="D706" s="1">
        <v>12</v>
      </c>
      <c r="E706" s="1">
        <v>91.656999999999996</v>
      </c>
      <c r="F706" s="1">
        <v>0.95562000000000002</v>
      </c>
      <c r="G706" t="s">
        <v>1164</v>
      </c>
      <c r="H706" t="s">
        <v>1165</v>
      </c>
      <c r="I706" t="s">
        <v>4713</v>
      </c>
      <c r="J706" t="str">
        <f>"Ezrin"</f>
        <v>Ezrin</v>
      </c>
      <c r="K706" t="str">
        <f>"EZR"</f>
        <v>EZR</v>
      </c>
    </row>
    <row r="707" spans="1:11" x14ac:dyDescent="0.25">
      <c r="A707" s="1">
        <v>1074</v>
      </c>
      <c r="B707" s="1">
        <v>3</v>
      </c>
      <c r="C707" s="1" t="s">
        <v>3</v>
      </c>
      <c r="D707" s="1">
        <v>3</v>
      </c>
      <c r="E707" s="1">
        <v>101.3</v>
      </c>
      <c r="F707" s="1">
        <v>0.99927299999999997</v>
      </c>
      <c r="G707" t="s">
        <v>1166</v>
      </c>
      <c r="H707" t="s">
        <v>1167</v>
      </c>
      <c r="I707" t="s">
        <v>4714</v>
      </c>
      <c r="J707" t="str">
        <f>"GTP-binding nuclear protein Ran"</f>
        <v>GTP-binding nuclear protein Ran</v>
      </c>
      <c r="K707" t="str">
        <f>"RAN"</f>
        <v>RAN</v>
      </c>
    </row>
    <row r="708" spans="1:11" x14ac:dyDescent="0.25">
      <c r="A708" s="1">
        <v>1883</v>
      </c>
      <c r="B708" s="1">
        <v>2</v>
      </c>
      <c r="C708" s="1" t="s">
        <v>3</v>
      </c>
      <c r="D708" s="1">
        <v>3</v>
      </c>
      <c r="E708" s="1">
        <v>50.353999999999999</v>
      </c>
      <c r="F708" s="1">
        <v>0.99991699999999994</v>
      </c>
      <c r="G708" t="s">
        <v>1168</v>
      </c>
      <c r="H708" t="s">
        <v>1169</v>
      </c>
      <c r="I708" t="s">
        <v>4715</v>
      </c>
      <c r="J708" t="str">
        <f>"Multifunctional protein ADE2;Phosphoribosylaminoimidazole-succinocarboxamide synthase;Phosphoribosylaminoimidazole carboxylase"</f>
        <v>Multifunctional protein ADE2;Phosphoribosylaminoimidazole-succinocarboxamide synthase;Phosphoribosylaminoimidazole carboxylase</v>
      </c>
      <c r="K708" t="str">
        <f>"PAICS"</f>
        <v>PAICS</v>
      </c>
    </row>
    <row r="709" spans="1:11" x14ac:dyDescent="0.25">
      <c r="A709" s="1">
        <v>2168</v>
      </c>
      <c r="B709" s="1">
        <v>2</v>
      </c>
      <c r="C709" s="1" t="s">
        <v>3</v>
      </c>
      <c r="D709" s="1">
        <v>8</v>
      </c>
      <c r="E709" s="1">
        <v>59.728000000000002</v>
      </c>
      <c r="F709" s="1">
        <v>0.778034</v>
      </c>
      <c r="G709" t="s">
        <v>1170</v>
      </c>
      <c r="H709" t="s">
        <v>1171</v>
      </c>
      <c r="I709">
        <v>21</v>
      </c>
      <c r="J709" t="str">
        <f>"Ribonuclease UK114"</f>
        <v>Ribonuclease UK114</v>
      </c>
      <c r="K709" t="str">
        <f>"HRSP12"</f>
        <v>HRSP12</v>
      </c>
    </row>
    <row r="710" spans="1:11" x14ac:dyDescent="0.25">
      <c r="A710" s="1">
        <v>3093</v>
      </c>
      <c r="B710" s="1">
        <v>2</v>
      </c>
      <c r="C710" s="1" t="s">
        <v>3</v>
      </c>
      <c r="D710" s="1">
        <v>7</v>
      </c>
      <c r="E710" s="1">
        <v>167.32</v>
      </c>
      <c r="F710" s="1">
        <v>1</v>
      </c>
      <c r="G710" t="s">
        <v>1172</v>
      </c>
      <c r="H710" t="s">
        <v>1173</v>
      </c>
      <c r="I710" t="s">
        <v>4716</v>
      </c>
      <c r="J710" t="str">
        <f>"Protein CDV3 homolog"</f>
        <v>Protein CDV3 homolog</v>
      </c>
      <c r="K710" t="str">
        <f>"CDV3"</f>
        <v>CDV3</v>
      </c>
    </row>
    <row r="711" spans="1:11" x14ac:dyDescent="0.25">
      <c r="A711" s="1">
        <v>1575</v>
      </c>
      <c r="B711" s="1">
        <v>3</v>
      </c>
      <c r="C711" s="1" t="s">
        <v>3</v>
      </c>
      <c r="D711" s="1">
        <v>4</v>
      </c>
      <c r="E711" s="1">
        <v>73.278999999999996</v>
      </c>
      <c r="F711" s="1">
        <v>0.99997899999999995</v>
      </c>
      <c r="G711" t="s">
        <v>1174</v>
      </c>
      <c r="H711" t="s">
        <v>1175</v>
      </c>
      <c r="I711">
        <v>131</v>
      </c>
      <c r="J711" t="str">
        <f>"Diphosphoinositol polyphosphate phosphohydrolase 1"</f>
        <v>Diphosphoinositol polyphosphate phosphohydrolase 1</v>
      </c>
      <c r="K711" t="str">
        <f>"NUDT3"</f>
        <v>NUDT3</v>
      </c>
    </row>
    <row r="712" spans="1:11" x14ac:dyDescent="0.25">
      <c r="A712" s="1">
        <v>247</v>
      </c>
      <c r="B712" s="1">
        <v>4</v>
      </c>
      <c r="C712" s="1" t="s">
        <v>5</v>
      </c>
      <c r="D712" s="1">
        <v>12</v>
      </c>
      <c r="E712" s="1">
        <v>103.13</v>
      </c>
      <c r="F712" s="1">
        <v>0.55995700000000004</v>
      </c>
      <c r="G712" t="s">
        <v>1176</v>
      </c>
      <c r="H712" t="s">
        <v>528</v>
      </c>
      <c r="I712" t="s">
        <v>4717</v>
      </c>
      <c r="J712" t="str">
        <f>"Tyrosine-protein kinase FRK"</f>
        <v>Tyrosine-protein kinase FRK</v>
      </c>
      <c r="K712" t="str">
        <f>"FRK"</f>
        <v>FRK</v>
      </c>
    </row>
    <row r="713" spans="1:11" x14ac:dyDescent="0.25">
      <c r="A713" s="1">
        <v>1063</v>
      </c>
      <c r="B713" s="1">
        <v>2</v>
      </c>
      <c r="C713" s="1" t="s">
        <v>3</v>
      </c>
      <c r="D713" s="1">
        <v>4</v>
      </c>
      <c r="E713" s="1">
        <v>120.77</v>
      </c>
      <c r="F713" s="1">
        <v>0.99999800000000005</v>
      </c>
      <c r="G713" t="s">
        <v>1177</v>
      </c>
      <c r="H713" t="s">
        <v>1178</v>
      </c>
      <c r="I713" t="s">
        <v>4718</v>
      </c>
      <c r="J713" t="str">
        <f>"2-methoxy-6-polyprenyl-1,4-benzoquinol methylase, mitochondrial"</f>
        <v>2-methoxy-6-polyprenyl-1,4-benzoquinol methylase, mitochondrial</v>
      </c>
      <c r="K713" t="str">
        <f>"COQ5"</f>
        <v>COQ5</v>
      </c>
    </row>
    <row r="714" spans="1:11" x14ac:dyDescent="0.25">
      <c r="A714" s="1">
        <v>2861</v>
      </c>
      <c r="B714" s="1">
        <v>3</v>
      </c>
      <c r="C714" s="1" t="s">
        <v>3</v>
      </c>
      <c r="D714" s="1">
        <v>3</v>
      </c>
      <c r="E714" s="1">
        <v>132.65</v>
      </c>
      <c r="F714" s="1">
        <v>0.95324399999999998</v>
      </c>
      <c r="G714" t="s">
        <v>1179</v>
      </c>
      <c r="H714" t="s">
        <v>1180</v>
      </c>
      <c r="I714" t="s">
        <v>4719</v>
      </c>
      <c r="J714" t="str">
        <f>"Cytosolic non-specific dipeptidase"</f>
        <v>Cytosolic non-specific dipeptidase</v>
      </c>
      <c r="K714" t="str">
        <f>"CNDP2"</f>
        <v>CNDP2</v>
      </c>
    </row>
    <row r="715" spans="1:11" x14ac:dyDescent="0.25">
      <c r="A715" s="1">
        <v>1926</v>
      </c>
      <c r="B715" s="1">
        <v>3</v>
      </c>
      <c r="C715" s="1" t="s">
        <v>3</v>
      </c>
      <c r="D715" s="1">
        <v>9</v>
      </c>
      <c r="E715" s="1">
        <v>61.276000000000003</v>
      </c>
      <c r="F715" s="1">
        <v>0.99561299999999997</v>
      </c>
      <c r="G715" t="s">
        <v>1181</v>
      </c>
      <c r="H715" t="s">
        <v>1182</v>
      </c>
      <c r="I715" t="s">
        <v>4720</v>
      </c>
      <c r="J715" t="str">
        <f>"Proteasome subunit alpha type-2"</f>
        <v>Proteasome subunit alpha type-2</v>
      </c>
      <c r="K715" t="str">
        <f>"PSMA2"</f>
        <v>PSMA2</v>
      </c>
    </row>
    <row r="716" spans="1:11" x14ac:dyDescent="0.25">
      <c r="A716" s="1">
        <v>3100</v>
      </c>
      <c r="B716" s="1">
        <v>5</v>
      </c>
      <c r="C716" s="1" t="s">
        <v>3</v>
      </c>
      <c r="D716" s="1">
        <v>20</v>
      </c>
      <c r="E716" s="1">
        <v>106.11</v>
      </c>
      <c r="F716" s="1">
        <v>0.999969</v>
      </c>
      <c r="G716" t="s">
        <v>1183</v>
      </c>
      <c r="H716" t="s">
        <v>1184</v>
      </c>
      <c r="I716" t="s">
        <v>4240</v>
      </c>
      <c r="J716" t="str">
        <f>"Ras GTPase-activating protein-binding protein 2"</f>
        <v>Ras GTPase-activating protein-binding protein 2</v>
      </c>
      <c r="K716" t="str">
        <f>"G3BP2"</f>
        <v>G3BP2</v>
      </c>
    </row>
    <row r="717" spans="1:11" x14ac:dyDescent="0.25">
      <c r="A717" s="1">
        <v>321</v>
      </c>
      <c r="B717" s="1">
        <v>3</v>
      </c>
      <c r="C717" s="1" t="s">
        <v>5</v>
      </c>
      <c r="D717" s="1">
        <v>21</v>
      </c>
      <c r="E717" s="1">
        <v>59.975000000000001</v>
      </c>
      <c r="F717" s="1">
        <v>0.66623600000000005</v>
      </c>
      <c r="G717" t="s">
        <v>1185</v>
      </c>
      <c r="H717" t="s">
        <v>16</v>
      </c>
      <c r="I717">
        <v>852</v>
      </c>
      <c r="J717" t="str">
        <f>"Serine/threonine-protein kinase PRP4 homolog"</f>
        <v>Serine/threonine-protein kinase PRP4 homolog</v>
      </c>
      <c r="K717" t="str">
        <f>"PRPF4B"</f>
        <v>PRPF4B</v>
      </c>
    </row>
    <row r="718" spans="1:11" x14ac:dyDescent="0.25">
      <c r="A718" s="1">
        <v>3072</v>
      </c>
      <c r="B718" s="1">
        <v>3</v>
      </c>
      <c r="C718" s="1" t="s">
        <v>3</v>
      </c>
      <c r="D718" s="1">
        <v>2</v>
      </c>
      <c r="E718" s="1">
        <v>139.11000000000001</v>
      </c>
      <c r="F718" s="1">
        <v>0.99621000000000004</v>
      </c>
      <c r="G718" t="s">
        <v>1186</v>
      </c>
      <c r="H718" t="s">
        <v>1187</v>
      </c>
      <c r="I718">
        <v>293</v>
      </c>
      <c r="J718" t="str">
        <f>"Brain-specific angiogenesis inhibitor 1-associated protein 2-like protein 1"</f>
        <v>Brain-specific angiogenesis inhibitor 1-associated protein 2-like protein 1</v>
      </c>
      <c r="K718" t="str">
        <f>"BAIAP2L1"</f>
        <v>BAIAP2L1</v>
      </c>
    </row>
    <row r="719" spans="1:11" x14ac:dyDescent="0.25">
      <c r="A719" s="1">
        <v>428</v>
      </c>
      <c r="B719" s="1">
        <v>3</v>
      </c>
      <c r="C719" s="1" t="s">
        <v>5</v>
      </c>
      <c r="D719" s="1">
        <v>3</v>
      </c>
      <c r="E719" s="1">
        <v>130.15</v>
      </c>
      <c r="F719" s="1">
        <v>0.99839900000000004</v>
      </c>
      <c r="G719" t="s">
        <v>1188</v>
      </c>
      <c r="H719" t="s">
        <v>1189</v>
      </c>
      <c r="I719" t="s">
        <v>4721</v>
      </c>
      <c r="J719" t="str">
        <f>"SH2 domain-containing protein 3A"</f>
        <v>SH2 domain-containing protein 3A</v>
      </c>
      <c r="K719" t="str">
        <f>"SH2D3A"</f>
        <v>SH2D3A</v>
      </c>
    </row>
    <row r="720" spans="1:11" x14ac:dyDescent="0.25">
      <c r="A720" s="1">
        <v>2925</v>
      </c>
      <c r="B720" s="1">
        <v>3</v>
      </c>
      <c r="C720" s="1" t="s">
        <v>3</v>
      </c>
      <c r="D720" s="1">
        <v>16</v>
      </c>
      <c r="E720" s="1">
        <v>130.15</v>
      </c>
      <c r="F720" s="1">
        <v>0.89241800000000004</v>
      </c>
      <c r="G720" t="s">
        <v>1188</v>
      </c>
      <c r="H720" t="s">
        <v>1189</v>
      </c>
      <c r="I720" t="s">
        <v>4722</v>
      </c>
      <c r="J720" t="str">
        <f>"SH2 domain-containing protein 3A"</f>
        <v>SH2 domain-containing protein 3A</v>
      </c>
      <c r="K720" t="str">
        <f>"SH2D3A"</f>
        <v>SH2D3A</v>
      </c>
    </row>
    <row r="721" spans="1:11" x14ac:dyDescent="0.25">
      <c r="A721" s="1">
        <v>1814</v>
      </c>
      <c r="B721" s="1">
        <v>3</v>
      </c>
      <c r="C721" s="1" t="s">
        <v>3</v>
      </c>
      <c r="D721" s="1">
        <v>15</v>
      </c>
      <c r="E721" s="1">
        <v>55.704999999999998</v>
      </c>
      <c r="F721" s="1">
        <v>1</v>
      </c>
      <c r="G721" t="s">
        <v>1190</v>
      </c>
      <c r="H721" t="s">
        <v>1191</v>
      </c>
      <c r="I721" t="s">
        <v>4723</v>
      </c>
      <c r="J721" t="str">
        <f>"Tyrosine-protein kinase Fer"</f>
        <v>Tyrosine-protein kinase Fer</v>
      </c>
      <c r="K721" t="str">
        <f>"FER"</f>
        <v>FER</v>
      </c>
    </row>
    <row r="722" spans="1:11" x14ac:dyDescent="0.25">
      <c r="A722" s="1">
        <v>2373</v>
      </c>
      <c r="B722" s="1">
        <v>2</v>
      </c>
      <c r="C722" s="1" t="s">
        <v>3</v>
      </c>
      <c r="D722" s="1">
        <v>7</v>
      </c>
      <c r="E722" s="1">
        <v>81.971999999999994</v>
      </c>
      <c r="F722" s="1">
        <v>0.99998699999999996</v>
      </c>
      <c r="G722" t="s">
        <v>1192</v>
      </c>
      <c r="H722" t="s">
        <v>1193</v>
      </c>
      <c r="I722" t="s">
        <v>4724</v>
      </c>
      <c r="J722" t="str">
        <f>"Small cell adhesion glycoprotein"</f>
        <v>Small cell adhesion glycoprotein</v>
      </c>
      <c r="K722" t="str">
        <f>"SMAGP"</f>
        <v>SMAGP</v>
      </c>
    </row>
    <row r="723" spans="1:11" x14ac:dyDescent="0.25">
      <c r="A723" s="1">
        <v>1306</v>
      </c>
      <c r="B723" s="1">
        <v>3</v>
      </c>
      <c r="C723" s="1" t="s">
        <v>3</v>
      </c>
      <c r="D723" s="1">
        <v>11</v>
      </c>
      <c r="E723" s="1">
        <v>105.06</v>
      </c>
      <c r="F723" s="1">
        <v>0.99995100000000003</v>
      </c>
      <c r="G723" t="s">
        <v>1194</v>
      </c>
      <c r="H723" t="s">
        <v>1195</v>
      </c>
      <c r="I723" t="s">
        <v>4725</v>
      </c>
      <c r="J723" t="str">
        <f>"Receptor-type tyrosine-protein phosphatase beta"</f>
        <v>Receptor-type tyrosine-protein phosphatase beta</v>
      </c>
      <c r="K723" t="str">
        <f>"IGFL2;PTPRB"</f>
        <v>IGFL2;PTPRB</v>
      </c>
    </row>
    <row r="724" spans="1:11" x14ac:dyDescent="0.25">
      <c r="A724" s="1">
        <v>2285</v>
      </c>
      <c r="B724" s="1">
        <v>3</v>
      </c>
      <c r="C724" s="1" t="s">
        <v>3</v>
      </c>
      <c r="D724" s="1">
        <v>5</v>
      </c>
      <c r="E724" s="1">
        <v>81.853999999999999</v>
      </c>
      <c r="F724" s="1">
        <v>0.999973</v>
      </c>
      <c r="G724" t="s">
        <v>1196</v>
      </c>
      <c r="H724" t="s">
        <v>880</v>
      </c>
      <c r="I724" t="s">
        <v>4726</v>
      </c>
      <c r="J724" t="str">
        <f>"Tubulin alpha-1B chain;Tubulin alpha-4A chain;Tubulin alpha-1A chain;Tubulin alpha-3C/D chain;Tubulin alpha-3E chain;Tubulin alpha-1C chain"</f>
        <v>Tubulin alpha-1B chain;Tubulin alpha-4A chain;Tubulin alpha-1A chain;Tubulin alpha-3C/D chain;Tubulin alpha-3E chain;Tubulin alpha-1C chain</v>
      </c>
      <c r="K724" t="str">
        <f>"TUBA1B;TUBA4A;TUBA1A;TUBA3C;TUBA3E;TUBA1C"</f>
        <v>TUBA1B;TUBA4A;TUBA1A;TUBA3C;TUBA3E;TUBA1C</v>
      </c>
    </row>
    <row r="725" spans="1:11" x14ac:dyDescent="0.25">
      <c r="A725" s="1">
        <v>1578</v>
      </c>
      <c r="B725" s="1">
        <v>3</v>
      </c>
      <c r="C725" s="1" t="s">
        <v>3</v>
      </c>
      <c r="D725" s="1">
        <v>16</v>
      </c>
      <c r="E725" s="1">
        <v>93.804000000000002</v>
      </c>
      <c r="F725" s="1">
        <v>1</v>
      </c>
      <c r="G725" t="s">
        <v>1197</v>
      </c>
      <c r="H725" t="s">
        <v>1198</v>
      </c>
      <c r="I725">
        <v>35</v>
      </c>
      <c r="J725" t="str">
        <f>"Alcohol dehydrogenase 1B"</f>
        <v>Alcohol dehydrogenase 1B</v>
      </c>
      <c r="K725" t="str">
        <f>"ADH1B"</f>
        <v>ADH1B</v>
      </c>
    </row>
    <row r="726" spans="1:11" x14ac:dyDescent="0.25">
      <c r="A726" s="1">
        <v>1612</v>
      </c>
      <c r="B726" s="1">
        <v>2</v>
      </c>
      <c r="C726" s="1" t="s">
        <v>3</v>
      </c>
      <c r="D726" s="1">
        <v>6</v>
      </c>
      <c r="E726" s="1">
        <v>60.597999999999999</v>
      </c>
      <c r="F726" s="1">
        <v>0.95196999999999998</v>
      </c>
      <c r="G726" t="s">
        <v>1199</v>
      </c>
      <c r="H726" t="s">
        <v>1200</v>
      </c>
      <c r="I726">
        <v>536</v>
      </c>
      <c r="J726" t="str">
        <f>"Serotransferrin"</f>
        <v>Serotransferrin</v>
      </c>
      <c r="K726" t="str">
        <f>"TF"</f>
        <v>TF</v>
      </c>
    </row>
    <row r="727" spans="1:11" x14ac:dyDescent="0.25">
      <c r="A727" s="1">
        <v>1087</v>
      </c>
      <c r="B727" s="1">
        <v>3</v>
      </c>
      <c r="C727" s="1" t="s">
        <v>3</v>
      </c>
      <c r="D727" s="1">
        <v>8</v>
      </c>
      <c r="E727" s="1">
        <v>122.94</v>
      </c>
      <c r="F727" s="1">
        <v>0.99885900000000005</v>
      </c>
      <c r="G727" t="s">
        <v>1201</v>
      </c>
      <c r="H727" t="s">
        <v>1202</v>
      </c>
      <c r="I727" t="s">
        <v>4727</v>
      </c>
      <c r="J727" t="str">
        <f>"Scavenger receptor class B member 1"</f>
        <v>Scavenger receptor class B member 1</v>
      </c>
      <c r="K727" t="str">
        <f>"SCARB1"</f>
        <v>SCARB1</v>
      </c>
    </row>
    <row r="728" spans="1:11" x14ac:dyDescent="0.25">
      <c r="A728" s="1">
        <v>445</v>
      </c>
      <c r="B728" s="1">
        <v>3</v>
      </c>
      <c r="C728" s="1" t="s">
        <v>5</v>
      </c>
      <c r="D728" s="1">
        <v>3</v>
      </c>
      <c r="E728" s="1">
        <v>41.115000000000002</v>
      </c>
      <c r="F728" s="1">
        <v>1</v>
      </c>
      <c r="G728" t="s">
        <v>825</v>
      </c>
      <c r="H728" t="s">
        <v>826</v>
      </c>
      <c r="I728" t="s">
        <v>4728</v>
      </c>
      <c r="J728" t="str">
        <f>"Inner centromere protein"</f>
        <v>Inner centromere protein</v>
      </c>
      <c r="K728" t="str">
        <f>"INCENP"</f>
        <v>INCENP</v>
      </c>
    </row>
    <row r="729" spans="1:11" x14ac:dyDescent="0.25">
      <c r="A729" s="1">
        <v>1571</v>
      </c>
      <c r="B729" s="1">
        <v>3</v>
      </c>
      <c r="C729" s="1" t="s">
        <v>3</v>
      </c>
      <c r="D729" s="1">
        <v>2</v>
      </c>
      <c r="E729" s="1">
        <v>84.753</v>
      </c>
      <c r="F729" s="1">
        <v>0.999977</v>
      </c>
      <c r="G729" t="s">
        <v>1203</v>
      </c>
      <c r="H729" t="s">
        <v>462</v>
      </c>
      <c r="I729">
        <v>205</v>
      </c>
      <c r="J729" t="str">
        <f>"BAG family molecular chaperone regulator 3"</f>
        <v>BAG family molecular chaperone regulator 3</v>
      </c>
      <c r="K729" t="str">
        <f>"BAG3"</f>
        <v>BAG3</v>
      </c>
    </row>
    <row r="730" spans="1:11" x14ac:dyDescent="0.25">
      <c r="A730" s="1">
        <v>2298</v>
      </c>
      <c r="B730" s="1">
        <v>3</v>
      </c>
      <c r="C730" s="1" t="s">
        <v>3</v>
      </c>
      <c r="D730" s="1">
        <v>11</v>
      </c>
      <c r="E730" s="1">
        <v>121.24</v>
      </c>
      <c r="F730" s="1">
        <v>0.981012</v>
      </c>
      <c r="G730" t="s">
        <v>1204</v>
      </c>
      <c r="H730" t="s">
        <v>1205</v>
      </c>
      <c r="I730">
        <v>127</v>
      </c>
      <c r="J730" t="str">
        <f>"Putative RNA-binding protein 3"</f>
        <v>Putative RNA-binding protein 3</v>
      </c>
      <c r="K730" t="str">
        <f>"RBM3"</f>
        <v>RBM3</v>
      </c>
    </row>
    <row r="731" spans="1:11" x14ac:dyDescent="0.25">
      <c r="A731" s="1">
        <v>1394</v>
      </c>
      <c r="B731" s="1">
        <v>3</v>
      </c>
      <c r="C731" s="1" t="s">
        <v>3</v>
      </c>
      <c r="D731" s="1">
        <v>8</v>
      </c>
      <c r="E731" s="1">
        <v>81.632000000000005</v>
      </c>
      <c r="F731" s="1">
        <v>0.99803900000000001</v>
      </c>
      <c r="G731" t="s">
        <v>1206</v>
      </c>
      <c r="H731" t="s">
        <v>465</v>
      </c>
      <c r="I731" t="s">
        <v>4729</v>
      </c>
      <c r="J731" t="str">
        <f>"TYRO protein tyrosine kinase-binding protein"</f>
        <v>TYRO protein tyrosine kinase-binding protein</v>
      </c>
      <c r="K731" t="str">
        <f>"TYROBP"</f>
        <v>TYROBP</v>
      </c>
    </row>
    <row r="732" spans="1:11" x14ac:dyDescent="0.25">
      <c r="A732" s="1">
        <v>500</v>
      </c>
      <c r="B732" s="1">
        <v>3</v>
      </c>
      <c r="C732" s="1" t="s">
        <v>4</v>
      </c>
      <c r="D732" s="1">
        <v>6</v>
      </c>
      <c r="E732" s="1">
        <v>50.305</v>
      </c>
      <c r="F732" s="1">
        <v>1</v>
      </c>
      <c r="G732" t="s">
        <v>154</v>
      </c>
      <c r="H732" t="s">
        <v>155</v>
      </c>
      <c r="I732" t="s">
        <v>4730</v>
      </c>
      <c r="J732" t="str">
        <f>"G-protein coupled receptor family C group 5 member C"</f>
        <v>G-protein coupled receptor family C group 5 member C</v>
      </c>
      <c r="K732" t="str">
        <f>"GPRC5C"</f>
        <v>GPRC5C</v>
      </c>
    </row>
    <row r="733" spans="1:11" x14ac:dyDescent="0.25">
      <c r="A733" s="1">
        <v>2789</v>
      </c>
      <c r="B733" s="1">
        <v>2</v>
      </c>
      <c r="C733" s="1" t="s">
        <v>3</v>
      </c>
      <c r="D733" s="1">
        <v>12</v>
      </c>
      <c r="E733" s="1">
        <v>82.650999999999996</v>
      </c>
      <c r="F733" s="1">
        <v>1</v>
      </c>
      <c r="G733" t="s">
        <v>1207</v>
      </c>
      <c r="H733" t="s">
        <v>1208</v>
      </c>
      <c r="I733" t="s">
        <v>4731</v>
      </c>
      <c r="J733" t="str">
        <f>"Protein POF1B"</f>
        <v>Protein POF1B</v>
      </c>
      <c r="K733" t="str">
        <f>"POF1B"</f>
        <v>POF1B</v>
      </c>
    </row>
    <row r="734" spans="1:11" x14ac:dyDescent="0.25">
      <c r="A734" s="1">
        <v>1149</v>
      </c>
      <c r="B734" s="1">
        <v>3</v>
      </c>
      <c r="C734" s="1" t="s">
        <v>3</v>
      </c>
      <c r="D734" s="1">
        <v>1</v>
      </c>
      <c r="E734" s="1">
        <v>108.47</v>
      </c>
      <c r="F734" s="1">
        <v>0.99999800000000005</v>
      </c>
      <c r="G734" t="s">
        <v>1209</v>
      </c>
      <c r="H734" t="s">
        <v>1210</v>
      </c>
      <c r="I734">
        <v>302</v>
      </c>
      <c r="J734" t="str">
        <f>""</f>
        <v/>
      </c>
      <c r="K734" t="str">
        <f>""</f>
        <v/>
      </c>
    </row>
    <row r="735" spans="1:11" x14ac:dyDescent="0.25">
      <c r="A735" s="1">
        <v>2620</v>
      </c>
      <c r="B735" s="1">
        <v>2</v>
      </c>
      <c r="C735" s="1" t="s">
        <v>3</v>
      </c>
      <c r="D735" s="1">
        <v>9</v>
      </c>
      <c r="E735" s="1">
        <v>102.4</v>
      </c>
      <c r="F735" s="1">
        <v>0.99993900000000002</v>
      </c>
      <c r="G735" t="s">
        <v>1211</v>
      </c>
      <c r="H735" t="s">
        <v>51</v>
      </c>
      <c r="I735" t="s">
        <v>4732</v>
      </c>
      <c r="J735" t="str">
        <f>"Tensin-like C1 domain-containing phosphatase"</f>
        <v>Tensin-like C1 domain-containing phosphatase</v>
      </c>
      <c r="K735" t="str">
        <f>"TENC1"</f>
        <v>TENC1</v>
      </c>
    </row>
    <row r="736" spans="1:11" x14ac:dyDescent="0.25">
      <c r="A736" s="1">
        <v>3044</v>
      </c>
      <c r="B736" s="1">
        <v>3</v>
      </c>
      <c r="C736" s="1" t="s">
        <v>3</v>
      </c>
      <c r="D736" s="1">
        <v>8</v>
      </c>
      <c r="E736" s="1">
        <v>97.69</v>
      </c>
      <c r="F736" s="1">
        <v>0.79724700000000004</v>
      </c>
      <c r="G736" t="s">
        <v>1212</v>
      </c>
      <c r="H736" t="s">
        <v>1213</v>
      </c>
      <c r="I736" t="s">
        <v>4733</v>
      </c>
      <c r="J736" t="str">
        <f>"Myoferlin"</f>
        <v>Myoferlin</v>
      </c>
      <c r="K736" t="str">
        <f>"MYOF"</f>
        <v>MYOF</v>
      </c>
    </row>
    <row r="737" spans="1:11" x14ac:dyDescent="0.25">
      <c r="A737" s="1">
        <v>504</v>
      </c>
      <c r="B737" s="1">
        <v>3</v>
      </c>
      <c r="C737" s="1" t="s">
        <v>4</v>
      </c>
      <c r="D737" s="1">
        <v>11</v>
      </c>
      <c r="E737" s="1">
        <v>92.097999999999999</v>
      </c>
      <c r="F737" s="1">
        <v>0.54655799999999999</v>
      </c>
      <c r="G737" t="s">
        <v>1214</v>
      </c>
      <c r="H737" t="s">
        <v>478</v>
      </c>
      <c r="I737" t="s">
        <v>4734</v>
      </c>
      <c r="J737" t="str">
        <f>"Spectrin alpha chain, non-erythrocytic 1"</f>
        <v>Spectrin alpha chain, non-erythrocytic 1</v>
      </c>
      <c r="K737" t="str">
        <f>"SPTAN1"</f>
        <v>SPTAN1</v>
      </c>
    </row>
    <row r="738" spans="1:11" x14ac:dyDescent="0.25">
      <c r="A738" s="1">
        <v>1001</v>
      </c>
      <c r="B738" s="1">
        <v>3</v>
      </c>
      <c r="C738" s="1" t="s">
        <v>3</v>
      </c>
      <c r="D738" s="1">
        <v>2</v>
      </c>
      <c r="E738" s="1">
        <v>126.09</v>
      </c>
      <c r="F738" s="1">
        <v>0.99995199999999995</v>
      </c>
      <c r="G738" t="s">
        <v>1215</v>
      </c>
      <c r="H738" t="s">
        <v>1216</v>
      </c>
      <c r="I738" t="s">
        <v>4735</v>
      </c>
      <c r="J738" t="str">
        <f>"Copine-1"</f>
        <v>Copine-1</v>
      </c>
      <c r="K738" t="str">
        <f>"CPNE1"</f>
        <v>CPNE1</v>
      </c>
    </row>
    <row r="739" spans="1:11" x14ac:dyDescent="0.25">
      <c r="A739" s="1">
        <v>2016</v>
      </c>
      <c r="B739" s="1">
        <v>2</v>
      </c>
      <c r="C739" s="1" t="s">
        <v>3</v>
      </c>
      <c r="D739" s="1">
        <v>7</v>
      </c>
      <c r="E739" s="1">
        <v>117.79</v>
      </c>
      <c r="F739" s="1">
        <v>0.99953400000000003</v>
      </c>
      <c r="G739" t="s">
        <v>1217</v>
      </c>
      <c r="H739" t="s">
        <v>1054</v>
      </c>
      <c r="I739">
        <v>202</v>
      </c>
      <c r="J739" t="str">
        <f>"Eukaryotic initiation factor 4A-III;Eukaryotic initiation factor 4A-III, N-terminally processed"</f>
        <v>Eukaryotic initiation factor 4A-III;Eukaryotic initiation factor 4A-III, N-terminally processed</v>
      </c>
      <c r="K739" t="str">
        <f>"EIF4A3"</f>
        <v>EIF4A3</v>
      </c>
    </row>
    <row r="740" spans="1:11" x14ac:dyDescent="0.25">
      <c r="A740" s="1">
        <v>3054</v>
      </c>
      <c r="B740" s="1">
        <v>3</v>
      </c>
      <c r="C740" s="1" t="s">
        <v>3</v>
      </c>
      <c r="D740" s="1">
        <v>22</v>
      </c>
      <c r="E740" s="1">
        <v>112.48</v>
      </c>
      <c r="F740" s="1">
        <v>0.78196500000000002</v>
      </c>
      <c r="G740" t="s">
        <v>1218</v>
      </c>
      <c r="H740" t="s">
        <v>1219</v>
      </c>
      <c r="I740" t="s">
        <v>4736</v>
      </c>
      <c r="J740" t="str">
        <f>"Cingulin"</f>
        <v>Cingulin</v>
      </c>
      <c r="K740" t="str">
        <f>"CGN"</f>
        <v>CGN</v>
      </c>
    </row>
    <row r="741" spans="1:11" x14ac:dyDescent="0.25">
      <c r="A741" s="1">
        <v>1574</v>
      </c>
      <c r="B741" s="1">
        <v>3</v>
      </c>
      <c r="C741" s="1" t="s">
        <v>3</v>
      </c>
      <c r="D741" s="1">
        <v>13</v>
      </c>
      <c r="E741" s="1">
        <v>78.504999999999995</v>
      </c>
      <c r="F741" s="1">
        <v>0.96545800000000004</v>
      </c>
      <c r="G741" t="s">
        <v>1220</v>
      </c>
      <c r="H741" t="s">
        <v>1221</v>
      </c>
      <c r="I741">
        <v>210</v>
      </c>
      <c r="J741" t="str">
        <f>"Claudin-1"</f>
        <v>Claudin-1</v>
      </c>
      <c r="K741" t="str">
        <f>"CLDN1"</f>
        <v>CLDN1</v>
      </c>
    </row>
    <row r="742" spans="1:11" x14ac:dyDescent="0.25">
      <c r="A742" s="1">
        <v>2135</v>
      </c>
      <c r="B742" s="1">
        <v>3</v>
      </c>
      <c r="C742" s="1" t="s">
        <v>3</v>
      </c>
      <c r="D742" s="1">
        <v>3</v>
      </c>
      <c r="E742" s="1">
        <v>93.424000000000007</v>
      </c>
      <c r="F742" s="1">
        <v>0.99417</v>
      </c>
      <c r="G742" t="s">
        <v>1222</v>
      </c>
      <c r="H742" t="s">
        <v>1223</v>
      </c>
      <c r="I742" t="s">
        <v>4737</v>
      </c>
      <c r="J742" t="str">
        <f>"Annexin A11"</f>
        <v>Annexin A11</v>
      </c>
      <c r="K742" t="str">
        <f>"ANXA11"</f>
        <v>ANXA11</v>
      </c>
    </row>
    <row r="743" spans="1:11" x14ac:dyDescent="0.25">
      <c r="A743" s="1">
        <v>599</v>
      </c>
      <c r="B743" s="1">
        <v>3</v>
      </c>
      <c r="C743" s="1" t="s">
        <v>4</v>
      </c>
      <c r="D743" s="1">
        <v>17</v>
      </c>
      <c r="E743" s="1">
        <v>47.082000000000001</v>
      </c>
      <c r="F743" s="1">
        <v>0.59623599999999999</v>
      </c>
      <c r="G743" t="s">
        <v>1224</v>
      </c>
      <c r="H743" t="s">
        <v>303</v>
      </c>
      <c r="I743" t="s">
        <v>4738</v>
      </c>
      <c r="J743" t="str">
        <f>"Cofilin-1"</f>
        <v>Cofilin-1</v>
      </c>
      <c r="K743" t="str">
        <f>"CFL1"</f>
        <v>CFL1</v>
      </c>
    </row>
    <row r="744" spans="1:11" x14ac:dyDescent="0.25">
      <c r="A744" s="1">
        <v>2426</v>
      </c>
      <c r="B744" s="1">
        <v>3</v>
      </c>
      <c r="C744" s="1" t="s">
        <v>3</v>
      </c>
      <c r="D744" s="1">
        <v>1</v>
      </c>
      <c r="E744" s="1">
        <v>85.936999999999998</v>
      </c>
      <c r="F744" s="1">
        <v>0.99999800000000005</v>
      </c>
      <c r="G744" t="s">
        <v>1225</v>
      </c>
      <c r="H744" t="s">
        <v>1226</v>
      </c>
      <c r="I744" t="s">
        <v>4739</v>
      </c>
      <c r="J744" t="str">
        <f>"Non-receptor tyrosine-protein kinase TNK1"</f>
        <v>Non-receptor tyrosine-protein kinase TNK1</v>
      </c>
      <c r="K744" t="str">
        <f>"TNK1"</f>
        <v>TNK1</v>
      </c>
    </row>
    <row r="745" spans="1:11" x14ac:dyDescent="0.25">
      <c r="A745" s="1">
        <v>413</v>
      </c>
      <c r="B745" s="1">
        <v>4</v>
      </c>
      <c r="C745" s="1" t="s">
        <v>5</v>
      </c>
      <c r="D745" s="1">
        <v>19</v>
      </c>
      <c r="E745" s="1">
        <v>40.456000000000003</v>
      </c>
      <c r="F745" s="1">
        <v>0.51544500000000004</v>
      </c>
      <c r="G745" t="s">
        <v>1227</v>
      </c>
      <c r="H745" t="s">
        <v>1228</v>
      </c>
      <c r="I745" t="s">
        <v>4740</v>
      </c>
      <c r="J745" t="str">
        <f>"Protein LAP2"</f>
        <v>Protein LAP2</v>
      </c>
      <c r="K745" t="str">
        <f>"ERBB2IP"</f>
        <v>ERBB2IP</v>
      </c>
    </row>
    <row r="746" spans="1:11" x14ac:dyDescent="0.25">
      <c r="A746" s="1">
        <v>2299</v>
      </c>
      <c r="B746" s="1">
        <v>3</v>
      </c>
      <c r="C746" s="1" t="s">
        <v>3</v>
      </c>
      <c r="D746" s="1">
        <v>13</v>
      </c>
      <c r="E746" s="1">
        <v>109.83</v>
      </c>
      <c r="F746" s="1">
        <v>0.98441500000000004</v>
      </c>
      <c r="G746" t="s">
        <v>1229</v>
      </c>
      <c r="H746" t="s">
        <v>1205</v>
      </c>
      <c r="I746">
        <v>129</v>
      </c>
      <c r="J746" t="str">
        <f>"Putative RNA-binding protein 3"</f>
        <v>Putative RNA-binding protein 3</v>
      </c>
      <c r="K746" t="str">
        <f>"RBM3"</f>
        <v>RBM3</v>
      </c>
    </row>
    <row r="747" spans="1:11" x14ac:dyDescent="0.25">
      <c r="A747" s="1">
        <v>2357</v>
      </c>
      <c r="B747" s="1">
        <v>2</v>
      </c>
      <c r="C747" s="1" t="s">
        <v>3</v>
      </c>
      <c r="D747" s="1">
        <v>6</v>
      </c>
      <c r="E747" s="1">
        <v>84.478999999999999</v>
      </c>
      <c r="F747" s="1">
        <v>0.97058599999999995</v>
      </c>
      <c r="G747" t="s">
        <v>1230</v>
      </c>
      <c r="H747" t="s">
        <v>1231</v>
      </c>
      <c r="I747" t="s">
        <v>4741</v>
      </c>
      <c r="J747" t="str">
        <f>"Cyclin-dependent kinase 18"</f>
        <v>Cyclin-dependent kinase 18</v>
      </c>
      <c r="K747" t="str">
        <f>"CDK18"</f>
        <v>CDK18</v>
      </c>
    </row>
    <row r="748" spans="1:11" x14ac:dyDescent="0.25">
      <c r="A748" s="1">
        <v>2721</v>
      </c>
      <c r="B748" s="1">
        <v>3</v>
      </c>
      <c r="C748" s="1" t="s">
        <v>3</v>
      </c>
      <c r="D748" s="1">
        <v>18</v>
      </c>
      <c r="E748" s="1">
        <v>121.38</v>
      </c>
      <c r="F748" s="1">
        <v>0.93651499999999999</v>
      </c>
      <c r="G748" t="s">
        <v>1232</v>
      </c>
      <c r="H748" t="s">
        <v>1233</v>
      </c>
      <c r="I748" t="s">
        <v>4742</v>
      </c>
      <c r="J748" t="str">
        <f>"SH2 domain-containing protein 3C"</f>
        <v>SH2 domain-containing protein 3C</v>
      </c>
      <c r="K748" t="str">
        <f>"SH2D3C"</f>
        <v>SH2D3C</v>
      </c>
    </row>
    <row r="749" spans="1:11" x14ac:dyDescent="0.25">
      <c r="A749" s="1">
        <v>806</v>
      </c>
      <c r="B749" s="1">
        <v>3</v>
      </c>
      <c r="C749" s="1" t="s">
        <v>3</v>
      </c>
      <c r="D749" s="1">
        <v>12</v>
      </c>
      <c r="E749" s="1">
        <v>48.527000000000001</v>
      </c>
      <c r="F749" s="1">
        <v>0.75475099999999995</v>
      </c>
      <c r="G749" t="s">
        <v>1234</v>
      </c>
      <c r="H749" t="s">
        <v>497</v>
      </c>
      <c r="I749" t="s">
        <v>4743</v>
      </c>
      <c r="J749" t="str">
        <f>"Mucin-1;Mucin-1 subunit alpha;Mucin-1 subunit beta"</f>
        <v>Mucin-1;Mucin-1 subunit alpha;Mucin-1 subunit beta</v>
      </c>
      <c r="K749" t="str">
        <f>"MUC1"</f>
        <v>MUC1</v>
      </c>
    </row>
    <row r="750" spans="1:11" x14ac:dyDescent="0.25">
      <c r="A750" s="1">
        <v>1094</v>
      </c>
      <c r="B750" s="1">
        <v>2</v>
      </c>
      <c r="C750" s="1" t="s">
        <v>3</v>
      </c>
      <c r="D750" s="1">
        <v>6</v>
      </c>
      <c r="E750" s="1">
        <v>114.86</v>
      </c>
      <c r="F750" s="1">
        <v>1</v>
      </c>
      <c r="G750" t="s">
        <v>1235</v>
      </c>
      <c r="H750" t="s">
        <v>1236</v>
      </c>
      <c r="I750" t="s">
        <v>4744</v>
      </c>
      <c r="J750" t="str">
        <f>"Plakophilin-2"</f>
        <v>Plakophilin-2</v>
      </c>
      <c r="K750" t="str">
        <f>"PKP2"</f>
        <v>PKP2</v>
      </c>
    </row>
    <row r="751" spans="1:11" x14ac:dyDescent="0.25">
      <c r="A751" s="1">
        <v>1606</v>
      </c>
      <c r="B751" s="1">
        <v>3</v>
      </c>
      <c r="C751" s="1" t="s">
        <v>3</v>
      </c>
      <c r="D751" s="1">
        <v>13</v>
      </c>
      <c r="E751" s="1">
        <v>77.185000000000002</v>
      </c>
      <c r="F751" s="1">
        <v>1</v>
      </c>
      <c r="G751" t="s">
        <v>1237</v>
      </c>
      <c r="H751" t="s">
        <v>1238</v>
      </c>
      <c r="I751" t="s">
        <v>4745</v>
      </c>
      <c r="J751" t="str">
        <f>"Hemoglobin subunit delta;Hemoglobin subunit beta;LVV-hemorphin-7;Spinorphin"</f>
        <v>Hemoglobin subunit delta;Hemoglobin subunit beta;LVV-hemorphin-7;Spinorphin</v>
      </c>
      <c r="K751" t="str">
        <f>"HBD;HBB"</f>
        <v>HBD;HBB</v>
      </c>
    </row>
    <row r="752" spans="1:11" x14ac:dyDescent="0.25">
      <c r="A752" s="1">
        <v>2600</v>
      </c>
      <c r="B752" s="1">
        <v>2</v>
      </c>
      <c r="C752" s="1" t="s">
        <v>3</v>
      </c>
      <c r="D752" s="1">
        <v>5</v>
      </c>
      <c r="E752" s="1">
        <v>97.69</v>
      </c>
      <c r="F752" s="1">
        <v>0.99999800000000005</v>
      </c>
      <c r="G752" t="s">
        <v>1239</v>
      </c>
      <c r="H752" t="s">
        <v>1240</v>
      </c>
      <c r="I752" t="s">
        <v>4746</v>
      </c>
      <c r="J752" t="str">
        <f>"Pleckstrin homology domain-containing family A member 6"</f>
        <v>Pleckstrin homology domain-containing family A member 6</v>
      </c>
      <c r="K752" t="str">
        <f>"PLEKHA6"</f>
        <v>PLEKHA6</v>
      </c>
    </row>
    <row r="753" spans="1:11" x14ac:dyDescent="0.25">
      <c r="A753" s="1">
        <v>2055</v>
      </c>
      <c r="B753" s="1">
        <v>3</v>
      </c>
      <c r="C753" s="1" t="s">
        <v>3</v>
      </c>
      <c r="D753" s="1">
        <v>8</v>
      </c>
      <c r="E753" s="1">
        <v>59.293999999999997</v>
      </c>
      <c r="F753" s="1">
        <v>0.93639099999999997</v>
      </c>
      <c r="G753" t="s">
        <v>1241</v>
      </c>
      <c r="H753" t="s">
        <v>1242</v>
      </c>
      <c r="I753">
        <v>28</v>
      </c>
      <c r="J753" t="str">
        <f>"Platelet-activating factor acetylhydrolase IB subunit alpha"</f>
        <v>Platelet-activating factor acetylhydrolase IB subunit alpha</v>
      </c>
      <c r="K753" t="str">
        <f>"PAFAH1B1"</f>
        <v>PAFAH1B1</v>
      </c>
    </row>
    <row r="754" spans="1:11" x14ac:dyDescent="0.25">
      <c r="A754" s="1">
        <v>43</v>
      </c>
      <c r="B754" s="1">
        <v>3</v>
      </c>
      <c r="C754" s="1" t="s">
        <v>5</v>
      </c>
      <c r="D754" s="1">
        <v>14</v>
      </c>
      <c r="E754" s="1">
        <v>52.171999999999997</v>
      </c>
      <c r="F754" s="1">
        <v>0.52480899999999997</v>
      </c>
      <c r="G754" t="s">
        <v>1243</v>
      </c>
      <c r="H754" t="s">
        <v>408</v>
      </c>
      <c r="I754" t="s">
        <v>4747</v>
      </c>
      <c r="J754" t="str">
        <f>"Rho GTPase-activating protein 42"</f>
        <v>Rho GTPase-activating protein 42</v>
      </c>
      <c r="K754" t="str">
        <f>"ARHGAP42"</f>
        <v>ARHGAP42</v>
      </c>
    </row>
    <row r="755" spans="1:11" x14ac:dyDescent="0.25">
      <c r="A755" s="1">
        <v>579</v>
      </c>
      <c r="B755" s="1">
        <v>3</v>
      </c>
      <c r="C755" s="1" t="s">
        <v>4</v>
      </c>
      <c r="D755" s="1">
        <v>21</v>
      </c>
      <c r="E755" s="1">
        <v>43.902999999999999</v>
      </c>
      <c r="F755" s="1">
        <v>0.54131300000000004</v>
      </c>
      <c r="G755" t="s">
        <v>1244</v>
      </c>
      <c r="H755" t="s">
        <v>82</v>
      </c>
      <c r="I755" t="s">
        <v>4748</v>
      </c>
      <c r="J755" t="str">
        <f>"Tyrosine-protein kinase Lyn"</f>
        <v>Tyrosine-protein kinase Lyn</v>
      </c>
      <c r="K755" t="str">
        <f>"LYN"</f>
        <v>LYN</v>
      </c>
    </row>
    <row r="756" spans="1:11" x14ac:dyDescent="0.25">
      <c r="A756" s="1">
        <v>2609</v>
      </c>
      <c r="B756" s="1">
        <v>2</v>
      </c>
      <c r="C756" s="1" t="s">
        <v>3</v>
      </c>
      <c r="D756" s="1">
        <v>7</v>
      </c>
      <c r="E756" s="1">
        <v>78.903000000000006</v>
      </c>
      <c r="F756" s="1">
        <v>0.99839999999999995</v>
      </c>
      <c r="G756" t="s">
        <v>1245</v>
      </c>
      <c r="H756" t="s">
        <v>557</v>
      </c>
      <c r="I756" t="s">
        <v>4749</v>
      </c>
      <c r="J756" t="str">
        <f>"Partitioning defective 3 homolog"</f>
        <v>Partitioning defective 3 homolog</v>
      </c>
      <c r="K756" t="str">
        <f>"PARD3"</f>
        <v>PARD3</v>
      </c>
    </row>
    <row r="757" spans="1:11" x14ac:dyDescent="0.25">
      <c r="A757" s="1">
        <v>1391</v>
      </c>
      <c r="B757" s="1">
        <v>2</v>
      </c>
      <c r="C757" s="1" t="s">
        <v>3</v>
      </c>
      <c r="D757" s="1">
        <v>5</v>
      </c>
      <c r="E757" s="1">
        <v>47.302</v>
      </c>
      <c r="F757" s="1">
        <v>1</v>
      </c>
      <c r="G757" t="s">
        <v>1246</v>
      </c>
      <c r="H757" t="s">
        <v>1247</v>
      </c>
      <c r="I757" t="s">
        <v>4750</v>
      </c>
      <c r="J757" t="str">
        <f>"Signal transducer and activator of transcription;Signal transducer and activator of transcription 5A;Signal transducer and activator of transcription 5B"</f>
        <v>Signal transducer and activator of transcription;Signal transducer and activator of transcription 5A;Signal transducer and activator of transcription 5B</v>
      </c>
      <c r="K757" t="str">
        <f>"STAT5A;STAT5B"</f>
        <v>STAT5A;STAT5B</v>
      </c>
    </row>
    <row r="758" spans="1:11" x14ac:dyDescent="0.25">
      <c r="A758" s="1">
        <v>1581</v>
      </c>
      <c r="B758" s="1">
        <v>2</v>
      </c>
      <c r="C758" s="1" t="s">
        <v>3</v>
      </c>
      <c r="D758" s="1">
        <v>6</v>
      </c>
      <c r="E758" s="1">
        <v>77.745999999999995</v>
      </c>
      <c r="F758" s="1">
        <v>0.98581300000000005</v>
      </c>
      <c r="G758" t="s">
        <v>1248</v>
      </c>
      <c r="H758" t="s">
        <v>743</v>
      </c>
      <c r="I758">
        <v>426</v>
      </c>
      <c r="J758" t="str">
        <f>"Retinal dehydrogenase 1"</f>
        <v>Retinal dehydrogenase 1</v>
      </c>
      <c r="K758" t="str">
        <f>"ALDH1A1"</f>
        <v>ALDH1A1</v>
      </c>
    </row>
    <row r="759" spans="1:11" x14ac:dyDescent="0.25">
      <c r="A759" s="1">
        <v>2781</v>
      </c>
      <c r="B759" s="1">
        <v>2</v>
      </c>
      <c r="C759" s="1" t="s">
        <v>3</v>
      </c>
      <c r="D759" s="1">
        <v>3</v>
      </c>
      <c r="E759" s="1">
        <v>108.71</v>
      </c>
      <c r="F759" s="1">
        <v>1</v>
      </c>
      <c r="G759" t="s">
        <v>1249</v>
      </c>
      <c r="H759" t="s">
        <v>1250</v>
      </c>
      <c r="I759">
        <v>306</v>
      </c>
      <c r="J759" t="str">
        <f>"Fibroblast growth factor receptor substrate 2"</f>
        <v>Fibroblast growth factor receptor substrate 2</v>
      </c>
      <c r="K759" t="str">
        <f>"FRS2"</f>
        <v>FRS2</v>
      </c>
    </row>
    <row r="760" spans="1:11" x14ac:dyDescent="0.25">
      <c r="A760" s="1">
        <v>1355</v>
      </c>
      <c r="B760" s="1">
        <v>3</v>
      </c>
      <c r="C760" s="1" t="s">
        <v>3</v>
      </c>
      <c r="D760" s="1">
        <v>6</v>
      </c>
      <c r="E760" s="1">
        <v>75.682000000000002</v>
      </c>
      <c r="F760" s="1">
        <v>0.96138599999999996</v>
      </c>
      <c r="G760" t="s">
        <v>1251</v>
      </c>
      <c r="H760" t="s">
        <v>1252</v>
      </c>
      <c r="I760" t="s">
        <v>4751</v>
      </c>
      <c r="J760" t="str">
        <f>"TOM1-like protein 1"</f>
        <v>TOM1-like protein 1</v>
      </c>
      <c r="K760" t="str">
        <f>"TOM1L1"</f>
        <v>TOM1L1</v>
      </c>
    </row>
    <row r="761" spans="1:11" x14ac:dyDescent="0.25">
      <c r="A761" s="1">
        <v>1280</v>
      </c>
      <c r="B761" s="1">
        <v>2</v>
      </c>
      <c r="C761" s="1" t="s">
        <v>3</v>
      </c>
      <c r="D761" s="1">
        <v>3</v>
      </c>
      <c r="E761" s="1">
        <v>85.885000000000005</v>
      </c>
      <c r="F761" s="1">
        <v>1</v>
      </c>
      <c r="G761" t="s">
        <v>1253</v>
      </c>
      <c r="H761" t="s">
        <v>513</v>
      </c>
      <c r="I761" t="s">
        <v>4752</v>
      </c>
      <c r="J761" t="str">
        <f>"Paxillin"</f>
        <v>Paxillin</v>
      </c>
      <c r="K761" t="str">
        <f>"PXN"</f>
        <v>PXN</v>
      </c>
    </row>
    <row r="762" spans="1:11" x14ac:dyDescent="0.25">
      <c r="A762" s="1">
        <v>1282</v>
      </c>
      <c r="B762" s="1">
        <v>4</v>
      </c>
      <c r="C762" s="1" t="s">
        <v>3</v>
      </c>
      <c r="D762" s="1">
        <v>8</v>
      </c>
      <c r="E762" s="1">
        <v>69.47</v>
      </c>
      <c r="F762" s="1">
        <v>0.98406300000000002</v>
      </c>
      <c r="G762" t="s">
        <v>1254</v>
      </c>
      <c r="H762" t="s">
        <v>1255</v>
      </c>
      <c r="I762">
        <v>65</v>
      </c>
      <c r="J762" t="str">
        <f>""</f>
        <v/>
      </c>
      <c r="K762" t="str">
        <f>"DCP1B"</f>
        <v>DCP1B</v>
      </c>
    </row>
    <row r="763" spans="1:11" x14ac:dyDescent="0.25">
      <c r="A763" s="1">
        <v>464</v>
      </c>
      <c r="B763" s="1">
        <v>3</v>
      </c>
      <c r="C763" s="1" t="s">
        <v>5</v>
      </c>
      <c r="D763" s="1">
        <v>3</v>
      </c>
      <c r="E763" s="1">
        <v>75.763999999999996</v>
      </c>
      <c r="F763" s="1">
        <v>1</v>
      </c>
      <c r="G763" t="s">
        <v>292</v>
      </c>
      <c r="H763" t="s">
        <v>1256</v>
      </c>
      <c r="I763" t="s">
        <v>4753</v>
      </c>
      <c r="J763" t="str">
        <f>"Probable palmitoyltransferase ZDHHC8"</f>
        <v>Probable palmitoyltransferase ZDHHC8</v>
      </c>
      <c r="K763" t="str">
        <f>"ZDHHC8"</f>
        <v>ZDHHC8</v>
      </c>
    </row>
    <row r="764" spans="1:11" x14ac:dyDescent="0.25">
      <c r="A764" s="1">
        <v>3094</v>
      </c>
      <c r="B764" s="1">
        <v>3</v>
      </c>
      <c r="C764" s="1" t="s">
        <v>3</v>
      </c>
      <c r="D764" s="1">
        <v>7</v>
      </c>
      <c r="E764" s="1">
        <v>75.763999999999996</v>
      </c>
      <c r="F764" s="1">
        <v>0.99991699999999994</v>
      </c>
      <c r="G764" t="s">
        <v>292</v>
      </c>
      <c r="H764" t="s">
        <v>1256</v>
      </c>
      <c r="I764" t="s">
        <v>4754</v>
      </c>
      <c r="J764" t="str">
        <f>"Probable palmitoyltransferase ZDHHC8"</f>
        <v>Probable palmitoyltransferase ZDHHC8</v>
      </c>
      <c r="K764" t="str">
        <f>"ZDHHC8"</f>
        <v>ZDHHC8</v>
      </c>
    </row>
    <row r="765" spans="1:11" x14ac:dyDescent="0.25">
      <c r="A765" s="1">
        <v>728</v>
      </c>
      <c r="B765" s="1">
        <v>3</v>
      </c>
      <c r="C765" s="1" t="s">
        <v>4</v>
      </c>
      <c r="D765" s="1">
        <v>15</v>
      </c>
      <c r="E765" s="1">
        <v>128.38</v>
      </c>
      <c r="F765" s="1">
        <v>0.55293700000000001</v>
      </c>
      <c r="G765" t="s">
        <v>1257</v>
      </c>
      <c r="H765" t="s">
        <v>1189</v>
      </c>
      <c r="I765" t="s">
        <v>4755</v>
      </c>
      <c r="J765" t="str">
        <f>"SH2 domain-containing protein 3A"</f>
        <v>SH2 domain-containing protein 3A</v>
      </c>
      <c r="K765" t="str">
        <f>"SH2D3A"</f>
        <v>SH2D3A</v>
      </c>
    </row>
    <row r="766" spans="1:11" x14ac:dyDescent="0.25">
      <c r="A766" s="1">
        <v>53</v>
      </c>
      <c r="B766" s="1">
        <v>5</v>
      </c>
      <c r="C766" s="1" t="s">
        <v>5</v>
      </c>
      <c r="D766" s="1">
        <v>16</v>
      </c>
      <c r="E766" s="1">
        <v>160.52000000000001</v>
      </c>
      <c r="F766" s="1">
        <v>0.62901399999999996</v>
      </c>
      <c r="G766" t="s">
        <v>1258</v>
      </c>
      <c r="H766" t="s">
        <v>283</v>
      </c>
      <c r="I766" t="s">
        <v>4756</v>
      </c>
      <c r="J766" t="str">
        <f>"Fragile X mental retardation syndrome-related protein 1"</f>
        <v>Fragile X mental retardation syndrome-related protein 1</v>
      </c>
      <c r="K766" t="str">
        <f>"FXR1"</f>
        <v>FXR1</v>
      </c>
    </row>
    <row r="767" spans="1:11" x14ac:dyDescent="0.25">
      <c r="A767" s="1">
        <v>1632</v>
      </c>
      <c r="B767" s="1">
        <v>2</v>
      </c>
      <c r="C767" s="1" t="s">
        <v>3</v>
      </c>
      <c r="D767" s="1">
        <v>8</v>
      </c>
      <c r="E767" s="1">
        <v>125.75</v>
      </c>
      <c r="F767" s="1">
        <v>1</v>
      </c>
      <c r="G767" t="s">
        <v>1259</v>
      </c>
      <c r="H767" t="s">
        <v>1260</v>
      </c>
      <c r="I767" t="s">
        <v>4757</v>
      </c>
      <c r="J767" t="str">
        <f>"60S acidic ribosomal protein P0;60S acidic ribosomal protein P0-like"</f>
        <v>60S acidic ribosomal protein P0;60S acidic ribosomal protein P0-like</v>
      </c>
      <c r="K767" t="str">
        <f>"RPLP0;RPLP0P6"</f>
        <v>RPLP0;RPLP0P6</v>
      </c>
    </row>
    <row r="768" spans="1:11" x14ac:dyDescent="0.25">
      <c r="A768" s="1">
        <v>1400</v>
      </c>
      <c r="B768" s="1">
        <v>2</v>
      </c>
      <c r="C768" s="1" t="s">
        <v>3</v>
      </c>
      <c r="D768" s="1">
        <v>1</v>
      </c>
      <c r="E768" s="1">
        <v>73.278999999999996</v>
      </c>
      <c r="F768" s="1">
        <v>0.999996</v>
      </c>
      <c r="G768" t="s">
        <v>1261</v>
      </c>
      <c r="H768" t="s">
        <v>1262</v>
      </c>
      <c r="I768" t="s">
        <v>4758</v>
      </c>
      <c r="J768" t="str">
        <f>"Tyrosine-protein kinase receptor UFO"</f>
        <v>Tyrosine-protein kinase receptor UFO</v>
      </c>
      <c r="K768" t="str">
        <f>"AXL"</f>
        <v>AXL</v>
      </c>
    </row>
    <row r="769" spans="1:11" x14ac:dyDescent="0.25">
      <c r="A769" s="1">
        <v>36</v>
      </c>
      <c r="B769" s="1">
        <v>3</v>
      </c>
      <c r="C769" s="1" t="s">
        <v>5</v>
      </c>
      <c r="D769" s="1">
        <v>14</v>
      </c>
      <c r="E769" s="1">
        <v>150.69999999999999</v>
      </c>
      <c r="F769" s="1">
        <v>0.69802900000000001</v>
      </c>
      <c r="G769" t="s">
        <v>1263</v>
      </c>
      <c r="H769" t="s">
        <v>1264</v>
      </c>
      <c r="I769" t="s">
        <v>4759</v>
      </c>
      <c r="J769" t="str">
        <f>"Protein diaphanous homolog 1"</f>
        <v>Protein diaphanous homolog 1</v>
      </c>
      <c r="K769" t="str">
        <f>"DIAPH1"</f>
        <v>DIAPH1</v>
      </c>
    </row>
    <row r="770" spans="1:11" x14ac:dyDescent="0.25">
      <c r="A770" s="1">
        <v>2308</v>
      </c>
      <c r="B770" s="1">
        <v>2</v>
      </c>
      <c r="C770" s="1" t="s">
        <v>3</v>
      </c>
      <c r="D770" s="1">
        <v>8</v>
      </c>
      <c r="E770" s="1">
        <v>66.004000000000005</v>
      </c>
      <c r="F770" s="1">
        <v>0.96400399999999997</v>
      </c>
      <c r="G770" t="s">
        <v>1265</v>
      </c>
      <c r="H770" t="s">
        <v>509</v>
      </c>
      <c r="I770" t="s">
        <v>4760</v>
      </c>
      <c r="J770" t="str">
        <f>"Spectrin beta chain, non-erythrocytic 1"</f>
        <v>Spectrin beta chain, non-erythrocytic 1</v>
      </c>
      <c r="K770" t="str">
        <f>"SPTBN1"</f>
        <v>SPTBN1</v>
      </c>
    </row>
    <row r="771" spans="1:11" x14ac:dyDescent="0.25">
      <c r="A771" s="1">
        <v>448</v>
      </c>
      <c r="B771" s="1">
        <v>3</v>
      </c>
      <c r="C771" s="1" t="s">
        <v>5</v>
      </c>
      <c r="D771" s="1">
        <v>1</v>
      </c>
      <c r="E771" s="1">
        <v>75.384</v>
      </c>
      <c r="F771" s="1">
        <v>0.65904099999999999</v>
      </c>
      <c r="G771" t="s">
        <v>1266</v>
      </c>
      <c r="H771" t="s">
        <v>55</v>
      </c>
      <c r="I771">
        <v>1070</v>
      </c>
      <c r="J771" t="str">
        <f>"Rho GTPase-activating protein 35"</f>
        <v>Rho GTPase-activating protein 35</v>
      </c>
      <c r="K771" t="str">
        <f>"ARHGAP35"</f>
        <v>ARHGAP35</v>
      </c>
    </row>
    <row r="772" spans="1:11" x14ac:dyDescent="0.25">
      <c r="A772" s="1">
        <v>2211</v>
      </c>
      <c r="B772" s="1">
        <v>2</v>
      </c>
      <c r="C772" s="1" t="s">
        <v>3</v>
      </c>
      <c r="D772" s="1">
        <v>3</v>
      </c>
      <c r="E772" s="1">
        <v>133.86000000000001</v>
      </c>
      <c r="F772" s="1">
        <v>0.95990900000000001</v>
      </c>
      <c r="G772" t="s">
        <v>1267</v>
      </c>
      <c r="H772" t="s">
        <v>1089</v>
      </c>
      <c r="I772">
        <v>194</v>
      </c>
      <c r="J772" t="str">
        <f>"Claudin-2"</f>
        <v>Claudin-2</v>
      </c>
      <c r="K772" t="str">
        <f>"CLDN2"</f>
        <v>CLDN2</v>
      </c>
    </row>
    <row r="773" spans="1:11" x14ac:dyDescent="0.25">
      <c r="A773" s="1">
        <v>2501</v>
      </c>
      <c r="B773" s="1">
        <v>4</v>
      </c>
      <c r="C773" s="1" t="s">
        <v>3</v>
      </c>
      <c r="D773" s="1">
        <v>18</v>
      </c>
      <c r="E773" s="1">
        <v>54.424999999999997</v>
      </c>
      <c r="F773" s="1">
        <v>0.97740300000000002</v>
      </c>
      <c r="G773" t="s">
        <v>1268</v>
      </c>
      <c r="H773" t="s">
        <v>1269</v>
      </c>
      <c r="I773" t="s">
        <v>4761</v>
      </c>
      <c r="J773" t="str">
        <f>"LIM and SH3 domain protein 1"</f>
        <v>LIM and SH3 domain protein 1</v>
      </c>
      <c r="K773" t="str">
        <f>"LASP1"</f>
        <v>LASP1</v>
      </c>
    </row>
    <row r="774" spans="1:11" x14ac:dyDescent="0.25">
      <c r="A774" s="1">
        <v>2785</v>
      </c>
      <c r="B774" s="1">
        <v>4</v>
      </c>
      <c r="C774" s="1" t="s">
        <v>3</v>
      </c>
      <c r="D774" s="1">
        <v>7</v>
      </c>
      <c r="E774" s="1">
        <v>48.216000000000001</v>
      </c>
      <c r="F774" s="1">
        <v>1</v>
      </c>
      <c r="G774" t="s">
        <v>1270</v>
      </c>
      <c r="H774" t="s">
        <v>424</v>
      </c>
      <c r="I774" t="s">
        <v>4762</v>
      </c>
      <c r="J774" t="str">
        <f>"Programmed cell death 6-interacting protein"</f>
        <v>Programmed cell death 6-interacting protein</v>
      </c>
      <c r="K774" t="str">
        <f>"PDCD6IP"</f>
        <v>PDCD6IP</v>
      </c>
    </row>
    <row r="775" spans="1:11" x14ac:dyDescent="0.25">
      <c r="A775" s="1">
        <v>2691</v>
      </c>
      <c r="B775" s="1">
        <v>2</v>
      </c>
      <c r="C775" s="1" t="s">
        <v>3</v>
      </c>
      <c r="D775" s="1">
        <v>3</v>
      </c>
      <c r="E775" s="1">
        <v>113.47</v>
      </c>
      <c r="F775" s="1">
        <v>0.99916700000000003</v>
      </c>
      <c r="G775" t="s">
        <v>1271</v>
      </c>
      <c r="H775" t="s">
        <v>258</v>
      </c>
      <c r="I775">
        <v>489</v>
      </c>
      <c r="J775" t="str">
        <f>"Tyrosine-protein kinase SgK223"</f>
        <v>Tyrosine-protein kinase SgK223</v>
      </c>
      <c r="K775" t="str">
        <f>"SGK223"</f>
        <v>SGK223</v>
      </c>
    </row>
    <row r="776" spans="1:11" x14ac:dyDescent="0.25">
      <c r="A776" s="1">
        <v>1984</v>
      </c>
      <c r="B776" s="1">
        <v>2</v>
      </c>
      <c r="C776" s="1" t="s">
        <v>3</v>
      </c>
      <c r="D776" s="1">
        <v>5</v>
      </c>
      <c r="E776" s="1">
        <v>71.450999999999993</v>
      </c>
      <c r="F776" s="1">
        <v>0.99683999999999995</v>
      </c>
      <c r="G776" t="s">
        <v>1272</v>
      </c>
      <c r="H776" t="s">
        <v>89</v>
      </c>
      <c r="I776" t="s">
        <v>4763</v>
      </c>
      <c r="J776" t="str">
        <f>"Bifunctional purine biosynthesis protein PURH;Phosphoribosylaminoimidazolecarboxamide formyltransferase;IMP cyclohydrolase"</f>
        <v>Bifunctional purine biosynthesis protein PURH;Phosphoribosylaminoimidazolecarboxamide formyltransferase;IMP cyclohydrolase</v>
      </c>
      <c r="K776" t="str">
        <f>"ATIC"</f>
        <v>ATIC</v>
      </c>
    </row>
    <row r="777" spans="1:11" x14ac:dyDescent="0.25">
      <c r="A777" s="1">
        <v>1723</v>
      </c>
      <c r="B777" s="1">
        <v>4</v>
      </c>
      <c r="C777" s="1" t="s">
        <v>3</v>
      </c>
      <c r="D777" s="1">
        <v>13</v>
      </c>
      <c r="E777" s="1">
        <v>112.6</v>
      </c>
      <c r="F777" s="1">
        <v>0.70330099999999995</v>
      </c>
      <c r="G777" t="s">
        <v>1273</v>
      </c>
      <c r="H777" t="s">
        <v>319</v>
      </c>
      <c r="I777">
        <v>53</v>
      </c>
      <c r="J777" t="str">
        <f>"Tyrosine-protein kinase Fgr"</f>
        <v>Tyrosine-protein kinase Fgr</v>
      </c>
      <c r="K777" t="str">
        <f>"FGR"</f>
        <v>FGR</v>
      </c>
    </row>
    <row r="778" spans="1:11" x14ac:dyDescent="0.25">
      <c r="A778" s="1">
        <v>2801</v>
      </c>
      <c r="B778" s="1">
        <v>3</v>
      </c>
      <c r="C778" s="1" t="s">
        <v>3</v>
      </c>
      <c r="D778" s="1">
        <v>10</v>
      </c>
      <c r="E778" s="1">
        <v>83.403999999999996</v>
      </c>
      <c r="F778" s="1">
        <v>0.99987499999999996</v>
      </c>
      <c r="G778" t="s">
        <v>1274</v>
      </c>
      <c r="H778" t="s">
        <v>853</v>
      </c>
      <c r="I778">
        <v>834</v>
      </c>
      <c r="J778" t="str">
        <f>"Ankyrin repeat and SAM domain-containing protein 1A"</f>
        <v>Ankyrin repeat and SAM domain-containing protein 1A</v>
      </c>
      <c r="K778" t="str">
        <f>"ANKS1A"</f>
        <v>ANKS1A</v>
      </c>
    </row>
    <row r="779" spans="1:11" x14ac:dyDescent="0.25">
      <c r="A779" s="1">
        <v>78</v>
      </c>
      <c r="B779" s="1">
        <v>3</v>
      </c>
      <c r="C779" s="1" t="s">
        <v>5</v>
      </c>
      <c r="D779" s="1">
        <v>11</v>
      </c>
      <c r="E779" s="1">
        <v>138.82</v>
      </c>
      <c r="F779" s="1">
        <v>0.99437399999999998</v>
      </c>
      <c r="G779" t="s">
        <v>1275</v>
      </c>
      <c r="H779" t="s">
        <v>1276</v>
      </c>
      <c r="I779">
        <v>323</v>
      </c>
      <c r="J779" t="str">
        <f>""</f>
        <v/>
      </c>
      <c r="K779" t="str">
        <f>""</f>
        <v/>
      </c>
    </row>
    <row r="780" spans="1:11" x14ac:dyDescent="0.25">
      <c r="A780" s="1">
        <v>1599</v>
      </c>
      <c r="B780" s="1">
        <v>2</v>
      </c>
      <c r="C780" s="1" t="s">
        <v>3</v>
      </c>
      <c r="D780" s="1">
        <v>1</v>
      </c>
      <c r="E780" s="1">
        <v>57.401000000000003</v>
      </c>
      <c r="F780" s="1">
        <v>0.79306100000000002</v>
      </c>
      <c r="G780" t="s">
        <v>1277</v>
      </c>
      <c r="H780" t="s">
        <v>1278</v>
      </c>
      <c r="I780" t="s">
        <v>4764</v>
      </c>
      <c r="J780" t="str">
        <f>"Phosphoglycerate kinase 1"</f>
        <v>Phosphoglycerate kinase 1</v>
      </c>
      <c r="K780" t="str">
        <f>"PGK1"</f>
        <v>PGK1</v>
      </c>
    </row>
    <row r="781" spans="1:11" x14ac:dyDescent="0.25">
      <c r="A781" s="1">
        <v>909</v>
      </c>
      <c r="B781" s="1">
        <v>2</v>
      </c>
      <c r="C781" s="1" t="s">
        <v>3</v>
      </c>
      <c r="D781" s="1">
        <v>1</v>
      </c>
      <c r="E781" s="1">
        <v>97.272999999999996</v>
      </c>
      <c r="F781" s="1">
        <v>0.999973</v>
      </c>
      <c r="G781" t="s">
        <v>1279</v>
      </c>
      <c r="H781" t="s">
        <v>1280</v>
      </c>
      <c r="I781" t="s">
        <v>4765</v>
      </c>
      <c r="J781" t="str">
        <f>"Sodium/potassium-transporting ATPase subunit alpha-3"</f>
        <v>Sodium/potassium-transporting ATPase subunit alpha-3</v>
      </c>
      <c r="K781" t="str">
        <f>"ATP1A3"</f>
        <v>ATP1A3</v>
      </c>
    </row>
    <row r="782" spans="1:11" x14ac:dyDescent="0.25">
      <c r="A782" s="1">
        <v>2004</v>
      </c>
      <c r="B782" s="1">
        <v>3</v>
      </c>
      <c r="C782" s="1" t="s">
        <v>3</v>
      </c>
      <c r="D782" s="1">
        <v>7</v>
      </c>
      <c r="E782" s="1">
        <v>68.171000000000006</v>
      </c>
      <c r="F782" s="1">
        <v>0.99671799999999999</v>
      </c>
      <c r="G782" t="s">
        <v>1281</v>
      </c>
      <c r="H782" t="s">
        <v>1282</v>
      </c>
      <c r="I782" t="s">
        <v>4766</v>
      </c>
      <c r="J782" t="str">
        <f>"Myosin-9"</f>
        <v>Myosin-9</v>
      </c>
      <c r="K782" t="str">
        <f>"MYH9"</f>
        <v>MYH9</v>
      </c>
    </row>
    <row r="783" spans="1:11" x14ac:dyDescent="0.25">
      <c r="A783" s="1">
        <v>3046</v>
      </c>
      <c r="B783" s="1">
        <v>2</v>
      </c>
      <c r="C783" s="1" t="s">
        <v>3</v>
      </c>
      <c r="D783" s="1">
        <v>10</v>
      </c>
      <c r="E783" s="1">
        <v>174.42</v>
      </c>
      <c r="F783" s="1">
        <v>1</v>
      </c>
      <c r="G783" t="s">
        <v>1283</v>
      </c>
      <c r="H783" t="s">
        <v>1284</v>
      </c>
      <c r="I783">
        <v>1033</v>
      </c>
      <c r="J783" t="str">
        <f>"Cysteine-rich motor neuron 1 protein;Processed cysteine-rich motor neuron 1 protein"</f>
        <v>Cysteine-rich motor neuron 1 protein;Processed cysteine-rich motor neuron 1 protein</v>
      </c>
      <c r="K783" t="str">
        <f>"CRIM1"</f>
        <v>CRIM1</v>
      </c>
    </row>
    <row r="784" spans="1:11" x14ac:dyDescent="0.25">
      <c r="A784" s="1">
        <v>1956</v>
      </c>
      <c r="B784" s="1">
        <v>3</v>
      </c>
      <c r="C784" s="1" t="s">
        <v>3</v>
      </c>
      <c r="D784" s="1">
        <v>10</v>
      </c>
      <c r="E784" s="1">
        <v>95.204999999999998</v>
      </c>
      <c r="F784" s="1">
        <v>0.99996399999999996</v>
      </c>
      <c r="G784" t="s">
        <v>1285</v>
      </c>
      <c r="H784" t="s">
        <v>47</v>
      </c>
      <c r="I784">
        <v>694</v>
      </c>
      <c r="J784" t="str">
        <f>"Ephrin type-A receptor 2"</f>
        <v>Ephrin type-A receptor 2</v>
      </c>
      <c r="K784" t="str">
        <f>"EPHA2"</f>
        <v>EPHA2</v>
      </c>
    </row>
    <row r="785" spans="1:11" x14ac:dyDescent="0.25">
      <c r="A785" s="1">
        <v>2264</v>
      </c>
      <c r="B785" s="1">
        <v>3</v>
      </c>
      <c r="C785" s="1" t="s">
        <v>3</v>
      </c>
      <c r="D785" s="1">
        <v>5</v>
      </c>
      <c r="E785" s="1">
        <v>112.34</v>
      </c>
      <c r="F785" s="1">
        <v>0.99865199999999998</v>
      </c>
      <c r="G785" t="s">
        <v>1286</v>
      </c>
      <c r="H785" t="s">
        <v>1287</v>
      </c>
      <c r="I785" t="s">
        <v>4633</v>
      </c>
      <c r="J785" t="str">
        <f>"60S ribosomal protein L8"</f>
        <v>60S ribosomal protein L8</v>
      </c>
      <c r="K785" t="str">
        <f>"RPL8"</f>
        <v>RPL8</v>
      </c>
    </row>
    <row r="786" spans="1:11" x14ac:dyDescent="0.25">
      <c r="A786" s="1">
        <v>2136</v>
      </c>
      <c r="B786" s="1">
        <v>3</v>
      </c>
      <c r="C786" s="1" t="s">
        <v>3</v>
      </c>
      <c r="D786" s="1">
        <v>8</v>
      </c>
      <c r="E786" s="1">
        <v>102.65</v>
      </c>
      <c r="F786" s="1">
        <v>1</v>
      </c>
      <c r="G786" t="s">
        <v>1288</v>
      </c>
      <c r="H786" t="s">
        <v>1223</v>
      </c>
      <c r="I786" t="s">
        <v>4767</v>
      </c>
      <c r="J786" t="str">
        <f>"Annexin A11"</f>
        <v>Annexin A11</v>
      </c>
      <c r="K786" t="str">
        <f>"ANXA11"</f>
        <v>ANXA11</v>
      </c>
    </row>
    <row r="787" spans="1:11" x14ac:dyDescent="0.25">
      <c r="A787" s="1">
        <v>2057</v>
      </c>
      <c r="B787" s="1">
        <v>3</v>
      </c>
      <c r="C787" s="1" t="s">
        <v>3</v>
      </c>
      <c r="D787" s="1">
        <v>10</v>
      </c>
      <c r="E787" s="1">
        <v>135.54</v>
      </c>
      <c r="F787" s="1">
        <v>0.99866100000000002</v>
      </c>
      <c r="G787" t="s">
        <v>1289</v>
      </c>
      <c r="H787" t="s">
        <v>237</v>
      </c>
      <c r="I787" t="s">
        <v>4768</v>
      </c>
      <c r="J787" t="str">
        <f>"Tyrosine-protein kinase SYK"</f>
        <v>Tyrosine-protein kinase SYK</v>
      </c>
      <c r="K787" t="str">
        <f>"SYK"</f>
        <v>SYK</v>
      </c>
    </row>
    <row r="788" spans="1:11" x14ac:dyDescent="0.25">
      <c r="A788" s="1">
        <v>191</v>
      </c>
      <c r="B788" s="1">
        <v>3</v>
      </c>
      <c r="C788" s="1" t="s">
        <v>5</v>
      </c>
      <c r="D788" s="1">
        <v>5</v>
      </c>
      <c r="E788" s="1">
        <v>52.569000000000003</v>
      </c>
      <c r="F788" s="1">
        <v>0.90752200000000005</v>
      </c>
      <c r="G788" t="s">
        <v>1290</v>
      </c>
      <c r="H788" t="s">
        <v>1291</v>
      </c>
      <c r="I788" t="s">
        <v>4769</v>
      </c>
      <c r="J788" t="str">
        <f>"Pyruvate dehydrogenase E1 component subunit alpha, somatic form, mitochondrial;Pyruvate dehydrogenase E1 component subunit alpha, testis-specific form, mitochondrial"</f>
        <v>Pyruvate dehydrogenase E1 component subunit alpha, somatic form, mitochondrial;Pyruvate dehydrogenase E1 component subunit alpha, testis-specific form, mitochondrial</v>
      </c>
      <c r="K788" t="str">
        <f>"PDHA1;PDHA2"</f>
        <v>PDHA1;PDHA2</v>
      </c>
    </row>
    <row r="789" spans="1:11" x14ac:dyDescent="0.25">
      <c r="A789" s="1">
        <v>1692</v>
      </c>
      <c r="B789" s="1">
        <v>3</v>
      </c>
      <c r="C789" s="1" t="s">
        <v>3</v>
      </c>
      <c r="D789" s="1">
        <v>13</v>
      </c>
      <c r="E789" s="1">
        <v>52.569000000000003</v>
      </c>
      <c r="F789" s="1">
        <v>0.765872</v>
      </c>
      <c r="G789" t="s">
        <v>1290</v>
      </c>
      <c r="H789" t="s">
        <v>1291</v>
      </c>
      <c r="I789" t="s">
        <v>4770</v>
      </c>
      <c r="J789" t="str">
        <f>"Pyruvate dehydrogenase E1 component subunit alpha, somatic form, mitochondrial;Pyruvate dehydrogenase E1 component subunit alpha, testis-specific form, mitochondrial"</f>
        <v>Pyruvate dehydrogenase E1 component subunit alpha, somatic form, mitochondrial;Pyruvate dehydrogenase E1 component subunit alpha, testis-specific form, mitochondrial</v>
      </c>
      <c r="K789" t="str">
        <f>"PDHA1;PDHA2"</f>
        <v>PDHA1;PDHA2</v>
      </c>
    </row>
    <row r="790" spans="1:11" x14ac:dyDescent="0.25">
      <c r="A790" s="1">
        <v>419</v>
      </c>
      <c r="B790" s="1">
        <v>3</v>
      </c>
      <c r="C790" s="1" t="s">
        <v>5</v>
      </c>
      <c r="D790" s="1">
        <v>8</v>
      </c>
      <c r="E790" s="1">
        <v>83.54</v>
      </c>
      <c r="F790" s="1">
        <v>0.55187699999999995</v>
      </c>
      <c r="G790" t="s">
        <v>1292</v>
      </c>
      <c r="H790" t="s">
        <v>124</v>
      </c>
      <c r="I790" t="s">
        <v>4771</v>
      </c>
      <c r="J790" t="str">
        <f>"Plakophilin-4"</f>
        <v>Plakophilin-4</v>
      </c>
      <c r="K790" t="str">
        <f>"PKP4"</f>
        <v>PKP4</v>
      </c>
    </row>
    <row r="791" spans="1:11" x14ac:dyDescent="0.25">
      <c r="A791" s="1">
        <v>1477</v>
      </c>
      <c r="B791" s="1">
        <v>2</v>
      </c>
      <c r="C791" s="1" t="s">
        <v>3</v>
      </c>
      <c r="D791" s="1">
        <v>3</v>
      </c>
      <c r="E791" s="1">
        <v>80.245000000000005</v>
      </c>
      <c r="F791" s="1">
        <v>0.99180100000000004</v>
      </c>
      <c r="G791" t="s">
        <v>1293</v>
      </c>
      <c r="H791" t="s">
        <v>1294</v>
      </c>
      <c r="I791" t="s">
        <v>4424</v>
      </c>
      <c r="J791" t="str">
        <f>"Cytoplasmic protein NCK2"</f>
        <v>Cytoplasmic protein NCK2</v>
      </c>
      <c r="K791" t="str">
        <f>"NCK2"</f>
        <v>NCK2</v>
      </c>
    </row>
    <row r="792" spans="1:11" x14ac:dyDescent="0.25">
      <c r="A792" s="1">
        <v>3144</v>
      </c>
      <c r="B792" s="1">
        <v>2</v>
      </c>
      <c r="C792" s="1" t="s">
        <v>3</v>
      </c>
      <c r="D792" s="1">
        <v>4</v>
      </c>
      <c r="E792" s="1">
        <v>67.08</v>
      </c>
      <c r="F792" s="1">
        <v>0.99285100000000004</v>
      </c>
      <c r="G792" t="s">
        <v>1295</v>
      </c>
      <c r="H792" t="s">
        <v>1296</v>
      </c>
      <c r="I792" t="s">
        <v>4772</v>
      </c>
      <c r="J792" t="str">
        <f>"Talin-2"</f>
        <v>Talin-2</v>
      </c>
      <c r="K792" t="str">
        <f>"TLN2"</f>
        <v>TLN2</v>
      </c>
    </row>
    <row r="793" spans="1:11" x14ac:dyDescent="0.25">
      <c r="A793" s="1">
        <v>2916</v>
      </c>
      <c r="B793" s="1">
        <v>3</v>
      </c>
      <c r="C793" s="1" t="s">
        <v>3</v>
      </c>
      <c r="D793" s="1">
        <v>6</v>
      </c>
      <c r="E793" s="1">
        <v>93.406999999999996</v>
      </c>
      <c r="F793" s="1">
        <v>0.999583</v>
      </c>
      <c r="G793" t="s">
        <v>1297</v>
      </c>
      <c r="H793" t="s">
        <v>1298</v>
      </c>
      <c r="I793" t="s">
        <v>4773</v>
      </c>
      <c r="J793" t="str">
        <f>"Docking protein 1"</f>
        <v>Docking protein 1</v>
      </c>
      <c r="K793" t="str">
        <f>"DOK1"</f>
        <v>DOK1</v>
      </c>
    </row>
    <row r="794" spans="1:11" x14ac:dyDescent="0.25">
      <c r="A794" s="1">
        <v>759</v>
      </c>
      <c r="B794" s="1">
        <v>3</v>
      </c>
      <c r="C794" s="1" t="s">
        <v>3</v>
      </c>
      <c r="D794" s="1">
        <v>7</v>
      </c>
      <c r="E794" s="1">
        <v>81.447999999999993</v>
      </c>
      <c r="F794" s="1">
        <v>1</v>
      </c>
      <c r="G794" t="s">
        <v>1299</v>
      </c>
      <c r="H794" t="s">
        <v>1300</v>
      </c>
      <c r="I794" t="s">
        <v>4774</v>
      </c>
      <c r="J794" t="str">
        <f>"Leukocyte-specific transcript 1 protein"</f>
        <v>Leukocyte-specific transcript 1 protein</v>
      </c>
      <c r="K794" t="str">
        <f>"LST1"</f>
        <v>LST1</v>
      </c>
    </row>
    <row r="795" spans="1:11" x14ac:dyDescent="0.25">
      <c r="A795" s="1">
        <v>2029</v>
      </c>
      <c r="B795" s="1">
        <v>3</v>
      </c>
      <c r="C795" s="1" t="s">
        <v>3</v>
      </c>
      <c r="D795" s="1">
        <v>1</v>
      </c>
      <c r="E795" s="1">
        <v>114.21</v>
      </c>
      <c r="F795" s="1">
        <v>0.998309</v>
      </c>
      <c r="G795" t="s">
        <v>1301</v>
      </c>
      <c r="H795" t="s">
        <v>1302</v>
      </c>
      <c r="I795">
        <v>18</v>
      </c>
      <c r="J795" t="str">
        <f>"Tyrosine-protein kinase CSK"</f>
        <v>Tyrosine-protein kinase CSK</v>
      </c>
      <c r="K795" t="str">
        <f>"CSK"</f>
        <v>CSK</v>
      </c>
    </row>
    <row r="796" spans="1:11" x14ac:dyDescent="0.25">
      <c r="A796" s="1">
        <v>2574</v>
      </c>
      <c r="B796" s="1">
        <v>3</v>
      </c>
      <c r="C796" s="1" t="s">
        <v>3</v>
      </c>
      <c r="D796" s="1">
        <v>3</v>
      </c>
      <c r="E796" s="1">
        <v>132.5</v>
      </c>
      <c r="F796" s="1">
        <v>0.99876200000000004</v>
      </c>
      <c r="G796" t="s">
        <v>1303</v>
      </c>
      <c r="H796" t="s">
        <v>1304</v>
      </c>
      <c r="I796">
        <v>32</v>
      </c>
      <c r="J796" t="str">
        <f>"Putative heat shock protein HSP 90-beta 4"</f>
        <v>Putative heat shock protein HSP 90-beta 4</v>
      </c>
      <c r="K796" t="str">
        <f>"HSP90AB4P"</f>
        <v>HSP90AB4P</v>
      </c>
    </row>
    <row r="797" spans="1:11" x14ac:dyDescent="0.25">
      <c r="A797" s="1">
        <v>3162</v>
      </c>
      <c r="B797" s="1">
        <v>3</v>
      </c>
      <c r="C797" s="1" t="s">
        <v>3</v>
      </c>
      <c r="D797" s="1">
        <v>17</v>
      </c>
      <c r="E797" s="1">
        <v>89.662999999999997</v>
      </c>
      <c r="F797" s="1">
        <v>0.77998299999999998</v>
      </c>
      <c r="G797" t="s">
        <v>1305</v>
      </c>
      <c r="H797" t="s">
        <v>1306</v>
      </c>
      <c r="I797">
        <v>244</v>
      </c>
      <c r="J797" t="str">
        <f>"Chloride intracellular channel protein 4"</f>
        <v>Chloride intracellular channel protein 4</v>
      </c>
      <c r="K797" t="str">
        <f>"CLIC4"</f>
        <v>CLIC4</v>
      </c>
    </row>
    <row r="798" spans="1:11" x14ac:dyDescent="0.25">
      <c r="A798" s="1">
        <v>2201</v>
      </c>
      <c r="B798" s="1">
        <v>3</v>
      </c>
      <c r="C798" s="1" t="s">
        <v>3</v>
      </c>
      <c r="D798" s="1">
        <v>2</v>
      </c>
      <c r="E798" s="1">
        <v>65.894999999999996</v>
      </c>
      <c r="F798" s="1">
        <v>1</v>
      </c>
      <c r="G798" t="s">
        <v>1307</v>
      </c>
      <c r="H798" t="s">
        <v>1308</v>
      </c>
      <c r="I798">
        <v>288</v>
      </c>
      <c r="J798" t="str">
        <f>"Galectin-4"</f>
        <v>Galectin-4</v>
      </c>
      <c r="K798" t="str">
        <f>"LGALS4"</f>
        <v>LGALS4</v>
      </c>
    </row>
    <row r="799" spans="1:11" x14ac:dyDescent="0.25">
      <c r="A799" s="1">
        <v>1712</v>
      </c>
      <c r="B799" s="1">
        <v>3</v>
      </c>
      <c r="C799" s="1" t="s">
        <v>3</v>
      </c>
      <c r="D799" s="1">
        <v>13</v>
      </c>
      <c r="E799" s="1">
        <v>72.796999999999997</v>
      </c>
      <c r="F799" s="1">
        <v>0.98330099999999998</v>
      </c>
      <c r="G799" t="s">
        <v>1309</v>
      </c>
      <c r="H799" t="s">
        <v>1310</v>
      </c>
      <c r="I799" t="s">
        <v>4775</v>
      </c>
      <c r="J799" t="str">
        <f>"High mobility group protein B1"</f>
        <v>High mobility group protein B1</v>
      </c>
      <c r="K799" t="str">
        <f>"HMGB1"</f>
        <v>HMGB1</v>
      </c>
    </row>
    <row r="800" spans="1:11" x14ac:dyDescent="0.25">
      <c r="A800" s="1">
        <v>2840</v>
      </c>
      <c r="B800" s="1">
        <v>3</v>
      </c>
      <c r="C800" s="1" t="s">
        <v>3</v>
      </c>
      <c r="D800" s="1">
        <v>8</v>
      </c>
      <c r="E800" s="1">
        <v>102.65</v>
      </c>
      <c r="F800" s="1">
        <v>0.99428399999999995</v>
      </c>
      <c r="G800" t="s">
        <v>1311</v>
      </c>
      <c r="H800" t="s">
        <v>1159</v>
      </c>
      <c r="I800" t="s">
        <v>4776</v>
      </c>
      <c r="J800" t="str">
        <f>"SLAM family member 6"</f>
        <v>SLAM family member 6</v>
      </c>
      <c r="K800" t="str">
        <f>"SLAMF6"</f>
        <v>SLAMF6</v>
      </c>
    </row>
    <row r="801" spans="1:11" x14ac:dyDescent="0.25">
      <c r="A801" s="1">
        <v>633</v>
      </c>
      <c r="B801" s="1">
        <v>4</v>
      </c>
      <c r="C801" s="1" t="s">
        <v>4</v>
      </c>
      <c r="D801" s="1">
        <v>5</v>
      </c>
      <c r="E801" s="1">
        <v>91.436999999999998</v>
      </c>
      <c r="F801" s="1">
        <v>0.65593100000000004</v>
      </c>
      <c r="G801" t="s">
        <v>1312</v>
      </c>
      <c r="H801" t="s">
        <v>668</v>
      </c>
      <c r="I801" t="s">
        <v>4777</v>
      </c>
      <c r="J801" t="str">
        <f>"Arf-GAP domain and FG repeat-containing protein 1"</f>
        <v>Arf-GAP domain and FG repeat-containing protein 1</v>
      </c>
      <c r="K801" t="str">
        <f>"AGFG1"</f>
        <v>AGFG1</v>
      </c>
    </row>
    <row r="802" spans="1:11" x14ac:dyDescent="0.25">
      <c r="A802" s="1">
        <v>2548</v>
      </c>
      <c r="B802" s="1">
        <v>3</v>
      </c>
      <c r="C802" s="1" t="s">
        <v>3</v>
      </c>
      <c r="D802" s="1">
        <v>8</v>
      </c>
      <c r="E802" s="1">
        <v>112.34</v>
      </c>
      <c r="F802" s="1">
        <v>0.99984600000000001</v>
      </c>
      <c r="G802" t="s">
        <v>1313</v>
      </c>
      <c r="H802" t="s">
        <v>1314</v>
      </c>
      <c r="I802" t="s">
        <v>4778</v>
      </c>
      <c r="J802" t="str">
        <f>"Dihydropyrimidinase-related protein 2"</f>
        <v>Dihydropyrimidinase-related protein 2</v>
      </c>
      <c r="K802" t="str">
        <f>"DPYSL2"</f>
        <v>DPYSL2</v>
      </c>
    </row>
    <row r="803" spans="1:11" x14ac:dyDescent="0.25">
      <c r="A803" s="1">
        <v>1647</v>
      </c>
      <c r="B803" s="1">
        <v>4</v>
      </c>
      <c r="C803" s="1" t="s">
        <v>3</v>
      </c>
      <c r="D803" s="1">
        <v>4</v>
      </c>
      <c r="E803" s="1">
        <v>143.57</v>
      </c>
      <c r="F803" s="1">
        <v>0.999996</v>
      </c>
      <c r="G803" t="s">
        <v>1315</v>
      </c>
      <c r="H803" t="s">
        <v>1316</v>
      </c>
      <c r="I803" t="s">
        <v>4779</v>
      </c>
      <c r="J803" t="str">
        <f>"Asialoglycoprotein receptor 1"</f>
        <v>Asialoglycoprotein receptor 1</v>
      </c>
      <c r="K803" t="str">
        <f>"ASGR1"</f>
        <v>ASGR1</v>
      </c>
    </row>
    <row r="804" spans="1:11" x14ac:dyDescent="0.25">
      <c r="A804" s="1">
        <v>2315</v>
      </c>
      <c r="B804" s="1">
        <v>3</v>
      </c>
      <c r="C804" s="1" t="s">
        <v>3</v>
      </c>
      <c r="D804" s="1">
        <v>5</v>
      </c>
      <c r="E804" s="1">
        <v>65.037999999999997</v>
      </c>
      <c r="F804" s="1">
        <v>0.99979499999999999</v>
      </c>
      <c r="G804" t="s">
        <v>1317</v>
      </c>
      <c r="H804" t="s">
        <v>1318</v>
      </c>
      <c r="I804">
        <v>853</v>
      </c>
      <c r="J804" t="str">
        <f>"Desmocollin-2"</f>
        <v>Desmocollin-2</v>
      </c>
      <c r="K804" t="str">
        <f>"DSC2"</f>
        <v>DSC2</v>
      </c>
    </row>
    <row r="805" spans="1:11" x14ac:dyDescent="0.25">
      <c r="A805" s="1">
        <v>2282</v>
      </c>
      <c r="B805" s="1">
        <v>3</v>
      </c>
      <c r="C805" s="1" t="s">
        <v>3</v>
      </c>
      <c r="D805" s="1">
        <v>2</v>
      </c>
      <c r="E805" s="1">
        <v>139.28</v>
      </c>
      <c r="F805" s="1">
        <v>0.99647799999999997</v>
      </c>
      <c r="G805" t="s">
        <v>1319</v>
      </c>
      <c r="H805" t="s">
        <v>1320</v>
      </c>
      <c r="I805" t="s">
        <v>4780</v>
      </c>
      <c r="J805" t="str">
        <f>"Tubulin alpha-1B chain;Tubulin alpha-4A chain;Tubulin alpha-1A chain;Tubulin alpha-3C/D chain;Tubulin alpha-3E chain"</f>
        <v>Tubulin alpha-1B chain;Tubulin alpha-4A chain;Tubulin alpha-1A chain;Tubulin alpha-3C/D chain;Tubulin alpha-3E chain</v>
      </c>
      <c r="K805" t="str">
        <f>"TUBA1B;TUBA4A;TUBA1A;TUBA3C;TUBA3E"</f>
        <v>TUBA1B;TUBA4A;TUBA1A;TUBA3C;TUBA3E</v>
      </c>
    </row>
    <row r="806" spans="1:11" x14ac:dyDescent="0.25">
      <c r="A806" s="1">
        <v>1439</v>
      </c>
      <c r="B806" s="1">
        <v>2</v>
      </c>
      <c r="C806" s="1" t="s">
        <v>3</v>
      </c>
      <c r="D806" s="1">
        <v>6</v>
      </c>
      <c r="E806" s="1">
        <v>40.496000000000002</v>
      </c>
      <c r="F806" s="1">
        <v>1</v>
      </c>
      <c r="G806" t="s">
        <v>1321</v>
      </c>
      <c r="H806" t="s">
        <v>1322</v>
      </c>
      <c r="I806" t="s">
        <v>4781</v>
      </c>
      <c r="J806" t="str">
        <f>"Hepatocyte growth factor-regulated tyrosine kinase substrate"</f>
        <v>Hepatocyte growth factor-regulated tyrosine kinase substrate</v>
      </c>
      <c r="K806" t="str">
        <f>"HGS"</f>
        <v>HGS</v>
      </c>
    </row>
    <row r="807" spans="1:11" x14ac:dyDescent="0.25">
      <c r="A807" s="1">
        <v>3152</v>
      </c>
      <c r="B807" s="1">
        <v>3</v>
      </c>
      <c r="C807" s="1" t="s">
        <v>3</v>
      </c>
      <c r="D807" s="1">
        <v>4</v>
      </c>
      <c r="E807" s="1">
        <v>89.343999999999994</v>
      </c>
      <c r="F807" s="1">
        <v>0.93767599999999995</v>
      </c>
      <c r="G807" t="s">
        <v>1323</v>
      </c>
      <c r="H807" t="s">
        <v>1324</v>
      </c>
      <c r="I807">
        <v>88</v>
      </c>
      <c r="J807" t="str">
        <f>"CD2-associated protein"</f>
        <v>CD2-associated protein</v>
      </c>
      <c r="K807" t="str">
        <f>"CD2AP"</f>
        <v>CD2AP</v>
      </c>
    </row>
    <row r="808" spans="1:11" x14ac:dyDescent="0.25">
      <c r="A808" s="1">
        <v>1151</v>
      </c>
      <c r="B808" s="1">
        <v>3</v>
      </c>
      <c r="C808" s="1" t="s">
        <v>3</v>
      </c>
      <c r="D808" s="1">
        <v>12</v>
      </c>
      <c r="E808" s="1">
        <v>59.728000000000002</v>
      </c>
      <c r="F808" s="1">
        <v>0.77461500000000005</v>
      </c>
      <c r="G808" t="s">
        <v>1325</v>
      </c>
      <c r="H808" t="s">
        <v>1326</v>
      </c>
      <c r="I808" t="s">
        <v>4782</v>
      </c>
      <c r="J808" t="str">
        <f>""</f>
        <v/>
      </c>
      <c r="K808" t="str">
        <f>""</f>
        <v/>
      </c>
    </row>
    <row r="809" spans="1:11" x14ac:dyDescent="0.25">
      <c r="A809" s="1">
        <v>592</v>
      </c>
      <c r="B809" s="1">
        <v>3</v>
      </c>
      <c r="C809" s="1" t="s">
        <v>4</v>
      </c>
      <c r="D809" s="1">
        <v>11</v>
      </c>
      <c r="E809" s="1">
        <v>83.203999999999994</v>
      </c>
      <c r="F809" s="1">
        <v>0.68274599999999996</v>
      </c>
      <c r="G809" t="s">
        <v>1327</v>
      </c>
      <c r="H809" t="s">
        <v>78</v>
      </c>
      <c r="I809" t="s">
        <v>4783</v>
      </c>
      <c r="J809" t="str">
        <f>"Filamin-A"</f>
        <v>Filamin-A</v>
      </c>
      <c r="K809" t="str">
        <f>"FLNA"</f>
        <v>FLNA</v>
      </c>
    </row>
    <row r="810" spans="1:11" x14ac:dyDescent="0.25">
      <c r="A810" s="1">
        <v>1239</v>
      </c>
      <c r="B810" s="1">
        <v>3</v>
      </c>
      <c r="C810" s="1" t="s">
        <v>3</v>
      </c>
      <c r="D810" s="1">
        <v>1</v>
      </c>
      <c r="E810" s="1">
        <v>93.225999999999999</v>
      </c>
      <c r="F810" s="1">
        <v>0.99996300000000005</v>
      </c>
      <c r="G810" t="s">
        <v>1328</v>
      </c>
      <c r="H810" t="s">
        <v>1329</v>
      </c>
      <c r="I810" t="s">
        <v>4784</v>
      </c>
      <c r="J810" t="str">
        <f>"Suppression of tumorigenicity 5 protein"</f>
        <v>Suppression of tumorigenicity 5 protein</v>
      </c>
      <c r="K810" t="str">
        <f>"ST5"</f>
        <v>ST5</v>
      </c>
    </row>
    <row r="811" spans="1:11" x14ac:dyDescent="0.25">
      <c r="A811" s="1">
        <v>2956</v>
      </c>
      <c r="B811" s="1">
        <v>3</v>
      </c>
      <c r="C811" s="1" t="s">
        <v>3</v>
      </c>
      <c r="D811" s="1">
        <v>10</v>
      </c>
      <c r="E811" s="1">
        <v>60.177999999999997</v>
      </c>
      <c r="F811" s="1">
        <v>1</v>
      </c>
      <c r="G811" t="s">
        <v>1330</v>
      </c>
      <c r="H811" t="s">
        <v>1331</v>
      </c>
      <c r="I811" t="s">
        <v>4785</v>
      </c>
      <c r="J811" t="str">
        <f>"N-acetyltransferase 10"</f>
        <v>N-acetyltransferase 10</v>
      </c>
      <c r="K811" t="str">
        <f>"NAT10"</f>
        <v>NAT10</v>
      </c>
    </row>
    <row r="812" spans="1:11" x14ac:dyDescent="0.25">
      <c r="A812" s="1">
        <v>1841</v>
      </c>
      <c r="B812" s="1">
        <v>3</v>
      </c>
      <c r="C812" s="1" t="s">
        <v>3</v>
      </c>
      <c r="D812" s="1">
        <v>1</v>
      </c>
      <c r="E812" s="1">
        <v>241.8</v>
      </c>
      <c r="F812" s="1">
        <v>1</v>
      </c>
      <c r="G812" t="s">
        <v>1332</v>
      </c>
      <c r="H812" t="s">
        <v>147</v>
      </c>
      <c r="I812">
        <v>142</v>
      </c>
      <c r="J812" t="str">
        <f>"Phosphoglycerate mutase 1"</f>
        <v>Phosphoglycerate mutase 1</v>
      </c>
      <c r="K812" t="str">
        <f>"PGAM1"</f>
        <v>PGAM1</v>
      </c>
    </row>
    <row r="813" spans="1:11" x14ac:dyDescent="0.25">
      <c r="A813" s="1">
        <v>1743</v>
      </c>
      <c r="B813" s="1">
        <v>2</v>
      </c>
      <c r="C813" s="1" t="s">
        <v>3</v>
      </c>
      <c r="D813" s="1">
        <v>7</v>
      </c>
      <c r="E813" s="1">
        <v>83.647000000000006</v>
      </c>
      <c r="F813" s="1">
        <v>1</v>
      </c>
      <c r="G813" t="s">
        <v>1333</v>
      </c>
      <c r="H813" t="s">
        <v>1334</v>
      </c>
      <c r="I813" t="s">
        <v>4786</v>
      </c>
      <c r="J813" t="str">
        <f>"Protein 4.1"</f>
        <v>Protein 4.1</v>
      </c>
      <c r="K813" t="str">
        <f>"EPB41"</f>
        <v>EPB41</v>
      </c>
    </row>
    <row r="814" spans="1:11" x14ac:dyDescent="0.25">
      <c r="A814" s="1">
        <v>2178</v>
      </c>
      <c r="B814" s="1">
        <v>4</v>
      </c>
      <c r="C814" s="1" t="s">
        <v>3</v>
      </c>
      <c r="D814" s="1">
        <v>8</v>
      </c>
      <c r="E814" s="1">
        <v>87.352000000000004</v>
      </c>
      <c r="F814" s="1">
        <v>0.95872199999999996</v>
      </c>
      <c r="G814" t="s">
        <v>1335</v>
      </c>
      <c r="H814" t="s">
        <v>1336</v>
      </c>
      <c r="I814">
        <v>521</v>
      </c>
      <c r="J814" t="str">
        <f>"Coatomer subunit beta"</f>
        <v>Coatomer subunit beta</v>
      </c>
      <c r="K814" t="str">
        <f>"COPB1"</f>
        <v>COPB1</v>
      </c>
    </row>
    <row r="815" spans="1:11" x14ac:dyDescent="0.25">
      <c r="A815" s="1">
        <v>1385</v>
      </c>
      <c r="B815" s="1">
        <v>3</v>
      </c>
      <c r="C815" s="1" t="s">
        <v>3</v>
      </c>
      <c r="D815" s="1">
        <v>6</v>
      </c>
      <c r="E815" s="1">
        <v>61.11</v>
      </c>
      <c r="F815" s="1">
        <v>0.85232699999999995</v>
      </c>
      <c r="G815" t="s">
        <v>1337</v>
      </c>
      <c r="H815" t="s">
        <v>1338</v>
      </c>
      <c r="I815" t="s">
        <v>4787</v>
      </c>
      <c r="J815" t="str">
        <f>"Lamin-B2"</f>
        <v>Lamin-B2</v>
      </c>
      <c r="K815" t="str">
        <f>"LMNB2"</f>
        <v>LMNB2</v>
      </c>
    </row>
    <row r="816" spans="1:11" x14ac:dyDescent="0.25">
      <c r="A816" s="1">
        <v>226</v>
      </c>
      <c r="B816" s="1">
        <v>3</v>
      </c>
      <c r="C816" s="1" t="s">
        <v>5</v>
      </c>
      <c r="D816" s="1">
        <v>12</v>
      </c>
      <c r="E816" s="1">
        <v>94.632000000000005</v>
      </c>
      <c r="F816" s="1">
        <v>0.54905800000000005</v>
      </c>
      <c r="G816" t="s">
        <v>1339</v>
      </c>
      <c r="H816" t="s">
        <v>460</v>
      </c>
      <c r="I816">
        <v>675</v>
      </c>
      <c r="J816" t="str">
        <f>"E3 ubiquitin-protein ligase CBL"</f>
        <v>E3 ubiquitin-protein ligase CBL</v>
      </c>
      <c r="K816" t="str">
        <f>"CBL"</f>
        <v>CBL</v>
      </c>
    </row>
    <row r="817" spans="1:11" x14ac:dyDescent="0.25">
      <c r="A817" s="1">
        <v>2488</v>
      </c>
      <c r="B817" s="1">
        <v>4</v>
      </c>
      <c r="C817" s="1" t="s">
        <v>3</v>
      </c>
      <c r="D817" s="1">
        <v>11</v>
      </c>
      <c r="E817" s="1">
        <v>58.246000000000002</v>
      </c>
      <c r="F817" s="1">
        <v>0.82548699999999997</v>
      </c>
      <c r="G817" t="s">
        <v>1340</v>
      </c>
      <c r="H817" t="s">
        <v>1341</v>
      </c>
      <c r="I817" t="s">
        <v>4788</v>
      </c>
      <c r="J817" t="str">
        <f>"Growth factor receptor-bound protein 7"</f>
        <v>Growth factor receptor-bound protein 7</v>
      </c>
      <c r="K817" t="str">
        <f>"GRB7"</f>
        <v>GRB7</v>
      </c>
    </row>
    <row r="818" spans="1:11" x14ac:dyDescent="0.25">
      <c r="A818" s="1">
        <v>2675</v>
      </c>
      <c r="B818" s="1">
        <v>3</v>
      </c>
      <c r="C818" s="1" t="s">
        <v>3</v>
      </c>
      <c r="D818" s="1">
        <v>7</v>
      </c>
      <c r="E818" s="1">
        <v>92.545000000000002</v>
      </c>
      <c r="F818" s="1">
        <v>0.99932799999999999</v>
      </c>
      <c r="G818" t="s">
        <v>1342</v>
      </c>
      <c r="H818" t="s">
        <v>1343</v>
      </c>
      <c r="I818" t="s">
        <v>4789</v>
      </c>
      <c r="J818" t="str">
        <f>"Liprin-beta-1"</f>
        <v>Liprin-beta-1</v>
      </c>
      <c r="K818" t="str">
        <f>"PPFIBP1"</f>
        <v>PPFIBP1</v>
      </c>
    </row>
    <row r="819" spans="1:11" x14ac:dyDescent="0.25">
      <c r="A819" s="1">
        <v>324</v>
      </c>
      <c r="B819" s="1">
        <v>3</v>
      </c>
      <c r="C819" s="1" t="s">
        <v>5</v>
      </c>
      <c r="D819" s="1">
        <v>4</v>
      </c>
      <c r="E819" s="1">
        <v>55.453000000000003</v>
      </c>
      <c r="F819" s="1">
        <v>0.51817599999999997</v>
      </c>
      <c r="G819" t="s">
        <v>1344</v>
      </c>
      <c r="H819" t="s">
        <v>264</v>
      </c>
      <c r="I819">
        <v>44</v>
      </c>
      <c r="J819" t="str">
        <f>"Peptidyl-tRNA hydrolase ICT1, mitochondrial"</f>
        <v>Peptidyl-tRNA hydrolase ICT1, mitochondrial</v>
      </c>
      <c r="K819" t="str">
        <f>"ICT1"</f>
        <v>ICT1</v>
      </c>
    </row>
    <row r="820" spans="1:11" x14ac:dyDescent="0.25">
      <c r="A820" s="1">
        <v>732</v>
      </c>
      <c r="B820" s="1">
        <v>3</v>
      </c>
      <c r="C820" s="1" t="s">
        <v>4</v>
      </c>
      <c r="D820" s="1">
        <v>21</v>
      </c>
      <c r="E820" s="1">
        <v>122.39</v>
      </c>
      <c r="F820" s="1">
        <v>0.60019900000000004</v>
      </c>
      <c r="G820" t="s">
        <v>1345</v>
      </c>
      <c r="H820" t="s">
        <v>211</v>
      </c>
      <c r="I820" t="s">
        <v>4790</v>
      </c>
      <c r="J820" t="str">
        <f>"Pseudopodium-enriched atypical kinase 1"</f>
        <v>Pseudopodium-enriched atypical kinase 1</v>
      </c>
      <c r="K820" t="str">
        <f>"PEAK1"</f>
        <v>PEAK1</v>
      </c>
    </row>
    <row r="821" spans="1:11" x14ac:dyDescent="0.25">
      <c r="A821" s="1">
        <v>1811</v>
      </c>
      <c r="B821" s="1">
        <v>2</v>
      </c>
      <c r="C821" s="1" t="s">
        <v>3</v>
      </c>
      <c r="D821" s="1">
        <v>9</v>
      </c>
      <c r="E821" s="1">
        <v>64.819999999999993</v>
      </c>
      <c r="F821" s="1">
        <v>0.99999899999999997</v>
      </c>
      <c r="G821" t="s">
        <v>1346</v>
      </c>
      <c r="H821" t="s">
        <v>157</v>
      </c>
      <c r="I821" t="s">
        <v>4791</v>
      </c>
      <c r="J821" t="str">
        <f>"Cytoplasmic protein NCK1"</f>
        <v>Cytoplasmic protein NCK1</v>
      </c>
      <c r="K821" t="str">
        <f>"NCK1"</f>
        <v>NCK1</v>
      </c>
    </row>
    <row r="822" spans="1:11" x14ac:dyDescent="0.25">
      <c r="A822" s="1">
        <v>2054</v>
      </c>
      <c r="B822" s="1">
        <v>2</v>
      </c>
      <c r="C822" s="1" t="s">
        <v>3</v>
      </c>
      <c r="D822" s="1">
        <v>3</v>
      </c>
      <c r="E822" s="1">
        <v>128.06</v>
      </c>
      <c r="F822" s="1">
        <v>1</v>
      </c>
      <c r="G822" t="s">
        <v>1347</v>
      </c>
      <c r="H822" t="s">
        <v>1348</v>
      </c>
      <c r="I822">
        <v>291</v>
      </c>
      <c r="J822" t="str">
        <f>"Wiskott-Aldrich syndrome protein"</f>
        <v>Wiskott-Aldrich syndrome protein</v>
      </c>
      <c r="K822" t="str">
        <f>"WAS"</f>
        <v>WAS</v>
      </c>
    </row>
    <row r="823" spans="1:11" x14ac:dyDescent="0.25">
      <c r="A823" s="1">
        <v>1210</v>
      </c>
      <c r="B823" s="1">
        <v>3</v>
      </c>
      <c r="C823" s="1" t="s">
        <v>3</v>
      </c>
      <c r="D823" s="1">
        <v>1</v>
      </c>
      <c r="E823" s="1">
        <v>154.49</v>
      </c>
      <c r="F823" s="1">
        <v>1</v>
      </c>
      <c r="G823" t="s">
        <v>1349</v>
      </c>
      <c r="H823" t="s">
        <v>1350</v>
      </c>
      <c r="I823" t="s">
        <v>4792</v>
      </c>
      <c r="J823" t="str">
        <f>"Heterogeneous nuclear ribonucleoprotein H;Heterogeneous nuclear ribonucleoprotein H, N-terminally processed"</f>
        <v>Heterogeneous nuclear ribonucleoprotein H;Heterogeneous nuclear ribonucleoprotein H, N-terminally processed</v>
      </c>
      <c r="K823" t="str">
        <f>"HNRNPH1"</f>
        <v>HNRNPH1</v>
      </c>
    </row>
    <row r="824" spans="1:11" x14ac:dyDescent="0.25">
      <c r="A824" s="1">
        <v>2991</v>
      </c>
      <c r="B824" s="1">
        <v>2</v>
      </c>
      <c r="C824" s="1" t="s">
        <v>3</v>
      </c>
      <c r="D824" s="1">
        <v>10</v>
      </c>
      <c r="E824" s="1">
        <v>43.68</v>
      </c>
      <c r="F824" s="1">
        <v>1</v>
      </c>
      <c r="G824" t="s">
        <v>1351</v>
      </c>
      <c r="H824" t="s">
        <v>1352</v>
      </c>
      <c r="I824" t="s">
        <v>4793</v>
      </c>
      <c r="J824" t="str">
        <f>"Echinoderm microtubule-associated protein-like 4"</f>
        <v>Echinoderm microtubule-associated protein-like 4</v>
      </c>
      <c r="K824" t="str">
        <f>"EML4"</f>
        <v>EML4</v>
      </c>
    </row>
    <row r="825" spans="1:11" x14ac:dyDescent="0.25">
      <c r="A825" s="1">
        <v>2259</v>
      </c>
      <c r="B825" s="1">
        <v>4</v>
      </c>
      <c r="C825" s="1" t="s">
        <v>3</v>
      </c>
      <c r="D825" s="1">
        <v>22</v>
      </c>
      <c r="E825" s="1">
        <v>55.661999999999999</v>
      </c>
      <c r="F825" s="1">
        <v>0.92391999999999996</v>
      </c>
      <c r="G825" t="s">
        <v>1353</v>
      </c>
      <c r="H825" t="s">
        <v>824</v>
      </c>
      <c r="I825" t="s">
        <v>4794</v>
      </c>
      <c r="J825" t="str">
        <f>"Actin, aortic smooth muscle;Actin, gamma-enteric smooth muscle;Actin, alpha cardiac muscle 1;Actin, alpha skeletal muscle"</f>
        <v>Actin, aortic smooth muscle;Actin, gamma-enteric smooth muscle;Actin, alpha cardiac muscle 1;Actin, alpha skeletal muscle</v>
      </c>
      <c r="K825" t="str">
        <f>"ACTA2;ACTG2;ACTC1;ACTA1"</f>
        <v>ACTA2;ACTG2;ACTC1;ACTA1</v>
      </c>
    </row>
    <row r="826" spans="1:11" x14ac:dyDescent="0.25">
      <c r="A826" s="1">
        <v>176</v>
      </c>
      <c r="B826" s="1">
        <v>2</v>
      </c>
      <c r="C826" s="1" t="s">
        <v>5</v>
      </c>
      <c r="D826" s="1">
        <v>9</v>
      </c>
      <c r="E826" s="1">
        <v>163.51</v>
      </c>
      <c r="F826" s="1">
        <v>0.71575800000000001</v>
      </c>
      <c r="G826" t="s">
        <v>1354</v>
      </c>
      <c r="H826" t="s">
        <v>1355</v>
      </c>
      <c r="I826" t="s">
        <v>4795</v>
      </c>
      <c r="J826" t="str">
        <f>"Keratin, type I cytoskeletal 18"</f>
        <v>Keratin, type I cytoskeletal 18</v>
      </c>
      <c r="K826" t="str">
        <f>"KRT18"</f>
        <v>KRT18</v>
      </c>
    </row>
    <row r="827" spans="1:11" x14ac:dyDescent="0.25">
      <c r="A827" s="1">
        <v>2866</v>
      </c>
      <c r="B827" s="1">
        <v>3</v>
      </c>
      <c r="C827" s="1" t="s">
        <v>3</v>
      </c>
      <c r="D827" s="1">
        <v>13</v>
      </c>
      <c r="E827" s="1">
        <v>141.78</v>
      </c>
      <c r="F827" s="1">
        <v>0.91563399999999995</v>
      </c>
      <c r="G827" t="s">
        <v>1356</v>
      </c>
      <c r="H827" t="s">
        <v>228</v>
      </c>
      <c r="I827" t="s">
        <v>4796</v>
      </c>
      <c r="J827" t="str">
        <f>"Discoidin, CUB and LCCL domain-containing protein 2"</f>
        <v>Discoidin, CUB and LCCL domain-containing protein 2</v>
      </c>
      <c r="K827" t="str">
        <f>"DCBLD2"</f>
        <v>DCBLD2</v>
      </c>
    </row>
    <row r="828" spans="1:11" x14ac:dyDescent="0.25">
      <c r="A828" s="1">
        <v>929</v>
      </c>
      <c r="B828" s="1">
        <v>2</v>
      </c>
      <c r="C828" s="1" t="s">
        <v>3</v>
      </c>
      <c r="D828" s="1">
        <v>7</v>
      </c>
      <c r="E828" s="1">
        <v>91.265000000000001</v>
      </c>
      <c r="F828" s="1">
        <v>0.99999700000000002</v>
      </c>
      <c r="G828" t="s">
        <v>1357</v>
      </c>
      <c r="H828" t="s">
        <v>1358</v>
      </c>
      <c r="I828" t="s">
        <v>4797</v>
      </c>
      <c r="J828" t="str">
        <f>"Disks large homolog 1"</f>
        <v>Disks large homolog 1</v>
      </c>
      <c r="K828" t="str">
        <f>"DLG1"</f>
        <v>DLG1</v>
      </c>
    </row>
    <row r="829" spans="1:11" x14ac:dyDescent="0.25">
      <c r="A829" s="1">
        <v>1410</v>
      </c>
      <c r="B829" s="1">
        <v>3</v>
      </c>
      <c r="C829" s="1" t="s">
        <v>3</v>
      </c>
      <c r="D829" s="1">
        <v>22</v>
      </c>
      <c r="E829" s="1">
        <v>69.638999999999996</v>
      </c>
      <c r="F829" s="1">
        <v>0.96975800000000001</v>
      </c>
      <c r="G829" t="s">
        <v>1359</v>
      </c>
      <c r="H829" t="s">
        <v>1360</v>
      </c>
      <c r="I829">
        <v>139</v>
      </c>
      <c r="J829" t="str">
        <f>"Synaptosomal-associated protein 23"</f>
        <v>Synaptosomal-associated protein 23</v>
      </c>
      <c r="K829" t="str">
        <f>"SNAP23"</f>
        <v>SNAP23</v>
      </c>
    </row>
    <row r="830" spans="1:11" x14ac:dyDescent="0.25">
      <c r="A830" s="1">
        <v>1506</v>
      </c>
      <c r="B830" s="1">
        <v>3</v>
      </c>
      <c r="C830" s="1" t="s">
        <v>3</v>
      </c>
      <c r="D830" s="1">
        <v>9</v>
      </c>
      <c r="E830" s="1">
        <v>56.488</v>
      </c>
      <c r="F830" s="1">
        <v>0.67759899999999995</v>
      </c>
      <c r="G830" t="s">
        <v>1361</v>
      </c>
      <c r="H830" t="s">
        <v>1362</v>
      </c>
      <c r="I830" t="s">
        <v>4798</v>
      </c>
      <c r="J830" t="str">
        <f>"Leupaxin"</f>
        <v>Leupaxin</v>
      </c>
      <c r="K830" t="str">
        <f>"LPXN"</f>
        <v>LPXN</v>
      </c>
    </row>
    <row r="831" spans="1:11" x14ac:dyDescent="0.25">
      <c r="A831" s="1">
        <v>157</v>
      </c>
      <c r="B831" s="1">
        <v>2</v>
      </c>
      <c r="C831" s="1" t="s">
        <v>5</v>
      </c>
      <c r="D831" s="1">
        <v>12</v>
      </c>
      <c r="E831" s="1">
        <v>92.039000000000001</v>
      </c>
      <c r="F831" s="1">
        <v>0.68867299999999998</v>
      </c>
      <c r="G831" t="s">
        <v>1363</v>
      </c>
      <c r="H831" t="s">
        <v>1364</v>
      </c>
      <c r="I831">
        <v>375</v>
      </c>
      <c r="J831" t="str">
        <f>"Signal transducing adapter molecule 2"</f>
        <v>Signal transducing adapter molecule 2</v>
      </c>
      <c r="K831" t="str">
        <f>"STAM2"</f>
        <v>STAM2</v>
      </c>
    </row>
    <row r="832" spans="1:11" x14ac:dyDescent="0.25">
      <c r="A832" s="1">
        <v>219</v>
      </c>
      <c r="B832" s="1">
        <v>3</v>
      </c>
      <c r="C832" s="1" t="s">
        <v>5</v>
      </c>
      <c r="D832" s="1">
        <v>2</v>
      </c>
      <c r="E832" s="1">
        <v>107.88</v>
      </c>
      <c r="F832" s="1">
        <v>0.55093999999999999</v>
      </c>
      <c r="G832" t="s">
        <v>1365</v>
      </c>
      <c r="H832" t="s">
        <v>987</v>
      </c>
      <c r="I832" t="s">
        <v>4799</v>
      </c>
      <c r="J832" t="str">
        <f>"Phosphoglycerate mutase 1;Probable phosphoglycerate mutase 4"</f>
        <v>Phosphoglycerate mutase 1;Probable phosphoglycerate mutase 4</v>
      </c>
      <c r="K832" t="str">
        <f>"PGAM1;PGAM4"</f>
        <v>PGAM1;PGAM4</v>
      </c>
    </row>
    <row r="833" spans="1:11" x14ac:dyDescent="0.25">
      <c r="A833" s="1">
        <v>2529</v>
      </c>
      <c r="B833" s="1">
        <v>4</v>
      </c>
      <c r="C833" s="1" t="s">
        <v>3</v>
      </c>
      <c r="D833" s="1">
        <v>7</v>
      </c>
      <c r="E833" s="1">
        <v>71.206999999999994</v>
      </c>
      <c r="F833" s="1">
        <v>0.91047699999999998</v>
      </c>
      <c r="G833" t="s">
        <v>1366</v>
      </c>
      <c r="H833" t="s">
        <v>1367</v>
      </c>
      <c r="I833">
        <v>207</v>
      </c>
      <c r="J833" t="str">
        <f>"Poly(rC)-binding protein 1"</f>
        <v>Poly(rC)-binding protein 1</v>
      </c>
      <c r="K833" t="str">
        <f>"PCBP1"</f>
        <v>PCBP1</v>
      </c>
    </row>
    <row r="834" spans="1:11" x14ac:dyDescent="0.25">
      <c r="A834" s="1">
        <v>2266</v>
      </c>
      <c r="B834" s="1">
        <v>3</v>
      </c>
      <c r="C834" s="1" t="s">
        <v>3</v>
      </c>
      <c r="D834" s="1">
        <v>5</v>
      </c>
      <c r="E834" s="1">
        <v>65.043000000000006</v>
      </c>
      <c r="F834" s="1">
        <v>0.96293399999999996</v>
      </c>
      <c r="G834" t="s">
        <v>1368</v>
      </c>
      <c r="H834" t="s">
        <v>1369</v>
      </c>
      <c r="I834">
        <v>148</v>
      </c>
      <c r="J834" t="str">
        <f>"Ubiquitin-40S ribosomal protein S27a;Ubiquitin;40S ribosomal protein S27a"</f>
        <v>Ubiquitin-40S ribosomal protein S27a;Ubiquitin;40S ribosomal protein S27a</v>
      </c>
      <c r="K834" t="str">
        <f>"RPS27A"</f>
        <v>RPS27A</v>
      </c>
    </row>
    <row r="835" spans="1:11" x14ac:dyDescent="0.25">
      <c r="A835" s="1">
        <v>2294</v>
      </c>
      <c r="B835" s="1">
        <v>3</v>
      </c>
      <c r="C835" s="1" t="s">
        <v>3</v>
      </c>
      <c r="D835" s="1">
        <v>9</v>
      </c>
      <c r="E835" s="1">
        <v>53.167999999999999</v>
      </c>
      <c r="F835" s="1">
        <v>0.98038199999999998</v>
      </c>
      <c r="G835" t="s">
        <v>1370</v>
      </c>
      <c r="H835" t="s">
        <v>1371</v>
      </c>
      <c r="I835">
        <v>82</v>
      </c>
      <c r="J835" t="str">
        <f>"Enhancer of rudimentary homolog"</f>
        <v>Enhancer of rudimentary homolog</v>
      </c>
      <c r="K835" t="str">
        <f>"ERH"</f>
        <v>ERH</v>
      </c>
    </row>
    <row r="836" spans="1:11" x14ac:dyDescent="0.25">
      <c r="A836" s="1">
        <v>2854</v>
      </c>
      <c r="B836" s="1">
        <v>3</v>
      </c>
      <c r="C836" s="1" t="s">
        <v>3</v>
      </c>
      <c r="D836" s="1">
        <v>19</v>
      </c>
      <c r="E836" s="1">
        <v>97.5</v>
      </c>
      <c r="F836" s="1">
        <v>0.91833299999999995</v>
      </c>
      <c r="G836" t="s">
        <v>1372</v>
      </c>
      <c r="H836" t="s">
        <v>1373</v>
      </c>
      <c r="I836">
        <v>51</v>
      </c>
      <c r="J836" t="str">
        <f>"Far upstream element-binding protein 3"</f>
        <v>Far upstream element-binding protein 3</v>
      </c>
      <c r="K836" t="str">
        <f>"FUBP3"</f>
        <v>FUBP3</v>
      </c>
    </row>
    <row r="837" spans="1:11" x14ac:dyDescent="0.25">
      <c r="A837" s="1">
        <v>1187</v>
      </c>
      <c r="B837" s="1">
        <v>3</v>
      </c>
      <c r="C837" s="1" t="s">
        <v>3</v>
      </c>
      <c r="D837" s="1">
        <v>2</v>
      </c>
      <c r="E837" s="1">
        <v>110.97</v>
      </c>
      <c r="F837" s="1">
        <v>0.99774799999999997</v>
      </c>
      <c r="G837" t="s">
        <v>1374</v>
      </c>
      <c r="H837" t="s">
        <v>1375</v>
      </c>
      <c r="I837" t="s">
        <v>4800</v>
      </c>
      <c r="J837" t="str">
        <f>"Arf-GAP with Rho-GAP domain, ANK repeat and PH domain-containing protein 1"</f>
        <v>Arf-GAP with Rho-GAP domain, ANK repeat and PH domain-containing protein 1</v>
      </c>
      <c r="K837" t="str">
        <f>"ARAP1"</f>
        <v>ARAP1</v>
      </c>
    </row>
    <row r="838" spans="1:11" x14ac:dyDescent="0.25">
      <c r="A838" s="1">
        <v>1154</v>
      </c>
      <c r="B838" s="1">
        <v>2</v>
      </c>
      <c r="C838" s="1" t="s">
        <v>3</v>
      </c>
      <c r="D838" s="1">
        <v>5</v>
      </c>
      <c r="E838" s="1">
        <v>96.341999999999999</v>
      </c>
      <c r="F838" s="1">
        <v>0.99944100000000002</v>
      </c>
      <c r="G838" t="s">
        <v>1376</v>
      </c>
      <c r="H838" t="s">
        <v>1377</v>
      </c>
      <c r="I838" t="s">
        <v>4801</v>
      </c>
      <c r="J838" t="str">
        <f>"Hemoglobin subunit delta;Hemoglobin subunit beta;LVV-hemorphin-7;Spinorphin;Hemoglobin subunit gamma-2;Hemoglobin subunit gamma-1;Hemoglobin subunit epsilon"</f>
        <v>Hemoglobin subunit delta;Hemoglobin subunit beta;LVV-hemorphin-7;Spinorphin;Hemoglobin subunit gamma-2;Hemoglobin subunit gamma-1;Hemoglobin subunit epsilon</v>
      </c>
      <c r="K838" t="str">
        <f>"HBD;HBB;HBG2;HBG1;HBE1"</f>
        <v>HBD;HBB;HBG2;HBG1;HBE1</v>
      </c>
    </row>
    <row r="839" spans="1:11" x14ac:dyDescent="0.25">
      <c r="A839" s="1">
        <v>1576</v>
      </c>
      <c r="B839" s="1">
        <v>3</v>
      </c>
      <c r="C839" s="1" t="s">
        <v>3</v>
      </c>
      <c r="D839" s="1">
        <v>10</v>
      </c>
      <c r="E839" s="1">
        <v>147.06</v>
      </c>
      <c r="F839" s="1">
        <v>0.99940899999999999</v>
      </c>
      <c r="G839" t="s">
        <v>1378</v>
      </c>
      <c r="H839" t="s">
        <v>1379</v>
      </c>
      <c r="I839" t="s">
        <v>4802</v>
      </c>
      <c r="J839" t="str">
        <f>"Cytochrome b5"</f>
        <v>Cytochrome b5</v>
      </c>
      <c r="K839" t="str">
        <f>"CYB5A"</f>
        <v>CYB5A</v>
      </c>
    </row>
    <row r="840" spans="1:11" x14ac:dyDescent="0.25">
      <c r="A840" s="1">
        <v>2239</v>
      </c>
      <c r="B840" s="1">
        <v>2</v>
      </c>
      <c r="C840" s="1" t="s">
        <v>3</v>
      </c>
      <c r="D840" s="1">
        <v>3</v>
      </c>
      <c r="E840" s="1">
        <v>173.37</v>
      </c>
      <c r="F840" s="1">
        <v>0.88449800000000001</v>
      </c>
      <c r="G840" t="s">
        <v>1380</v>
      </c>
      <c r="H840" t="s">
        <v>1381</v>
      </c>
      <c r="I840" t="s">
        <v>4803</v>
      </c>
      <c r="J840" t="str">
        <f>"Heterogeneous nuclear ribonucleoprotein K"</f>
        <v>Heterogeneous nuclear ribonucleoprotein K</v>
      </c>
      <c r="K840" t="str">
        <f>"HNRNPK"</f>
        <v>HNRNPK</v>
      </c>
    </row>
    <row r="841" spans="1:11" x14ac:dyDescent="0.25">
      <c r="A841" s="1">
        <v>1212</v>
      </c>
      <c r="B841" s="1">
        <v>3</v>
      </c>
      <c r="C841" s="1" t="s">
        <v>3</v>
      </c>
      <c r="D841" s="1">
        <v>14</v>
      </c>
      <c r="E841" s="1">
        <v>89.468000000000004</v>
      </c>
      <c r="F841" s="1">
        <v>0.967256</v>
      </c>
      <c r="G841" t="s">
        <v>1382</v>
      </c>
      <c r="H841" t="s">
        <v>1383</v>
      </c>
      <c r="I841" t="s">
        <v>4804</v>
      </c>
      <c r="J841" t="str">
        <f>"Far upstream element-binding protein 1"</f>
        <v>Far upstream element-binding protein 1</v>
      </c>
      <c r="K841" t="str">
        <f>"FUBP1"</f>
        <v>FUBP1</v>
      </c>
    </row>
    <row r="842" spans="1:11" x14ac:dyDescent="0.25">
      <c r="A842" s="1">
        <v>1794</v>
      </c>
      <c r="B842" s="1">
        <v>4</v>
      </c>
      <c r="C842" s="1" t="s">
        <v>3</v>
      </c>
      <c r="D842" s="1">
        <v>8</v>
      </c>
      <c r="E842" s="1">
        <v>68.073999999999998</v>
      </c>
      <c r="F842" s="1">
        <v>0.79725900000000005</v>
      </c>
      <c r="G842" t="s">
        <v>1384</v>
      </c>
      <c r="H842" t="s">
        <v>807</v>
      </c>
      <c r="I842">
        <v>20</v>
      </c>
      <c r="J842" t="str">
        <f>"Junction plakoglobin"</f>
        <v>Junction plakoglobin</v>
      </c>
      <c r="K842" t="str">
        <f>"JUP"</f>
        <v>JUP</v>
      </c>
    </row>
    <row r="843" spans="1:11" x14ac:dyDescent="0.25">
      <c r="A843" s="1">
        <v>720</v>
      </c>
      <c r="B843" s="1">
        <v>2</v>
      </c>
      <c r="C843" s="1" t="s">
        <v>4</v>
      </c>
      <c r="D843" s="1">
        <v>12</v>
      </c>
      <c r="E843" s="1">
        <v>113.76</v>
      </c>
      <c r="F843" s="1">
        <v>0.66427199999999997</v>
      </c>
      <c r="G843" t="s">
        <v>1385</v>
      </c>
      <c r="H843" t="s">
        <v>207</v>
      </c>
      <c r="I843">
        <v>105</v>
      </c>
      <c r="J843" t="str">
        <f>"Uncharacterized protein C11orf52"</f>
        <v>Uncharacterized protein C11orf52</v>
      </c>
      <c r="K843" t="str">
        <f>"C11orf52"</f>
        <v>C11orf52</v>
      </c>
    </row>
    <row r="844" spans="1:11" x14ac:dyDescent="0.25">
      <c r="A844" s="1">
        <v>1056</v>
      </c>
      <c r="B844" s="1">
        <v>3</v>
      </c>
      <c r="C844" s="1" t="s">
        <v>3</v>
      </c>
      <c r="D844" s="1">
        <v>12</v>
      </c>
      <c r="E844" s="1">
        <v>70.260000000000005</v>
      </c>
      <c r="F844" s="1">
        <v>0.85798399999999997</v>
      </c>
      <c r="G844" t="s">
        <v>1386</v>
      </c>
      <c r="H844" t="s">
        <v>643</v>
      </c>
      <c r="I844" t="s">
        <v>4805</v>
      </c>
      <c r="J844" t="str">
        <f>"Kin of IRRE-like protein 1"</f>
        <v>Kin of IRRE-like protein 1</v>
      </c>
      <c r="K844" t="str">
        <f>"KIRREL"</f>
        <v>KIRREL</v>
      </c>
    </row>
    <row r="845" spans="1:11" x14ac:dyDescent="0.25">
      <c r="A845" s="1">
        <v>1803</v>
      </c>
      <c r="B845" s="1">
        <v>2</v>
      </c>
      <c r="C845" s="1" t="s">
        <v>3</v>
      </c>
      <c r="D845" s="1">
        <v>2</v>
      </c>
      <c r="E845" s="1">
        <v>92.938999999999993</v>
      </c>
      <c r="F845" s="1">
        <v>0.99929199999999996</v>
      </c>
      <c r="G845" t="s">
        <v>1387</v>
      </c>
      <c r="H845" t="s">
        <v>1388</v>
      </c>
      <c r="I845" t="s">
        <v>4806</v>
      </c>
      <c r="J845" t="str">
        <f>"Integrin beta-4"</f>
        <v>Integrin beta-4</v>
      </c>
      <c r="K845" t="str">
        <f>"ITGB4"</f>
        <v>ITGB4</v>
      </c>
    </row>
    <row r="846" spans="1:11" x14ac:dyDescent="0.25">
      <c r="A846" s="1">
        <v>2443</v>
      </c>
      <c r="B846" s="1">
        <v>3</v>
      </c>
      <c r="C846" s="1" t="s">
        <v>3</v>
      </c>
      <c r="D846" s="1">
        <v>5</v>
      </c>
      <c r="E846" s="1">
        <v>54.898000000000003</v>
      </c>
      <c r="F846" s="1">
        <v>0.99917699999999998</v>
      </c>
      <c r="G846" t="s">
        <v>1389</v>
      </c>
      <c r="H846" t="s">
        <v>1390</v>
      </c>
      <c r="I846" t="s">
        <v>4807</v>
      </c>
      <c r="J846" t="str">
        <f>"Four and a half LIM domains protein 1"</f>
        <v>Four and a half LIM domains protein 1</v>
      </c>
      <c r="K846" t="str">
        <f>"FHL1"</f>
        <v>FHL1</v>
      </c>
    </row>
    <row r="847" spans="1:11" x14ac:dyDescent="0.25">
      <c r="A847" s="1">
        <v>2407</v>
      </c>
      <c r="B847" s="1">
        <v>3</v>
      </c>
      <c r="C847" s="1" t="s">
        <v>3</v>
      </c>
      <c r="D847" s="1">
        <v>2</v>
      </c>
      <c r="E847" s="1">
        <v>131.35</v>
      </c>
      <c r="F847" s="1">
        <v>1</v>
      </c>
      <c r="G847" t="s">
        <v>1391</v>
      </c>
      <c r="H847" t="s">
        <v>1392</v>
      </c>
      <c r="I847" t="s">
        <v>4808</v>
      </c>
      <c r="J847" t="str">
        <f>"Selenium-binding protein 1"</f>
        <v>Selenium-binding protein 1</v>
      </c>
      <c r="K847" t="str">
        <f>"SELENBP1"</f>
        <v>SELENBP1</v>
      </c>
    </row>
    <row r="848" spans="1:11" x14ac:dyDescent="0.25">
      <c r="A848" s="1">
        <v>1685</v>
      </c>
      <c r="B848" s="1">
        <v>3</v>
      </c>
      <c r="C848" s="1" t="s">
        <v>3</v>
      </c>
      <c r="D848" s="1">
        <v>5</v>
      </c>
      <c r="E848" s="1">
        <v>79.492000000000004</v>
      </c>
      <c r="F848" s="1">
        <v>0.99999899999999997</v>
      </c>
      <c r="G848" t="s">
        <v>1393</v>
      </c>
      <c r="H848" t="s">
        <v>1394</v>
      </c>
      <c r="I848">
        <v>81</v>
      </c>
      <c r="J848" t="str">
        <f>"Synaptophysin"</f>
        <v>Synaptophysin</v>
      </c>
      <c r="K848" t="str">
        <f>"SYP"</f>
        <v>SYP</v>
      </c>
    </row>
    <row r="849" spans="1:11" x14ac:dyDescent="0.25">
      <c r="A849" s="1">
        <v>703</v>
      </c>
      <c r="B849" s="1">
        <v>4</v>
      </c>
      <c r="C849" s="1" t="s">
        <v>4</v>
      </c>
      <c r="D849" s="1">
        <v>24</v>
      </c>
      <c r="E849" s="1">
        <v>51.203000000000003</v>
      </c>
      <c r="F849" s="1">
        <v>0.51317100000000004</v>
      </c>
      <c r="G849" t="s">
        <v>1395</v>
      </c>
      <c r="H849" t="s">
        <v>491</v>
      </c>
      <c r="I849">
        <v>114</v>
      </c>
      <c r="J849" t="str">
        <f>"Protein FAM83F"</f>
        <v>Protein FAM83F</v>
      </c>
      <c r="K849" t="str">
        <f>"FAM83F"</f>
        <v>FAM83F</v>
      </c>
    </row>
    <row r="850" spans="1:11" x14ac:dyDescent="0.25">
      <c r="A850" s="1">
        <v>672</v>
      </c>
      <c r="B850" s="1">
        <v>4</v>
      </c>
      <c r="C850" s="1" t="s">
        <v>4</v>
      </c>
      <c r="D850" s="1">
        <v>23</v>
      </c>
      <c r="E850" s="1">
        <v>72.072999999999993</v>
      </c>
      <c r="F850" s="1">
        <v>0.55222700000000002</v>
      </c>
      <c r="G850" t="s">
        <v>1396</v>
      </c>
      <c r="H850" t="s">
        <v>903</v>
      </c>
      <c r="I850" t="s">
        <v>4809</v>
      </c>
      <c r="J850" t="str">
        <f>"Ankyrin-3"</f>
        <v>Ankyrin-3</v>
      </c>
      <c r="K850" t="str">
        <f>"ANK3"</f>
        <v>ANK3</v>
      </c>
    </row>
    <row r="851" spans="1:11" x14ac:dyDescent="0.25">
      <c r="A851" s="1">
        <v>1830</v>
      </c>
      <c r="B851" s="1">
        <v>2</v>
      </c>
      <c r="C851" s="1" t="s">
        <v>3</v>
      </c>
      <c r="D851" s="1">
        <v>1</v>
      </c>
      <c r="E851" s="1">
        <v>93.096000000000004</v>
      </c>
      <c r="F851" s="1">
        <v>1</v>
      </c>
      <c r="G851" t="s">
        <v>1397</v>
      </c>
      <c r="H851" t="s">
        <v>28</v>
      </c>
      <c r="I851" t="s">
        <v>4810</v>
      </c>
      <c r="J851" t="str">
        <f>"Receptor-type tyrosine-protein phosphatase alpha"</f>
        <v>Receptor-type tyrosine-protein phosphatase alpha</v>
      </c>
      <c r="K851" t="str">
        <f>"PTPRA"</f>
        <v>PTPRA</v>
      </c>
    </row>
    <row r="852" spans="1:11" x14ac:dyDescent="0.25">
      <c r="A852" s="1">
        <v>1590</v>
      </c>
      <c r="B852" s="1">
        <v>3</v>
      </c>
      <c r="C852" s="1" t="s">
        <v>3</v>
      </c>
      <c r="D852" s="1">
        <v>6</v>
      </c>
      <c r="E852" s="1">
        <v>56.719000000000001</v>
      </c>
      <c r="F852" s="1">
        <v>0.85586899999999999</v>
      </c>
      <c r="G852" t="s">
        <v>1398</v>
      </c>
      <c r="H852" t="s">
        <v>1399</v>
      </c>
      <c r="I852" t="s">
        <v>4811</v>
      </c>
      <c r="J852" t="str">
        <f>"Tyrosine-protein kinase ABL1"</f>
        <v>Tyrosine-protein kinase ABL1</v>
      </c>
      <c r="K852" t="str">
        <f>"ABL1"</f>
        <v>ABL1</v>
      </c>
    </row>
    <row r="853" spans="1:11" x14ac:dyDescent="0.25">
      <c r="A853" s="1">
        <v>2065</v>
      </c>
      <c r="B853" s="1">
        <v>3</v>
      </c>
      <c r="C853" s="1" t="s">
        <v>3</v>
      </c>
      <c r="D853" s="1">
        <v>9</v>
      </c>
      <c r="E853" s="1">
        <v>79.659000000000006</v>
      </c>
      <c r="F853" s="1">
        <v>0.97568699999999997</v>
      </c>
      <c r="G853" t="s">
        <v>1400</v>
      </c>
      <c r="H853" t="s">
        <v>237</v>
      </c>
      <c r="I853" t="s">
        <v>4812</v>
      </c>
      <c r="J853" t="str">
        <f>"Tyrosine-protein kinase SYK"</f>
        <v>Tyrosine-protein kinase SYK</v>
      </c>
      <c r="K853" t="str">
        <f>"SYK"</f>
        <v>SYK</v>
      </c>
    </row>
    <row r="854" spans="1:11" x14ac:dyDescent="0.25">
      <c r="A854" s="1">
        <v>1528</v>
      </c>
      <c r="B854" s="1">
        <v>2</v>
      </c>
      <c r="C854" s="1" t="s">
        <v>3</v>
      </c>
      <c r="D854" s="1">
        <v>2</v>
      </c>
      <c r="E854" s="1">
        <v>63.418999999999997</v>
      </c>
      <c r="F854" s="1">
        <v>0.99996200000000002</v>
      </c>
      <c r="G854" t="s">
        <v>1401</v>
      </c>
      <c r="H854" t="s">
        <v>1402</v>
      </c>
      <c r="I854">
        <v>313</v>
      </c>
      <c r="J854" t="str">
        <f>"RNA/RNP complex-1-interacting phosphatase"</f>
        <v>RNA/RNP complex-1-interacting phosphatase</v>
      </c>
      <c r="K854" t="str">
        <f>"DUSP11"</f>
        <v>DUSP11</v>
      </c>
    </row>
    <row r="855" spans="1:11" x14ac:dyDescent="0.25">
      <c r="A855" s="1">
        <v>2233</v>
      </c>
      <c r="B855" s="1">
        <v>2</v>
      </c>
      <c r="C855" s="1" t="s">
        <v>3</v>
      </c>
      <c r="D855" s="1">
        <v>1</v>
      </c>
      <c r="E855" s="1">
        <v>47.893999999999998</v>
      </c>
      <c r="F855" s="1">
        <v>0.946712</v>
      </c>
      <c r="G855" t="s">
        <v>1403</v>
      </c>
      <c r="H855" t="s">
        <v>1404</v>
      </c>
      <c r="I855" t="s">
        <v>4813</v>
      </c>
      <c r="J855" t="str">
        <f>"Actin-related protein 3"</f>
        <v>Actin-related protein 3</v>
      </c>
      <c r="K855" t="str">
        <f>"ACTR3"</f>
        <v>ACTR3</v>
      </c>
    </row>
    <row r="856" spans="1:11" x14ac:dyDescent="0.25">
      <c r="A856" s="1">
        <v>82</v>
      </c>
      <c r="B856" s="1">
        <v>3</v>
      </c>
      <c r="C856" s="1" t="s">
        <v>5</v>
      </c>
      <c r="D856" s="1">
        <v>11</v>
      </c>
      <c r="E856" s="1">
        <v>138.19</v>
      </c>
      <c r="F856" s="1">
        <v>0.67059199999999997</v>
      </c>
      <c r="G856" t="s">
        <v>1405</v>
      </c>
      <c r="H856" t="s">
        <v>1406</v>
      </c>
      <c r="I856">
        <v>210</v>
      </c>
      <c r="J856" t="str">
        <f>""</f>
        <v/>
      </c>
      <c r="K856" t="str">
        <f>"LTF"</f>
        <v>LTF</v>
      </c>
    </row>
    <row r="857" spans="1:11" x14ac:dyDescent="0.25">
      <c r="A857" s="1">
        <v>2942</v>
      </c>
      <c r="B857" s="1">
        <v>3</v>
      </c>
      <c r="C857" s="1" t="s">
        <v>3</v>
      </c>
      <c r="D857" s="1">
        <v>6</v>
      </c>
      <c r="E857" s="1">
        <v>76.340999999999994</v>
      </c>
      <c r="F857" s="1">
        <v>0.99010299999999996</v>
      </c>
      <c r="G857" t="s">
        <v>1407</v>
      </c>
      <c r="H857" t="s">
        <v>1408</v>
      </c>
      <c r="I857">
        <v>101</v>
      </c>
      <c r="J857" t="str">
        <f>"Partitioning defective 6 homolog beta"</f>
        <v>Partitioning defective 6 homolog beta</v>
      </c>
      <c r="K857" t="str">
        <f>"PARD6B"</f>
        <v>PARD6B</v>
      </c>
    </row>
    <row r="858" spans="1:11" x14ac:dyDescent="0.25">
      <c r="A858" s="1">
        <v>1008</v>
      </c>
      <c r="B858" s="1">
        <v>2</v>
      </c>
      <c r="C858" s="1" t="s">
        <v>3</v>
      </c>
      <c r="D858" s="1">
        <v>2</v>
      </c>
      <c r="E858" s="1">
        <v>88.021000000000001</v>
      </c>
      <c r="F858" s="1">
        <v>0.99999700000000002</v>
      </c>
      <c r="G858" t="s">
        <v>1409</v>
      </c>
      <c r="H858" t="s">
        <v>884</v>
      </c>
      <c r="I858" t="s">
        <v>4814</v>
      </c>
      <c r="J858" t="str">
        <f>"Afadin"</f>
        <v>Afadin</v>
      </c>
      <c r="K858" t="str">
        <f>"MLLT4"</f>
        <v>MLLT4</v>
      </c>
    </row>
    <row r="859" spans="1:11" x14ac:dyDescent="0.25">
      <c r="A859" s="1">
        <v>1569</v>
      </c>
      <c r="B859" s="1">
        <v>3</v>
      </c>
      <c r="C859" s="1" t="s">
        <v>3</v>
      </c>
      <c r="D859" s="1">
        <v>5</v>
      </c>
      <c r="E859" s="1">
        <v>85.671999999999997</v>
      </c>
      <c r="F859" s="1">
        <v>0.99929599999999996</v>
      </c>
      <c r="G859" t="s">
        <v>1410</v>
      </c>
      <c r="H859" t="s">
        <v>1411</v>
      </c>
      <c r="I859" t="s">
        <v>4815</v>
      </c>
      <c r="J859" t="str">
        <f>"Polypyrimidine tract-binding protein 3"</f>
        <v>Polypyrimidine tract-binding protein 3</v>
      </c>
      <c r="K859" t="str">
        <f>"PTBP3"</f>
        <v>PTBP3</v>
      </c>
    </row>
    <row r="860" spans="1:11" x14ac:dyDescent="0.25">
      <c r="A860" s="1">
        <v>733</v>
      </c>
      <c r="B860" s="1">
        <v>4</v>
      </c>
      <c r="C860" s="1" t="s">
        <v>4</v>
      </c>
      <c r="D860" s="1">
        <v>13</v>
      </c>
      <c r="E860" s="1">
        <v>119.65</v>
      </c>
      <c r="F860" s="1">
        <v>0.54036499999999998</v>
      </c>
      <c r="G860" t="s">
        <v>1412</v>
      </c>
      <c r="H860" t="s">
        <v>211</v>
      </c>
      <c r="I860" t="s">
        <v>4816</v>
      </c>
      <c r="J860" t="str">
        <f>"Pseudopodium-enriched atypical kinase 1"</f>
        <v>Pseudopodium-enriched atypical kinase 1</v>
      </c>
      <c r="K860" t="str">
        <f>"PEAK1"</f>
        <v>PEAK1</v>
      </c>
    </row>
    <row r="861" spans="1:11" x14ac:dyDescent="0.25">
      <c r="A861" s="1">
        <v>1762</v>
      </c>
      <c r="B861" s="1">
        <v>3</v>
      </c>
      <c r="C861" s="1" t="s">
        <v>3</v>
      </c>
      <c r="D861" s="1">
        <v>4</v>
      </c>
      <c r="E861" s="1">
        <v>50.94</v>
      </c>
      <c r="F861" s="1">
        <v>0.99020600000000003</v>
      </c>
      <c r="G861" t="s">
        <v>1413</v>
      </c>
      <c r="H861" t="s">
        <v>1414</v>
      </c>
      <c r="I861" t="s">
        <v>4817</v>
      </c>
      <c r="J861" t="str">
        <f>"Alpha-actinin-1"</f>
        <v>Alpha-actinin-1</v>
      </c>
      <c r="K861" t="str">
        <f>"ACTN1"</f>
        <v>ACTN1</v>
      </c>
    </row>
    <row r="862" spans="1:11" x14ac:dyDescent="0.25">
      <c r="A862" s="1">
        <v>2018</v>
      </c>
      <c r="B862" s="1">
        <v>3</v>
      </c>
      <c r="C862" s="1" t="s">
        <v>3</v>
      </c>
      <c r="D862" s="1">
        <v>2</v>
      </c>
      <c r="E862" s="1">
        <v>60.734999999999999</v>
      </c>
      <c r="F862" s="1">
        <v>0.94738500000000003</v>
      </c>
      <c r="G862" t="s">
        <v>1415</v>
      </c>
      <c r="H862" t="s">
        <v>1416</v>
      </c>
      <c r="I862" t="s">
        <v>4818</v>
      </c>
      <c r="J862" t="str">
        <f>"Macrophage-capping protein"</f>
        <v>Macrophage-capping protein</v>
      </c>
      <c r="K862" t="str">
        <f>"CAPG"</f>
        <v>CAPG</v>
      </c>
    </row>
    <row r="863" spans="1:11" x14ac:dyDescent="0.25">
      <c r="A863" s="1">
        <v>2597</v>
      </c>
      <c r="B863" s="1">
        <v>3</v>
      </c>
      <c r="C863" s="1" t="s">
        <v>3</v>
      </c>
      <c r="D863" s="1">
        <v>9</v>
      </c>
      <c r="E863" s="1">
        <v>70.197000000000003</v>
      </c>
      <c r="F863" s="1">
        <v>0.95079100000000005</v>
      </c>
      <c r="G863" t="s">
        <v>1417</v>
      </c>
      <c r="H863" t="s">
        <v>291</v>
      </c>
      <c r="I863" t="s">
        <v>4819</v>
      </c>
      <c r="J863" t="str">
        <f>"Sickle tail protein homolog"</f>
        <v>Sickle tail protein homolog</v>
      </c>
      <c r="K863" t="str">
        <f>"KIAA1217"</f>
        <v>KIAA1217</v>
      </c>
    </row>
    <row r="864" spans="1:11" x14ac:dyDescent="0.25">
      <c r="A864" s="1">
        <v>623</v>
      </c>
      <c r="B864" s="1">
        <v>3</v>
      </c>
      <c r="C864" s="1" t="s">
        <v>4</v>
      </c>
      <c r="D864" s="1">
        <v>2</v>
      </c>
      <c r="E864" s="1">
        <v>91.414000000000001</v>
      </c>
      <c r="F864" s="1">
        <v>0.60707800000000001</v>
      </c>
      <c r="G864" t="s">
        <v>1418</v>
      </c>
      <c r="H864" t="s">
        <v>435</v>
      </c>
      <c r="I864" t="s">
        <v>4820</v>
      </c>
      <c r="J864" t="str">
        <f>"Signal transducer and activator of transcription 1-alpha/beta;Signal transducer and activator of transcription"</f>
        <v>Signal transducer and activator of transcription 1-alpha/beta;Signal transducer and activator of transcription</v>
      </c>
      <c r="K864" t="str">
        <f>"STAT1"</f>
        <v>STAT1</v>
      </c>
    </row>
    <row r="865" spans="1:11" x14ac:dyDescent="0.25">
      <c r="A865" s="1">
        <v>1651</v>
      </c>
      <c r="B865" s="1">
        <v>2</v>
      </c>
      <c r="C865" s="1" t="s">
        <v>3</v>
      </c>
      <c r="D865" s="1">
        <v>9</v>
      </c>
      <c r="E865" s="1">
        <v>83.081000000000003</v>
      </c>
      <c r="F865" s="1">
        <v>1</v>
      </c>
      <c r="G865" t="s">
        <v>1419</v>
      </c>
      <c r="H865" t="s">
        <v>1420</v>
      </c>
      <c r="I865" t="s">
        <v>4821</v>
      </c>
      <c r="J865" t="str">
        <f>"Tyrosine-protein kinase Fes/Fps;Tyrosine-protein kinase;Tyrosine-protein kinase Fer"</f>
        <v>Tyrosine-protein kinase Fes/Fps;Tyrosine-protein kinase;Tyrosine-protein kinase Fer</v>
      </c>
      <c r="K865" t="str">
        <f>"FES;FER;Pe1Fe10"</f>
        <v>FES;FER;Pe1Fe10</v>
      </c>
    </row>
    <row r="866" spans="1:11" x14ac:dyDescent="0.25">
      <c r="A866" s="1">
        <v>776</v>
      </c>
      <c r="B866" s="1">
        <v>2</v>
      </c>
      <c r="C866" s="1" t="s">
        <v>3</v>
      </c>
      <c r="D866" s="1">
        <v>4</v>
      </c>
      <c r="E866" s="1">
        <v>129.85</v>
      </c>
      <c r="F866" s="1">
        <v>0.99998799999999999</v>
      </c>
      <c r="G866" t="s">
        <v>1421</v>
      </c>
      <c r="H866" t="s">
        <v>1422</v>
      </c>
      <c r="I866" t="s">
        <v>4822</v>
      </c>
      <c r="J866" t="str">
        <f>"EH domain-containing protein 4;EH domain-containing protein 2"</f>
        <v>EH domain-containing protein 4;EH domain-containing protein 2</v>
      </c>
      <c r="K866" t="str">
        <f>"EHD4;EHD2"</f>
        <v>EHD4;EHD2</v>
      </c>
    </row>
    <row r="867" spans="1:11" x14ac:dyDescent="0.25">
      <c r="A867" s="1">
        <v>2008</v>
      </c>
      <c r="B867" s="1">
        <v>3</v>
      </c>
      <c r="C867" s="1" t="s">
        <v>3</v>
      </c>
      <c r="D867" s="1">
        <v>9</v>
      </c>
      <c r="E867" s="1">
        <v>149.07</v>
      </c>
      <c r="F867" s="1">
        <v>0.79100700000000002</v>
      </c>
      <c r="G867" t="s">
        <v>1423</v>
      </c>
      <c r="H867" t="s">
        <v>1424</v>
      </c>
      <c r="I867">
        <v>324</v>
      </c>
      <c r="J867" t="str">
        <f>"Gap junction gamma-1 protein"</f>
        <v>Gap junction gamma-1 protein</v>
      </c>
      <c r="K867" t="str">
        <f>"GJC1"</f>
        <v>GJC1</v>
      </c>
    </row>
    <row r="868" spans="1:11" x14ac:dyDescent="0.25">
      <c r="A868" s="1">
        <v>922</v>
      </c>
      <c r="B868" s="1">
        <v>3</v>
      </c>
      <c r="C868" s="1" t="s">
        <v>3</v>
      </c>
      <c r="D868" s="1">
        <v>1</v>
      </c>
      <c r="E868" s="1">
        <v>62.088000000000001</v>
      </c>
      <c r="F868" s="1">
        <v>0.97074099999999997</v>
      </c>
      <c r="G868" t="s">
        <v>1425</v>
      </c>
      <c r="H868" t="s">
        <v>1426</v>
      </c>
      <c r="I868" t="s">
        <v>4823</v>
      </c>
      <c r="J868" t="str">
        <f>"5-formyltetrahydrofolate cyclo-ligase"</f>
        <v>5-formyltetrahydrofolate cyclo-ligase</v>
      </c>
      <c r="K868" t="str">
        <f>"MTHFS"</f>
        <v>MTHFS</v>
      </c>
    </row>
    <row r="869" spans="1:11" x14ac:dyDescent="0.25">
      <c r="A869" s="1">
        <v>1729</v>
      </c>
      <c r="B869" s="1">
        <v>3</v>
      </c>
      <c r="C869" s="1" t="s">
        <v>3</v>
      </c>
      <c r="D869" s="1">
        <v>21</v>
      </c>
      <c r="E869" s="1">
        <v>188.24</v>
      </c>
      <c r="F869" s="1">
        <v>1</v>
      </c>
      <c r="G869" t="s">
        <v>1427</v>
      </c>
      <c r="H869" t="s">
        <v>319</v>
      </c>
      <c r="I869">
        <v>145</v>
      </c>
      <c r="J869" t="str">
        <f>"Tyrosine-protein kinase Fgr"</f>
        <v>Tyrosine-protein kinase Fgr</v>
      </c>
      <c r="K869" t="str">
        <f>"FGR"</f>
        <v>FGR</v>
      </c>
    </row>
    <row r="870" spans="1:11" x14ac:dyDescent="0.25">
      <c r="A870" s="1">
        <v>770</v>
      </c>
      <c r="B870" s="1">
        <v>3</v>
      </c>
      <c r="C870" s="1" t="s">
        <v>3</v>
      </c>
      <c r="D870" s="1">
        <v>3</v>
      </c>
      <c r="E870" s="1">
        <v>74.325000000000003</v>
      </c>
      <c r="F870" s="1">
        <v>0.99999000000000005</v>
      </c>
      <c r="G870" t="s">
        <v>1428</v>
      </c>
      <c r="H870" t="s">
        <v>1429</v>
      </c>
      <c r="I870" t="s">
        <v>4824</v>
      </c>
      <c r="J870" t="str">
        <f>"Excitatory amino acid transporter 1"</f>
        <v>Excitatory amino acid transporter 1</v>
      </c>
      <c r="K870" t="str">
        <f>"SLC1A3"</f>
        <v>SLC1A3</v>
      </c>
    </row>
    <row r="871" spans="1:11" x14ac:dyDescent="0.25">
      <c r="A871" s="1">
        <v>2496</v>
      </c>
      <c r="B871" s="1">
        <v>2</v>
      </c>
      <c r="C871" s="1" t="s">
        <v>3</v>
      </c>
      <c r="D871" s="1">
        <v>2</v>
      </c>
      <c r="E871" s="1">
        <v>88.596000000000004</v>
      </c>
      <c r="F871" s="1">
        <v>1</v>
      </c>
      <c r="G871" t="s">
        <v>1430</v>
      </c>
      <c r="H871" t="s">
        <v>1431</v>
      </c>
      <c r="I871" t="s">
        <v>4304</v>
      </c>
      <c r="J871" t="str">
        <f>"Enhancer of filamentation 1;Enhancer of filamentation 1 p55"</f>
        <v>Enhancer of filamentation 1;Enhancer of filamentation 1 p55</v>
      </c>
      <c r="K871" t="str">
        <f>"NEDD9"</f>
        <v>NEDD9</v>
      </c>
    </row>
    <row r="872" spans="1:11" x14ac:dyDescent="0.25">
      <c r="A872" s="1">
        <v>1049</v>
      </c>
      <c r="B872" s="1">
        <v>2</v>
      </c>
      <c r="C872" s="1" t="s">
        <v>3</v>
      </c>
      <c r="D872" s="1">
        <v>5</v>
      </c>
      <c r="E872" s="1">
        <v>87.805999999999997</v>
      </c>
      <c r="F872" s="1">
        <v>0.99999300000000002</v>
      </c>
      <c r="G872" t="s">
        <v>1432</v>
      </c>
      <c r="H872" t="s">
        <v>1057</v>
      </c>
      <c r="I872" t="s">
        <v>4825</v>
      </c>
      <c r="J872" t="str">
        <f>"Elongator complex protein 3"</f>
        <v>Elongator complex protein 3</v>
      </c>
      <c r="K872" t="str">
        <f>"ELP3"</f>
        <v>ELP3</v>
      </c>
    </row>
    <row r="873" spans="1:11" x14ac:dyDescent="0.25">
      <c r="A873" s="1">
        <v>1468</v>
      </c>
      <c r="B873" s="1">
        <v>3</v>
      </c>
      <c r="C873" s="1" t="s">
        <v>3</v>
      </c>
      <c r="D873" s="1">
        <v>4</v>
      </c>
      <c r="E873" s="1">
        <v>73.927000000000007</v>
      </c>
      <c r="F873" s="1">
        <v>0.99665499999999996</v>
      </c>
      <c r="G873" t="s">
        <v>1433</v>
      </c>
      <c r="H873" t="s">
        <v>1434</v>
      </c>
      <c r="I873" t="s">
        <v>4826</v>
      </c>
      <c r="J873" t="str">
        <f>"Heterogeneous nuclear ribonucleoprotein R"</f>
        <v>Heterogeneous nuclear ribonucleoprotein R</v>
      </c>
      <c r="K873" t="str">
        <f>"HNRNPR"</f>
        <v>HNRNPR</v>
      </c>
    </row>
    <row r="874" spans="1:11" x14ac:dyDescent="0.25">
      <c r="A874" s="1">
        <v>1326</v>
      </c>
      <c r="B874" s="1">
        <v>2</v>
      </c>
      <c r="C874" s="1" t="s">
        <v>3</v>
      </c>
      <c r="D874" s="1">
        <v>2</v>
      </c>
      <c r="E874" s="1">
        <v>89.046999999999997</v>
      </c>
      <c r="F874" s="1">
        <v>1</v>
      </c>
      <c r="G874" t="s">
        <v>1435</v>
      </c>
      <c r="H874" t="s">
        <v>1436</v>
      </c>
      <c r="I874" t="s">
        <v>4827</v>
      </c>
      <c r="J874" t="str">
        <f>"Proteasome subunit alpha type;Proteasome subunit alpha type-6"</f>
        <v>Proteasome subunit alpha type;Proteasome subunit alpha type-6</v>
      </c>
      <c r="K874" t="str">
        <f>"PSMA6"</f>
        <v>PSMA6</v>
      </c>
    </row>
    <row r="875" spans="1:11" x14ac:dyDescent="0.25">
      <c r="A875" s="1">
        <v>1387</v>
      </c>
      <c r="B875" s="1">
        <v>2</v>
      </c>
      <c r="C875" s="1" t="s">
        <v>3</v>
      </c>
      <c r="D875" s="1">
        <v>2</v>
      </c>
      <c r="E875" s="1">
        <v>83.861999999999995</v>
      </c>
      <c r="F875" s="1">
        <v>1</v>
      </c>
      <c r="G875" t="s">
        <v>1437</v>
      </c>
      <c r="H875" t="s">
        <v>1438</v>
      </c>
      <c r="I875" t="s">
        <v>4828</v>
      </c>
      <c r="J875" t="str">
        <f>"WD repeat-containing protein 18"</f>
        <v>WD repeat-containing protein 18</v>
      </c>
      <c r="K875" t="str">
        <f>"WDR18"</f>
        <v>WDR18</v>
      </c>
    </row>
    <row r="876" spans="1:11" x14ac:dyDescent="0.25">
      <c r="A876" s="1">
        <v>844</v>
      </c>
      <c r="B876" s="1">
        <v>6</v>
      </c>
      <c r="C876" s="1" t="s">
        <v>3</v>
      </c>
      <c r="D876" s="1">
        <v>33</v>
      </c>
      <c r="E876" s="1">
        <v>88.813999999999993</v>
      </c>
      <c r="F876" s="1">
        <v>0.79229300000000003</v>
      </c>
      <c r="G876" t="s">
        <v>1439</v>
      </c>
      <c r="H876" t="s">
        <v>724</v>
      </c>
      <c r="I876" t="s">
        <v>4829</v>
      </c>
      <c r="J876" t="str">
        <f>"Tight junction protein ZO-1"</f>
        <v>Tight junction protein ZO-1</v>
      </c>
      <c r="K876" t="str">
        <f>"TJP1"</f>
        <v>TJP1</v>
      </c>
    </row>
    <row r="877" spans="1:11" x14ac:dyDescent="0.25">
      <c r="A877" s="1">
        <v>1331</v>
      </c>
      <c r="B877" s="1">
        <v>2</v>
      </c>
      <c r="C877" s="1" t="s">
        <v>3</v>
      </c>
      <c r="D877" s="1">
        <v>5</v>
      </c>
      <c r="E877" s="1">
        <v>80.688000000000002</v>
      </c>
      <c r="F877" s="1">
        <v>1</v>
      </c>
      <c r="G877" t="s">
        <v>1440</v>
      </c>
      <c r="H877" t="s">
        <v>1441</v>
      </c>
      <c r="I877" t="s">
        <v>4830</v>
      </c>
      <c r="J877" t="str">
        <f>"Catenin alpha-2"</f>
        <v>Catenin alpha-2</v>
      </c>
      <c r="K877" t="str">
        <f>"CTNNA1;CTNNA2"</f>
        <v>CTNNA1;CTNNA2</v>
      </c>
    </row>
    <row r="878" spans="1:11" x14ac:dyDescent="0.25">
      <c r="A878" s="1">
        <v>6</v>
      </c>
      <c r="B878" s="1">
        <v>4</v>
      </c>
      <c r="C878" s="1" t="s">
        <v>5</v>
      </c>
      <c r="D878" s="1">
        <v>16</v>
      </c>
      <c r="E878" s="1">
        <v>50.627000000000002</v>
      </c>
      <c r="F878" s="1">
        <v>0.66601999999999995</v>
      </c>
      <c r="G878" t="s">
        <v>1442</v>
      </c>
      <c r="H878" t="s">
        <v>724</v>
      </c>
      <c r="I878" t="s">
        <v>4831</v>
      </c>
      <c r="J878" t="str">
        <f>"Tight junction protein ZO-1"</f>
        <v>Tight junction protein ZO-1</v>
      </c>
      <c r="K878" t="str">
        <f>"TJP1"</f>
        <v>TJP1</v>
      </c>
    </row>
    <row r="879" spans="1:11" x14ac:dyDescent="0.25">
      <c r="A879" s="1">
        <v>135</v>
      </c>
      <c r="B879" s="1">
        <v>3</v>
      </c>
      <c r="C879" s="1" t="s">
        <v>5</v>
      </c>
      <c r="D879" s="1">
        <v>7</v>
      </c>
      <c r="E879" s="1">
        <v>67.668000000000006</v>
      </c>
      <c r="F879" s="1">
        <v>0.98388100000000001</v>
      </c>
      <c r="G879" t="s">
        <v>1443</v>
      </c>
      <c r="H879" t="s">
        <v>420</v>
      </c>
      <c r="I879">
        <v>209</v>
      </c>
      <c r="J879" t="str">
        <f>"Claudin-3"</f>
        <v>Claudin-3</v>
      </c>
      <c r="K879" t="str">
        <f>"CLDN3"</f>
        <v>CLDN3</v>
      </c>
    </row>
    <row r="880" spans="1:11" x14ac:dyDescent="0.25">
      <c r="A880" s="1">
        <v>1062</v>
      </c>
      <c r="B880" s="1">
        <v>2</v>
      </c>
      <c r="C880" s="1" t="s">
        <v>3</v>
      </c>
      <c r="D880" s="1">
        <v>6</v>
      </c>
      <c r="E880" s="1">
        <v>98.105000000000004</v>
      </c>
      <c r="F880" s="1">
        <v>0.99999700000000002</v>
      </c>
      <c r="G880" t="s">
        <v>1444</v>
      </c>
      <c r="H880" t="s">
        <v>643</v>
      </c>
      <c r="I880" t="s">
        <v>4832</v>
      </c>
      <c r="J880" t="str">
        <f>"Kin of IRRE-like protein 1"</f>
        <v>Kin of IRRE-like protein 1</v>
      </c>
      <c r="K880" t="str">
        <f>"KIRREL"</f>
        <v>KIRREL</v>
      </c>
    </row>
    <row r="881" spans="1:11" x14ac:dyDescent="0.25">
      <c r="A881" s="1">
        <v>283</v>
      </c>
      <c r="B881" s="1">
        <v>2</v>
      </c>
      <c r="C881" s="1" t="s">
        <v>5</v>
      </c>
      <c r="D881" s="1">
        <v>11</v>
      </c>
      <c r="E881" s="1">
        <v>44.511000000000003</v>
      </c>
      <c r="F881" s="1">
        <v>0.623668</v>
      </c>
      <c r="G881" t="s">
        <v>1445</v>
      </c>
      <c r="H881" t="s">
        <v>559</v>
      </c>
      <c r="I881">
        <v>4527</v>
      </c>
      <c r="J881" t="str">
        <f>"Low-density lipoprotein receptor-related protein 2"</f>
        <v>Low-density lipoprotein receptor-related protein 2</v>
      </c>
      <c r="K881" t="str">
        <f>"LRP2"</f>
        <v>LRP2</v>
      </c>
    </row>
    <row r="882" spans="1:11" x14ac:dyDescent="0.25">
      <c r="A882" s="1">
        <v>2662</v>
      </c>
      <c r="B882" s="1">
        <v>3</v>
      </c>
      <c r="C882" s="1" t="s">
        <v>3</v>
      </c>
      <c r="D882" s="1">
        <v>7</v>
      </c>
      <c r="E882" s="1">
        <v>70.088999999999999</v>
      </c>
      <c r="F882" s="1">
        <v>0.99868000000000001</v>
      </c>
      <c r="G882" t="s">
        <v>1446</v>
      </c>
      <c r="H882" t="s">
        <v>1447</v>
      </c>
      <c r="I882">
        <v>380</v>
      </c>
      <c r="J882" t="str">
        <f>"Amyloid beta A4 precursor protein-binding family B member 1-interacting protein"</f>
        <v>Amyloid beta A4 precursor protein-binding family B member 1-interacting protein</v>
      </c>
      <c r="K882" t="str">
        <f>"APBB1IP"</f>
        <v>APBB1IP</v>
      </c>
    </row>
    <row r="883" spans="1:11" x14ac:dyDescent="0.25">
      <c r="A883" s="1">
        <v>1203</v>
      </c>
      <c r="B883" s="1">
        <v>3</v>
      </c>
      <c r="C883" s="1" t="s">
        <v>3</v>
      </c>
      <c r="D883" s="1">
        <v>11</v>
      </c>
      <c r="E883" s="1">
        <v>111.12</v>
      </c>
      <c r="F883" s="1">
        <v>1</v>
      </c>
      <c r="G883" t="s">
        <v>1448</v>
      </c>
      <c r="H883" t="s">
        <v>1449</v>
      </c>
      <c r="I883" t="s">
        <v>4833</v>
      </c>
      <c r="J883" t="str">
        <f>"Eukaryotic translation initiation factor 4B"</f>
        <v>Eukaryotic translation initiation factor 4B</v>
      </c>
      <c r="K883" t="str">
        <f>"EIF4B"</f>
        <v>EIF4B</v>
      </c>
    </row>
    <row r="884" spans="1:11" x14ac:dyDescent="0.25">
      <c r="A884" s="1">
        <v>1023</v>
      </c>
      <c r="B884" s="1">
        <v>2</v>
      </c>
      <c r="C884" s="1" t="s">
        <v>3</v>
      </c>
      <c r="D884" s="1">
        <v>2</v>
      </c>
      <c r="E884" s="1">
        <v>156.16999999999999</v>
      </c>
      <c r="F884" s="1">
        <v>1</v>
      </c>
      <c r="G884" t="s">
        <v>1450</v>
      </c>
      <c r="H884" t="s">
        <v>1451</v>
      </c>
      <c r="I884" t="s">
        <v>4834</v>
      </c>
      <c r="J884" t="str">
        <f>"Eukaryotic translation initiation factor 3 subunit L"</f>
        <v>Eukaryotic translation initiation factor 3 subunit L</v>
      </c>
      <c r="K884" t="str">
        <f>"EIF3L"</f>
        <v>EIF3L</v>
      </c>
    </row>
    <row r="885" spans="1:11" x14ac:dyDescent="0.25">
      <c r="A885" s="1">
        <v>2081</v>
      </c>
      <c r="B885" s="1">
        <v>2</v>
      </c>
      <c r="C885" s="1" t="s">
        <v>3</v>
      </c>
      <c r="D885" s="1">
        <v>3</v>
      </c>
      <c r="E885" s="1">
        <v>112.17</v>
      </c>
      <c r="F885" s="1">
        <v>0.99944100000000002</v>
      </c>
      <c r="G885" t="s">
        <v>1452</v>
      </c>
      <c r="H885" t="s">
        <v>1453</v>
      </c>
      <c r="I885">
        <v>132</v>
      </c>
      <c r="J885" t="str">
        <f>"Crk-like protein"</f>
        <v>Crk-like protein</v>
      </c>
      <c r="K885" t="str">
        <f>"CRKL"</f>
        <v>CRKL</v>
      </c>
    </row>
    <row r="886" spans="1:11" x14ac:dyDescent="0.25">
      <c r="A886" s="1">
        <v>3132</v>
      </c>
      <c r="B886" s="1">
        <v>2</v>
      </c>
      <c r="C886" s="1" t="s">
        <v>3</v>
      </c>
      <c r="D886" s="1">
        <v>3</v>
      </c>
      <c r="E886" s="1">
        <v>86.756</v>
      </c>
      <c r="F886" s="1">
        <v>0.99995400000000001</v>
      </c>
      <c r="G886" t="s">
        <v>1454</v>
      </c>
      <c r="H886" t="s">
        <v>999</v>
      </c>
      <c r="I886" t="s">
        <v>4835</v>
      </c>
      <c r="J886" t="str">
        <f>"Plakophilin-3"</f>
        <v>Plakophilin-3</v>
      </c>
      <c r="K886" t="str">
        <f>"PKP3"</f>
        <v>PKP3</v>
      </c>
    </row>
    <row r="887" spans="1:11" x14ac:dyDescent="0.25">
      <c r="A887" s="1">
        <v>3079</v>
      </c>
      <c r="B887" s="1">
        <v>4</v>
      </c>
      <c r="C887" s="1" t="s">
        <v>3</v>
      </c>
      <c r="D887" s="1">
        <v>7</v>
      </c>
      <c r="E887" s="1">
        <v>46.414999999999999</v>
      </c>
      <c r="F887" s="1">
        <v>0.68928999999999996</v>
      </c>
      <c r="G887" t="s">
        <v>1455</v>
      </c>
      <c r="H887" t="s">
        <v>190</v>
      </c>
      <c r="I887">
        <v>395</v>
      </c>
      <c r="J887" t="str">
        <f>"ERBB receptor feedback inhibitor 1"</f>
        <v>ERBB receptor feedback inhibitor 1</v>
      </c>
      <c r="K887" t="str">
        <f>"ERRFI1"</f>
        <v>ERRFI1</v>
      </c>
    </row>
    <row r="888" spans="1:11" x14ac:dyDescent="0.25">
      <c r="A888" s="1">
        <v>563</v>
      </c>
      <c r="B888" s="1">
        <v>3</v>
      </c>
      <c r="C888" s="1" t="s">
        <v>4</v>
      </c>
      <c r="D888" s="1">
        <v>12</v>
      </c>
      <c r="E888" s="1">
        <v>49.558999999999997</v>
      </c>
      <c r="F888" s="1">
        <v>0.53805199999999997</v>
      </c>
      <c r="G888" t="s">
        <v>1456</v>
      </c>
      <c r="H888" t="s">
        <v>1457</v>
      </c>
      <c r="I888">
        <v>55</v>
      </c>
      <c r="J888" t="str">
        <f>"WD repeat-containing protein 1"</f>
        <v>WD repeat-containing protein 1</v>
      </c>
      <c r="K888" t="str">
        <f>"WDR1"</f>
        <v>WDR1</v>
      </c>
    </row>
    <row r="889" spans="1:11" x14ac:dyDescent="0.25">
      <c r="A889" s="1">
        <v>2773</v>
      </c>
      <c r="B889" s="1">
        <v>3</v>
      </c>
      <c r="C889" s="1" t="s">
        <v>3</v>
      </c>
      <c r="D889" s="1">
        <v>2</v>
      </c>
      <c r="E889" s="1">
        <v>120.21</v>
      </c>
      <c r="F889" s="1">
        <v>0.99884099999999998</v>
      </c>
      <c r="G889" t="s">
        <v>1458</v>
      </c>
      <c r="H889" t="s">
        <v>1459</v>
      </c>
      <c r="I889" t="s">
        <v>4836</v>
      </c>
      <c r="J889" t="str">
        <f>"Epidermal growth factor receptor kinase substrate 8-like protein 3"</f>
        <v>Epidermal growth factor receptor kinase substrate 8-like protein 3</v>
      </c>
      <c r="K889" t="str">
        <f>"EPS8L3"</f>
        <v>EPS8L3</v>
      </c>
    </row>
    <row r="890" spans="1:11" x14ac:dyDescent="0.25">
      <c r="A890" s="1">
        <v>1057</v>
      </c>
      <c r="B890" s="1">
        <v>3</v>
      </c>
      <c r="C890" s="1" t="s">
        <v>3</v>
      </c>
      <c r="D890" s="1">
        <v>10</v>
      </c>
      <c r="E890" s="1">
        <v>104.24</v>
      </c>
      <c r="F890" s="1">
        <v>0.97668500000000003</v>
      </c>
      <c r="G890" t="s">
        <v>1460</v>
      </c>
      <c r="H890" t="s">
        <v>643</v>
      </c>
      <c r="I890" t="s">
        <v>4837</v>
      </c>
      <c r="J890" t="str">
        <f>"Kin of IRRE-like protein 1"</f>
        <v>Kin of IRRE-like protein 1</v>
      </c>
      <c r="K890" t="str">
        <f>"KIRREL"</f>
        <v>KIRREL</v>
      </c>
    </row>
    <row r="891" spans="1:11" x14ac:dyDescent="0.25">
      <c r="A891" s="1">
        <v>954</v>
      </c>
      <c r="B891" s="1">
        <v>3</v>
      </c>
      <c r="C891" s="1" t="s">
        <v>3</v>
      </c>
      <c r="D891" s="1">
        <v>7</v>
      </c>
      <c r="E891" s="1">
        <v>98.281000000000006</v>
      </c>
      <c r="F891" s="1">
        <v>1</v>
      </c>
      <c r="G891" t="s">
        <v>1461</v>
      </c>
      <c r="H891" t="s">
        <v>1462</v>
      </c>
      <c r="I891" t="s">
        <v>4838</v>
      </c>
      <c r="J891" t="str">
        <f>"ATP-dependent RNA helicase DDX3X;ATP-dependent RNA helicase DDX3Y"</f>
        <v>ATP-dependent RNA helicase DDX3X;ATP-dependent RNA helicase DDX3Y</v>
      </c>
      <c r="K891" t="str">
        <f>"DDX3X;DDX3Y"</f>
        <v>DDX3X;DDX3Y</v>
      </c>
    </row>
    <row r="892" spans="1:11" x14ac:dyDescent="0.25">
      <c r="A892" s="1">
        <v>1041</v>
      </c>
      <c r="B892" s="1">
        <v>2</v>
      </c>
      <c r="C892" s="1" t="s">
        <v>3</v>
      </c>
      <c r="D892" s="1">
        <v>9</v>
      </c>
      <c r="E892" s="1">
        <v>94.308999999999997</v>
      </c>
      <c r="F892" s="1">
        <v>1</v>
      </c>
      <c r="G892" t="s">
        <v>1463</v>
      </c>
      <c r="H892" t="s">
        <v>1464</v>
      </c>
      <c r="I892" t="s">
        <v>4839</v>
      </c>
      <c r="J892" t="str">
        <f>"Myosin-11;Myosin-10"</f>
        <v>Myosin-11;Myosin-10</v>
      </c>
      <c r="K892" t="str">
        <f>"MYH11;MYH10"</f>
        <v>MYH11;MYH10</v>
      </c>
    </row>
    <row r="893" spans="1:11" x14ac:dyDescent="0.25">
      <c r="A893" s="1">
        <v>1627</v>
      </c>
      <c r="B893" s="1">
        <v>2</v>
      </c>
      <c r="C893" s="1" t="s">
        <v>3</v>
      </c>
      <c r="D893" s="1">
        <v>3</v>
      </c>
      <c r="E893" s="1">
        <v>87.183999999999997</v>
      </c>
      <c r="F893" s="1">
        <v>0.99997100000000005</v>
      </c>
      <c r="G893" t="s">
        <v>1465</v>
      </c>
      <c r="H893" t="s">
        <v>1466</v>
      </c>
      <c r="I893">
        <v>191</v>
      </c>
      <c r="J893" t="str">
        <f>"ADP/ATP translocase 2;ADP/ATP translocase 2, N-terminally processed"</f>
        <v>ADP/ATP translocase 2;ADP/ATP translocase 2, N-terminally processed</v>
      </c>
      <c r="K893" t="str">
        <f>"SLC25A5"</f>
        <v>SLC25A5</v>
      </c>
    </row>
    <row r="894" spans="1:11" x14ac:dyDescent="0.25">
      <c r="A894" s="1">
        <v>2310</v>
      </c>
      <c r="B894" s="1">
        <v>3</v>
      </c>
      <c r="C894" s="1" t="s">
        <v>3</v>
      </c>
      <c r="D894" s="1">
        <v>5</v>
      </c>
      <c r="E894" s="1">
        <v>73.278999999999996</v>
      </c>
      <c r="F894" s="1">
        <v>1</v>
      </c>
      <c r="G894" t="s">
        <v>1467</v>
      </c>
      <c r="H894" t="s">
        <v>509</v>
      </c>
      <c r="I894" t="s">
        <v>4840</v>
      </c>
      <c r="J894" t="str">
        <f>"Spectrin beta chain, non-erythrocytic 1"</f>
        <v>Spectrin beta chain, non-erythrocytic 1</v>
      </c>
      <c r="K894" t="str">
        <f>"SPTBN1"</f>
        <v>SPTBN1</v>
      </c>
    </row>
    <row r="895" spans="1:11" x14ac:dyDescent="0.25">
      <c r="A895" s="1">
        <v>780</v>
      </c>
      <c r="B895" s="1">
        <v>3</v>
      </c>
      <c r="C895" s="1" t="s">
        <v>3</v>
      </c>
      <c r="D895" s="1">
        <v>1</v>
      </c>
      <c r="E895" s="1">
        <v>55.911999999999999</v>
      </c>
      <c r="F895" s="1">
        <v>1</v>
      </c>
      <c r="G895" t="s">
        <v>1468</v>
      </c>
      <c r="H895" t="s">
        <v>1469</v>
      </c>
      <c r="I895" t="s">
        <v>4841</v>
      </c>
      <c r="J895" t="str">
        <f>"Glutathione peroxidase 1"</f>
        <v>Glutathione peroxidase 1</v>
      </c>
      <c r="K895" t="str">
        <f>"GPX1"</f>
        <v>GPX1</v>
      </c>
    </row>
    <row r="896" spans="1:11" x14ac:dyDescent="0.25">
      <c r="A896" s="1">
        <v>1833</v>
      </c>
      <c r="B896" s="1">
        <v>4</v>
      </c>
      <c r="C896" s="1" t="s">
        <v>3</v>
      </c>
      <c r="D896" s="1">
        <v>6</v>
      </c>
      <c r="E896" s="1">
        <v>41.621000000000002</v>
      </c>
      <c r="F896" s="1">
        <v>0.99859600000000004</v>
      </c>
      <c r="G896" t="s">
        <v>1470</v>
      </c>
      <c r="H896" t="s">
        <v>151</v>
      </c>
      <c r="I896" t="s">
        <v>4842</v>
      </c>
      <c r="J896" t="str">
        <f>"Protein SON"</f>
        <v>Protein SON</v>
      </c>
      <c r="K896" t="str">
        <f>"SON"</f>
        <v>SON</v>
      </c>
    </row>
    <row r="897" spans="1:11" x14ac:dyDescent="0.25">
      <c r="A897" s="1">
        <v>1383</v>
      </c>
      <c r="B897" s="1">
        <v>4</v>
      </c>
      <c r="C897" s="1" t="s">
        <v>3</v>
      </c>
      <c r="D897" s="1">
        <v>1</v>
      </c>
      <c r="E897" s="1">
        <v>44.564</v>
      </c>
      <c r="F897" s="1">
        <v>0.86446699999999999</v>
      </c>
      <c r="G897" t="s">
        <v>1471</v>
      </c>
      <c r="H897" t="s">
        <v>349</v>
      </c>
      <c r="I897" t="s">
        <v>4843</v>
      </c>
      <c r="J897" t="str">
        <f>"Tyrosine-protein kinase Yes"</f>
        <v>Tyrosine-protein kinase Yes</v>
      </c>
      <c r="K897" t="str">
        <f>"YES1"</f>
        <v>YES1</v>
      </c>
    </row>
    <row r="898" spans="1:11" x14ac:dyDescent="0.25">
      <c r="A898" s="1">
        <v>1206</v>
      </c>
      <c r="B898" s="1">
        <v>2</v>
      </c>
      <c r="C898" s="1" t="s">
        <v>3</v>
      </c>
      <c r="D898" s="1">
        <v>1</v>
      </c>
      <c r="E898" s="1">
        <v>100.02</v>
      </c>
      <c r="F898" s="1">
        <v>0.999996</v>
      </c>
      <c r="G898" t="s">
        <v>1472</v>
      </c>
      <c r="H898" t="s">
        <v>1473</v>
      </c>
      <c r="I898" t="s">
        <v>4844</v>
      </c>
      <c r="J898" t="str">
        <f>"Translation initiation factor eIF-2B subunit epsilon"</f>
        <v>Translation initiation factor eIF-2B subunit epsilon</v>
      </c>
      <c r="K898" t="str">
        <f>"EIF2B5"</f>
        <v>EIF2B5</v>
      </c>
    </row>
    <row r="899" spans="1:11" x14ac:dyDescent="0.25">
      <c r="A899" s="1">
        <v>2213</v>
      </c>
      <c r="B899" s="1">
        <v>3</v>
      </c>
      <c r="C899" s="1" t="s">
        <v>3</v>
      </c>
      <c r="D899" s="1">
        <v>7</v>
      </c>
      <c r="E899" s="1">
        <v>102.65</v>
      </c>
      <c r="F899" s="1">
        <v>0.99870400000000004</v>
      </c>
      <c r="G899" t="s">
        <v>1474</v>
      </c>
      <c r="H899" t="s">
        <v>1089</v>
      </c>
      <c r="I899">
        <v>198</v>
      </c>
      <c r="J899" t="str">
        <f>"Claudin-2"</f>
        <v>Claudin-2</v>
      </c>
      <c r="K899" t="str">
        <f>"CLDN2"</f>
        <v>CLDN2</v>
      </c>
    </row>
    <row r="900" spans="1:11" x14ac:dyDescent="0.25">
      <c r="A900" s="1">
        <v>2601</v>
      </c>
      <c r="B900" s="1">
        <v>3</v>
      </c>
      <c r="C900" s="1" t="s">
        <v>3</v>
      </c>
      <c r="D900" s="1">
        <v>8</v>
      </c>
      <c r="E900" s="1">
        <v>55.04</v>
      </c>
      <c r="F900" s="1">
        <v>1</v>
      </c>
      <c r="G900" t="s">
        <v>1475</v>
      </c>
      <c r="H900" t="s">
        <v>1476</v>
      </c>
      <c r="I900">
        <v>713</v>
      </c>
      <c r="J900" t="str">
        <f>"E3 ubiquitin-protein ligase BRE1A"</f>
        <v>E3 ubiquitin-protein ligase BRE1A</v>
      </c>
      <c r="K900" t="str">
        <f>"RNF20"</f>
        <v>RNF20</v>
      </c>
    </row>
    <row r="901" spans="1:11" x14ac:dyDescent="0.25">
      <c r="A901" s="1">
        <v>2880</v>
      </c>
      <c r="B901" s="1">
        <v>2</v>
      </c>
      <c r="C901" s="1" t="s">
        <v>3</v>
      </c>
      <c r="D901" s="1">
        <v>10</v>
      </c>
      <c r="E901" s="1">
        <v>115.34</v>
      </c>
      <c r="F901" s="1">
        <v>0.99999000000000005</v>
      </c>
      <c r="G901" t="s">
        <v>1477</v>
      </c>
      <c r="H901" t="s">
        <v>1478</v>
      </c>
      <c r="I901">
        <v>791</v>
      </c>
      <c r="J901" t="str">
        <f>"Vacuolar protein sorting-associated protein 35"</f>
        <v>Vacuolar protein sorting-associated protein 35</v>
      </c>
      <c r="K901" t="str">
        <f>"VPS35"</f>
        <v>VPS35</v>
      </c>
    </row>
    <row r="902" spans="1:11" x14ac:dyDescent="0.25">
      <c r="A902" s="1">
        <v>666</v>
      </c>
      <c r="B902" s="1">
        <v>3</v>
      </c>
      <c r="C902" s="1" t="s">
        <v>4</v>
      </c>
      <c r="D902" s="1">
        <v>10</v>
      </c>
      <c r="E902" s="1">
        <v>55.094000000000001</v>
      </c>
      <c r="F902" s="1">
        <v>0.53869800000000001</v>
      </c>
      <c r="G902" t="s">
        <v>1479</v>
      </c>
      <c r="H902" t="s">
        <v>437</v>
      </c>
      <c r="I902" t="s">
        <v>4845</v>
      </c>
      <c r="J902" t="str">
        <f>"Amyloid-like protein 2"</f>
        <v>Amyloid-like protein 2</v>
      </c>
      <c r="K902" t="str">
        <f>"APLP2"</f>
        <v>APLP2</v>
      </c>
    </row>
    <row r="903" spans="1:11" x14ac:dyDescent="0.25">
      <c r="A903" s="1">
        <v>802</v>
      </c>
      <c r="B903" s="1">
        <v>4</v>
      </c>
      <c r="C903" s="1" t="s">
        <v>3</v>
      </c>
      <c r="D903" s="1">
        <v>3</v>
      </c>
      <c r="E903" s="1">
        <v>53.564999999999998</v>
      </c>
      <c r="F903" s="1">
        <v>0.97396400000000005</v>
      </c>
      <c r="G903" t="s">
        <v>1480</v>
      </c>
      <c r="H903" t="s">
        <v>497</v>
      </c>
      <c r="I903" t="s">
        <v>4846</v>
      </c>
      <c r="J903" t="str">
        <f>"Mucin-1;Mucin-1 subunit alpha;Mucin-1 subunit beta"</f>
        <v>Mucin-1;Mucin-1 subunit alpha;Mucin-1 subunit beta</v>
      </c>
      <c r="K903" t="str">
        <f>"MUC1"</f>
        <v>MUC1</v>
      </c>
    </row>
    <row r="904" spans="1:11" x14ac:dyDescent="0.25">
      <c r="A904" s="1">
        <v>923</v>
      </c>
      <c r="B904" s="1">
        <v>2</v>
      </c>
      <c r="C904" s="1" t="s">
        <v>3</v>
      </c>
      <c r="D904" s="1">
        <v>4</v>
      </c>
      <c r="E904" s="1">
        <v>106.42</v>
      </c>
      <c r="F904" s="1">
        <v>0.97816999999999998</v>
      </c>
      <c r="G904" t="s">
        <v>1481</v>
      </c>
      <c r="H904" t="s">
        <v>1482</v>
      </c>
      <c r="I904" t="s">
        <v>4847</v>
      </c>
      <c r="J904" t="str">
        <f>"Serine/arginine-rich splicing factor 7"</f>
        <v>Serine/arginine-rich splicing factor 7</v>
      </c>
      <c r="K904" t="str">
        <f>"SRSF7"</f>
        <v>SRSF7</v>
      </c>
    </row>
    <row r="905" spans="1:11" x14ac:dyDescent="0.25">
      <c r="A905" s="1">
        <v>2116</v>
      </c>
      <c r="B905" s="1">
        <v>5</v>
      </c>
      <c r="C905" s="1" t="s">
        <v>3</v>
      </c>
      <c r="D905" s="1">
        <v>23</v>
      </c>
      <c r="E905" s="1">
        <v>68.073999999999998</v>
      </c>
      <c r="F905" s="1">
        <v>0.84195900000000001</v>
      </c>
      <c r="G905" t="s">
        <v>1483</v>
      </c>
      <c r="H905" t="s">
        <v>1484</v>
      </c>
      <c r="I905" t="s">
        <v>4848</v>
      </c>
      <c r="J905" t="str">
        <f>"Regulator of G-protein signaling 3"</f>
        <v>Regulator of G-protein signaling 3</v>
      </c>
      <c r="K905" t="str">
        <f>"RGS3"</f>
        <v>RGS3</v>
      </c>
    </row>
    <row r="906" spans="1:11" x14ac:dyDescent="0.25">
      <c r="A906" s="1">
        <v>1176</v>
      </c>
      <c r="B906" s="1">
        <v>2</v>
      </c>
      <c r="C906" s="1" t="s">
        <v>3</v>
      </c>
      <c r="D906" s="1">
        <v>1</v>
      </c>
      <c r="E906" s="1">
        <v>78.548000000000002</v>
      </c>
      <c r="F906" s="1">
        <v>1</v>
      </c>
      <c r="G906" t="s">
        <v>1485</v>
      </c>
      <c r="H906" t="s">
        <v>1486</v>
      </c>
      <c r="I906" t="s">
        <v>4849</v>
      </c>
      <c r="J906" t="str">
        <f>"Receptor-type tyrosine-protein phosphatase mu;Receptor-type tyrosine-protein phosphatase kappa"</f>
        <v>Receptor-type tyrosine-protein phosphatase mu;Receptor-type tyrosine-protein phosphatase kappa</v>
      </c>
      <c r="K906" t="str">
        <f>"PTPRM;PTPRK"</f>
        <v>PTPRM;PTPRK</v>
      </c>
    </row>
    <row r="907" spans="1:11" x14ac:dyDescent="0.25">
      <c r="A907" s="1">
        <v>940</v>
      </c>
      <c r="B907" s="1">
        <v>3</v>
      </c>
      <c r="C907" s="1" t="s">
        <v>3</v>
      </c>
      <c r="D907" s="1">
        <v>12</v>
      </c>
      <c r="E907" s="1">
        <v>86.772000000000006</v>
      </c>
      <c r="F907" s="1">
        <v>0.99989700000000004</v>
      </c>
      <c r="G907" t="s">
        <v>1487</v>
      </c>
      <c r="H907" t="s">
        <v>1488</v>
      </c>
      <c r="I907" t="s">
        <v>4850</v>
      </c>
      <c r="J907" t="str">
        <f>"Abl interactor 2"</f>
        <v>Abl interactor 2</v>
      </c>
      <c r="K907" t="str">
        <f>"ABI2"</f>
        <v>ABI2</v>
      </c>
    </row>
    <row r="908" spans="1:11" x14ac:dyDescent="0.25">
      <c r="A908" s="1">
        <v>3151</v>
      </c>
      <c r="B908" s="1">
        <v>3</v>
      </c>
      <c r="C908" s="1" t="s">
        <v>3</v>
      </c>
      <c r="D908" s="1">
        <v>11</v>
      </c>
      <c r="E908" s="1">
        <v>78.674000000000007</v>
      </c>
      <c r="F908" s="1">
        <v>0.987178</v>
      </c>
      <c r="G908" t="s">
        <v>1489</v>
      </c>
      <c r="H908" t="s">
        <v>1324</v>
      </c>
      <c r="I908">
        <v>548</v>
      </c>
      <c r="J908" t="str">
        <f>"CD2-associated protein"</f>
        <v>CD2-associated protein</v>
      </c>
      <c r="K908" t="str">
        <f>"CD2AP"</f>
        <v>CD2AP</v>
      </c>
    </row>
    <row r="909" spans="1:11" x14ac:dyDescent="0.25">
      <c r="A909" s="1">
        <v>2381</v>
      </c>
      <c r="B909" s="1">
        <v>5</v>
      </c>
      <c r="C909" s="1" t="s">
        <v>3</v>
      </c>
      <c r="D909" s="1">
        <v>34</v>
      </c>
      <c r="E909" s="1">
        <v>77.531000000000006</v>
      </c>
      <c r="F909" s="1">
        <v>0.97131000000000001</v>
      </c>
      <c r="G909" t="s">
        <v>1490</v>
      </c>
      <c r="H909" t="s">
        <v>1146</v>
      </c>
      <c r="I909" t="s">
        <v>4851</v>
      </c>
      <c r="J909" t="str">
        <f>"Interleukin enhancer-binding factor 3"</f>
        <v>Interleukin enhancer-binding factor 3</v>
      </c>
      <c r="K909" t="str">
        <f>"ILF3"</f>
        <v>ILF3</v>
      </c>
    </row>
    <row r="910" spans="1:11" x14ac:dyDescent="0.25">
      <c r="A910" s="1">
        <v>724</v>
      </c>
      <c r="B910" s="1">
        <v>2</v>
      </c>
      <c r="C910" s="1" t="s">
        <v>4</v>
      </c>
      <c r="D910" s="1">
        <v>12</v>
      </c>
      <c r="E910" s="1">
        <v>87.653999999999996</v>
      </c>
      <c r="F910" s="1">
        <v>0.52821700000000005</v>
      </c>
      <c r="G910" t="s">
        <v>1491</v>
      </c>
      <c r="H910" t="s">
        <v>228</v>
      </c>
      <c r="I910" t="s">
        <v>4852</v>
      </c>
      <c r="J910" t="str">
        <f>"Discoidin, CUB and LCCL domain-containing protein 2"</f>
        <v>Discoidin, CUB and LCCL domain-containing protein 2</v>
      </c>
      <c r="K910" t="str">
        <f>"DCBLD2"</f>
        <v>DCBLD2</v>
      </c>
    </row>
    <row r="911" spans="1:11" x14ac:dyDescent="0.25">
      <c r="A911" s="1">
        <v>1817</v>
      </c>
      <c r="B911" s="1">
        <v>3</v>
      </c>
      <c r="C911" s="1" t="s">
        <v>3</v>
      </c>
      <c r="D911" s="1">
        <v>1</v>
      </c>
      <c r="E911" s="1">
        <v>113.51</v>
      </c>
      <c r="F911" s="1">
        <v>0.978908</v>
      </c>
      <c r="G911" t="s">
        <v>1492</v>
      </c>
      <c r="H911" t="s">
        <v>1493</v>
      </c>
      <c r="I911">
        <v>265</v>
      </c>
      <c r="J911" t="str">
        <f>"Gap junction alpha-1 protein"</f>
        <v>Gap junction alpha-1 protein</v>
      </c>
      <c r="K911" t="str">
        <f>"GJA1"</f>
        <v>GJA1</v>
      </c>
    </row>
    <row r="912" spans="1:11" x14ac:dyDescent="0.25">
      <c r="A912" s="1">
        <v>341</v>
      </c>
      <c r="B912" s="1">
        <v>2</v>
      </c>
      <c r="C912" s="1" t="s">
        <v>5</v>
      </c>
      <c r="D912" s="1">
        <v>8</v>
      </c>
      <c r="E912" s="1">
        <v>52.481999999999999</v>
      </c>
      <c r="F912" s="1">
        <v>1</v>
      </c>
      <c r="G912" t="s">
        <v>1494</v>
      </c>
      <c r="H912" t="s">
        <v>1495</v>
      </c>
      <c r="I912">
        <v>1001</v>
      </c>
      <c r="J912" t="str">
        <f>"Chromosome-associated kinesin KIF4B"</f>
        <v>Chromosome-associated kinesin KIF4B</v>
      </c>
      <c r="K912" t="str">
        <f>"KIF4B"</f>
        <v>KIF4B</v>
      </c>
    </row>
    <row r="913" spans="1:11" x14ac:dyDescent="0.25">
      <c r="A913" s="1">
        <v>2639</v>
      </c>
      <c r="B913" s="1">
        <v>2</v>
      </c>
      <c r="C913" s="1" t="s">
        <v>3</v>
      </c>
      <c r="D913" s="1">
        <v>3</v>
      </c>
      <c r="E913" s="1">
        <v>80.412000000000006</v>
      </c>
      <c r="F913" s="1">
        <v>0.81681599999999999</v>
      </c>
      <c r="G913" t="s">
        <v>1496</v>
      </c>
      <c r="H913" t="s">
        <v>1497</v>
      </c>
      <c r="I913" t="s">
        <v>4853</v>
      </c>
      <c r="J913" t="str">
        <f>"Type-1 angiotensin II receptor-associated protein"</f>
        <v>Type-1 angiotensin II receptor-associated protein</v>
      </c>
      <c r="K913" t="str">
        <f>"AGTRAP"</f>
        <v>AGTRAP</v>
      </c>
    </row>
    <row r="914" spans="1:11" x14ac:dyDescent="0.25">
      <c r="A914" s="1">
        <v>1089</v>
      </c>
      <c r="B914" s="1">
        <v>2</v>
      </c>
      <c r="C914" s="1" t="s">
        <v>3</v>
      </c>
      <c r="D914" s="1">
        <v>9</v>
      </c>
      <c r="E914" s="1">
        <v>66.989000000000004</v>
      </c>
      <c r="F914" s="1">
        <v>0.97109500000000004</v>
      </c>
      <c r="G914" t="s">
        <v>1498</v>
      </c>
      <c r="H914" t="s">
        <v>1236</v>
      </c>
      <c r="I914" t="s">
        <v>4854</v>
      </c>
      <c r="J914" t="str">
        <f>"Plakophilin-2"</f>
        <v>Plakophilin-2</v>
      </c>
      <c r="K914" t="str">
        <f>"PKP2"</f>
        <v>PKP2</v>
      </c>
    </row>
    <row r="915" spans="1:11" x14ac:dyDescent="0.25">
      <c r="A915" s="1">
        <v>906</v>
      </c>
      <c r="B915" s="1">
        <v>2</v>
      </c>
      <c r="C915" s="1" t="s">
        <v>3</v>
      </c>
      <c r="D915" s="1">
        <v>1</v>
      </c>
      <c r="E915" s="1">
        <v>78.341999999999999</v>
      </c>
      <c r="F915" s="1">
        <v>1</v>
      </c>
      <c r="G915" t="s">
        <v>1499</v>
      </c>
      <c r="H915" t="s">
        <v>1500</v>
      </c>
      <c r="I915" t="s">
        <v>4855</v>
      </c>
      <c r="J915" t="str">
        <f>"Receptor-type tyrosine-protein phosphatase C"</f>
        <v>Receptor-type tyrosine-protein phosphatase C</v>
      </c>
      <c r="K915" t="str">
        <f>"PTPRC"</f>
        <v>PTPRC</v>
      </c>
    </row>
    <row r="916" spans="1:11" x14ac:dyDescent="0.25">
      <c r="A916" s="1">
        <v>1754</v>
      </c>
      <c r="B916" s="1">
        <v>2</v>
      </c>
      <c r="C916" s="1" t="s">
        <v>3</v>
      </c>
      <c r="D916" s="1">
        <v>3</v>
      </c>
      <c r="E916" s="1">
        <v>97.733999999999995</v>
      </c>
      <c r="F916" s="1">
        <v>0.99996399999999996</v>
      </c>
      <c r="G916" t="s">
        <v>1501</v>
      </c>
      <c r="H916" t="s">
        <v>1502</v>
      </c>
      <c r="I916" t="s">
        <v>4856</v>
      </c>
      <c r="J916" t="str">
        <f>"ADP/ATP translocase 1;ADP/ATP translocase 3;ADP/ATP translocase 3, N-terminally processed"</f>
        <v>ADP/ATP translocase 1;ADP/ATP translocase 3;ADP/ATP translocase 3, N-terminally processed</v>
      </c>
      <c r="K916" t="str">
        <f>"SLC25A4;SLC25A6"</f>
        <v>SLC25A4;SLC25A6</v>
      </c>
    </row>
    <row r="917" spans="1:11" x14ac:dyDescent="0.25">
      <c r="A917" s="1">
        <v>1614</v>
      </c>
      <c r="B917" s="1">
        <v>5</v>
      </c>
      <c r="C917" s="1" t="s">
        <v>3</v>
      </c>
      <c r="D917" s="1">
        <v>8</v>
      </c>
      <c r="E917" s="1">
        <v>55.661999999999999</v>
      </c>
      <c r="F917" s="1">
        <v>0.71061099999999999</v>
      </c>
      <c r="G917" t="s">
        <v>1503</v>
      </c>
      <c r="H917" t="s">
        <v>480</v>
      </c>
      <c r="I917" t="s">
        <v>4857</v>
      </c>
      <c r="J917" t="str">
        <f>"Fructose-bisphosphate aldolase A"</f>
        <v>Fructose-bisphosphate aldolase A</v>
      </c>
      <c r="K917" t="str">
        <f>"ALDOA"</f>
        <v>ALDOA</v>
      </c>
    </row>
    <row r="918" spans="1:11" x14ac:dyDescent="0.25">
      <c r="A918" s="1">
        <v>558</v>
      </c>
      <c r="B918" s="1">
        <v>2</v>
      </c>
      <c r="C918" s="1" t="s">
        <v>4</v>
      </c>
      <c r="D918" s="1">
        <v>10</v>
      </c>
      <c r="E918" s="1">
        <v>71.600999999999999</v>
      </c>
      <c r="F918" s="1">
        <v>0.604016</v>
      </c>
      <c r="G918" t="s">
        <v>1504</v>
      </c>
      <c r="H918" t="s">
        <v>420</v>
      </c>
      <c r="I918">
        <v>212</v>
      </c>
      <c r="J918" t="str">
        <f>"Claudin-3"</f>
        <v>Claudin-3</v>
      </c>
      <c r="K918" t="str">
        <f>"CLDN3"</f>
        <v>CLDN3</v>
      </c>
    </row>
    <row r="919" spans="1:11" x14ac:dyDescent="0.25">
      <c r="A919" s="1">
        <v>1037</v>
      </c>
      <c r="B919" s="1">
        <v>3</v>
      </c>
      <c r="C919" s="1" t="s">
        <v>3</v>
      </c>
      <c r="D919" s="1">
        <v>12</v>
      </c>
      <c r="E919" s="1">
        <v>64.453999999999994</v>
      </c>
      <c r="F919" s="1">
        <v>0.80617499999999997</v>
      </c>
      <c r="G919" t="s">
        <v>1505</v>
      </c>
      <c r="H919" t="s">
        <v>1506</v>
      </c>
      <c r="I919" t="s">
        <v>4858</v>
      </c>
      <c r="J919" t="str">
        <f>"Guanylate kinase"</f>
        <v>Guanylate kinase</v>
      </c>
      <c r="K919" t="str">
        <f>"GUK1"</f>
        <v>GUK1</v>
      </c>
    </row>
    <row r="920" spans="1:11" x14ac:dyDescent="0.25">
      <c r="A920" s="1">
        <v>1201</v>
      </c>
      <c r="B920" s="1">
        <v>3</v>
      </c>
      <c r="C920" s="1" t="s">
        <v>3</v>
      </c>
      <c r="D920" s="1">
        <v>13</v>
      </c>
      <c r="E920" s="1">
        <v>71.882000000000005</v>
      </c>
      <c r="F920" s="1">
        <v>0.73991399999999996</v>
      </c>
      <c r="G920" t="s">
        <v>1507</v>
      </c>
      <c r="H920" t="s">
        <v>1508</v>
      </c>
      <c r="I920" t="s">
        <v>4859</v>
      </c>
      <c r="J920" t="str">
        <f>"Cleavage stimulation factor subunit 2"</f>
        <v>Cleavage stimulation factor subunit 2</v>
      </c>
      <c r="K920" t="str">
        <f>"CSTF2"</f>
        <v>CSTF2</v>
      </c>
    </row>
    <row r="921" spans="1:11" x14ac:dyDescent="0.25">
      <c r="A921" s="1">
        <v>2401</v>
      </c>
      <c r="B921" s="1">
        <v>3</v>
      </c>
      <c r="C921" s="1" t="s">
        <v>3</v>
      </c>
      <c r="D921" s="1">
        <v>7</v>
      </c>
      <c r="E921" s="1">
        <v>108.71</v>
      </c>
      <c r="F921" s="1">
        <v>0.99995299999999998</v>
      </c>
      <c r="G921" t="s">
        <v>1509</v>
      </c>
      <c r="H921" t="s">
        <v>1510</v>
      </c>
      <c r="I921" t="s">
        <v>4860</v>
      </c>
      <c r="J921" t="str">
        <f>"Protein Red"</f>
        <v>Protein Red</v>
      </c>
      <c r="K921" t="str">
        <f>"IK"</f>
        <v>IK</v>
      </c>
    </row>
    <row r="922" spans="1:11" x14ac:dyDescent="0.25">
      <c r="A922" s="1">
        <v>1985</v>
      </c>
      <c r="B922" s="1">
        <v>2</v>
      </c>
      <c r="C922" s="1" t="s">
        <v>3</v>
      </c>
      <c r="D922" s="1">
        <v>7</v>
      </c>
      <c r="E922" s="1">
        <v>67.334000000000003</v>
      </c>
      <c r="F922" s="1">
        <v>1</v>
      </c>
      <c r="G922" t="s">
        <v>1511</v>
      </c>
      <c r="H922" t="s">
        <v>89</v>
      </c>
      <c r="I922" t="s">
        <v>4861</v>
      </c>
      <c r="J922" t="str">
        <f>"Bifunctional purine biosynthesis protein PURH;Phosphoribosylaminoimidazolecarboxamide formyltransferase;IMP cyclohydrolase"</f>
        <v>Bifunctional purine biosynthesis protein PURH;Phosphoribosylaminoimidazolecarboxamide formyltransferase;IMP cyclohydrolase</v>
      </c>
      <c r="K922" t="str">
        <f>"ATIC"</f>
        <v>ATIC</v>
      </c>
    </row>
    <row r="923" spans="1:11" x14ac:dyDescent="0.25">
      <c r="A923" s="1">
        <v>276</v>
      </c>
      <c r="B923" s="1">
        <v>3</v>
      </c>
      <c r="C923" s="1" t="s">
        <v>5</v>
      </c>
      <c r="D923" s="1">
        <v>1</v>
      </c>
      <c r="E923" s="1">
        <v>99.069000000000003</v>
      </c>
      <c r="F923" s="1">
        <v>0.57442400000000005</v>
      </c>
      <c r="G923" t="s">
        <v>1512</v>
      </c>
      <c r="H923" t="s">
        <v>1513</v>
      </c>
      <c r="I923" t="s">
        <v>4862</v>
      </c>
      <c r="J923" t="s">
        <v>4863</v>
      </c>
      <c r="K923" t="str">
        <f>"ACTB;ACTA2;ACTG1;POTEE;ACTBL2;POTEKP;ACTG2;ACTC1;ACTA1"</f>
        <v>ACTB;ACTA2;ACTG1;POTEE;ACTBL2;POTEKP;ACTG2;ACTC1;ACTA1</v>
      </c>
    </row>
    <row r="924" spans="1:11" x14ac:dyDescent="0.25">
      <c r="A924" s="1">
        <v>349</v>
      </c>
      <c r="B924" s="1">
        <v>2</v>
      </c>
      <c r="C924" s="1" t="s">
        <v>5</v>
      </c>
      <c r="D924" s="1">
        <v>15</v>
      </c>
      <c r="E924" s="1">
        <v>92.01</v>
      </c>
      <c r="F924" s="1">
        <v>0.95251699999999995</v>
      </c>
      <c r="G924" t="s">
        <v>215</v>
      </c>
      <c r="H924" t="s">
        <v>216</v>
      </c>
      <c r="I924" t="s">
        <v>4864</v>
      </c>
      <c r="J924" t="str">
        <f>"Partitioning defective 3 homolog"</f>
        <v>Partitioning defective 3 homolog</v>
      </c>
      <c r="K924" t="str">
        <f>"PARD3"</f>
        <v>PARD3</v>
      </c>
    </row>
    <row r="925" spans="1:11" x14ac:dyDescent="0.25">
      <c r="A925" s="1">
        <v>2084</v>
      </c>
      <c r="B925" s="1">
        <v>2</v>
      </c>
      <c r="C925" s="1" t="s">
        <v>3</v>
      </c>
      <c r="D925" s="1">
        <v>5</v>
      </c>
      <c r="E925" s="1">
        <v>55.258000000000003</v>
      </c>
      <c r="F925" s="1">
        <v>1</v>
      </c>
      <c r="G925" t="s">
        <v>1514</v>
      </c>
      <c r="H925" t="s">
        <v>1515</v>
      </c>
      <c r="I925" t="s">
        <v>4865</v>
      </c>
      <c r="J925" t="str">
        <f>"40S ribosomal protein S9"</f>
        <v>40S ribosomal protein S9</v>
      </c>
      <c r="K925" t="str">
        <f>"RPS9"</f>
        <v>RPS9</v>
      </c>
    </row>
    <row r="926" spans="1:11" x14ac:dyDescent="0.25">
      <c r="A926" s="1">
        <v>1847</v>
      </c>
      <c r="B926" s="1">
        <v>3</v>
      </c>
      <c r="C926" s="1" t="s">
        <v>3</v>
      </c>
      <c r="D926" s="1">
        <v>4</v>
      </c>
      <c r="E926" s="1">
        <v>69.03</v>
      </c>
      <c r="F926" s="1">
        <v>0.98911000000000004</v>
      </c>
      <c r="G926" t="s">
        <v>1516</v>
      </c>
      <c r="H926" t="s">
        <v>1517</v>
      </c>
      <c r="I926">
        <v>402</v>
      </c>
      <c r="J926" t="str">
        <f>"Nucleolin"</f>
        <v>Nucleolin</v>
      </c>
      <c r="K926" t="str">
        <f>"NCL"</f>
        <v>NCL</v>
      </c>
    </row>
    <row r="927" spans="1:11" x14ac:dyDescent="0.25">
      <c r="A927" s="1">
        <v>3004</v>
      </c>
      <c r="B927" s="1">
        <v>3</v>
      </c>
      <c r="C927" s="1" t="s">
        <v>3</v>
      </c>
      <c r="D927" s="1">
        <v>8</v>
      </c>
      <c r="E927" s="1">
        <v>96.247</v>
      </c>
      <c r="F927" s="1">
        <v>0.99840399999999996</v>
      </c>
      <c r="G927" t="s">
        <v>1518</v>
      </c>
      <c r="H927" t="s">
        <v>1519</v>
      </c>
      <c r="I927">
        <v>615</v>
      </c>
      <c r="J927" t="str">
        <f>"Delta-like protein 4"</f>
        <v>Delta-like protein 4</v>
      </c>
      <c r="K927" t="str">
        <f>"DLL4"</f>
        <v>DLL4</v>
      </c>
    </row>
    <row r="928" spans="1:11" x14ac:dyDescent="0.25">
      <c r="A928" s="1">
        <v>2394</v>
      </c>
      <c r="B928" s="1">
        <v>3</v>
      </c>
      <c r="C928" s="1" t="s">
        <v>3</v>
      </c>
      <c r="D928" s="1">
        <v>3</v>
      </c>
      <c r="E928" s="1">
        <v>69.03</v>
      </c>
      <c r="F928" s="1">
        <v>0.99237600000000004</v>
      </c>
      <c r="G928" t="s">
        <v>1520</v>
      </c>
      <c r="H928" t="s">
        <v>1521</v>
      </c>
      <c r="I928">
        <v>989</v>
      </c>
      <c r="J928" t="str">
        <f>"Unconventional myosin-Ie"</f>
        <v>Unconventional myosin-Ie</v>
      </c>
      <c r="K928" t="str">
        <f>"MYO1E"</f>
        <v>MYO1E</v>
      </c>
    </row>
    <row r="929" spans="1:11" x14ac:dyDescent="0.25">
      <c r="A929" s="1">
        <v>796</v>
      </c>
      <c r="B929" s="1">
        <v>3</v>
      </c>
      <c r="C929" s="1" t="s">
        <v>3</v>
      </c>
      <c r="D929" s="1">
        <v>1</v>
      </c>
      <c r="E929" s="1">
        <v>78.813999999999993</v>
      </c>
      <c r="F929" s="1">
        <v>0.99999099999999996</v>
      </c>
      <c r="G929" t="s">
        <v>1522</v>
      </c>
      <c r="H929" t="s">
        <v>256</v>
      </c>
      <c r="I929" t="s">
        <v>4866</v>
      </c>
      <c r="J929" t="str">
        <f>"Clathrin heavy chain 1"</f>
        <v>Clathrin heavy chain 1</v>
      </c>
      <c r="K929" t="str">
        <f>"CLTC"</f>
        <v>CLTC</v>
      </c>
    </row>
    <row r="930" spans="1:11" x14ac:dyDescent="0.25">
      <c r="A930" s="1">
        <v>3062</v>
      </c>
      <c r="B930" s="1">
        <v>2</v>
      </c>
      <c r="C930" s="1" t="s">
        <v>3</v>
      </c>
      <c r="D930" s="1">
        <v>7</v>
      </c>
      <c r="E930" s="1">
        <v>95.183000000000007</v>
      </c>
      <c r="F930" s="1">
        <v>0.82426699999999997</v>
      </c>
      <c r="G930" t="s">
        <v>1523</v>
      </c>
      <c r="H930" t="s">
        <v>1524</v>
      </c>
      <c r="I930">
        <v>172</v>
      </c>
      <c r="J930" t="str">
        <f>"DnaJ homolog subfamily B member 4"</f>
        <v>DnaJ homolog subfamily B member 4</v>
      </c>
      <c r="K930" t="str">
        <f>"DNAJB4"</f>
        <v>DNAJB4</v>
      </c>
    </row>
    <row r="931" spans="1:11" x14ac:dyDescent="0.25">
      <c r="A931" s="1">
        <v>3133</v>
      </c>
      <c r="B931" s="1">
        <v>2</v>
      </c>
      <c r="C931" s="1" t="s">
        <v>3</v>
      </c>
      <c r="D931" s="1">
        <v>1</v>
      </c>
      <c r="E931" s="1">
        <v>58.98</v>
      </c>
      <c r="F931" s="1">
        <v>0.82738699999999998</v>
      </c>
      <c r="G931" t="s">
        <v>1525</v>
      </c>
      <c r="H931" t="s">
        <v>999</v>
      </c>
      <c r="I931" t="s">
        <v>4867</v>
      </c>
      <c r="J931" t="str">
        <f>"Plakophilin-3"</f>
        <v>Plakophilin-3</v>
      </c>
      <c r="K931" t="str">
        <f>"PKP3"</f>
        <v>PKP3</v>
      </c>
    </row>
    <row r="932" spans="1:11" x14ac:dyDescent="0.25">
      <c r="A932" s="1">
        <v>1185</v>
      </c>
      <c r="B932" s="1">
        <v>3</v>
      </c>
      <c r="C932" s="1" t="s">
        <v>3</v>
      </c>
      <c r="D932" s="1">
        <v>16</v>
      </c>
      <c r="E932" s="1">
        <v>120.9</v>
      </c>
      <c r="F932" s="1">
        <v>0.998641</v>
      </c>
      <c r="G932" t="s">
        <v>1526</v>
      </c>
      <c r="H932" t="s">
        <v>1527</v>
      </c>
      <c r="I932" t="s">
        <v>4868</v>
      </c>
      <c r="J932" t="str">
        <f>"Arf-GAP with Rho-GAP domain, ANK repeat and PH domain-containing protein 1"</f>
        <v>Arf-GAP with Rho-GAP domain, ANK repeat and PH domain-containing protein 1</v>
      </c>
      <c r="K932" t="str">
        <f>"ARAP1"</f>
        <v>ARAP1</v>
      </c>
    </row>
    <row r="933" spans="1:11" x14ac:dyDescent="0.25">
      <c r="A933" s="1">
        <v>895</v>
      </c>
      <c r="B933" s="1">
        <v>3</v>
      </c>
      <c r="C933" s="1" t="s">
        <v>3</v>
      </c>
      <c r="D933" s="1">
        <v>2</v>
      </c>
      <c r="E933" s="1">
        <v>60.307000000000002</v>
      </c>
      <c r="F933" s="1">
        <v>0.99641000000000002</v>
      </c>
      <c r="G933" t="s">
        <v>1528</v>
      </c>
      <c r="H933" t="s">
        <v>1529</v>
      </c>
      <c r="I933" t="s">
        <v>4869</v>
      </c>
      <c r="J933" t="str">
        <f>"SH3 and multiple ankyrin repeat domains protein 2"</f>
        <v>SH3 and multiple ankyrin repeat domains protein 2</v>
      </c>
      <c r="K933" t="str">
        <f>"SHANK2"</f>
        <v>SHANK2</v>
      </c>
    </row>
    <row r="934" spans="1:11" x14ac:dyDescent="0.25">
      <c r="A934" s="1">
        <v>1052</v>
      </c>
      <c r="B934" s="1">
        <v>3</v>
      </c>
      <c r="C934" s="1" t="s">
        <v>3</v>
      </c>
      <c r="D934" s="1">
        <v>4</v>
      </c>
      <c r="E934" s="1">
        <v>129.46</v>
      </c>
      <c r="F934" s="1">
        <v>1</v>
      </c>
      <c r="G934" t="s">
        <v>1530</v>
      </c>
      <c r="H934" t="s">
        <v>891</v>
      </c>
      <c r="I934" t="s">
        <v>4870</v>
      </c>
      <c r="J934" t="str">
        <f>"Protein tweety homolog;Protein tweety homolog 2"</f>
        <v>Protein tweety homolog;Protein tweety homolog 2</v>
      </c>
      <c r="K934" t="str">
        <f>"TTYH2"</f>
        <v>TTYH2</v>
      </c>
    </row>
    <row r="935" spans="1:11" x14ac:dyDescent="0.25">
      <c r="A935" s="1">
        <v>87</v>
      </c>
      <c r="B935" s="1">
        <v>3</v>
      </c>
      <c r="C935" s="1" t="s">
        <v>5</v>
      </c>
      <c r="D935" s="1">
        <v>5</v>
      </c>
      <c r="E935" s="1">
        <v>116.55</v>
      </c>
      <c r="F935" s="1">
        <v>0.71560000000000001</v>
      </c>
      <c r="G935" t="s">
        <v>1531</v>
      </c>
      <c r="H935" t="s">
        <v>270</v>
      </c>
      <c r="I935" t="s">
        <v>4871</v>
      </c>
      <c r="J935" t="str">
        <f>"Tensin-1"</f>
        <v>Tensin-1</v>
      </c>
      <c r="K935" t="str">
        <f>"TNS1"</f>
        <v>TNS1</v>
      </c>
    </row>
    <row r="936" spans="1:11" x14ac:dyDescent="0.25">
      <c r="A936" s="1">
        <v>2391</v>
      </c>
      <c r="B936" s="1">
        <v>3</v>
      </c>
      <c r="C936" s="1" t="s">
        <v>3</v>
      </c>
      <c r="D936" s="1">
        <v>3</v>
      </c>
      <c r="E936" s="1">
        <v>50.896999999999998</v>
      </c>
      <c r="F936" s="1">
        <v>0.974607</v>
      </c>
      <c r="G936" t="s">
        <v>1532</v>
      </c>
      <c r="H936" t="s">
        <v>1533</v>
      </c>
      <c r="I936" t="s">
        <v>4872</v>
      </c>
      <c r="J936" t="str">
        <f>"Unconventional myosin-Ie"</f>
        <v>Unconventional myosin-Ie</v>
      </c>
      <c r="K936" t="str">
        <f>"MYO1E"</f>
        <v>MYO1E</v>
      </c>
    </row>
    <row r="937" spans="1:11" x14ac:dyDescent="0.25">
      <c r="A937" s="1">
        <v>1229</v>
      </c>
      <c r="B937" s="1">
        <v>4</v>
      </c>
      <c r="C937" s="1" t="s">
        <v>3</v>
      </c>
      <c r="D937" s="1">
        <v>2</v>
      </c>
      <c r="E937" s="1">
        <v>124.51</v>
      </c>
      <c r="F937" s="1">
        <v>0.843163</v>
      </c>
      <c r="G937" t="s">
        <v>1534</v>
      </c>
      <c r="H937" t="s">
        <v>588</v>
      </c>
      <c r="I937" t="s">
        <v>4873</v>
      </c>
      <c r="J937" t="str">
        <f>"Receptor-type tyrosine-protein phosphatase kappa"</f>
        <v>Receptor-type tyrosine-protein phosphatase kappa</v>
      </c>
      <c r="K937" t="str">
        <f>"PTPRK"</f>
        <v>PTPRK</v>
      </c>
    </row>
    <row r="938" spans="1:11" x14ac:dyDescent="0.25">
      <c r="A938" s="1">
        <v>978</v>
      </c>
      <c r="B938" s="1">
        <v>3</v>
      </c>
      <c r="C938" s="1" t="s">
        <v>3</v>
      </c>
      <c r="D938" s="1">
        <v>4</v>
      </c>
      <c r="E938" s="1">
        <v>54.834000000000003</v>
      </c>
      <c r="F938" s="1">
        <v>0.99976600000000004</v>
      </c>
      <c r="G938" t="s">
        <v>1535</v>
      </c>
      <c r="H938" t="s">
        <v>1536</v>
      </c>
      <c r="I938" t="s">
        <v>4874</v>
      </c>
      <c r="J938" t="str">
        <f>"MARVEL domain-containing protein 2"</f>
        <v>MARVEL domain-containing protein 2</v>
      </c>
      <c r="K938" t="str">
        <f>"MARVELD2"</f>
        <v>MARVELD2</v>
      </c>
    </row>
    <row r="939" spans="1:11" x14ac:dyDescent="0.25">
      <c r="A939" s="1">
        <v>1362</v>
      </c>
      <c r="B939" s="1">
        <v>3</v>
      </c>
      <c r="C939" s="1" t="s">
        <v>3</v>
      </c>
      <c r="D939" s="1">
        <v>8</v>
      </c>
      <c r="E939" s="1">
        <v>82.069000000000003</v>
      </c>
      <c r="F939" s="1">
        <v>0.99906300000000003</v>
      </c>
      <c r="G939" t="s">
        <v>1537</v>
      </c>
      <c r="H939" t="s">
        <v>1538</v>
      </c>
      <c r="I939" t="s">
        <v>4875</v>
      </c>
      <c r="J939" t="str">
        <f>"Dual adapter for phosphotyrosine and 3-phosphotyrosine and 3-phosphoinositide"</f>
        <v>Dual adapter for phosphotyrosine and 3-phosphotyrosine and 3-phosphoinositide</v>
      </c>
      <c r="K939" t="str">
        <f>"DAPP1"</f>
        <v>DAPP1</v>
      </c>
    </row>
    <row r="940" spans="1:11" x14ac:dyDescent="0.25">
      <c r="A940" s="1">
        <v>543</v>
      </c>
      <c r="B940" s="1">
        <v>3</v>
      </c>
      <c r="C940" s="1" t="s">
        <v>4</v>
      </c>
      <c r="D940" s="1">
        <v>11</v>
      </c>
      <c r="E940" s="1">
        <v>117.38</v>
      </c>
      <c r="F940" s="1">
        <v>0.64831000000000005</v>
      </c>
      <c r="G940" t="s">
        <v>1539</v>
      </c>
      <c r="H940" t="s">
        <v>1540</v>
      </c>
      <c r="I940" t="s">
        <v>4876</v>
      </c>
      <c r="J940" t="str">
        <f>"GTPase-activating protein and VPS9 domain-containing protein 1"</f>
        <v>GTPase-activating protein and VPS9 domain-containing protein 1</v>
      </c>
      <c r="K940" t="str">
        <f>"GAPVD1"</f>
        <v>GAPVD1</v>
      </c>
    </row>
    <row r="941" spans="1:11" x14ac:dyDescent="0.25">
      <c r="A941" s="1">
        <v>1954</v>
      </c>
      <c r="B941" s="1">
        <v>2</v>
      </c>
      <c r="C941" s="1" t="s">
        <v>3</v>
      </c>
      <c r="D941" s="1">
        <v>9</v>
      </c>
      <c r="E941" s="1">
        <v>72.2</v>
      </c>
      <c r="F941" s="1">
        <v>0.97992800000000002</v>
      </c>
      <c r="G941" t="s">
        <v>1541</v>
      </c>
      <c r="H941" t="s">
        <v>47</v>
      </c>
      <c r="I941">
        <v>791</v>
      </c>
      <c r="J941" t="str">
        <f>"Ephrin type-A receptor 2"</f>
        <v>Ephrin type-A receptor 2</v>
      </c>
      <c r="K941" t="str">
        <f>"EPHA2"</f>
        <v>EPHA2</v>
      </c>
    </row>
    <row r="942" spans="1:11" x14ac:dyDescent="0.25">
      <c r="A942" s="1">
        <v>834</v>
      </c>
      <c r="B942" s="1">
        <v>2</v>
      </c>
      <c r="C942" s="1" t="s">
        <v>3</v>
      </c>
      <c r="D942" s="1">
        <v>6</v>
      </c>
      <c r="E942" s="1">
        <v>90.412000000000006</v>
      </c>
      <c r="F942" s="1">
        <v>0.89762399999999998</v>
      </c>
      <c r="G942" t="s">
        <v>1542</v>
      </c>
      <c r="H942" t="s">
        <v>520</v>
      </c>
      <c r="I942" t="s">
        <v>4877</v>
      </c>
      <c r="J942" t="str">
        <f>"Lipoma-preferred partner"</f>
        <v>Lipoma-preferred partner</v>
      </c>
      <c r="K942" t="str">
        <f>"LPP"</f>
        <v>LPP</v>
      </c>
    </row>
    <row r="943" spans="1:11" x14ac:dyDescent="0.25">
      <c r="A943" s="1">
        <v>1859</v>
      </c>
      <c r="B943" s="1">
        <v>2</v>
      </c>
      <c r="C943" s="1" t="s">
        <v>3</v>
      </c>
      <c r="D943" s="1">
        <v>15</v>
      </c>
      <c r="E943" s="1">
        <v>69.978999999999999</v>
      </c>
      <c r="F943" s="1">
        <v>0.99999499999999997</v>
      </c>
      <c r="G943" t="s">
        <v>1543</v>
      </c>
      <c r="H943" t="s">
        <v>1544</v>
      </c>
      <c r="I943" t="s">
        <v>4878</v>
      </c>
      <c r="J943" t="str">
        <f>"Cysteine and glycine-rich protein 1"</f>
        <v>Cysteine and glycine-rich protein 1</v>
      </c>
      <c r="K943" t="str">
        <f>"CSRP1"</f>
        <v>CSRP1</v>
      </c>
    </row>
    <row r="944" spans="1:11" x14ac:dyDescent="0.25">
      <c r="A944" s="1">
        <v>2071</v>
      </c>
      <c r="B944" s="1">
        <v>3</v>
      </c>
      <c r="C944" s="1" t="s">
        <v>3</v>
      </c>
      <c r="D944" s="1">
        <v>3</v>
      </c>
      <c r="E944" s="1">
        <v>136.26</v>
      </c>
      <c r="F944" s="1">
        <v>1</v>
      </c>
      <c r="G944" t="s">
        <v>1545</v>
      </c>
      <c r="H944" t="s">
        <v>1133</v>
      </c>
      <c r="I944" t="s">
        <v>4879</v>
      </c>
      <c r="J944" t="str">
        <f>"Nicotinamide phosphoribosyltransferase"</f>
        <v>Nicotinamide phosphoribosyltransferase</v>
      </c>
      <c r="K944" t="str">
        <f>"NAMPT"</f>
        <v>NAMPT</v>
      </c>
    </row>
    <row r="945" spans="1:11" x14ac:dyDescent="0.25">
      <c r="A945" s="1">
        <v>2249</v>
      </c>
      <c r="B945" s="1">
        <v>2</v>
      </c>
      <c r="C945" s="1" t="s">
        <v>3</v>
      </c>
      <c r="D945" s="1">
        <v>7</v>
      </c>
      <c r="E945" s="1">
        <v>101.89</v>
      </c>
      <c r="F945" s="1">
        <v>0.99628799999999995</v>
      </c>
      <c r="G945" t="s">
        <v>1546</v>
      </c>
      <c r="H945" t="s">
        <v>1547</v>
      </c>
      <c r="I945" t="s">
        <v>4880</v>
      </c>
      <c r="J945" t="str">
        <f>"40S ribosomal protein S8"</f>
        <v>40S ribosomal protein S8</v>
      </c>
      <c r="K945" t="str">
        <f>"RPS8"</f>
        <v>RPS8</v>
      </c>
    </row>
    <row r="946" spans="1:11" x14ac:dyDescent="0.25">
      <c r="A946" s="1">
        <v>3071</v>
      </c>
      <c r="B946" s="1">
        <v>3</v>
      </c>
      <c r="C946" s="1" t="s">
        <v>3</v>
      </c>
      <c r="D946" s="1">
        <v>6</v>
      </c>
      <c r="E946" s="1">
        <v>80.488</v>
      </c>
      <c r="F946" s="1">
        <v>0.88130600000000003</v>
      </c>
      <c r="G946" t="s">
        <v>1548</v>
      </c>
      <c r="H946" t="s">
        <v>1549</v>
      </c>
      <c r="I946" t="s">
        <v>4881</v>
      </c>
      <c r="J946" t="str">
        <f>"Probable ATP-dependent RNA helicase DDX20"</f>
        <v>Probable ATP-dependent RNA helicase DDX20</v>
      </c>
      <c r="K946" t="str">
        <f>"DDX20"</f>
        <v>DDX20</v>
      </c>
    </row>
    <row r="947" spans="1:11" x14ac:dyDescent="0.25">
      <c r="A947" s="1">
        <v>3143</v>
      </c>
      <c r="B947" s="1">
        <v>3</v>
      </c>
      <c r="C947" s="1" t="s">
        <v>3</v>
      </c>
      <c r="D947" s="1">
        <v>15</v>
      </c>
      <c r="E947" s="1">
        <v>154.65</v>
      </c>
      <c r="F947" s="1">
        <v>0.94387299999999996</v>
      </c>
      <c r="G947" t="s">
        <v>1550</v>
      </c>
      <c r="H947" t="s">
        <v>1551</v>
      </c>
      <c r="I947" t="s">
        <v>4882</v>
      </c>
      <c r="J947" t="str">
        <f>"Ubiquitin carboxyl-terminal hydrolase 15"</f>
        <v>Ubiquitin carboxyl-terminal hydrolase 15</v>
      </c>
      <c r="K947" t="str">
        <f>"USP15"</f>
        <v>USP15</v>
      </c>
    </row>
    <row r="948" spans="1:11" x14ac:dyDescent="0.25">
      <c r="A948" s="1">
        <v>2370</v>
      </c>
      <c r="B948" s="1">
        <v>2</v>
      </c>
      <c r="C948" s="1" t="s">
        <v>3</v>
      </c>
      <c r="D948" s="1">
        <v>2</v>
      </c>
      <c r="E948" s="1">
        <v>102.4</v>
      </c>
      <c r="F948" s="1">
        <v>0.85290500000000002</v>
      </c>
      <c r="G948" t="s">
        <v>1552</v>
      </c>
      <c r="H948" t="s">
        <v>1553</v>
      </c>
      <c r="I948" t="s">
        <v>4883</v>
      </c>
      <c r="J948" t="str">
        <f>"Protein VAC14 homolog"</f>
        <v>Protein VAC14 homolog</v>
      </c>
      <c r="K948" t="str">
        <f>"VAC14"</f>
        <v>VAC14</v>
      </c>
    </row>
    <row r="949" spans="1:11" x14ac:dyDescent="0.25">
      <c r="A949" s="1">
        <v>1328</v>
      </c>
      <c r="B949" s="1">
        <v>2</v>
      </c>
      <c r="C949" s="1" t="s">
        <v>3</v>
      </c>
      <c r="D949" s="1">
        <v>3</v>
      </c>
      <c r="E949" s="1">
        <v>95.477000000000004</v>
      </c>
      <c r="F949" s="1">
        <v>0.67784199999999994</v>
      </c>
      <c r="G949" t="s">
        <v>1554</v>
      </c>
      <c r="H949" t="s">
        <v>458</v>
      </c>
      <c r="I949" t="s">
        <v>4884</v>
      </c>
      <c r="J949" t="str">
        <f>"Proteasome subunit alpha type;Proteasome subunit alpha type-6"</f>
        <v>Proteasome subunit alpha type;Proteasome subunit alpha type-6</v>
      </c>
      <c r="K949" t="str">
        <f>"PSMA6"</f>
        <v>PSMA6</v>
      </c>
    </row>
    <row r="950" spans="1:11" x14ac:dyDescent="0.25">
      <c r="A950" s="1">
        <v>1432</v>
      </c>
      <c r="B950" s="1">
        <v>2</v>
      </c>
      <c r="C950" s="1" t="s">
        <v>3</v>
      </c>
      <c r="D950" s="1">
        <v>2</v>
      </c>
      <c r="E950" s="1">
        <v>107.78</v>
      </c>
      <c r="F950" s="1">
        <v>0.999803</v>
      </c>
      <c r="G950" t="s">
        <v>1555</v>
      </c>
      <c r="H950" t="s">
        <v>1556</v>
      </c>
      <c r="I950" t="s">
        <v>4885</v>
      </c>
      <c r="J950" t="str">
        <f>"Secretory carrier-associated membrane protein 3"</f>
        <v>Secretory carrier-associated membrane protein 3</v>
      </c>
      <c r="K950" t="str">
        <f>"SCAMP3"</f>
        <v>SCAMP3</v>
      </c>
    </row>
    <row r="951" spans="1:11" x14ac:dyDescent="0.25">
      <c r="A951" s="1">
        <v>2743</v>
      </c>
      <c r="B951" s="1">
        <v>3</v>
      </c>
      <c r="C951" s="1" t="s">
        <v>3</v>
      </c>
      <c r="D951" s="1">
        <v>13</v>
      </c>
      <c r="E951" s="1">
        <v>67.646000000000001</v>
      </c>
      <c r="F951" s="1">
        <v>1</v>
      </c>
      <c r="G951" t="s">
        <v>1557</v>
      </c>
      <c r="H951" t="s">
        <v>1558</v>
      </c>
      <c r="I951">
        <v>585</v>
      </c>
      <c r="J951" t="str">
        <f>"Choline dehydrogenase, mitochondrial"</f>
        <v>Choline dehydrogenase, mitochondrial</v>
      </c>
      <c r="K951" t="str">
        <f>"CHDH"</f>
        <v>CHDH</v>
      </c>
    </row>
    <row r="952" spans="1:11" x14ac:dyDescent="0.25">
      <c r="A952" s="1">
        <v>607</v>
      </c>
      <c r="B952" s="1">
        <v>3</v>
      </c>
      <c r="C952" s="1" t="s">
        <v>4</v>
      </c>
      <c r="D952" s="1">
        <v>5</v>
      </c>
      <c r="E952" s="1">
        <v>114.96</v>
      </c>
      <c r="F952" s="1">
        <v>0.56190200000000001</v>
      </c>
      <c r="G952" t="s">
        <v>1559</v>
      </c>
      <c r="H952" t="s">
        <v>47</v>
      </c>
      <c r="I952">
        <v>922</v>
      </c>
      <c r="J952" t="str">
        <f>"Ephrin type-A receptor 2"</f>
        <v>Ephrin type-A receptor 2</v>
      </c>
      <c r="K952" t="str">
        <f>"EPHA2"</f>
        <v>EPHA2</v>
      </c>
    </row>
    <row r="953" spans="1:11" x14ac:dyDescent="0.25">
      <c r="A953" s="1">
        <v>2347</v>
      </c>
      <c r="B953" s="1">
        <v>2</v>
      </c>
      <c r="C953" s="1" t="s">
        <v>3</v>
      </c>
      <c r="D953" s="1">
        <v>11</v>
      </c>
      <c r="E953" s="1">
        <v>64.52</v>
      </c>
      <c r="F953" s="1">
        <v>0.99685900000000005</v>
      </c>
      <c r="G953" t="s">
        <v>1560</v>
      </c>
      <c r="H953" t="s">
        <v>53</v>
      </c>
      <c r="I953" t="s">
        <v>4886</v>
      </c>
      <c r="J953" t="str">
        <f>"Tyrosine-protein phosphatase non-receptor type 11"</f>
        <v>Tyrosine-protein phosphatase non-receptor type 11</v>
      </c>
      <c r="K953" t="str">
        <f>"PTPN11"</f>
        <v>PTPN11</v>
      </c>
    </row>
    <row r="954" spans="1:11" x14ac:dyDescent="0.25">
      <c r="A954" s="1">
        <v>2326</v>
      </c>
      <c r="B954" s="1">
        <v>3</v>
      </c>
      <c r="C954" s="1" t="s">
        <v>3</v>
      </c>
      <c r="D954" s="1">
        <v>7</v>
      </c>
      <c r="E954" s="1">
        <v>61.963000000000001</v>
      </c>
      <c r="F954" s="1">
        <v>0.99996499999999999</v>
      </c>
      <c r="G954" t="s">
        <v>1561</v>
      </c>
      <c r="H954" t="s">
        <v>442</v>
      </c>
      <c r="I954" t="s">
        <v>4887</v>
      </c>
      <c r="J954" t="str">
        <f>"1,4-alpha-glucan-branching enzyme"</f>
        <v>1,4-alpha-glucan-branching enzyme</v>
      </c>
      <c r="K954" t="str">
        <f>"GBE1"</f>
        <v>GBE1</v>
      </c>
    </row>
    <row r="955" spans="1:11" x14ac:dyDescent="0.25">
      <c r="A955" s="1">
        <v>900</v>
      </c>
      <c r="B955" s="1">
        <v>3</v>
      </c>
      <c r="C955" s="1" t="s">
        <v>3</v>
      </c>
      <c r="D955" s="1">
        <v>1</v>
      </c>
      <c r="E955" s="1">
        <v>78.69</v>
      </c>
      <c r="F955" s="1">
        <v>1</v>
      </c>
      <c r="G955" t="s">
        <v>1562</v>
      </c>
      <c r="H955" t="s">
        <v>1563</v>
      </c>
      <c r="I955" t="s">
        <v>4888</v>
      </c>
      <c r="J955" t="str">
        <f>"Aldo-keto reductase family 1 member C3"</f>
        <v>Aldo-keto reductase family 1 member C3</v>
      </c>
      <c r="K955" t="str">
        <f>"AKR1C3"</f>
        <v>AKR1C3</v>
      </c>
    </row>
    <row r="956" spans="1:11" x14ac:dyDescent="0.25">
      <c r="A956" s="1">
        <v>2434</v>
      </c>
      <c r="B956" s="1">
        <v>2</v>
      </c>
      <c r="C956" s="1" t="s">
        <v>3</v>
      </c>
      <c r="D956" s="1">
        <v>1</v>
      </c>
      <c r="E956" s="1">
        <v>49.715000000000003</v>
      </c>
      <c r="F956" s="1">
        <v>1</v>
      </c>
      <c r="G956" t="s">
        <v>1564</v>
      </c>
      <c r="H956" t="s">
        <v>1565</v>
      </c>
      <c r="I956" t="s">
        <v>4889</v>
      </c>
      <c r="J956" t="str">
        <f>"Dynactin subunit 2"</f>
        <v>Dynactin subunit 2</v>
      </c>
      <c r="K956" t="str">
        <f>"DCTN2"</f>
        <v>DCTN2</v>
      </c>
    </row>
    <row r="957" spans="1:11" x14ac:dyDescent="0.25">
      <c r="A957" s="1">
        <v>1937</v>
      </c>
      <c r="B957" s="1">
        <v>3</v>
      </c>
      <c r="C957" s="1" t="s">
        <v>3</v>
      </c>
      <c r="D957" s="1">
        <v>5</v>
      </c>
      <c r="E957" s="1">
        <v>48.567999999999998</v>
      </c>
      <c r="F957" s="1">
        <v>0.99777300000000002</v>
      </c>
      <c r="G957" t="s">
        <v>1566</v>
      </c>
      <c r="H957" t="s">
        <v>45</v>
      </c>
      <c r="I957" t="s">
        <v>4890</v>
      </c>
      <c r="J957" t="str">
        <f>"Phosphatidylinositol 3-kinase regulatory subunit alpha"</f>
        <v>Phosphatidylinositol 3-kinase regulatory subunit alpha</v>
      </c>
      <c r="K957" t="str">
        <f>"PIK3R1"</f>
        <v>PIK3R1</v>
      </c>
    </row>
    <row r="958" spans="1:11" x14ac:dyDescent="0.25">
      <c r="A958" s="1">
        <v>994</v>
      </c>
      <c r="B958" s="1">
        <v>3</v>
      </c>
      <c r="C958" s="1" t="s">
        <v>3</v>
      </c>
      <c r="D958" s="1">
        <v>12</v>
      </c>
      <c r="E958" s="1">
        <v>70.783000000000001</v>
      </c>
      <c r="F958" s="1">
        <v>0.98205299999999995</v>
      </c>
      <c r="G958" t="s">
        <v>1567</v>
      </c>
      <c r="H958" t="s">
        <v>1568</v>
      </c>
      <c r="I958" t="s">
        <v>4891</v>
      </c>
      <c r="J958" t="str">
        <f>"Polypyrimidine tract-binding protein 1"</f>
        <v>Polypyrimidine tract-binding protein 1</v>
      </c>
      <c r="K958" t="str">
        <f>"PTBP1"</f>
        <v>PTBP1</v>
      </c>
    </row>
    <row r="959" spans="1:11" x14ac:dyDescent="0.25">
      <c r="A959" s="1">
        <v>2499</v>
      </c>
      <c r="B959" s="1">
        <v>3</v>
      </c>
      <c r="C959" s="1" t="s">
        <v>3</v>
      </c>
      <c r="D959" s="1">
        <v>5</v>
      </c>
      <c r="E959" s="1">
        <v>52.52</v>
      </c>
      <c r="F959" s="1">
        <v>0.95945899999999995</v>
      </c>
      <c r="G959" t="s">
        <v>1569</v>
      </c>
      <c r="H959" t="s">
        <v>1570</v>
      </c>
      <c r="I959">
        <v>693</v>
      </c>
      <c r="J959" t="str">
        <f>"Signal transducer and activator of transcription 4"</f>
        <v>Signal transducer and activator of transcription 4</v>
      </c>
      <c r="K959" t="str">
        <f>"STAT4"</f>
        <v>STAT4</v>
      </c>
    </row>
    <row r="960" spans="1:11" x14ac:dyDescent="0.25">
      <c r="A960" s="1">
        <v>2515</v>
      </c>
      <c r="B960" s="1">
        <v>3</v>
      </c>
      <c r="C960" s="1" t="s">
        <v>3</v>
      </c>
      <c r="D960" s="1">
        <v>7</v>
      </c>
      <c r="E960" s="1">
        <v>95.183000000000007</v>
      </c>
      <c r="F960" s="1">
        <v>0.99956900000000004</v>
      </c>
      <c r="G960" t="s">
        <v>1571</v>
      </c>
      <c r="H960" t="s">
        <v>1572</v>
      </c>
      <c r="I960" t="s">
        <v>4892</v>
      </c>
      <c r="J960" t="str">
        <f>"Plectin"</f>
        <v>Plectin</v>
      </c>
      <c r="K960" t="str">
        <f>"PLEC"</f>
        <v>PLEC</v>
      </c>
    </row>
    <row r="961" spans="1:11" x14ac:dyDescent="0.25">
      <c r="A961" s="1">
        <v>1530</v>
      </c>
      <c r="B961" s="1">
        <v>2</v>
      </c>
      <c r="C961" s="1" t="s">
        <v>3</v>
      </c>
      <c r="D961" s="1">
        <v>7</v>
      </c>
      <c r="E961" s="1">
        <v>116.05</v>
      </c>
      <c r="F961" s="1">
        <v>1</v>
      </c>
      <c r="G961" t="s">
        <v>1573</v>
      </c>
      <c r="H961" t="s">
        <v>1574</v>
      </c>
      <c r="I961" t="s">
        <v>4893</v>
      </c>
      <c r="J961" t="str">
        <f>"Filamin-B"</f>
        <v>Filamin-B</v>
      </c>
      <c r="K961" t="str">
        <f>"FLNB"</f>
        <v>FLNB</v>
      </c>
    </row>
    <row r="962" spans="1:11" x14ac:dyDescent="0.25">
      <c r="A962" s="1">
        <v>1725</v>
      </c>
      <c r="B962" s="1">
        <v>3</v>
      </c>
      <c r="C962" s="1" t="s">
        <v>3</v>
      </c>
      <c r="D962" s="1">
        <v>8</v>
      </c>
      <c r="E962" s="1">
        <v>84.173000000000002</v>
      </c>
      <c r="F962" s="1">
        <v>0.98940399999999995</v>
      </c>
      <c r="G962" t="s">
        <v>1575</v>
      </c>
      <c r="H962" t="s">
        <v>319</v>
      </c>
      <c r="I962">
        <v>209</v>
      </c>
      <c r="J962" t="str">
        <f>"Tyrosine-protein kinase Fgr"</f>
        <v>Tyrosine-protein kinase Fgr</v>
      </c>
      <c r="K962" t="str">
        <f>"FGR"</f>
        <v>FGR</v>
      </c>
    </row>
    <row r="963" spans="1:11" x14ac:dyDescent="0.25">
      <c r="A963" s="1">
        <v>2420</v>
      </c>
      <c r="B963" s="1">
        <v>5</v>
      </c>
      <c r="C963" s="1" t="s">
        <v>3</v>
      </c>
      <c r="D963" s="1">
        <v>36</v>
      </c>
      <c r="E963" s="1">
        <v>72.656999999999996</v>
      </c>
      <c r="F963" s="1">
        <v>0.57934300000000005</v>
      </c>
      <c r="G963" t="s">
        <v>1576</v>
      </c>
      <c r="H963" t="s">
        <v>1577</v>
      </c>
      <c r="I963" t="s">
        <v>4894</v>
      </c>
      <c r="J963" t="str">
        <f>"Zinc transporter ZIP6"</f>
        <v>Zinc transporter ZIP6</v>
      </c>
      <c r="K963" t="str">
        <f>"SLC39A6"</f>
        <v>SLC39A6</v>
      </c>
    </row>
    <row r="964" spans="1:11" x14ac:dyDescent="0.25">
      <c r="A964" s="1">
        <v>162</v>
      </c>
      <c r="B964" s="1">
        <v>3</v>
      </c>
      <c r="C964" s="1" t="s">
        <v>5</v>
      </c>
      <c r="D964" s="1">
        <v>15</v>
      </c>
      <c r="E964" s="1">
        <v>117.4</v>
      </c>
      <c r="F964" s="1">
        <v>0.83529200000000003</v>
      </c>
      <c r="G964" t="s">
        <v>1578</v>
      </c>
      <c r="H964" t="s">
        <v>1579</v>
      </c>
      <c r="I964" t="s">
        <v>4895</v>
      </c>
      <c r="J964" t="str">
        <f>"Actin-binding LIM protein 3"</f>
        <v>Actin-binding LIM protein 3</v>
      </c>
      <c r="K964" t="str">
        <f>"ABLIM3"</f>
        <v>ABLIM3</v>
      </c>
    </row>
    <row r="965" spans="1:11" x14ac:dyDescent="0.25">
      <c r="A965" s="1">
        <v>1207</v>
      </c>
      <c r="B965" s="1">
        <v>3</v>
      </c>
      <c r="C965" s="1" t="s">
        <v>3</v>
      </c>
      <c r="D965" s="1">
        <v>7</v>
      </c>
      <c r="E965" s="1">
        <v>153.75</v>
      </c>
      <c r="F965" s="1">
        <v>0.99952399999999997</v>
      </c>
      <c r="G965" t="s">
        <v>1580</v>
      </c>
      <c r="H965" t="s">
        <v>1581</v>
      </c>
      <c r="I965" t="s">
        <v>4896</v>
      </c>
      <c r="J965" t="str">
        <f>"NAD(P) transhydrogenase, mitochondrial"</f>
        <v>NAD(P) transhydrogenase, mitochondrial</v>
      </c>
      <c r="K965" t="str">
        <f>"NNT"</f>
        <v>NNT</v>
      </c>
    </row>
    <row r="966" spans="1:11" x14ac:dyDescent="0.25">
      <c r="A966" s="1">
        <v>2328</v>
      </c>
      <c r="B966" s="1">
        <v>3</v>
      </c>
      <c r="C966" s="1" t="s">
        <v>3</v>
      </c>
      <c r="D966" s="1">
        <v>7</v>
      </c>
      <c r="E966" s="1">
        <v>72.433000000000007</v>
      </c>
      <c r="F966" s="1">
        <v>0.99676399999999998</v>
      </c>
      <c r="G966" t="s">
        <v>1582</v>
      </c>
      <c r="H966" t="s">
        <v>1583</v>
      </c>
      <c r="I966">
        <v>37</v>
      </c>
      <c r="J966" t="str">
        <f>"1,4-alpha-glucan-branching enzyme"</f>
        <v>1,4-alpha-glucan-branching enzyme</v>
      </c>
      <c r="K966" t="str">
        <f>"GBE1"</f>
        <v>GBE1</v>
      </c>
    </row>
    <row r="967" spans="1:11" x14ac:dyDescent="0.25">
      <c r="A967" s="1">
        <v>2398</v>
      </c>
      <c r="B967" s="1">
        <v>2</v>
      </c>
      <c r="C967" s="1" t="s">
        <v>3</v>
      </c>
      <c r="D967" s="1">
        <v>7</v>
      </c>
      <c r="E967" s="1">
        <v>57.287999999999997</v>
      </c>
      <c r="F967" s="1">
        <v>0.99999499999999997</v>
      </c>
      <c r="G967" t="s">
        <v>1584</v>
      </c>
      <c r="H967" t="s">
        <v>1585</v>
      </c>
      <c r="I967" t="s">
        <v>4897</v>
      </c>
      <c r="J967" t="str">
        <f>"Protein flightless-1 homolog"</f>
        <v>Protein flightless-1 homolog</v>
      </c>
      <c r="K967" t="str">
        <f>"FLII"</f>
        <v>FLII</v>
      </c>
    </row>
    <row r="968" spans="1:11" x14ac:dyDescent="0.25">
      <c r="A968" s="1">
        <v>1786</v>
      </c>
      <c r="B968" s="1">
        <v>3</v>
      </c>
      <c r="C968" s="1" t="s">
        <v>3</v>
      </c>
      <c r="D968" s="1">
        <v>13</v>
      </c>
      <c r="E968" s="1">
        <v>75.224000000000004</v>
      </c>
      <c r="F968" s="1">
        <v>0.98875999999999997</v>
      </c>
      <c r="G968" t="s">
        <v>1586</v>
      </c>
      <c r="H968" t="s">
        <v>1587</v>
      </c>
      <c r="I968">
        <v>652</v>
      </c>
      <c r="J968" t="str">
        <f>"Endoplasmin"</f>
        <v>Endoplasmin</v>
      </c>
      <c r="K968" t="str">
        <f>"HSP90B1"</f>
        <v>HSP90B1</v>
      </c>
    </row>
    <row r="969" spans="1:11" x14ac:dyDescent="0.25">
      <c r="A969" s="1">
        <v>1756</v>
      </c>
      <c r="B969" s="1">
        <v>5</v>
      </c>
      <c r="C969" s="1" t="s">
        <v>3</v>
      </c>
      <c r="D969" s="1">
        <v>29</v>
      </c>
      <c r="E969" s="1">
        <v>107.04</v>
      </c>
      <c r="F969" s="1">
        <v>0.95229200000000003</v>
      </c>
      <c r="G969" t="s">
        <v>1588</v>
      </c>
      <c r="H969" t="s">
        <v>1589</v>
      </c>
      <c r="I969">
        <v>125</v>
      </c>
      <c r="J969" t="str">
        <f>"Creatine kinase B-type"</f>
        <v>Creatine kinase B-type</v>
      </c>
      <c r="K969" t="str">
        <f>"CKB"</f>
        <v>CKB</v>
      </c>
    </row>
    <row r="970" spans="1:11" x14ac:dyDescent="0.25">
      <c r="A970" s="1">
        <v>496</v>
      </c>
      <c r="B970" s="1">
        <v>2</v>
      </c>
      <c r="C970" s="1" t="s">
        <v>4</v>
      </c>
      <c r="D970" s="1">
        <v>10</v>
      </c>
      <c r="E970" s="1">
        <v>130.27000000000001</v>
      </c>
      <c r="F970" s="1">
        <v>0.56639700000000004</v>
      </c>
      <c r="G970" t="s">
        <v>1590</v>
      </c>
      <c r="H970" t="s">
        <v>878</v>
      </c>
      <c r="I970" t="s">
        <v>4898</v>
      </c>
      <c r="J970" t="str">
        <f>""</f>
        <v/>
      </c>
      <c r="K970" t="str">
        <f>"APP"</f>
        <v>APP</v>
      </c>
    </row>
    <row r="971" spans="1:11" x14ac:dyDescent="0.25">
      <c r="A971" s="1">
        <v>373</v>
      </c>
      <c r="B971" s="1">
        <v>5</v>
      </c>
      <c r="C971" s="1" t="s">
        <v>5</v>
      </c>
      <c r="D971" s="1">
        <v>26</v>
      </c>
      <c r="E971" s="1">
        <v>149.52000000000001</v>
      </c>
      <c r="F971" s="1">
        <v>0.565025</v>
      </c>
      <c r="G971" t="s">
        <v>1591</v>
      </c>
      <c r="H971" t="s">
        <v>287</v>
      </c>
      <c r="I971">
        <v>695</v>
      </c>
      <c r="J971" t="str">
        <f>"Discoidin, CUB and LCCL domain-containing protein 1"</f>
        <v>Discoidin, CUB and LCCL domain-containing protein 1</v>
      </c>
      <c r="K971" t="str">
        <f>"DCBLD1"</f>
        <v>DCBLD1</v>
      </c>
    </row>
    <row r="972" spans="1:11" x14ac:dyDescent="0.25">
      <c r="A972" s="1">
        <v>1789</v>
      </c>
      <c r="B972" s="1">
        <v>4</v>
      </c>
      <c r="C972" s="1" t="s">
        <v>3</v>
      </c>
      <c r="D972" s="1">
        <v>5</v>
      </c>
      <c r="E972" s="1">
        <v>89.391000000000005</v>
      </c>
      <c r="F972" s="1">
        <v>0.53317000000000003</v>
      </c>
      <c r="G972" t="s">
        <v>1592</v>
      </c>
      <c r="H972" t="s">
        <v>917</v>
      </c>
      <c r="I972" t="s">
        <v>4899</v>
      </c>
      <c r="J972" t="str">
        <f>"Heterogeneous nuclear ribonucleoprotein L"</f>
        <v>Heterogeneous nuclear ribonucleoprotein L</v>
      </c>
      <c r="K972" t="str">
        <f>"HNRNPL"</f>
        <v>HNRNPL</v>
      </c>
    </row>
    <row r="973" spans="1:11" x14ac:dyDescent="0.25">
      <c r="A973" s="1">
        <v>284</v>
      </c>
      <c r="B973" s="1">
        <v>2</v>
      </c>
      <c r="C973" s="1" t="s">
        <v>5</v>
      </c>
      <c r="D973" s="1">
        <v>12</v>
      </c>
      <c r="E973" s="1">
        <v>86.772000000000006</v>
      </c>
      <c r="F973" s="1">
        <v>0.69460100000000002</v>
      </c>
      <c r="G973" t="s">
        <v>1593</v>
      </c>
      <c r="H973" t="s">
        <v>1594</v>
      </c>
      <c r="I973" t="s">
        <v>4900</v>
      </c>
      <c r="J973" t="str">
        <f>"Heterogeneous nuclear ribonucleoprotein U"</f>
        <v>Heterogeneous nuclear ribonucleoprotein U</v>
      </c>
      <c r="K973" t="str">
        <f>"HNRNPU"</f>
        <v>HNRNPU</v>
      </c>
    </row>
    <row r="974" spans="1:11" x14ac:dyDescent="0.25">
      <c r="A974" s="1">
        <v>3163</v>
      </c>
      <c r="B974" s="1">
        <v>3</v>
      </c>
      <c r="C974" s="1" t="s">
        <v>3</v>
      </c>
      <c r="D974" s="1">
        <v>4</v>
      </c>
      <c r="E974" s="1">
        <v>63.682000000000002</v>
      </c>
      <c r="F974" s="1">
        <v>1</v>
      </c>
      <c r="G974" t="s">
        <v>1595</v>
      </c>
      <c r="H974" t="s">
        <v>1596</v>
      </c>
      <c r="I974" t="s">
        <v>4901</v>
      </c>
      <c r="J974" t="str">
        <f>"Epsin-1"</f>
        <v>Epsin-1</v>
      </c>
      <c r="K974" t="str">
        <f>"EPN1"</f>
        <v>EPN1</v>
      </c>
    </row>
    <row r="975" spans="1:11" x14ac:dyDescent="0.25">
      <c r="A975" s="1">
        <v>2919</v>
      </c>
      <c r="B975" s="1">
        <v>2</v>
      </c>
      <c r="C975" s="1" t="s">
        <v>3</v>
      </c>
      <c r="D975" s="1">
        <v>9</v>
      </c>
      <c r="E975" s="1">
        <v>68.656999999999996</v>
      </c>
      <c r="F975" s="1">
        <v>0.99999499999999997</v>
      </c>
      <c r="G975" t="s">
        <v>1597</v>
      </c>
      <c r="H975" t="s">
        <v>1598</v>
      </c>
      <c r="I975" t="s">
        <v>4902</v>
      </c>
      <c r="J975" t="str">
        <f>"Tumor susceptibility gene 101 protein"</f>
        <v>Tumor susceptibility gene 101 protein</v>
      </c>
      <c r="K975" t="str">
        <f>"TSG101"</f>
        <v>TSG101</v>
      </c>
    </row>
    <row r="976" spans="1:11" x14ac:dyDescent="0.25">
      <c r="A976" s="1">
        <v>3052</v>
      </c>
      <c r="B976" s="1">
        <v>4</v>
      </c>
      <c r="C976" s="1" t="s">
        <v>3</v>
      </c>
      <c r="D976" s="1">
        <v>10</v>
      </c>
      <c r="E976" s="1">
        <v>88.09</v>
      </c>
      <c r="F976" s="1">
        <v>0.99998200000000004</v>
      </c>
      <c r="G976" t="s">
        <v>1599</v>
      </c>
      <c r="H976" t="s">
        <v>1600</v>
      </c>
      <c r="I976" t="s">
        <v>4903</v>
      </c>
      <c r="J976" t="str">
        <f>"UPF0501 protein KIAA1430"</f>
        <v>UPF0501 protein KIAA1430</v>
      </c>
      <c r="K976" t="str">
        <f>"KIAA1430"</f>
        <v>KIAA1430</v>
      </c>
    </row>
    <row r="977" spans="1:11" x14ac:dyDescent="0.25">
      <c r="A977" s="1">
        <v>334</v>
      </c>
      <c r="B977" s="1">
        <v>4</v>
      </c>
      <c r="C977" s="1" t="s">
        <v>5</v>
      </c>
      <c r="D977" s="1">
        <v>21</v>
      </c>
      <c r="E977" s="1">
        <v>60.634999999999998</v>
      </c>
      <c r="F977" s="1">
        <v>0.61915900000000001</v>
      </c>
      <c r="G977" t="s">
        <v>1601</v>
      </c>
      <c r="H977" t="s">
        <v>72</v>
      </c>
      <c r="I977" t="s">
        <v>4904</v>
      </c>
      <c r="J977" t="str">
        <f>"Phosphoglucomutase-like protein 5"</f>
        <v>Phosphoglucomutase-like protein 5</v>
      </c>
      <c r="K977" t="str">
        <f>"PGM5"</f>
        <v>PGM5</v>
      </c>
    </row>
    <row r="978" spans="1:11" x14ac:dyDescent="0.25">
      <c r="A978" s="1">
        <v>3155</v>
      </c>
      <c r="B978" s="1">
        <v>3</v>
      </c>
      <c r="C978" s="1" t="s">
        <v>3</v>
      </c>
      <c r="D978" s="1">
        <v>4</v>
      </c>
      <c r="E978" s="1">
        <v>96.590999999999994</v>
      </c>
      <c r="F978" s="1">
        <v>0.94398099999999996</v>
      </c>
      <c r="G978" t="s">
        <v>1602</v>
      </c>
      <c r="H978" t="s">
        <v>1603</v>
      </c>
      <c r="I978">
        <v>1638</v>
      </c>
      <c r="J978" t="str">
        <f>"Serine/threonine-protein kinase MRCK beta"</f>
        <v>Serine/threonine-protein kinase MRCK beta</v>
      </c>
      <c r="K978" t="str">
        <f>"CDC42BPB"</f>
        <v>CDC42BPB</v>
      </c>
    </row>
    <row r="979" spans="1:11" x14ac:dyDescent="0.25">
      <c r="A979" s="1">
        <v>947</v>
      </c>
      <c r="B979" s="1">
        <v>3</v>
      </c>
      <c r="C979" s="1" t="s">
        <v>3</v>
      </c>
      <c r="D979" s="1">
        <v>6</v>
      </c>
      <c r="E979" s="1">
        <v>100.43</v>
      </c>
      <c r="F979" s="1">
        <v>1</v>
      </c>
      <c r="G979" t="s">
        <v>1604</v>
      </c>
      <c r="H979" t="s">
        <v>1605</v>
      </c>
      <c r="I979" t="s">
        <v>4905</v>
      </c>
      <c r="J979" t="str">
        <f>"Band 4.1-like protein 1"</f>
        <v>Band 4.1-like protein 1</v>
      </c>
      <c r="K979" t="str">
        <f>"EPB41L1"</f>
        <v>EPB41L1</v>
      </c>
    </row>
    <row r="980" spans="1:11" x14ac:dyDescent="0.25">
      <c r="A980" s="1">
        <v>1045</v>
      </c>
      <c r="B980" s="1">
        <v>2</v>
      </c>
      <c r="C980" s="1" t="s">
        <v>3</v>
      </c>
      <c r="D980" s="1">
        <v>1</v>
      </c>
      <c r="E980" s="1">
        <v>115.71</v>
      </c>
      <c r="F980" s="1">
        <v>1</v>
      </c>
      <c r="G980" t="s">
        <v>1606</v>
      </c>
      <c r="H980" t="s">
        <v>1607</v>
      </c>
      <c r="I980" t="s">
        <v>4906</v>
      </c>
      <c r="J980" t="str">
        <f>"Histidine--tRNA ligase, cytoplasmic;Probable histidine--tRNA ligase, mitochondrial"</f>
        <v>Histidine--tRNA ligase, cytoplasmic;Probable histidine--tRNA ligase, mitochondrial</v>
      </c>
      <c r="K980" t="str">
        <f>"HARS;HARS2"</f>
        <v>HARS;HARS2</v>
      </c>
    </row>
    <row r="981" spans="1:11" x14ac:dyDescent="0.25">
      <c r="A981" s="1">
        <v>346</v>
      </c>
      <c r="B981" s="1">
        <v>4</v>
      </c>
      <c r="C981" s="1" t="s">
        <v>5</v>
      </c>
      <c r="D981" s="1">
        <v>6</v>
      </c>
      <c r="E981" s="1">
        <v>60.527000000000001</v>
      </c>
      <c r="F981" s="1">
        <v>0.52830200000000005</v>
      </c>
      <c r="G981" t="s">
        <v>1608</v>
      </c>
      <c r="H981" t="s">
        <v>557</v>
      </c>
      <c r="I981" t="s">
        <v>4907</v>
      </c>
      <c r="J981" t="str">
        <f>"Partitioning defective 3 homolog"</f>
        <v>Partitioning defective 3 homolog</v>
      </c>
      <c r="K981" t="str">
        <f>"PARD3"</f>
        <v>PARD3</v>
      </c>
    </row>
    <row r="982" spans="1:11" x14ac:dyDescent="0.25">
      <c r="A982" s="1">
        <v>2289</v>
      </c>
      <c r="B982" s="1">
        <v>3</v>
      </c>
      <c r="C982" s="1" t="s">
        <v>3</v>
      </c>
      <c r="D982" s="1">
        <v>21</v>
      </c>
      <c r="E982" s="1">
        <v>97.5</v>
      </c>
      <c r="F982" s="1">
        <v>0.77957699999999996</v>
      </c>
      <c r="G982" t="s">
        <v>1609</v>
      </c>
      <c r="H982" t="s">
        <v>1080</v>
      </c>
      <c r="I982" t="s">
        <v>4908</v>
      </c>
      <c r="J982" t="str">
        <f>"Coxsackievirus and adenovirus receptor"</f>
        <v>Coxsackievirus and adenovirus receptor</v>
      </c>
      <c r="K982" t="str">
        <f>"CXADR"</f>
        <v>CXADR</v>
      </c>
    </row>
    <row r="983" spans="1:11" x14ac:dyDescent="0.25">
      <c r="A983" s="1">
        <v>726</v>
      </c>
      <c r="B983" s="1">
        <v>3</v>
      </c>
      <c r="C983" s="1" t="s">
        <v>4</v>
      </c>
      <c r="D983" s="1">
        <v>10</v>
      </c>
      <c r="E983" s="1">
        <v>140.35</v>
      </c>
      <c r="F983" s="1">
        <v>0.55360799999999999</v>
      </c>
      <c r="G983" t="s">
        <v>1610</v>
      </c>
      <c r="H983" t="s">
        <v>124</v>
      </c>
      <c r="I983" t="s">
        <v>4909</v>
      </c>
      <c r="J983" t="str">
        <f>"Plakophilin-4"</f>
        <v>Plakophilin-4</v>
      </c>
      <c r="K983" t="str">
        <f>"PKP4"</f>
        <v>PKP4</v>
      </c>
    </row>
    <row r="984" spans="1:11" x14ac:dyDescent="0.25">
      <c r="A984" s="1">
        <v>2072</v>
      </c>
      <c r="B984" s="1">
        <v>2</v>
      </c>
      <c r="C984" s="1" t="s">
        <v>3</v>
      </c>
      <c r="D984" s="1">
        <v>4</v>
      </c>
      <c r="E984" s="1">
        <v>58.433</v>
      </c>
      <c r="F984" s="1">
        <v>1</v>
      </c>
      <c r="G984" t="s">
        <v>1611</v>
      </c>
      <c r="H984" t="s">
        <v>1133</v>
      </c>
      <c r="I984" t="s">
        <v>4910</v>
      </c>
      <c r="J984" t="str">
        <f>"Nicotinamide phosphoribosyltransferase"</f>
        <v>Nicotinamide phosphoribosyltransferase</v>
      </c>
      <c r="K984" t="str">
        <f>"NAMPT"</f>
        <v>NAMPT</v>
      </c>
    </row>
    <row r="985" spans="1:11" x14ac:dyDescent="0.25">
      <c r="A985" s="1">
        <v>2979</v>
      </c>
      <c r="B985" s="1">
        <v>2</v>
      </c>
      <c r="C985" s="1" t="s">
        <v>3</v>
      </c>
      <c r="D985" s="1">
        <v>1</v>
      </c>
      <c r="E985" s="1">
        <v>110.92</v>
      </c>
      <c r="F985" s="1">
        <v>1</v>
      </c>
      <c r="G985" t="s">
        <v>1612</v>
      </c>
      <c r="H985" t="s">
        <v>211</v>
      </c>
      <c r="I985" t="s">
        <v>4911</v>
      </c>
      <c r="J985" t="str">
        <f>"Pseudopodium-enriched atypical kinase 1"</f>
        <v>Pseudopodium-enriched atypical kinase 1</v>
      </c>
      <c r="K985" t="str">
        <f>"PEAK1"</f>
        <v>PEAK1</v>
      </c>
    </row>
    <row r="986" spans="1:11" x14ac:dyDescent="0.25">
      <c r="A986" s="1">
        <v>2807</v>
      </c>
      <c r="B986" s="1">
        <v>4</v>
      </c>
      <c r="C986" s="1" t="s">
        <v>3</v>
      </c>
      <c r="D986" s="1">
        <v>10</v>
      </c>
      <c r="E986" s="1">
        <v>89.978999999999999</v>
      </c>
      <c r="F986" s="1">
        <v>0.99128000000000005</v>
      </c>
      <c r="G986" t="s">
        <v>1613</v>
      </c>
      <c r="H986" t="s">
        <v>1614</v>
      </c>
      <c r="I986" t="s">
        <v>4912</v>
      </c>
      <c r="J986" t="str">
        <f>"Signal transducing adapter molecule 1"</f>
        <v>Signal transducing adapter molecule 1</v>
      </c>
      <c r="K986" t="str">
        <f>"STAM"</f>
        <v>STAM</v>
      </c>
    </row>
    <row r="987" spans="1:11" x14ac:dyDescent="0.25">
      <c r="A987" s="1">
        <v>2970</v>
      </c>
      <c r="B987" s="1">
        <v>3</v>
      </c>
      <c r="C987" s="1" t="s">
        <v>3</v>
      </c>
      <c r="D987" s="1">
        <v>18</v>
      </c>
      <c r="E987" s="1">
        <v>67.927999999999997</v>
      </c>
      <c r="F987" s="1">
        <v>0.98484499999999997</v>
      </c>
      <c r="G987" t="s">
        <v>1615</v>
      </c>
      <c r="H987" t="s">
        <v>1616</v>
      </c>
      <c r="I987" t="s">
        <v>4913</v>
      </c>
      <c r="J987" t="str">
        <f>"Aminopeptidase B"</f>
        <v>Aminopeptidase B</v>
      </c>
      <c r="K987" t="str">
        <f>"RNPEP"</f>
        <v>RNPEP</v>
      </c>
    </row>
    <row r="988" spans="1:11" x14ac:dyDescent="0.25">
      <c r="A988" s="1">
        <v>1620</v>
      </c>
      <c r="B988" s="1">
        <v>3</v>
      </c>
      <c r="C988" s="1" t="s">
        <v>3</v>
      </c>
      <c r="D988" s="1">
        <v>11</v>
      </c>
      <c r="E988" s="1">
        <v>74.731999999999999</v>
      </c>
      <c r="F988" s="1">
        <v>0.99682099999999996</v>
      </c>
      <c r="G988" t="s">
        <v>1617</v>
      </c>
      <c r="H988" t="s">
        <v>700</v>
      </c>
      <c r="I988" t="s">
        <v>4795</v>
      </c>
      <c r="J988" t="str">
        <f>"Heat shock protein beta-1"</f>
        <v>Heat shock protein beta-1</v>
      </c>
      <c r="K988" t="str">
        <f>"HSPB1"</f>
        <v>HSPB1</v>
      </c>
    </row>
    <row r="989" spans="1:11" x14ac:dyDescent="0.25">
      <c r="A989" s="1">
        <v>1011</v>
      </c>
      <c r="B989" s="1">
        <v>2</v>
      </c>
      <c r="C989" s="1" t="s">
        <v>3</v>
      </c>
      <c r="D989" s="1">
        <v>3</v>
      </c>
      <c r="E989" s="1">
        <v>130.01</v>
      </c>
      <c r="F989" s="1">
        <v>1</v>
      </c>
      <c r="G989" t="s">
        <v>1618</v>
      </c>
      <c r="H989" t="s">
        <v>1619</v>
      </c>
      <c r="I989" t="s">
        <v>4914</v>
      </c>
      <c r="J989" t="str">
        <f>"Cysteine-rich tail protein 1"</f>
        <v>Cysteine-rich tail protein 1</v>
      </c>
      <c r="K989" t="str">
        <f>"CYSRT1"</f>
        <v>CYSRT1</v>
      </c>
    </row>
    <row r="990" spans="1:11" x14ac:dyDescent="0.25">
      <c r="A990" s="1">
        <v>835</v>
      </c>
      <c r="B990" s="1">
        <v>3</v>
      </c>
      <c r="C990" s="1" t="s">
        <v>3</v>
      </c>
      <c r="D990" s="1">
        <v>7</v>
      </c>
      <c r="E990" s="1">
        <v>113.4</v>
      </c>
      <c r="F990" s="1">
        <v>0.963472</v>
      </c>
      <c r="G990" t="s">
        <v>1620</v>
      </c>
      <c r="H990" t="s">
        <v>1621</v>
      </c>
      <c r="I990" t="s">
        <v>4915</v>
      </c>
      <c r="J990" t="str">
        <f>"Macrophage-stimulating protein receptor;Macrophage-stimulating protein receptor alpha chain;Macrophage-stimulating protein receptor beta chain"</f>
        <v>Macrophage-stimulating protein receptor;Macrophage-stimulating protein receptor alpha chain;Macrophage-stimulating protein receptor beta chain</v>
      </c>
      <c r="K990" t="str">
        <f>"MST1R"</f>
        <v>MST1R</v>
      </c>
    </row>
    <row r="991" spans="1:11" x14ac:dyDescent="0.25">
      <c r="A991" s="1">
        <v>1760</v>
      </c>
      <c r="B991" s="1">
        <v>2</v>
      </c>
      <c r="C991" s="1" t="s">
        <v>3</v>
      </c>
      <c r="D991" s="1">
        <v>7</v>
      </c>
      <c r="E991" s="1">
        <v>137.88999999999999</v>
      </c>
      <c r="F991" s="1">
        <v>0.99789300000000003</v>
      </c>
      <c r="G991" t="s">
        <v>1622</v>
      </c>
      <c r="H991" t="s">
        <v>1623</v>
      </c>
      <c r="I991" t="s">
        <v>4916</v>
      </c>
      <c r="J991" t="str">
        <f>"Annexin A3;Annexin"</f>
        <v>Annexin A3;Annexin</v>
      </c>
      <c r="K991" t="str">
        <f>"ANXA3"</f>
        <v>ANXA3</v>
      </c>
    </row>
    <row r="992" spans="1:11" x14ac:dyDescent="0.25">
      <c r="A992" s="1">
        <v>1648</v>
      </c>
      <c r="B992" s="1">
        <v>2</v>
      </c>
      <c r="C992" s="1" t="s">
        <v>3</v>
      </c>
      <c r="D992" s="1">
        <v>7</v>
      </c>
      <c r="E992" s="1">
        <v>95.263999999999996</v>
      </c>
      <c r="F992" s="1">
        <v>0.98299700000000001</v>
      </c>
      <c r="G992" t="s">
        <v>1624</v>
      </c>
      <c r="H992" t="s">
        <v>1625</v>
      </c>
      <c r="I992" t="s">
        <v>4917</v>
      </c>
      <c r="J992" t="str">
        <f>"Tyrosine-protein kinase Fes/Fps;Tyrosine-protein kinase"</f>
        <v>Tyrosine-protein kinase Fes/Fps;Tyrosine-protein kinase</v>
      </c>
      <c r="K992" t="str">
        <f>"FES"</f>
        <v>FES</v>
      </c>
    </row>
    <row r="993" spans="1:11" x14ac:dyDescent="0.25">
      <c r="A993" s="1">
        <v>2617</v>
      </c>
      <c r="B993" s="1">
        <v>3</v>
      </c>
      <c r="C993" s="1" t="s">
        <v>3</v>
      </c>
      <c r="D993" s="1">
        <v>17</v>
      </c>
      <c r="E993" s="1">
        <v>93.811999999999998</v>
      </c>
      <c r="F993" s="1">
        <v>0.99995900000000004</v>
      </c>
      <c r="G993" t="s">
        <v>1626</v>
      </c>
      <c r="H993" t="s">
        <v>1627</v>
      </c>
      <c r="I993" t="s">
        <v>4918</v>
      </c>
      <c r="J993" t="str">
        <f>"Probable palmitoyltransferase ZDHHC20;Palmitoyltransferase"</f>
        <v>Probable palmitoyltransferase ZDHHC20;Palmitoyltransferase</v>
      </c>
      <c r="K993" t="str">
        <f>"ZDHHC20"</f>
        <v>ZDHHC20</v>
      </c>
    </row>
    <row r="994" spans="1:11" x14ac:dyDescent="0.25">
      <c r="A994" s="1">
        <v>79</v>
      </c>
      <c r="B994" s="1">
        <v>5</v>
      </c>
      <c r="C994" s="1" t="s">
        <v>5</v>
      </c>
      <c r="D994" s="1">
        <v>3</v>
      </c>
      <c r="E994" s="1">
        <v>51.469000000000001</v>
      </c>
      <c r="F994" s="1">
        <v>0.99974300000000005</v>
      </c>
      <c r="G994" t="s">
        <v>271</v>
      </c>
      <c r="H994" t="s">
        <v>272</v>
      </c>
      <c r="I994" t="s">
        <v>4919</v>
      </c>
      <c r="J994" t="str">
        <f>"Docking protein 3"</f>
        <v>Docking protein 3</v>
      </c>
      <c r="K994" t="str">
        <f>"DOK3"</f>
        <v>DOK3</v>
      </c>
    </row>
    <row r="995" spans="1:11" x14ac:dyDescent="0.25">
      <c r="A995" s="1">
        <v>2161</v>
      </c>
      <c r="B995" s="1">
        <v>3</v>
      </c>
      <c r="C995" s="1" t="s">
        <v>3</v>
      </c>
      <c r="D995" s="1">
        <v>10</v>
      </c>
      <c r="E995" s="1">
        <v>54.073</v>
      </c>
      <c r="F995" s="1">
        <v>0.98080400000000001</v>
      </c>
      <c r="G995" t="s">
        <v>1628</v>
      </c>
      <c r="H995" t="s">
        <v>1629</v>
      </c>
      <c r="I995">
        <v>210</v>
      </c>
      <c r="J995" t="str">
        <f>"Heterogeneous nuclear ribonucleoprotein F;Heterogeneous nuclear ribonucleoprotein F, N-terminally processed"</f>
        <v>Heterogeneous nuclear ribonucleoprotein F;Heterogeneous nuclear ribonucleoprotein F, N-terminally processed</v>
      </c>
      <c r="K995" t="str">
        <f>"HNRNPF"</f>
        <v>HNRNPF</v>
      </c>
    </row>
    <row r="996" spans="1:11" x14ac:dyDescent="0.25">
      <c r="A996" s="1">
        <v>2698</v>
      </c>
      <c r="B996" s="1">
        <v>3</v>
      </c>
      <c r="C996" s="1" t="s">
        <v>3</v>
      </c>
      <c r="D996" s="1">
        <v>8</v>
      </c>
      <c r="E996" s="1">
        <v>116.6</v>
      </c>
      <c r="F996" s="1">
        <v>0.96709000000000001</v>
      </c>
      <c r="G996" t="s">
        <v>1630</v>
      </c>
      <c r="H996" t="s">
        <v>1631</v>
      </c>
      <c r="I996">
        <v>289</v>
      </c>
      <c r="J996" t="str">
        <f>"V-set and transmembrane domain-containing protein 4"</f>
        <v>V-set and transmembrane domain-containing protein 4</v>
      </c>
      <c r="K996" t="str">
        <f>"VSTM4"</f>
        <v>VSTM4</v>
      </c>
    </row>
    <row r="997" spans="1:11" x14ac:dyDescent="0.25">
      <c r="A997" s="1">
        <v>1978</v>
      </c>
      <c r="B997" s="1">
        <v>2</v>
      </c>
      <c r="C997" s="1" t="s">
        <v>3</v>
      </c>
      <c r="D997" s="1">
        <v>4</v>
      </c>
      <c r="E997" s="1">
        <v>42.317</v>
      </c>
      <c r="F997" s="1">
        <v>0.99554699999999996</v>
      </c>
      <c r="G997" t="s">
        <v>1632</v>
      </c>
      <c r="H997" t="s">
        <v>1633</v>
      </c>
      <c r="I997">
        <v>83</v>
      </c>
      <c r="J997" t="str">
        <f>"Glutathione S-transferase theta-1"</f>
        <v>Glutathione S-transferase theta-1</v>
      </c>
      <c r="K997" t="str">
        <f>"GSTT1"</f>
        <v>GSTT1</v>
      </c>
    </row>
    <row r="998" spans="1:11" x14ac:dyDescent="0.25">
      <c r="A998" s="1">
        <v>1848</v>
      </c>
      <c r="B998" s="1">
        <v>2</v>
      </c>
      <c r="C998" s="1" t="s">
        <v>3</v>
      </c>
      <c r="D998" s="1">
        <v>5</v>
      </c>
      <c r="E998" s="1">
        <v>81.016999999999996</v>
      </c>
      <c r="F998" s="1">
        <v>0.846279</v>
      </c>
      <c r="G998" t="s">
        <v>1634</v>
      </c>
      <c r="H998" t="s">
        <v>1517</v>
      </c>
      <c r="I998">
        <v>462</v>
      </c>
      <c r="J998" t="str">
        <f>"Nucleolin"</f>
        <v>Nucleolin</v>
      </c>
      <c r="K998" t="str">
        <f>"NCL"</f>
        <v>NCL</v>
      </c>
    </row>
    <row r="999" spans="1:11" x14ac:dyDescent="0.25">
      <c r="A999" s="1">
        <v>1866</v>
      </c>
      <c r="B999" s="1">
        <v>3</v>
      </c>
      <c r="C999" s="1" t="s">
        <v>3</v>
      </c>
      <c r="D999" s="1">
        <v>15</v>
      </c>
      <c r="E999" s="1">
        <v>83.311999999999998</v>
      </c>
      <c r="F999" s="1">
        <v>0.99094099999999996</v>
      </c>
      <c r="G999" t="s">
        <v>1635</v>
      </c>
      <c r="H999" t="s">
        <v>78</v>
      </c>
      <c r="I999" t="s">
        <v>4920</v>
      </c>
      <c r="J999" t="str">
        <f>"Filamin-A"</f>
        <v>Filamin-A</v>
      </c>
      <c r="K999" t="str">
        <f>"FLNA"</f>
        <v>FLNA</v>
      </c>
    </row>
    <row r="1000" spans="1:11" x14ac:dyDescent="0.25">
      <c r="A1000" s="1">
        <v>1192</v>
      </c>
      <c r="B1000" s="1">
        <v>4</v>
      </c>
      <c r="C1000" s="1" t="s">
        <v>3</v>
      </c>
      <c r="D1000" s="1">
        <v>11</v>
      </c>
      <c r="E1000" s="1">
        <v>92.38</v>
      </c>
      <c r="F1000" s="1">
        <v>1</v>
      </c>
      <c r="G1000" t="s">
        <v>1636</v>
      </c>
      <c r="H1000" t="s">
        <v>1637</v>
      </c>
      <c r="I1000" t="s">
        <v>4921</v>
      </c>
      <c r="J1000" t="str">
        <f>"Casein kinase II subunit alpha"</f>
        <v>Casein kinase II subunit alpha</v>
      </c>
      <c r="K1000" t="str">
        <f>"CSNK2A1"</f>
        <v>CSNK2A1</v>
      </c>
    </row>
    <row r="1001" spans="1:11" x14ac:dyDescent="0.25">
      <c r="A1001" s="1">
        <v>2320</v>
      </c>
      <c r="B1001" s="1">
        <v>3</v>
      </c>
      <c r="C1001" s="1" t="s">
        <v>3</v>
      </c>
      <c r="D1001" s="1">
        <v>10</v>
      </c>
      <c r="E1001" s="1">
        <v>81.92</v>
      </c>
      <c r="F1001" s="1">
        <v>0.99991399999999997</v>
      </c>
      <c r="G1001" t="s">
        <v>1638</v>
      </c>
      <c r="H1001" t="s">
        <v>1639</v>
      </c>
      <c r="I1001">
        <v>282</v>
      </c>
      <c r="J1001" t="str">
        <f>"60S ribosomal protein L6"</f>
        <v>60S ribosomal protein L6</v>
      </c>
      <c r="K1001" t="str">
        <f>"RPL6"</f>
        <v>RPL6</v>
      </c>
    </row>
    <row r="1002" spans="1:11" x14ac:dyDescent="0.25">
      <c r="A1002" s="1">
        <v>1459</v>
      </c>
      <c r="B1002" s="1">
        <v>3</v>
      </c>
      <c r="C1002" s="1" t="s">
        <v>3</v>
      </c>
      <c r="D1002" s="1">
        <v>8</v>
      </c>
      <c r="E1002" s="1">
        <v>73.918000000000006</v>
      </c>
      <c r="F1002" s="1">
        <v>0.81664599999999998</v>
      </c>
      <c r="G1002" t="s">
        <v>1640</v>
      </c>
      <c r="H1002" t="s">
        <v>1641</v>
      </c>
      <c r="I1002" t="s">
        <v>4922</v>
      </c>
      <c r="J1002" t="str">
        <f>"Eukaryotic translation initiation factor 3 subunit D"</f>
        <v>Eukaryotic translation initiation factor 3 subunit D</v>
      </c>
      <c r="K1002" t="str">
        <f>"EIF3D"</f>
        <v>EIF3D</v>
      </c>
    </row>
    <row r="1003" spans="1:11" x14ac:dyDescent="0.25">
      <c r="A1003" s="1">
        <v>1687</v>
      </c>
      <c r="B1003" s="1">
        <v>2</v>
      </c>
      <c r="C1003" s="1" t="s">
        <v>3</v>
      </c>
      <c r="D1003" s="1">
        <v>1</v>
      </c>
      <c r="E1003" s="1">
        <v>67.980999999999995</v>
      </c>
      <c r="F1003" s="1">
        <v>1</v>
      </c>
      <c r="G1003" t="s">
        <v>1642</v>
      </c>
      <c r="H1003" t="s">
        <v>1643</v>
      </c>
      <c r="I1003" t="s">
        <v>4923</v>
      </c>
      <c r="J1003" t="str">
        <f>"Glutathione S-transferase A1;Glutathione S-transferase A1, N-terminally processed;Glutathione S-transferase A2;Glutathione S-transferase A3;Glutathione S-transferase;Glutathione S-transferase A5"</f>
        <v>Glutathione S-transferase A1;Glutathione S-transferase A1, N-terminally processed;Glutathione S-transferase A2;Glutathione S-transferase A3;Glutathione S-transferase;Glutathione S-transferase A5</v>
      </c>
      <c r="K1003" t="str">
        <f>"GSTA1;GSTA2;GSTA3;GSTA5"</f>
        <v>GSTA1;GSTA2;GSTA3;GSTA5</v>
      </c>
    </row>
    <row r="1004" spans="1:11" x14ac:dyDescent="0.25">
      <c r="A1004" s="1">
        <v>2985</v>
      </c>
      <c r="B1004" s="1">
        <v>3</v>
      </c>
      <c r="C1004" s="1" t="s">
        <v>3</v>
      </c>
      <c r="D1004" s="1">
        <v>11</v>
      </c>
      <c r="E1004" s="1">
        <v>106.6</v>
      </c>
      <c r="F1004" s="1">
        <v>0.97481300000000004</v>
      </c>
      <c r="G1004" t="s">
        <v>1644</v>
      </c>
      <c r="H1004" t="s">
        <v>1645</v>
      </c>
      <c r="I1004" t="s">
        <v>4924</v>
      </c>
      <c r="J1004" t="str">
        <f>"Pleckstrin homology domain-containing family A member 5"</f>
        <v>Pleckstrin homology domain-containing family A member 5</v>
      </c>
      <c r="K1004" t="str">
        <f>"PLEKHA5"</f>
        <v>PLEKHA5</v>
      </c>
    </row>
    <row r="1005" spans="1:11" x14ac:dyDescent="0.25">
      <c r="A1005" s="1">
        <v>625</v>
      </c>
      <c r="B1005" s="1">
        <v>3</v>
      </c>
      <c r="C1005" s="1" t="s">
        <v>4</v>
      </c>
      <c r="D1005" s="1">
        <v>13</v>
      </c>
      <c r="E1005" s="1">
        <v>75.763999999999996</v>
      </c>
      <c r="F1005" s="1">
        <v>0.54234199999999999</v>
      </c>
      <c r="G1005" t="s">
        <v>1646</v>
      </c>
      <c r="H1005" t="s">
        <v>528</v>
      </c>
      <c r="I1005" t="s">
        <v>4925</v>
      </c>
      <c r="J1005" t="str">
        <f>"Tyrosine-protein kinase FRK"</f>
        <v>Tyrosine-protein kinase FRK</v>
      </c>
      <c r="K1005" t="str">
        <f>"FRK"</f>
        <v>FRK</v>
      </c>
    </row>
    <row r="1006" spans="1:11" x14ac:dyDescent="0.25">
      <c r="A1006" s="1">
        <v>2917</v>
      </c>
      <c r="B1006" s="1">
        <v>3</v>
      </c>
      <c r="C1006" s="1" t="s">
        <v>3</v>
      </c>
      <c r="D1006" s="1">
        <v>17</v>
      </c>
      <c r="E1006" s="1">
        <v>65.832999999999998</v>
      </c>
      <c r="F1006" s="1">
        <v>0.97493399999999997</v>
      </c>
      <c r="G1006" t="s">
        <v>1647</v>
      </c>
      <c r="H1006" t="s">
        <v>1298</v>
      </c>
      <c r="I1006" t="s">
        <v>4926</v>
      </c>
      <c r="J1006" t="str">
        <f>"Docking protein 1"</f>
        <v>Docking protein 1</v>
      </c>
      <c r="K1006" t="str">
        <f>"DOK1"</f>
        <v>DOK1</v>
      </c>
    </row>
    <row r="1007" spans="1:11" x14ac:dyDescent="0.25">
      <c r="A1007" s="1">
        <v>2385</v>
      </c>
      <c r="B1007" s="1">
        <v>3</v>
      </c>
      <c r="C1007" s="1" t="s">
        <v>3</v>
      </c>
      <c r="D1007" s="1">
        <v>24</v>
      </c>
      <c r="E1007" s="1">
        <v>162.61000000000001</v>
      </c>
      <c r="F1007" s="1">
        <v>0.71443500000000004</v>
      </c>
      <c r="G1007" t="s">
        <v>1648</v>
      </c>
      <c r="H1007" t="s">
        <v>400</v>
      </c>
      <c r="I1007" t="s">
        <v>4927</v>
      </c>
      <c r="J1007" t="str">
        <f>"Epidermal growth factor receptor kinase substrate 8"</f>
        <v>Epidermal growth factor receptor kinase substrate 8</v>
      </c>
      <c r="K1007" t="str">
        <f>"EPS8"</f>
        <v>EPS8</v>
      </c>
    </row>
    <row r="1008" spans="1:11" x14ac:dyDescent="0.25">
      <c r="A1008" s="1">
        <v>2546</v>
      </c>
      <c r="B1008" s="1">
        <v>2</v>
      </c>
      <c r="C1008" s="1" t="s">
        <v>3</v>
      </c>
      <c r="D1008" s="1">
        <v>7</v>
      </c>
      <c r="E1008" s="1">
        <v>49.298000000000002</v>
      </c>
      <c r="F1008" s="1">
        <v>0.96350100000000005</v>
      </c>
      <c r="G1008" t="s">
        <v>1649</v>
      </c>
      <c r="H1008" t="s">
        <v>1650</v>
      </c>
      <c r="I1008" t="s">
        <v>4928</v>
      </c>
      <c r="J1008" t="str">
        <f>"Ras-related protein Rab-11B;Ras-related protein Rab-11A"</f>
        <v>Ras-related protein Rab-11B;Ras-related protein Rab-11A</v>
      </c>
      <c r="K1008" t="str">
        <f>"RAB11B;RAB11A"</f>
        <v>RAB11B;RAB11A</v>
      </c>
    </row>
    <row r="1009" spans="1:11" x14ac:dyDescent="0.25">
      <c r="A1009" s="1">
        <v>1514</v>
      </c>
      <c r="B1009" s="1">
        <v>3</v>
      </c>
      <c r="C1009" s="1" t="s">
        <v>3</v>
      </c>
      <c r="D1009" s="1">
        <v>13</v>
      </c>
      <c r="E1009" s="1">
        <v>112.82</v>
      </c>
      <c r="F1009" s="1">
        <v>0.94777999999999996</v>
      </c>
      <c r="G1009" t="s">
        <v>1651</v>
      </c>
      <c r="H1009" t="s">
        <v>1652</v>
      </c>
      <c r="I1009">
        <v>370</v>
      </c>
      <c r="J1009" t="str">
        <f>"Oligophrenin-1"</f>
        <v>Oligophrenin-1</v>
      </c>
      <c r="K1009" t="str">
        <f>"OPHN1"</f>
        <v>OPHN1</v>
      </c>
    </row>
    <row r="1010" spans="1:11" x14ac:dyDescent="0.25">
      <c r="A1010" s="1">
        <v>337</v>
      </c>
      <c r="B1010" s="1">
        <v>3</v>
      </c>
      <c r="C1010" s="1" t="s">
        <v>5</v>
      </c>
      <c r="D1010" s="1">
        <v>18</v>
      </c>
      <c r="E1010" s="1">
        <v>163.29</v>
      </c>
      <c r="F1010" s="1">
        <v>0.93542000000000003</v>
      </c>
      <c r="G1010" t="s">
        <v>822</v>
      </c>
      <c r="H1010" t="s">
        <v>545</v>
      </c>
      <c r="I1010">
        <v>310</v>
      </c>
      <c r="J1010" t="str">
        <f>"SH2 domain-containing adapter protein B"</f>
        <v>SH2 domain-containing adapter protein B</v>
      </c>
      <c r="K1010" t="str">
        <f>"SHB"</f>
        <v>SHB</v>
      </c>
    </row>
    <row r="1011" spans="1:11" x14ac:dyDescent="0.25">
      <c r="A1011" s="1">
        <v>2399</v>
      </c>
      <c r="B1011" s="1">
        <v>2</v>
      </c>
      <c r="C1011" s="1" t="s">
        <v>3</v>
      </c>
      <c r="D1011" s="1">
        <v>2</v>
      </c>
      <c r="E1011" s="1">
        <v>110.38</v>
      </c>
      <c r="F1011" s="1">
        <v>0.99928399999999995</v>
      </c>
      <c r="G1011" t="s">
        <v>1653</v>
      </c>
      <c r="H1011" t="s">
        <v>1654</v>
      </c>
      <c r="I1011">
        <v>109</v>
      </c>
      <c r="J1011" t="str">
        <f>"Secreted phosphoprotein 24"</f>
        <v>Secreted phosphoprotein 24</v>
      </c>
      <c r="K1011" t="str">
        <f>"SPP2"</f>
        <v>SPP2</v>
      </c>
    </row>
    <row r="1012" spans="1:11" x14ac:dyDescent="0.25">
      <c r="A1012" s="1">
        <v>2912</v>
      </c>
      <c r="B1012" s="1">
        <v>3</v>
      </c>
      <c r="C1012" s="1" t="s">
        <v>3</v>
      </c>
      <c r="D1012" s="1">
        <v>11</v>
      </c>
      <c r="E1012" s="1">
        <v>70.718000000000004</v>
      </c>
      <c r="F1012" s="1">
        <v>0.95527499999999999</v>
      </c>
      <c r="G1012" t="s">
        <v>1655</v>
      </c>
      <c r="H1012" t="s">
        <v>1298</v>
      </c>
      <c r="I1012" t="s">
        <v>4929</v>
      </c>
      <c r="J1012" t="str">
        <f>"Docking protein 1"</f>
        <v>Docking protein 1</v>
      </c>
      <c r="K1012" t="str">
        <f>"DOK1"</f>
        <v>DOK1</v>
      </c>
    </row>
    <row r="1013" spans="1:11" x14ac:dyDescent="0.25">
      <c r="A1013" s="1">
        <v>782</v>
      </c>
      <c r="B1013" s="1">
        <v>3</v>
      </c>
      <c r="C1013" s="1" t="s">
        <v>3</v>
      </c>
      <c r="D1013" s="1">
        <v>10</v>
      </c>
      <c r="E1013" s="1">
        <v>69.864000000000004</v>
      </c>
      <c r="F1013" s="1">
        <v>0.99999300000000002</v>
      </c>
      <c r="G1013" t="s">
        <v>1656</v>
      </c>
      <c r="H1013" t="s">
        <v>1657</v>
      </c>
      <c r="I1013" t="s">
        <v>4930</v>
      </c>
      <c r="J1013" t="str">
        <f>"Zinc finger protein 36, C3H1 type-like 1"</f>
        <v>Zinc finger protein 36, C3H1 type-like 1</v>
      </c>
      <c r="K1013" t="str">
        <f>"ZFP36L1"</f>
        <v>ZFP36L1</v>
      </c>
    </row>
    <row r="1014" spans="1:11" x14ac:dyDescent="0.25">
      <c r="A1014" s="1">
        <v>2291</v>
      </c>
      <c r="B1014" s="1">
        <v>3</v>
      </c>
      <c r="C1014" s="1" t="s">
        <v>3</v>
      </c>
      <c r="D1014" s="1">
        <v>11</v>
      </c>
      <c r="E1014" s="1">
        <v>56.121000000000002</v>
      </c>
      <c r="F1014" s="1">
        <v>0.98721000000000003</v>
      </c>
      <c r="G1014" t="s">
        <v>1658</v>
      </c>
      <c r="H1014" t="s">
        <v>1659</v>
      </c>
      <c r="I1014" t="s">
        <v>4931</v>
      </c>
      <c r="J1014" t="str">
        <f>"Tyrosine-protein phosphatase non-receptor type substrate 1"</f>
        <v>Tyrosine-protein phosphatase non-receptor type substrate 1</v>
      </c>
      <c r="K1014" t="str">
        <f>"SIRPA"</f>
        <v>SIRPA</v>
      </c>
    </row>
    <row r="1015" spans="1:11" x14ac:dyDescent="0.25">
      <c r="A1015" s="1">
        <v>910</v>
      </c>
      <c r="B1015" s="1">
        <v>3</v>
      </c>
      <c r="C1015" s="1" t="s">
        <v>3</v>
      </c>
      <c r="D1015" s="1">
        <v>15</v>
      </c>
      <c r="E1015" s="1">
        <v>68.42</v>
      </c>
      <c r="F1015" s="1">
        <v>0.93976300000000001</v>
      </c>
      <c r="G1015" t="s">
        <v>1660</v>
      </c>
      <c r="H1015" t="s">
        <v>1661</v>
      </c>
      <c r="I1015" t="s">
        <v>4932</v>
      </c>
      <c r="J1015" t="str">
        <f>"Aldo-keto reductase family 1 member C1;Aldo-keto reductase family 1 member C2"</f>
        <v>Aldo-keto reductase family 1 member C1;Aldo-keto reductase family 1 member C2</v>
      </c>
      <c r="K1015" t="str">
        <f>"AKR1C1;AKR1C2"</f>
        <v>AKR1C1;AKR1C2</v>
      </c>
    </row>
    <row r="1016" spans="1:11" x14ac:dyDescent="0.25">
      <c r="A1016" s="1">
        <v>2472</v>
      </c>
      <c r="B1016" s="1">
        <v>2</v>
      </c>
      <c r="C1016" s="1" t="s">
        <v>3</v>
      </c>
      <c r="D1016" s="1">
        <v>5</v>
      </c>
      <c r="E1016" s="1">
        <v>64.819999999999993</v>
      </c>
      <c r="F1016" s="1">
        <v>0.99981799999999998</v>
      </c>
      <c r="G1016" t="s">
        <v>1662</v>
      </c>
      <c r="H1016" t="s">
        <v>1663</v>
      </c>
      <c r="I1016">
        <v>278</v>
      </c>
      <c r="J1016" t="str">
        <f>"E3 ubiquitin/ISG15 ligase TRIM25"</f>
        <v>E3 ubiquitin/ISG15 ligase TRIM25</v>
      </c>
      <c r="K1016" t="str">
        <f>"TRIM25"</f>
        <v>TRIM25</v>
      </c>
    </row>
    <row r="1017" spans="1:11" x14ac:dyDescent="0.25">
      <c r="A1017" s="1">
        <v>3123</v>
      </c>
      <c r="B1017" s="1">
        <v>3</v>
      </c>
      <c r="C1017" s="1" t="s">
        <v>3</v>
      </c>
      <c r="D1017" s="1">
        <v>6</v>
      </c>
      <c r="E1017" s="1">
        <v>81.632000000000005</v>
      </c>
      <c r="F1017" s="1">
        <v>0.99470000000000003</v>
      </c>
      <c r="G1017" t="s">
        <v>1664</v>
      </c>
      <c r="H1017" t="s">
        <v>1665</v>
      </c>
      <c r="I1017" t="s">
        <v>4933</v>
      </c>
      <c r="J1017" t="str">
        <f>"Suppressor of G2 allele of SKP1 homolog"</f>
        <v>Suppressor of G2 allele of SKP1 homolog</v>
      </c>
      <c r="K1017" t="str">
        <f>"SUGT1"</f>
        <v>SUGT1</v>
      </c>
    </row>
    <row r="1018" spans="1:11" x14ac:dyDescent="0.25">
      <c r="A1018" s="1">
        <v>1361</v>
      </c>
      <c r="B1018" s="1">
        <v>2</v>
      </c>
      <c r="C1018" s="1" t="s">
        <v>3</v>
      </c>
      <c r="D1018" s="1">
        <v>9</v>
      </c>
      <c r="E1018" s="1">
        <v>128.99</v>
      </c>
      <c r="F1018" s="1">
        <v>1</v>
      </c>
      <c r="G1018" t="s">
        <v>1666</v>
      </c>
      <c r="H1018" t="s">
        <v>1667</v>
      </c>
      <c r="I1018" t="s">
        <v>4934</v>
      </c>
      <c r="J1018" t="str">
        <f>"Torsin-1A-interacting protein 1"</f>
        <v>Torsin-1A-interacting protein 1</v>
      </c>
      <c r="K1018" t="str">
        <f>"TOR1AIP1"</f>
        <v>TOR1AIP1</v>
      </c>
    </row>
    <row r="1019" spans="1:11" x14ac:dyDescent="0.25">
      <c r="A1019" s="1">
        <v>3076</v>
      </c>
      <c r="B1019" s="1">
        <v>3</v>
      </c>
      <c r="C1019" s="1" t="s">
        <v>3</v>
      </c>
      <c r="D1019" s="1">
        <v>13</v>
      </c>
      <c r="E1019" s="1">
        <v>107.78</v>
      </c>
      <c r="F1019" s="1">
        <v>0.76443799999999995</v>
      </c>
      <c r="G1019" t="s">
        <v>1668</v>
      </c>
      <c r="H1019" t="s">
        <v>1010</v>
      </c>
      <c r="I1019" t="s">
        <v>4935</v>
      </c>
      <c r="J1019" t="str">
        <f>"SLAM family member 5"</f>
        <v>SLAM family member 5</v>
      </c>
      <c r="K1019" t="str">
        <f>"CD84"</f>
        <v>CD84</v>
      </c>
    </row>
    <row r="1020" spans="1:11" x14ac:dyDescent="0.25">
      <c r="A1020" s="1">
        <v>949</v>
      </c>
      <c r="B1020" s="1">
        <v>3</v>
      </c>
      <c r="C1020" s="1" t="s">
        <v>3</v>
      </c>
      <c r="D1020" s="1">
        <v>3</v>
      </c>
      <c r="E1020" s="1">
        <v>102.52</v>
      </c>
      <c r="F1020" s="1">
        <v>0.99998200000000004</v>
      </c>
      <c r="G1020" t="s">
        <v>1669</v>
      </c>
      <c r="H1020" t="s">
        <v>1670</v>
      </c>
      <c r="I1020" t="s">
        <v>4936</v>
      </c>
      <c r="J1020" t="str">
        <f>"ATP-dependent RNA helicase DDX3X"</f>
        <v>ATP-dependent RNA helicase DDX3X</v>
      </c>
      <c r="K1020" t="str">
        <f>"DDX3X"</f>
        <v>DDX3X</v>
      </c>
    </row>
    <row r="1021" spans="1:11" x14ac:dyDescent="0.25">
      <c r="A1021" s="1">
        <v>2560</v>
      </c>
      <c r="B1021" s="1">
        <v>3</v>
      </c>
      <c r="C1021" s="1" t="s">
        <v>3</v>
      </c>
      <c r="D1021" s="1">
        <v>11</v>
      </c>
      <c r="E1021" s="1">
        <v>53.448</v>
      </c>
      <c r="F1021" s="1">
        <v>0.99998600000000004</v>
      </c>
      <c r="G1021" t="s">
        <v>1671</v>
      </c>
      <c r="H1021" t="s">
        <v>1672</v>
      </c>
      <c r="I1021" t="s">
        <v>4937</v>
      </c>
      <c r="J1021" t="str">
        <f>"Isoamyl acetate-hydrolyzing esterase 1 homolog"</f>
        <v>Isoamyl acetate-hydrolyzing esterase 1 homolog</v>
      </c>
      <c r="K1021" t="str">
        <f>"IAH1"</f>
        <v>IAH1</v>
      </c>
    </row>
    <row r="1022" spans="1:11" x14ac:dyDescent="0.25">
      <c r="A1022" s="1">
        <v>755</v>
      </c>
      <c r="B1022" s="1">
        <v>2</v>
      </c>
      <c r="C1022" s="1" t="s">
        <v>3</v>
      </c>
      <c r="D1022" s="1">
        <v>9</v>
      </c>
      <c r="E1022" s="1">
        <v>68.536000000000001</v>
      </c>
      <c r="F1022" s="1">
        <v>0.99985299999999999</v>
      </c>
      <c r="G1022" t="s">
        <v>1673</v>
      </c>
      <c r="H1022" t="s">
        <v>1674</v>
      </c>
      <c r="I1022" t="s">
        <v>4340</v>
      </c>
      <c r="J1022" t="str">
        <f>"Vigilin"</f>
        <v>Vigilin</v>
      </c>
      <c r="K1022" t="str">
        <f>"HDLBP"</f>
        <v>HDLBP</v>
      </c>
    </row>
    <row r="1023" spans="1:11" x14ac:dyDescent="0.25">
      <c r="A1023" s="1">
        <v>2429</v>
      </c>
      <c r="B1023" s="1">
        <v>3</v>
      </c>
      <c r="C1023" s="1" t="s">
        <v>3</v>
      </c>
      <c r="D1023" s="1">
        <v>7</v>
      </c>
      <c r="E1023" s="1">
        <v>79.875</v>
      </c>
      <c r="F1023" s="1">
        <v>0.98807299999999998</v>
      </c>
      <c r="G1023" t="s">
        <v>1675</v>
      </c>
      <c r="H1023" t="s">
        <v>1676</v>
      </c>
      <c r="I1023" t="s">
        <v>4938</v>
      </c>
      <c r="J1023" t="str">
        <f>"Receptor-interacting serine/threonine-protein kinase 1"</f>
        <v>Receptor-interacting serine/threonine-protein kinase 1</v>
      </c>
      <c r="K1023" t="str">
        <f>"RIPK1"</f>
        <v>RIPK1</v>
      </c>
    </row>
    <row r="1024" spans="1:11" x14ac:dyDescent="0.25">
      <c r="A1024" s="1">
        <v>2061</v>
      </c>
      <c r="B1024" s="1">
        <v>3</v>
      </c>
      <c r="C1024" s="1" t="s">
        <v>3</v>
      </c>
      <c r="D1024" s="1">
        <v>4</v>
      </c>
      <c r="E1024" s="1">
        <v>62.055</v>
      </c>
      <c r="F1024" s="1">
        <v>1</v>
      </c>
      <c r="G1024" t="s">
        <v>1677</v>
      </c>
      <c r="H1024" t="s">
        <v>1678</v>
      </c>
      <c r="I1024">
        <v>296</v>
      </c>
      <c r="J1024" t="str">
        <f>"Tyrosine-protein kinase SYK"</f>
        <v>Tyrosine-protein kinase SYK</v>
      </c>
      <c r="K1024" t="str">
        <f>"SYK"</f>
        <v>SYK</v>
      </c>
    </row>
    <row r="1025" spans="1:11" x14ac:dyDescent="0.25">
      <c r="A1025" s="1">
        <v>1171</v>
      </c>
      <c r="B1025" s="1">
        <v>3</v>
      </c>
      <c r="C1025" s="1" t="s">
        <v>3</v>
      </c>
      <c r="D1025" s="1">
        <v>8</v>
      </c>
      <c r="E1025" s="1">
        <v>66.004000000000005</v>
      </c>
      <c r="F1025" s="1">
        <v>0.98335499999999998</v>
      </c>
      <c r="G1025" t="s">
        <v>1679</v>
      </c>
      <c r="H1025" t="s">
        <v>1680</v>
      </c>
      <c r="I1025" t="s">
        <v>4939</v>
      </c>
      <c r="J1025" t="str">
        <f>"Guanine nucleotide-binding protein G(I)/G(S)/G(T) subunit beta-2;Guanine nucleotide-binding protein subunit beta-4"</f>
        <v>Guanine nucleotide-binding protein G(I)/G(S)/G(T) subunit beta-2;Guanine nucleotide-binding protein subunit beta-4</v>
      </c>
      <c r="K1025" t="str">
        <f>"GNB2;GNB4"</f>
        <v>GNB2;GNB4</v>
      </c>
    </row>
    <row r="1026" spans="1:11" x14ac:dyDescent="0.25">
      <c r="A1026" s="1">
        <v>1197</v>
      </c>
      <c r="B1026" s="1">
        <v>3</v>
      </c>
      <c r="C1026" s="1" t="s">
        <v>3</v>
      </c>
      <c r="D1026" s="1">
        <v>11</v>
      </c>
      <c r="E1026" s="1">
        <v>54.343000000000004</v>
      </c>
      <c r="F1026" s="1">
        <v>1</v>
      </c>
      <c r="G1026" t="s">
        <v>1681</v>
      </c>
      <c r="H1026" t="s">
        <v>1682</v>
      </c>
      <c r="I1026" t="s">
        <v>4940</v>
      </c>
      <c r="J1026" t="str">
        <f>"Cytoplasmic FMR1-interacting protein 2;Cytoplasmic FMR1-interacting protein 1"</f>
        <v>Cytoplasmic FMR1-interacting protein 2;Cytoplasmic FMR1-interacting protein 1</v>
      </c>
      <c r="K1026" t="str">
        <f>"CYFIP2;CYFIP1"</f>
        <v>CYFIP2;CYFIP1</v>
      </c>
    </row>
    <row r="1027" spans="1:11" x14ac:dyDescent="0.25">
      <c r="A1027" s="1">
        <v>1419</v>
      </c>
      <c r="B1027" s="1">
        <v>3</v>
      </c>
      <c r="C1027" s="1" t="s">
        <v>3</v>
      </c>
      <c r="D1027" s="1">
        <v>5</v>
      </c>
      <c r="E1027" s="1">
        <v>84.364999999999995</v>
      </c>
      <c r="F1027" s="1">
        <v>1</v>
      </c>
      <c r="G1027" t="s">
        <v>1683</v>
      </c>
      <c r="H1027" t="s">
        <v>1684</v>
      </c>
      <c r="I1027">
        <v>577</v>
      </c>
      <c r="J1027" t="str">
        <f>"Phosphatidylinositol 3-kinase regulatory subunit beta"</f>
        <v>Phosphatidylinositol 3-kinase regulatory subunit beta</v>
      </c>
      <c r="K1027" t="str">
        <f>"PIK3R2"</f>
        <v>PIK3R2</v>
      </c>
    </row>
    <row r="1028" spans="1:11" x14ac:dyDescent="0.25">
      <c r="A1028" s="1">
        <v>2493</v>
      </c>
      <c r="B1028" s="1">
        <v>3</v>
      </c>
      <c r="C1028" s="1" t="s">
        <v>3</v>
      </c>
      <c r="D1028" s="1">
        <v>3</v>
      </c>
      <c r="E1028" s="1">
        <v>45.884999999999998</v>
      </c>
      <c r="F1028" s="1">
        <v>0.99082099999999995</v>
      </c>
      <c r="G1028" t="s">
        <v>1685</v>
      </c>
      <c r="H1028" t="s">
        <v>394</v>
      </c>
      <c r="I1028" t="s">
        <v>4941</v>
      </c>
      <c r="J1028" t="str">
        <f>"Enhancer of filamentation 1;Enhancer of filamentation 1 p55"</f>
        <v>Enhancer of filamentation 1;Enhancer of filamentation 1 p55</v>
      </c>
      <c r="K1028" t="str">
        <f>"NEDD9"</f>
        <v>NEDD9</v>
      </c>
    </row>
    <row r="1029" spans="1:11" x14ac:dyDescent="0.25">
      <c r="A1029" s="1">
        <v>509</v>
      </c>
      <c r="B1029" s="1">
        <v>3</v>
      </c>
      <c r="C1029" s="1" t="s">
        <v>4</v>
      </c>
      <c r="D1029" s="1">
        <v>14</v>
      </c>
      <c r="E1029" s="1">
        <v>65.183999999999997</v>
      </c>
      <c r="F1029" s="1">
        <v>0.59885100000000002</v>
      </c>
      <c r="G1029" t="s">
        <v>1686</v>
      </c>
      <c r="H1029" t="s">
        <v>408</v>
      </c>
      <c r="I1029" t="s">
        <v>4942</v>
      </c>
      <c r="J1029" t="str">
        <f>"Rho GTPase-activating protein 42"</f>
        <v>Rho GTPase-activating protein 42</v>
      </c>
      <c r="K1029" t="str">
        <f>"ARHGAP42"</f>
        <v>ARHGAP42</v>
      </c>
    </row>
    <row r="1030" spans="1:11" x14ac:dyDescent="0.25">
      <c r="A1030" s="1">
        <v>2618</v>
      </c>
      <c r="B1030" s="1">
        <v>3</v>
      </c>
      <c r="C1030" s="1" t="s">
        <v>3</v>
      </c>
      <c r="D1030" s="1">
        <v>4</v>
      </c>
      <c r="E1030" s="1">
        <v>51.472999999999999</v>
      </c>
      <c r="F1030" s="1">
        <v>0.99999099999999996</v>
      </c>
      <c r="G1030" t="s">
        <v>1687</v>
      </c>
      <c r="H1030" t="s">
        <v>51</v>
      </c>
      <c r="I1030" t="s">
        <v>4943</v>
      </c>
      <c r="J1030" t="str">
        <f>"Tensin-like C1 domain-containing phosphatase"</f>
        <v>Tensin-like C1 domain-containing phosphatase</v>
      </c>
      <c r="K1030" t="str">
        <f>"TENC1"</f>
        <v>TENC1</v>
      </c>
    </row>
    <row r="1031" spans="1:11" x14ac:dyDescent="0.25">
      <c r="A1031" s="1">
        <v>3110</v>
      </c>
      <c r="B1031" s="1">
        <v>5</v>
      </c>
      <c r="C1031" s="1" t="s">
        <v>3</v>
      </c>
      <c r="D1031" s="1">
        <v>9</v>
      </c>
      <c r="E1031" s="1">
        <v>47.802999999999997</v>
      </c>
      <c r="F1031" s="1">
        <v>0.94923000000000002</v>
      </c>
      <c r="G1031" t="s">
        <v>1688</v>
      </c>
      <c r="H1031" t="s">
        <v>1689</v>
      </c>
      <c r="I1031" t="s">
        <v>4944</v>
      </c>
      <c r="J1031" t="str">
        <f>"GRB2-associated-binding protein 2"</f>
        <v>GRB2-associated-binding protein 2</v>
      </c>
      <c r="K1031" t="str">
        <f>"GAB2"</f>
        <v>GAB2</v>
      </c>
    </row>
    <row r="1032" spans="1:11" x14ac:dyDescent="0.25">
      <c r="A1032" s="1">
        <v>1699</v>
      </c>
      <c r="B1032" s="1">
        <v>3</v>
      </c>
      <c r="C1032" s="1" t="s">
        <v>3</v>
      </c>
      <c r="D1032" s="1">
        <v>2</v>
      </c>
      <c r="E1032" s="1">
        <v>94.766999999999996</v>
      </c>
      <c r="F1032" s="1">
        <v>1</v>
      </c>
      <c r="G1032" t="s">
        <v>1690</v>
      </c>
      <c r="H1032" t="s">
        <v>374</v>
      </c>
      <c r="I1032" t="s">
        <v>4945</v>
      </c>
      <c r="J1032" t="str">
        <f>"U1 small nuclear ribonucleoprotein 70 kDa"</f>
        <v>U1 small nuclear ribonucleoprotein 70 kDa</v>
      </c>
      <c r="K1032" t="str">
        <f>"SNRNP70"</f>
        <v>SNRNP70</v>
      </c>
    </row>
    <row r="1033" spans="1:11" x14ac:dyDescent="0.25">
      <c r="A1033" s="1">
        <v>1642</v>
      </c>
      <c r="B1033" s="1">
        <v>3</v>
      </c>
      <c r="C1033" s="1" t="s">
        <v>3</v>
      </c>
      <c r="D1033" s="1">
        <v>12</v>
      </c>
      <c r="E1033" s="1">
        <v>53.3</v>
      </c>
      <c r="F1033" s="1">
        <v>0.99999499999999997</v>
      </c>
      <c r="G1033" t="s">
        <v>1691</v>
      </c>
      <c r="H1033" t="s">
        <v>1692</v>
      </c>
      <c r="I1033" t="s">
        <v>4946</v>
      </c>
      <c r="J1033" t="str">
        <f>"Glycogen phosphorylase, liver form;Phosphorylase"</f>
        <v>Glycogen phosphorylase, liver form;Phosphorylase</v>
      </c>
      <c r="K1033" t="str">
        <f>"PYGL"</f>
        <v>PYGL</v>
      </c>
    </row>
    <row r="1034" spans="1:11" x14ac:dyDescent="0.25">
      <c r="A1034" s="1">
        <v>2990</v>
      </c>
      <c r="B1034" s="1">
        <v>4</v>
      </c>
      <c r="C1034" s="1" t="s">
        <v>3</v>
      </c>
      <c r="D1034" s="1">
        <v>21</v>
      </c>
      <c r="E1034" s="1">
        <v>53.496000000000002</v>
      </c>
      <c r="F1034" s="1">
        <v>0.64636000000000005</v>
      </c>
      <c r="G1034" t="s">
        <v>1693</v>
      </c>
      <c r="H1034" t="s">
        <v>1694</v>
      </c>
      <c r="I1034" t="s">
        <v>4947</v>
      </c>
      <c r="J1034" t="str">
        <f>"Calcyclin-binding protein"</f>
        <v>Calcyclin-binding protein</v>
      </c>
      <c r="K1034" t="str">
        <f>"CACYBP"</f>
        <v>CACYBP</v>
      </c>
    </row>
    <row r="1035" spans="1:11" x14ac:dyDescent="0.25">
      <c r="A1035" s="1">
        <v>1772</v>
      </c>
      <c r="B1035" s="1">
        <v>3</v>
      </c>
      <c r="C1035" s="1" t="s">
        <v>3</v>
      </c>
      <c r="D1035" s="1">
        <v>1</v>
      </c>
      <c r="E1035" s="1">
        <v>55.588000000000001</v>
      </c>
      <c r="F1035" s="1">
        <v>0.999973</v>
      </c>
      <c r="G1035" t="s">
        <v>1695</v>
      </c>
      <c r="H1035" t="s">
        <v>573</v>
      </c>
      <c r="I1035" t="s">
        <v>4948</v>
      </c>
      <c r="J1035" t="str">
        <f>"Glycogen [starch] synthase, muscle"</f>
        <v>Glycogen [starch] synthase, muscle</v>
      </c>
      <c r="K1035" t="str">
        <f>"GYS1"</f>
        <v>GYS1</v>
      </c>
    </row>
    <row r="1036" spans="1:11" x14ac:dyDescent="0.25">
      <c r="A1036" s="1">
        <v>2336</v>
      </c>
      <c r="B1036" s="1">
        <v>2</v>
      </c>
      <c r="C1036" s="1" t="s">
        <v>3</v>
      </c>
      <c r="D1036" s="1">
        <v>4</v>
      </c>
      <c r="E1036" s="1">
        <v>64.564999999999998</v>
      </c>
      <c r="F1036" s="1">
        <v>0.99999099999999996</v>
      </c>
      <c r="G1036" t="s">
        <v>1696</v>
      </c>
      <c r="H1036" t="s">
        <v>1697</v>
      </c>
      <c r="I1036" t="s">
        <v>4949</v>
      </c>
      <c r="J1036" t="str">
        <f>"Focal adhesion kinase 1"</f>
        <v>Focal adhesion kinase 1</v>
      </c>
      <c r="K1036" t="str">
        <f>"PTK2"</f>
        <v>PTK2</v>
      </c>
    </row>
    <row r="1037" spans="1:11" x14ac:dyDescent="0.25">
      <c r="A1037" s="1">
        <v>849</v>
      </c>
      <c r="B1037" s="1">
        <v>2</v>
      </c>
      <c r="C1037" s="1" t="s">
        <v>3</v>
      </c>
      <c r="D1037" s="1">
        <v>1</v>
      </c>
      <c r="E1037" s="1">
        <v>92.605999999999995</v>
      </c>
      <c r="F1037" s="1">
        <v>1</v>
      </c>
      <c r="G1037" t="s">
        <v>1698</v>
      </c>
      <c r="H1037" t="s">
        <v>724</v>
      </c>
      <c r="I1037" t="s">
        <v>4950</v>
      </c>
      <c r="J1037" t="str">
        <f>"Tight junction protein ZO-1"</f>
        <v>Tight junction protein ZO-1</v>
      </c>
      <c r="K1037" t="str">
        <f>"TJP1"</f>
        <v>TJP1</v>
      </c>
    </row>
    <row r="1038" spans="1:11" x14ac:dyDescent="0.25">
      <c r="A1038" s="1">
        <v>1661</v>
      </c>
      <c r="B1038" s="1">
        <v>2</v>
      </c>
      <c r="C1038" s="1" t="s">
        <v>3</v>
      </c>
      <c r="D1038" s="1">
        <v>4</v>
      </c>
      <c r="E1038" s="1">
        <v>105.03</v>
      </c>
      <c r="F1038" s="1">
        <v>0.99999499999999997</v>
      </c>
      <c r="G1038" t="s">
        <v>1699</v>
      </c>
      <c r="H1038" t="s">
        <v>1700</v>
      </c>
      <c r="I1038" t="s">
        <v>4951</v>
      </c>
      <c r="J1038" t="str">
        <f>"Profilin-1"</f>
        <v>Profilin-1</v>
      </c>
      <c r="K1038" t="str">
        <f>"PFN1"</f>
        <v>PFN1</v>
      </c>
    </row>
    <row r="1039" spans="1:11" x14ac:dyDescent="0.25">
      <c r="A1039" s="1">
        <v>1905</v>
      </c>
      <c r="B1039" s="1">
        <v>2</v>
      </c>
      <c r="C1039" s="1" t="s">
        <v>3</v>
      </c>
      <c r="D1039" s="1">
        <v>4</v>
      </c>
      <c r="E1039" s="1">
        <v>110.08</v>
      </c>
      <c r="F1039" s="1">
        <v>0.99334199999999995</v>
      </c>
      <c r="G1039" t="s">
        <v>1701</v>
      </c>
      <c r="H1039" t="s">
        <v>503</v>
      </c>
      <c r="I1039" t="s">
        <v>4952</v>
      </c>
      <c r="J1039" t="str">
        <f>"Cofilin-1;Cofilin-2"</f>
        <v>Cofilin-1;Cofilin-2</v>
      </c>
      <c r="K1039" t="str">
        <f>"CFL1;CFL2"</f>
        <v>CFL1;CFL2</v>
      </c>
    </row>
    <row r="1040" spans="1:11" x14ac:dyDescent="0.25">
      <c r="A1040" s="1">
        <v>2419</v>
      </c>
      <c r="B1040" s="1">
        <v>4</v>
      </c>
      <c r="C1040" s="1" t="s">
        <v>3</v>
      </c>
      <c r="D1040" s="1">
        <v>3</v>
      </c>
      <c r="E1040" s="1">
        <v>57.21</v>
      </c>
      <c r="F1040" s="1">
        <v>0.99980999999999998</v>
      </c>
      <c r="G1040" t="s">
        <v>1702</v>
      </c>
      <c r="H1040" t="s">
        <v>1703</v>
      </c>
      <c r="I1040">
        <v>2969</v>
      </c>
      <c r="J1040" t="str">
        <f>"Serine-protein kinase ATM"</f>
        <v>Serine-protein kinase ATM</v>
      </c>
      <c r="K1040" t="str">
        <f>"ATM"</f>
        <v>ATM</v>
      </c>
    </row>
    <row r="1041" spans="1:11" x14ac:dyDescent="0.25">
      <c r="A1041" s="1">
        <v>3120</v>
      </c>
      <c r="B1041" s="1">
        <v>3</v>
      </c>
      <c r="C1041" s="1" t="s">
        <v>3</v>
      </c>
      <c r="D1041" s="1">
        <v>13</v>
      </c>
      <c r="E1041" s="1">
        <v>126.02</v>
      </c>
      <c r="F1041" s="1">
        <v>0.995112</v>
      </c>
      <c r="G1041" t="s">
        <v>1704</v>
      </c>
      <c r="H1041" t="s">
        <v>1705</v>
      </c>
      <c r="I1041">
        <v>228</v>
      </c>
      <c r="J1041" t="str">
        <f>"Thyroid hormone receptor-associated protein 3"</f>
        <v>Thyroid hormone receptor-associated protein 3</v>
      </c>
      <c r="K1041" t="str">
        <f>"THRAP3"</f>
        <v>THRAP3</v>
      </c>
    </row>
    <row r="1042" spans="1:11" x14ac:dyDescent="0.25">
      <c r="A1042" s="1">
        <v>1012</v>
      </c>
      <c r="B1042" s="1">
        <v>3</v>
      </c>
      <c r="C1042" s="1" t="s">
        <v>3</v>
      </c>
      <c r="D1042" s="1">
        <v>9</v>
      </c>
      <c r="E1042" s="1">
        <v>55.723999999999997</v>
      </c>
      <c r="F1042" s="1">
        <v>1</v>
      </c>
      <c r="G1042" t="s">
        <v>1706</v>
      </c>
      <c r="H1042" t="s">
        <v>1707</v>
      </c>
      <c r="I1042" t="s">
        <v>4953</v>
      </c>
      <c r="J1042" t="str">
        <f>"Pyruvate dehydrogenase phosphatase regulatory subunit, mitochondrial"</f>
        <v>Pyruvate dehydrogenase phosphatase regulatory subunit, mitochondrial</v>
      </c>
      <c r="K1042" t="str">
        <f>"PDPR"</f>
        <v>PDPR</v>
      </c>
    </row>
    <row r="1043" spans="1:11" x14ac:dyDescent="0.25">
      <c r="A1043" s="1">
        <v>2010</v>
      </c>
      <c r="B1043" s="1">
        <v>2</v>
      </c>
      <c r="C1043" s="1" t="s">
        <v>3</v>
      </c>
      <c r="D1043" s="1">
        <v>4</v>
      </c>
      <c r="E1043" s="1">
        <v>68.355000000000004</v>
      </c>
      <c r="F1043" s="1">
        <v>0.99968599999999996</v>
      </c>
      <c r="G1043" t="s">
        <v>1708</v>
      </c>
      <c r="H1043" t="s">
        <v>1709</v>
      </c>
      <c r="I1043" t="s">
        <v>4954</v>
      </c>
      <c r="J1043" t="str">
        <f>"Phosphoglucomutase-1"</f>
        <v>Phosphoglucomutase-1</v>
      </c>
      <c r="K1043" t="str">
        <f>"PGM1"</f>
        <v>PGM1</v>
      </c>
    </row>
    <row r="1044" spans="1:11" x14ac:dyDescent="0.25">
      <c r="A1044" s="1">
        <v>3027</v>
      </c>
      <c r="B1044" s="1">
        <v>3</v>
      </c>
      <c r="C1044" s="1" t="s">
        <v>3</v>
      </c>
      <c r="D1044" s="1">
        <v>14</v>
      </c>
      <c r="E1044" s="1">
        <v>106.93</v>
      </c>
      <c r="F1044" s="1">
        <v>0.94932000000000005</v>
      </c>
      <c r="G1044" t="s">
        <v>1710</v>
      </c>
      <c r="H1044" t="s">
        <v>232</v>
      </c>
      <c r="I1044">
        <v>181</v>
      </c>
      <c r="J1044" t="str">
        <f>"Phosphoprotein associated with glycosphingolipid-enriched microdomains 1"</f>
        <v>Phosphoprotein associated with glycosphingolipid-enriched microdomains 1</v>
      </c>
      <c r="K1044" t="str">
        <f>"PAG1"</f>
        <v>PAG1</v>
      </c>
    </row>
    <row r="1045" spans="1:11" x14ac:dyDescent="0.25">
      <c r="A1045" s="1">
        <v>933</v>
      </c>
      <c r="B1045" s="1">
        <v>4</v>
      </c>
      <c r="C1045" s="1" t="s">
        <v>3</v>
      </c>
      <c r="D1045" s="1">
        <v>9</v>
      </c>
      <c r="E1045" s="1">
        <v>79.382000000000005</v>
      </c>
      <c r="F1045" s="1">
        <v>0.96908300000000003</v>
      </c>
      <c r="G1045" t="s">
        <v>1711</v>
      </c>
      <c r="H1045" t="s">
        <v>155</v>
      </c>
      <c r="I1045" t="s">
        <v>4955</v>
      </c>
      <c r="J1045" t="str">
        <f>"G-protein coupled receptor family C group 5 member C"</f>
        <v>G-protein coupled receptor family C group 5 member C</v>
      </c>
      <c r="K1045" t="str">
        <f>"GPRC5C"</f>
        <v>GPRC5C</v>
      </c>
    </row>
    <row r="1046" spans="1:11" x14ac:dyDescent="0.25">
      <c r="A1046" s="1">
        <v>1728</v>
      </c>
      <c r="B1046" s="1">
        <v>3</v>
      </c>
      <c r="C1046" s="1" t="s">
        <v>3</v>
      </c>
      <c r="D1046" s="1">
        <v>8</v>
      </c>
      <c r="E1046" s="1">
        <v>172.37</v>
      </c>
      <c r="F1046" s="1">
        <v>0.67329700000000003</v>
      </c>
      <c r="G1046" t="s">
        <v>1712</v>
      </c>
      <c r="H1046" t="s">
        <v>319</v>
      </c>
      <c r="I1046">
        <v>132</v>
      </c>
      <c r="J1046" t="str">
        <f>"Tyrosine-protein kinase Fgr"</f>
        <v>Tyrosine-protein kinase Fgr</v>
      </c>
      <c r="K1046" t="str">
        <f>"FGR"</f>
        <v>FGR</v>
      </c>
    </row>
    <row r="1047" spans="1:11" x14ac:dyDescent="0.25">
      <c r="A1047" s="1">
        <v>2886</v>
      </c>
      <c r="B1047" s="1">
        <v>3</v>
      </c>
      <c r="C1047" s="1" t="s">
        <v>3</v>
      </c>
      <c r="D1047" s="1">
        <v>6</v>
      </c>
      <c r="E1047" s="1">
        <v>50.088000000000001</v>
      </c>
      <c r="F1047" s="1">
        <v>0.99971900000000002</v>
      </c>
      <c r="G1047" t="s">
        <v>1713</v>
      </c>
      <c r="H1047" t="s">
        <v>1714</v>
      </c>
      <c r="I1047" t="s">
        <v>4956</v>
      </c>
      <c r="J1047" t="str">
        <f>"ATPase WRNIP1"</f>
        <v>ATPase WRNIP1</v>
      </c>
      <c r="K1047" t="str">
        <f>"WRNIP1"</f>
        <v>WRNIP1</v>
      </c>
    </row>
    <row r="1048" spans="1:11" x14ac:dyDescent="0.25">
      <c r="A1048" s="1">
        <v>348</v>
      </c>
      <c r="B1048" s="1">
        <v>3</v>
      </c>
      <c r="C1048" s="1" t="s">
        <v>5</v>
      </c>
      <c r="D1048" s="1">
        <v>3</v>
      </c>
      <c r="E1048" s="1">
        <v>116.2</v>
      </c>
      <c r="F1048" s="1">
        <v>0.98471600000000004</v>
      </c>
      <c r="G1048" t="s">
        <v>1715</v>
      </c>
      <c r="H1048" t="s">
        <v>216</v>
      </c>
      <c r="I1048" t="s">
        <v>4957</v>
      </c>
      <c r="J1048" t="str">
        <f>"Partitioning defective 3 homolog"</f>
        <v>Partitioning defective 3 homolog</v>
      </c>
      <c r="K1048" t="str">
        <f>"PARD3"</f>
        <v>PARD3</v>
      </c>
    </row>
    <row r="1049" spans="1:11" x14ac:dyDescent="0.25">
      <c r="A1049" s="1">
        <v>2562</v>
      </c>
      <c r="B1049" s="1">
        <v>4</v>
      </c>
      <c r="C1049" s="1" t="s">
        <v>3</v>
      </c>
      <c r="D1049" s="1">
        <v>20</v>
      </c>
      <c r="E1049" s="1">
        <v>40.207999999999998</v>
      </c>
      <c r="F1049" s="1">
        <v>0.97451399999999999</v>
      </c>
      <c r="G1049" t="s">
        <v>1716</v>
      </c>
      <c r="H1049" t="s">
        <v>1717</v>
      </c>
      <c r="I1049" t="s">
        <v>4958</v>
      </c>
      <c r="J1049" t="str">
        <f>"Poly [ADP-ribose] polymerase 14"</f>
        <v>Poly [ADP-ribose] polymerase 14</v>
      </c>
      <c r="K1049" t="str">
        <f>"PARP14"</f>
        <v>PARP14</v>
      </c>
    </row>
    <row r="1050" spans="1:11" x14ac:dyDescent="0.25">
      <c r="A1050" s="1">
        <v>2311</v>
      </c>
      <c r="B1050" s="1">
        <v>3</v>
      </c>
      <c r="C1050" s="1" t="s">
        <v>3</v>
      </c>
      <c r="D1050" s="1">
        <v>14</v>
      </c>
      <c r="E1050" s="1">
        <v>61.536999999999999</v>
      </c>
      <c r="F1050" s="1">
        <v>0.98908200000000002</v>
      </c>
      <c r="G1050" t="s">
        <v>1718</v>
      </c>
      <c r="H1050" t="s">
        <v>1719</v>
      </c>
      <c r="I1050" t="s">
        <v>4959</v>
      </c>
      <c r="J1050" t="str">
        <f>"ATP-dependent 6-phosphofructokinase, platelet type"</f>
        <v>ATP-dependent 6-phosphofructokinase, platelet type</v>
      </c>
      <c r="K1050" t="str">
        <f>"PFKP"</f>
        <v>PFKP</v>
      </c>
    </row>
    <row r="1051" spans="1:11" x14ac:dyDescent="0.25">
      <c r="A1051" s="1">
        <v>879</v>
      </c>
      <c r="B1051" s="1">
        <v>2</v>
      </c>
      <c r="C1051" s="1" t="s">
        <v>3</v>
      </c>
      <c r="D1051" s="1">
        <v>2</v>
      </c>
      <c r="E1051" s="1">
        <v>133.47</v>
      </c>
      <c r="F1051" s="1">
        <v>1</v>
      </c>
      <c r="G1051" t="s">
        <v>1720</v>
      </c>
      <c r="H1051" t="s">
        <v>1721</v>
      </c>
      <c r="I1051" t="s">
        <v>4960</v>
      </c>
      <c r="J1051" t="str">
        <f>"1-phosphatidylinositol 4,5-bisphosphate phosphodiesterase gamma-2"</f>
        <v>1-phosphatidylinositol 4,5-bisphosphate phosphodiesterase gamma-2</v>
      </c>
      <c r="K1051" t="str">
        <f>"PLCG2"</f>
        <v>PLCG2</v>
      </c>
    </row>
    <row r="1052" spans="1:11" x14ac:dyDescent="0.25">
      <c r="A1052" s="1">
        <v>2798</v>
      </c>
      <c r="B1052" s="1">
        <v>3</v>
      </c>
      <c r="C1052" s="1" t="s">
        <v>3</v>
      </c>
      <c r="D1052" s="1">
        <v>7</v>
      </c>
      <c r="E1052" s="1">
        <v>46.069000000000003</v>
      </c>
      <c r="F1052" s="1">
        <v>1</v>
      </c>
      <c r="G1052" t="s">
        <v>1722</v>
      </c>
      <c r="H1052" t="s">
        <v>1723</v>
      </c>
      <c r="I1052">
        <v>77</v>
      </c>
      <c r="J1052" t="str">
        <f>"Arf-GAP with Rho-GAP domain, ANK repeat and PH domain-containing protein 2"</f>
        <v>Arf-GAP with Rho-GAP domain, ANK repeat and PH domain-containing protein 2</v>
      </c>
      <c r="K1052" t="str">
        <f>"ARAP2"</f>
        <v>ARAP2</v>
      </c>
    </row>
    <row r="1053" spans="1:11" x14ac:dyDescent="0.25">
      <c r="A1053" s="1">
        <v>2561</v>
      </c>
      <c r="B1053" s="1">
        <v>4</v>
      </c>
      <c r="C1053" s="1" t="s">
        <v>3</v>
      </c>
      <c r="D1053" s="1">
        <v>5</v>
      </c>
      <c r="E1053" s="1">
        <v>53.625</v>
      </c>
      <c r="F1053" s="1">
        <v>0.98129299999999997</v>
      </c>
      <c r="G1053" t="s">
        <v>1724</v>
      </c>
      <c r="H1053" t="s">
        <v>1725</v>
      </c>
      <c r="I1053" t="s">
        <v>4961</v>
      </c>
      <c r="J1053" t="str">
        <f>"Leucine-rich repeat flightless-interacting protein 1"</f>
        <v>Leucine-rich repeat flightless-interacting protein 1</v>
      </c>
      <c r="K1053" t="str">
        <f>"LRRFIP1"</f>
        <v>LRRFIP1</v>
      </c>
    </row>
    <row r="1054" spans="1:11" x14ac:dyDescent="0.25">
      <c r="A1054" s="1">
        <v>2519</v>
      </c>
      <c r="B1054" s="1">
        <v>2</v>
      </c>
      <c r="C1054" s="1" t="s">
        <v>3</v>
      </c>
      <c r="D1054" s="1">
        <v>3</v>
      </c>
      <c r="E1054" s="1">
        <v>44.924999999999997</v>
      </c>
      <c r="F1054" s="1">
        <v>0.99866600000000005</v>
      </c>
      <c r="G1054" t="s">
        <v>1726</v>
      </c>
      <c r="H1054" t="s">
        <v>1572</v>
      </c>
      <c r="I1054" t="s">
        <v>4962</v>
      </c>
      <c r="J1054" t="str">
        <f>"Plectin"</f>
        <v>Plectin</v>
      </c>
      <c r="K1054" t="str">
        <f>"PLEC"</f>
        <v>PLEC</v>
      </c>
    </row>
    <row r="1055" spans="1:11" x14ac:dyDescent="0.25">
      <c r="A1055" s="1">
        <v>1060</v>
      </c>
      <c r="B1055" s="1">
        <v>3</v>
      </c>
      <c r="C1055" s="1" t="s">
        <v>3</v>
      </c>
      <c r="D1055" s="1">
        <v>13</v>
      </c>
      <c r="E1055" s="1">
        <v>76.759</v>
      </c>
      <c r="F1055" s="1">
        <v>0.93333600000000005</v>
      </c>
      <c r="G1055" t="s">
        <v>1727</v>
      </c>
      <c r="H1055" t="s">
        <v>643</v>
      </c>
      <c r="I1055" t="s">
        <v>4963</v>
      </c>
      <c r="J1055" t="str">
        <f>"Kin of IRRE-like protein 1"</f>
        <v>Kin of IRRE-like protein 1</v>
      </c>
      <c r="K1055" t="str">
        <f>"KIRREL"</f>
        <v>KIRREL</v>
      </c>
    </row>
    <row r="1056" spans="1:11" x14ac:dyDescent="0.25">
      <c r="A1056" s="1">
        <v>2638</v>
      </c>
      <c r="B1056" s="1">
        <v>3</v>
      </c>
      <c r="C1056" s="1" t="s">
        <v>3</v>
      </c>
      <c r="D1056" s="1">
        <v>5</v>
      </c>
      <c r="E1056" s="1">
        <v>79.147999999999996</v>
      </c>
      <c r="F1056" s="1">
        <v>0.99967099999999998</v>
      </c>
      <c r="G1056" t="s">
        <v>1728</v>
      </c>
      <c r="H1056" t="s">
        <v>1729</v>
      </c>
      <c r="I1056" t="s">
        <v>4964</v>
      </c>
      <c r="J1056" t="str">
        <f>"La-related protein 1"</f>
        <v>La-related protein 1</v>
      </c>
      <c r="K1056" t="str">
        <f>"LARP1"</f>
        <v>LARP1</v>
      </c>
    </row>
    <row r="1057" spans="1:11" x14ac:dyDescent="0.25">
      <c r="A1057" s="1">
        <v>2635</v>
      </c>
      <c r="B1057" s="1">
        <v>3</v>
      </c>
      <c r="C1057" s="1" t="s">
        <v>3</v>
      </c>
      <c r="D1057" s="1">
        <v>5</v>
      </c>
      <c r="E1057" s="1">
        <v>71.558000000000007</v>
      </c>
      <c r="F1057" s="1">
        <v>0.99946100000000004</v>
      </c>
      <c r="G1057" t="s">
        <v>1730</v>
      </c>
      <c r="H1057" t="s">
        <v>1731</v>
      </c>
      <c r="I1057">
        <v>2091</v>
      </c>
      <c r="J1057" t="str">
        <f>"Pre-mRNA-processing-splicing factor 8"</f>
        <v>Pre-mRNA-processing-splicing factor 8</v>
      </c>
      <c r="K1057" t="str">
        <f>"PRPF8"</f>
        <v>PRPF8</v>
      </c>
    </row>
    <row r="1058" spans="1:11" x14ac:dyDescent="0.25">
      <c r="A1058" s="1">
        <v>2922</v>
      </c>
      <c r="B1058" s="1">
        <v>3</v>
      </c>
      <c r="C1058" s="1" t="s">
        <v>3</v>
      </c>
      <c r="D1058" s="1">
        <v>7</v>
      </c>
      <c r="E1058" s="1">
        <v>66.266999999999996</v>
      </c>
      <c r="F1058" s="1">
        <v>1</v>
      </c>
      <c r="G1058" t="s">
        <v>1732</v>
      </c>
      <c r="H1058" t="s">
        <v>775</v>
      </c>
      <c r="I1058">
        <v>148</v>
      </c>
      <c r="J1058" t="str">
        <f>"Protein NipSnap homolog 1"</f>
        <v>Protein NipSnap homolog 1</v>
      </c>
      <c r="K1058" t="str">
        <f>"NIPSNAP1"</f>
        <v>NIPSNAP1</v>
      </c>
    </row>
    <row r="1059" spans="1:11" x14ac:dyDescent="0.25">
      <c r="A1059" s="1">
        <v>3098</v>
      </c>
      <c r="B1059" s="1">
        <v>3</v>
      </c>
      <c r="C1059" s="1" t="s">
        <v>3</v>
      </c>
      <c r="D1059" s="1">
        <v>7</v>
      </c>
      <c r="E1059" s="1">
        <v>51.566000000000003</v>
      </c>
      <c r="F1059" s="1">
        <v>1</v>
      </c>
      <c r="G1059" t="s">
        <v>1733</v>
      </c>
      <c r="H1059" t="s">
        <v>1734</v>
      </c>
      <c r="I1059" t="s">
        <v>4965</v>
      </c>
      <c r="J1059" t="str">
        <f>"Targeting protein for Xklp2"</f>
        <v>Targeting protein for Xklp2</v>
      </c>
      <c r="K1059" t="str">
        <f>"TPX2"</f>
        <v>TPX2</v>
      </c>
    </row>
    <row r="1060" spans="1:11" x14ac:dyDescent="0.25">
      <c r="A1060" s="1">
        <v>3150</v>
      </c>
      <c r="B1060" s="1">
        <v>3</v>
      </c>
      <c r="C1060" s="1" t="s">
        <v>3</v>
      </c>
      <c r="D1060" s="1">
        <v>4</v>
      </c>
      <c r="E1060" s="1">
        <v>49.188000000000002</v>
      </c>
      <c r="F1060" s="1">
        <v>0.79060799999999998</v>
      </c>
      <c r="G1060" t="s">
        <v>1735</v>
      </c>
      <c r="H1060" t="s">
        <v>1324</v>
      </c>
      <c r="I1060">
        <v>541</v>
      </c>
      <c r="J1060" t="str">
        <f>"CD2-associated protein"</f>
        <v>CD2-associated protein</v>
      </c>
      <c r="K1060" t="str">
        <f>"CD2AP"</f>
        <v>CD2AP</v>
      </c>
    </row>
    <row r="1061" spans="1:11" x14ac:dyDescent="0.25">
      <c r="A1061" s="1">
        <v>655</v>
      </c>
      <c r="B1061" s="1">
        <v>2</v>
      </c>
      <c r="C1061" s="1" t="s">
        <v>4</v>
      </c>
      <c r="D1061" s="1">
        <v>8</v>
      </c>
      <c r="E1061" s="1">
        <v>107.09</v>
      </c>
      <c r="F1061" s="1">
        <v>0.725271</v>
      </c>
      <c r="G1061" t="s">
        <v>1736</v>
      </c>
      <c r="H1061" t="s">
        <v>57</v>
      </c>
      <c r="I1061" t="s">
        <v>4966</v>
      </c>
      <c r="J1061" t="str">
        <f>"Elongation factor 1-alpha 1;Putative elongation factor 1-alpha-like 3;Elongation factor 1-alpha 2"</f>
        <v>Elongation factor 1-alpha 1;Putative elongation factor 1-alpha-like 3;Elongation factor 1-alpha 2</v>
      </c>
      <c r="K1061" t="str">
        <f>"EEF1A1;EEF1A1P5;EEF1A2"</f>
        <v>EEF1A1;EEF1A1P5;EEF1A2</v>
      </c>
    </row>
    <row r="1062" spans="1:11" x14ac:dyDescent="0.25">
      <c r="A1062" s="1">
        <v>2538</v>
      </c>
      <c r="B1062" s="1">
        <v>3</v>
      </c>
      <c r="C1062" s="1" t="s">
        <v>3</v>
      </c>
      <c r="D1062" s="1">
        <v>11</v>
      </c>
      <c r="E1062" s="1">
        <v>119.46</v>
      </c>
      <c r="F1062" s="1">
        <v>0.99995599999999996</v>
      </c>
      <c r="G1062" t="s">
        <v>1737</v>
      </c>
      <c r="H1062" t="s">
        <v>1738</v>
      </c>
      <c r="I1062" t="s">
        <v>4967</v>
      </c>
      <c r="J1062" t="str">
        <f>"Microtubule-associated protein RP/EB family member 2"</f>
        <v>Microtubule-associated protein RP/EB family member 2</v>
      </c>
      <c r="K1062" t="str">
        <f>"MAPRE2"</f>
        <v>MAPRE2</v>
      </c>
    </row>
    <row r="1063" spans="1:11" x14ac:dyDescent="0.25">
      <c r="A1063" s="1">
        <v>977</v>
      </c>
      <c r="B1063" s="1">
        <v>2</v>
      </c>
      <c r="C1063" s="1" t="s">
        <v>3</v>
      </c>
      <c r="D1063" s="1">
        <v>16</v>
      </c>
      <c r="E1063" s="1">
        <v>125.73</v>
      </c>
      <c r="F1063" s="1">
        <v>0.97453199999999995</v>
      </c>
      <c r="G1063" t="s">
        <v>1739</v>
      </c>
      <c r="H1063" t="s">
        <v>1740</v>
      </c>
      <c r="I1063" t="s">
        <v>4968</v>
      </c>
      <c r="J1063" t="str">
        <f>"Pyridoxal-dependent decarboxylase domain-containing protein 1"</f>
        <v>Pyridoxal-dependent decarboxylase domain-containing protein 1</v>
      </c>
      <c r="K1063" t="str">
        <f>"PDXDC1"</f>
        <v>PDXDC1</v>
      </c>
    </row>
    <row r="1064" spans="1:11" x14ac:dyDescent="0.25">
      <c r="A1064" s="1">
        <v>2944</v>
      </c>
      <c r="B1064" s="1">
        <v>3</v>
      </c>
      <c r="C1064" s="1" t="s">
        <v>3</v>
      </c>
      <c r="D1064" s="1">
        <v>13</v>
      </c>
      <c r="E1064" s="1">
        <v>63.978999999999999</v>
      </c>
      <c r="F1064" s="1">
        <v>0.99387499999999995</v>
      </c>
      <c r="G1064" t="s">
        <v>1741</v>
      </c>
      <c r="H1064" t="s">
        <v>974</v>
      </c>
      <c r="I1064" t="s">
        <v>4969</v>
      </c>
      <c r="J1064" t="str">
        <f>"UBX domain-containing protein 6"</f>
        <v>UBX domain-containing protein 6</v>
      </c>
      <c r="K1064" t="str">
        <f>"UBXN6"</f>
        <v>UBXN6</v>
      </c>
    </row>
    <row r="1065" spans="1:11" x14ac:dyDescent="0.25">
      <c r="A1065" s="1">
        <v>1969</v>
      </c>
      <c r="B1065" s="1">
        <v>4</v>
      </c>
      <c r="C1065" s="1" t="s">
        <v>3</v>
      </c>
      <c r="D1065" s="1">
        <v>21</v>
      </c>
      <c r="E1065" s="1">
        <v>94.058999999999997</v>
      </c>
      <c r="F1065" s="1">
        <v>0.49999900000000003</v>
      </c>
      <c r="G1065" t="s">
        <v>1742</v>
      </c>
      <c r="H1065" t="s">
        <v>93</v>
      </c>
      <c r="I1065" t="s">
        <v>4970</v>
      </c>
      <c r="J1065" t="str">
        <f>"SHC-transforming protein 1"</f>
        <v>SHC-transforming protein 1</v>
      </c>
      <c r="K1065" t="str">
        <f>"SHC1"</f>
        <v>SHC1</v>
      </c>
    </row>
    <row r="1066" spans="1:11" x14ac:dyDescent="0.25">
      <c r="A1066" s="1">
        <v>1970</v>
      </c>
      <c r="B1066" s="1">
        <v>4</v>
      </c>
      <c r="C1066" s="1" t="s">
        <v>3</v>
      </c>
      <c r="D1066" s="1">
        <v>22</v>
      </c>
      <c r="E1066" s="1">
        <v>94.058999999999997</v>
      </c>
      <c r="F1066" s="1">
        <v>0.49999900000000003</v>
      </c>
      <c r="G1066" t="s">
        <v>1742</v>
      </c>
      <c r="H1066" t="s">
        <v>93</v>
      </c>
      <c r="I1066" t="s">
        <v>4971</v>
      </c>
      <c r="J1066" t="str">
        <f>"SHC-transforming protein 1"</f>
        <v>SHC-transforming protein 1</v>
      </c>
      <c r="K1066" t="str">
        <f>"SHC1"</f>
        <v>SHC1</v>
      </c>
    </row>
    <row r="1067" spans="1:11" x14ac:dyDescent="0.25">
      <c r="A1067" s="1">
        <v>2987</v>
      </c>
      <c r="B1067" s="1">
        <v>4</v>
      </c>
      <c r="C1067" s="1" t="s">
        <v>3</v>
      </c>
      <c r="D1067" s="1">
        <v>8</v>
      </c>
      <c r="E1067" s="1">
        <v>107.71</v>
      </c>
      <c r="F1067" s="1">
        <v>0.66164699999999999</v>
      </c>
      <c r="G1067" t="s">
        <v>1743</v>
      </c>
      <c r="H1067" t="s">
        <v>1645</v>
      </c>
      <c r="I1067" t="s">
        <v>4972</v>
      </c>
      <c r="J1067" t="str">
        <f>"Pleckstrin homology domain-containing family A member 5"</f>
        <v>Pleckstrin homology domain-containing family A member 5</v>
      </c>
      <c r="K1067" t="str">
        <f>"PLEKHA5"</f>
        <v>PLEKHA5</v>
      </c>
    </row>
    <row r="1068" spans="1:11" x14ac:dyDescent="0.25">
      <c r="A1068" s="1">
        <v>959</v>
      </c>
      <c r="B1068" s="1">
        <v>2</v>
      </c>
      <c r="C1068" s="1" t="s">
        <v>3</v>
      </c>
      <c r="D1068" s="1">
        <v>8</v>
      </c>
      <c r="E1068" s="1">
        <v>53.750999999999998</v>
      </c>
      <c r="F1068" s="1">
        <v>1</v>
      </c>
      <c r="G1068" t="s">
        <v>1744</v>
      </c>
      <c r="H1068" t="s">
        <v>478</v>
      </c>
      <c r="I1068" t="s">
        <v>4973</v>
      </c>
      <c r="J1068" t="str">
        <f>"Spectrin alpha chain, non-erythrocytic 1"</f>
        <v>Spectrin alpha chain, non-erythrocytic 1</v>
      </c>
      <c r="K1068" t="str">
        <f>"SPTAN1"</f>
        <v>SPTAN1</v>
      </c>
    </row>
    <row r="1069" spans="1:11" x14ac:dyDescent="0.25">
      <c r="A1069" s="1">
        <v>3153</v>
      </c>
      <c r="B1069" s="1">
        <v>3</v>
      </c>
      <c r="C1069" s="1" t="s">
        <v>3</v>
      </c>
      <c r="D1069" s="1">
        <v>1</v>
      </c>
      <c r="E1069" s="1">
        <v>101.89</v>
      </c>
      <c r="F1069" s="1">
        <v>0.999996</v>
      </c>
      <c r="G1069" t="s">
        <v>1745</v>
      </c>
      <c r="H1069" t="s">
        <v>1324</v>
      </c>
      <c r="I1069">
        <v>361</v>
      </c>
      <c r="J1069" t="str">
        <f>"CD2-associated protein"</f>
        <v>CD2-associated protein</v>
      </c>
      <c r="K1069" t="str">
        <f>"CD2AP"</f>
        <v>CD2AP</v>
      </c>
    </row>
    <row r="1070" spans="1:11" x14ac:dyDescent="0.25">
      <c r="A1070" s="1">
        <v>77</v>
      </c>
      <c r="B1070" s="1">
        <v>3</v>
      </c>
      <c r="C1070" s="1" t="s">
        <v>5</v>
      </c>
      <c r="D1070" s="1">
        <v>8</v>
      </c>
      <c r="E1070" s="1">
        <v>145.55000000000001</v>
      </c>
      <c r="F1070" s="1">
        <v>0.52156599999999997</v>
      </c>
      <c r="G1070" t="s">
        <v>1746</v>
      </c>
      <c r="H1070" t="s">
        <v>1276</v>
      </c>
      <c r="I1070">
        <v>320</v>
      </c>
      <c r="J1070" t="str">
        <f>""</f>
        <v/>
      </c>
      <c r="K1070" t="str">
        <f>""</f>
        <v/>
      </c>
    </row>
    <row r="1071" spans="1:11" x14ac:dyDescent="0.25">
      <c r="A1071" s="1">
        <v>2456</v>
      </c>
      <c r="B1071" s="1">
        <v>3</v>
      </c>
      <c r="C1071" s="1" t="s">
        <v>3</v>
      </c>
      <c r="D1071" s="1">
        <v>13</v>
      </c>
      <c r="E1071" s="1">
        <v>56.680999999999997</v>
      </c>
      <c r="F1071" s="1">
        <v>0.98764600000000002</v>
      </c>
      <c r="G1071" t="s">
        <v>1747</v>
      </c>
      <c r="H1071" t="s">
        <v>536</v>
      </c>
      <c r="I1071">
        <v>979</v>
      </c>
      <c r="J1071" t="str">
        <f>"Desmoglein-2"</f>
        <v>Desmoglein-2</v>
      </c>
      <c r="K1071" t="str">
        <f>"DSG2"</f>
        <v>DSG2</v>
      </c>
    </row>
    <row r="1072" spans="1:11" x14ac:dyDescent="0.25">
      <c r="A1072" s="1">
        <v>2364</v>
      </c>
      <c r="B1072" s="1">
        <v>3</v>
      </c>
      <c r="C1072" s="1" t="s">
        <v>3</v>
      </c>
      <c r="D1072" s="1">
        <v>14</v>
      </c>
      <c r="E1072" s="1">
        <v>136.62</v>
      </c>
      <c r="F1072" s="1">
        <v>0.99950799999999995</v>
      </c>
      <c r="G1072" t="s">
        <v>1748</v>
      </c>
      <c r="H1072" t="s">
        <v>1749</v>
      </c>
      <c r="I1072" t="s">
        <v>4974</v>
      </c>
      <c r="J1072" t="str">
        <f>"Quinone oxidoreductase"</f>
        <v>Quinone oxidoreductase</v>
      </c>
      <c r="K1072" t="str">
        <f>"CRYZ"</f>
        <v>CRYZ</v>
      </c>
    </row>
    <row r="1073" spans="1:11" x14ac:dyDescent="0.25">
      <c r="A1073" s="1">
        <v>2604</v>
      </c>
      <c r="B1073" s="1">
        <v>2</v>
      </c>
      <c r="C1073" s="1" t="s">
        <v>3</v>
      </c>
      <c r="D1073" s="1">
        <v>6</v>
      </c>
      <c r="E1073" s="1">
        <v>74.92</v>
      </c>
      <c r="F1073" s="1">
        <v>1</v>
      </c>
      <c r="G1073" t="s">
        <v>1750</v>
      </c>
      <c r="H1073" t="s">
        <v>1751</v>
      </c>
      <c r="I1073" t="s">
        <v>4975</v>
      </c>
      <c r="J1073" t="str">
        <f>"BRO1 domain-containing protein BROX"</f>
        <v>BRO1 domain-containing protein BROX</v>
      </c>
      <c r="K1073" t="str">
        <f>"BROX"</f>
        <v>BROX</v>
      </c>
    </row>
    <row r="1074" spans="1:11" x14ac:dyDescent="0.25">
      <c r="A1074" s="1">
        <v>2581</v>
      </c>
      <c r="B1074" s="1">
        <v>3</v>
      </c>
      <c r="C1074" s="1" t="s">
        <v>3</v>
      </c>
      <c r="D1074" s="1">
        <v>10</v>
      </c>
      <c r="E1074" s="1">
        <v>102.57</v>
      </c>
      <c r="F1074" s="1">
        <v>1</v>
      </c>
      <c r="G1074" t="s">
        <v>1752</v>
      </c>
      <c r="H1074" t="s">
        <v>1753</v>
      </c>
      <c r="I1074" t="s">
        <v>4976</v>
      </c>
      <c r="J1074" t="str">
        <f>"Disks large homolog 3"</f>
        <v>Disks large homolog 3</v>
      </c>
      <c r="K1074" t="str">
        <f>"DLG3"</f>
        <v>DLG3</v>
      </c>
    </row>
    <row r="1075" spans="1:11" x14ac:dyDescent="0.25">
      <c r="A1075" s="1">
        <v>1158</v>
      </c>
      <c r="B1075" s="1">
        <v>2</v>
      </c>
      <c r="C1075" s="1" t="s">
        <v>3</v>
      </c>
      <c r="D1075" s="1">
        <v>4</v>
      </c>
      <c r="E1075" s="1">
        <v>93.614000000000004</v>
      </c>
      <c r="F1075" s="1">
        <v>1</v>
      </c>
      <c r="G1075" t="s">
        <v>1754</v>
      </c>
      <c r="H1075" t="s">
        <v>1755</v>
      </c>
      <c r="I1075" t="s">
        <v>4977</v>
      </c>
      <c r="J1075" t="str">
        <f>"40S ribosomal protein S3a"</f>
        <v>40S ribosomal protein S3a</v>
      </c>
      <c r="K1075" t="str">
        <f>"RPS3A"</f>
        <v>RPS3A</v>
      </c>
    </row>
    <row r="1076" spans="1:11" x14ac:dyDescent="0.25">
      <c r="A1076" s="1">
        <v>2573</v>
      </c>
      <c r="B1076" s="1">
        <v>3</v>
      </c>
      <c r="C1076" s="1" t="s">
        <v>3</v>
      </c>
      <c r="D1076" s="1">
        <v>12</v>
      </c>
      <c r="E1076" s="1">
        <v>80.236000000000004</v>
      </c>
      <c r="F1076" s="1">
        <v>0.76935600000000004</v>
      </c>
      <c r="G1076" t="s">
        <v>1756</v>
      </c>
      <c r="H1076" t="s">
        <v>1757</v>
      </c>
      <c r="I1076">
        <v>65</v>
      </c>
      <c r="J1076" t="str">
        <f>"Ankyrin repeat domain-containing protein 39"</f>
        <v>Ankyrin repeat domain-containing protein 39</v>
      </c>
      <c r="K1076" t="str">
        <f>"ANKRD39"</f>
        <v>ANKRD39</v>
      </c>
    </row>
    <row r="1077" spans="1:11" x14ac:dyDescent="0.25">
      <c r="A1077" s="1">
        <v>982</v>
      </c>
      <c r="B1077" s="1">
        <v>3</v>
      </c>
      <c r="C1077" s="1" t="s">
        <v>3</v>
      </c>
      <c r="D1077" s="1">
        <v>7</v>
      </c>
      <c r="E1077" s="1">
        <v>63.682000000000002</v>
      </c>
      <c r="F1077" s="1">
        <v>1</v>
      </c>
      <c r="G1077" t="s">
        <v>1758</v>
      </c>
      <c r="H1077" t="s">
        <v>1759</v>
      </c>
      <c r="I1077" t="s">
        <v>4978</v>
      </c>
      <c r="J1077" t="str">
        <f>"Shootin-1"</f>
        <v>Shootin-1</v>
      </c>
      <c r="K1077" t="str">
        <f>"KIAA1598"</f>
        <v>KIAA1598</v>
      </c>
    </row>
    <row r="1078" spans="1:11" x14ac:dyDescent="0.25">
      <c r="A1078" s="1">
        <v>2124</v>
      </c>
      <c r="B1078" s="1">
        <v>3</v>
      </c>
      <c r="C1078" s="1" t="s">
        <v>3</v>
      </c>
      <c r="D1078" s="1">
        <v>10</v>
      </c>
      <c r="E1078" s="1">
        <v>58.98</v>
      </c>
      <c r="F1078" s="1">
        <v>0.61274099999999998</v>
      </c>
      <c r="G1078" t="s">
        <v>1760</v>
      </c>
      <c r="H1078" t="s">
        <v>1761</v>
      </c>
      <c r="I1078" t="s">
        <v>4979</v>
      </c>
      <c r="J1078" t="str">
        <f>"Emerin"</f>
        <v>Emerin</v>
      </c>
      <c r="K1078" t="str">
        <f>"EMD"</f>
        <v>EMD</v>
      </c>
    </row>
    <row r="1079" spans="1:11" x14ac:dyDescent="0.25">
      <c r="A1079" s="1">
        <v>2218</v>
      </c>
      <c r="B1079" s="1">
        <v>2</v>
      </c>
      <c r="C1079" s="1" t="s">
        <v>3</v>
      </c>
      <c r="D1079" s="1">
        <v>5</v>
      </c>
      <c r="E1079" s="1">
        <v>87.180999999999997</v>
      </c>
      <c r="F1079" s="1">
        <v>1</v>
      </c>
      <c r="G1079" t="s">
        <v>1762</v>
      </c>
      <c r="H1079" t="s">
        <v>1763</v>
      </c>
      <c r="I1079">
        <v>79</v>
      </c>
      <c r="J1079" t="str">
        <f>"Cortexin-1"</f>
        <v>Cortexin-1</v>
      </c>
      <c r="K1079" t="str">
        <f>"CTXN1"</f>
        <v>CTXN1</v>
      </c>
    </row>
    <row r="1080" spans="1:11" x14ac:dyDescent="0.25">
      <c r="A1080" s="1">
        <v>2871</v>
      </c>
      <c r="B1080" s="1">
        <v>2</v>
      </c>
      <c r="C1080" s="1" t="s">
        <v>3</v>
      </c>
      <c r="D1080" s="1">
        <v>1</v>
      </c>
      <c r="E1080" s="1">
        <v>183.72</v>
      </c>
      <c r="F1080" s="1">
        <v>0.99998900000000002</v>
      </c>
      <c r="G1080" t="s">
        <v>1764</v>
      </c>
      <c r="H1080" t="s">
        <v>887</v>
      </c>
      <c r="I1080">
        <v>648</v>
      </c>
      <c r="J1080" t="str">
        <f>"RNA-binding protein 14"</f>
        <v>RNA-binding protein 14</v>
      </c>
      <c r="K1080" t="str">
        <f>"RBM14"</f>
        <v>RBM14</v>
      </c>
    </row>
    <row r="1081" spans="1:11" x14ac:dyDescent="0.25">
      <c r="A1081" s="1">
        <v>1162</v>
      </c>
      <c r="B1081" s="1">
        <v>3</v>
      </c>
      <c r="C1081" s="1" t="s">
        <v>3</v>
      </c>
      <c r="D1081" s="1">
        <v>6</v>
      </c>
      <c r="E1081" s="1">
        <v>47.548000000000002</v>
      </c>
      <c r="F1081" s="1">
        <v>0.78262600000000004</v>
      </c>
      <c r="G1081" t="s">
        <v>1765</v>
      </c>
      <c r="H1081" t="s">
        <v>1766</v>
      </c>
      <c r="I1081" t="s">
        <v>4980</v>
      </c>
      <c r="J1081" t="str">
        <f>"Succinate dehydrogenase [ubiquinone] flavoprotein subunit, mitochondrial"</f>
        <v>Succinate dehydrogenase [ubiquinone] flavoprotein subunit, mitochondrial</v>
      </c>
      <c r="K1081" t="str">
        <f>"SDHA"</f>
        <v>SDHA</v>
      </c>
    </row>
    <row r="1082" spans="1:11" x14ac:dyDescent="0.25">
      <c r="A1082" s="1">
        <v>2471</v>
      </c>
      <c r="B1082" s="1">
        <v>3</v>
      </c>
      <c r="C1082" s="1" t="s">
        <v>3</v>
      </c>
      <c r="D1082" s="1">
        <v>10</v>
      </c>
      <c r="E1082" s="1">
        <v>52.862000000000002</v>
      </c>
      <c r="F1082" s="1">
        <v>0.92893199999999998</v>
      </c>
      <c r="G1082" t="s">
        <v>1767</v>
      </c>
      <c r="H1082" t="s">
        <v>534</v>
      </c>
      <c r="I1082" t="s">
        <v>4981</v>
      </c>
      <c r="J1082" t="str">
        <f>"Src substrate cortactin"</f>
        <v>Src substrate cortactin</v>
      </c>
      <c r="K1082" t="str">
        <f>"CTTN"</f>
        <v>CTTN</v>
      </c>
    </row>
    <row r="1083" spans="1:11" x14ac:dyDescent="0.25">
      <c r="A1083" s="1">
        <v>3157</v>
      </c>
      <c r="B1083" s="1">
        <v>3</v>
      </c>
      <c r="C1083" s="1" t="s">
        <v>3</v>
      </c>
      <c r="D1083" s="1">
        <v>5</v>
      </c>
      <c r="E1083" s="1">
        <v>88.548000000000002</v>
      </c>
      <c r="F1083" s="1">
        <v>0.90181500000000003</v>
      </c>
      <c r="G1083" t="s">
        <v>1768</v>
      </c>
      <c r="H1083" t="s">
        <v>1769</v>
      </c>
      <c r="I1083" t="s">
        <v>4982</v>
      </c>
      <c r="J1083" t="str">
        <f>"RNA-binding protein 8A"</f>
        <v>RNA-binding protein 8A</v>
      </c>
      <c r="K1083" t="str">
        <f>"RBM8A"</f>
        <v>RBM8A</v>
      </c>
    </row>
    <row r="1084" spans="1:11" x14ac:dyDescent="0.25">
      <c r="A1084" s="1">
        <v>705</v>
      </c>
      <c r="B1084" s="1">
        <v>4</v>
      </c>
      <c r="C1084" s="1" t="s">
        <v>4</v>
      </c>
      <c r="D1084" s="1">
        <v>17</v>
      </c>
      <c r="E1084" s="1">
        <v>80.165999999999997</v>
      </c>
      <c r="F1084" s="1">
        <v>0.57934600000000003</v>
      </c>
      <c r="G1084" t="s">
        <v>1770</v>
      </c>
      <c r="H1084" t="s">
        <v>24</v>
      </c>
      <c r="I1084">
        <v>315</v>
      </c>
      <c r="J1084" t="str">
        <f>"Retinoic acid-induced protein 3"</f>
        <v>Retinoic acid-induced protein 3</v>
      </c>
      <c r="K1084" t="str">
        <f>"GPRC5A"</f>
        <v>GPRC5A</v>
      </c>
    </row>
    <row r="1085" spans="1:11" x14ac:dyDescent="0.25">
      <c r="A1085" s="1">
        <v>294</v>
      </c>
      <c r="B1085" s="1">
        <v>4</v>
      </c>
      <c r="C1085" s="1" t="s">
        <v>5</v>
      </c>
      <c r="D1085" s="1">
        <v>23</v>
      </c>
      <c r="E1085" s="1">
        <v>48.118000000000002</v>
      </c>
      <c r="F1085" s="1">
        <v>0.58437899999999998</v>
      </c>
      <c r="G1085" t="s">
        <v>1771</v>
      </c>
      <c r="H1085" t="s">
        <v>195</v>
      </c>
      <c r="I1085" t="s">
        <v>4983</v>
      </c>
      <c r="J1085" t="str">
        <f>"Focal adhesion kinase 1"</f>
        <v>Focal adhesion kinase 1</v>
      </c>
      <c r="K1085" t="str">
        <f>"PTK2"</f>
        <v>PTK2</v>
      </c>
    </row>
    <row r="1086" spans="1:11" x14ac:dyDescent="0.25">
      <c r="A1086" s="1">
        <v>1168</v>
      </c>
      <c r="B1086" s="1">
        <v>3</v>
      </c>
      <c r="C1086" s="1" t="s">
        <v>3</v>
      </c>
      <c r="D1086" s="1">
        <v>5</v>
      </c>
      <c r="E1086" s="1">
        <v>57.936</v>
      </c>
      <c r="F1086" s="1">
        <v>0.99212500000000003</v>
      </c>
      <c r="G1086" t="s">
        <v>1772</v>
      </c>
      <c r="H1086" t="s">
        <v>1773</v>
      </c>
      <c r="I1086" t="s">
        <v>4984</v>
      </c>
      <c r="J1086" t="str">
        <f>"Copine-8"</f>
        <v>Copine-8</v>
      </c>
      <c r="K1086" t="str">
        <f>"CPNE8"</f>
        <v>CPNE8</v>
      </c>
    </row>
    <row r="1087" spans="1:11" x14ac:dyDescent="0.25">
      <c r="A1087" s="1">
        <v>961</v>
      </c>
      <c r="B1087" s="1">
        <v>3</v>
      </c>
      <c r="C1087" s="1" t="s">
        <v>3</v>
      </c>
      <c r="D1087" s="1">
        <v>3</v>
      </c>
      <c r="E1087" s="1">
        <v>41.704000000000001</v>
      </c>
      <c r="F1087" s="1">
        <v>1</v>
      </c>
      <c r="G1087" t="s">
        <v>1774</v>
      </c>
      <c r="H1087" t="s">
        <v>1264</v>
      </c>
      <c r="I1087" t="s">
        <v>4985</v>
      </c>
      <c r="J1087" t="str">
        <f>"Protein diaphanous homolog 1"</f>
        <v>Protein diaphanous homolog 1</v>
      </c>
      <c r="K1087" t="str">
        <f>"DIAPH1"</f>
        <v>DIAPH1</v>
      </c>
    </row>
    <row r="1088" spans="1:11" x14ac:dyDescent="0.25">
      <c r="A1088" s="1">
        <v>218</v>
      </c>
      <c r="B1088" s="1">
        <v>4</v>
      </c>
      <c r="C1088" s="1" t="s">
        <v>5</v>
      </c>
      <c r="D1088" s="1">
        <v>2</v>
      </c>
      <c r="E1088" s="1">
        <v>72.358999999999995</v>
      </c>
      <c r="F1088" s="1">
        <v>0.88947799999999999</v>
      </c>
      <c r="G1088" t="s">
        <v>1775</v>
      </c>
      <c r="H1088" t="s">
        <v>147</v>
      </c>
      <c r="I1088">
        <v>23</v>
      </c>
      <c r="J1088" t="str">
        <f>"Phosphoglycerate mutase 1"</f>
        <v>Phosphoglycerate mutase 1</v>
      </c>
      <c r="K1088" t="str">
        <f>"PGAM1"</f>
        <v>PGAM1</v>
      </c>
    </row>
    <row r="1089" spans="1:11" x14ac:dyDescent="0.25">
      <c r="A1089" s="1">
        <v>924</v>
      </c>
      <c r="B1089" s="1">
        <v>3</v>
      </c>
      <c r="C1089" s="1" t="s">
        <v>3</v>
      </c>
      <c r="D1089" s="1">
        <v>7</v>
      </c>
      <c r="E1089" s="1">
        <v>92.518000000000001</v>
      </c>
      <c r="F1089" s="1">
        <v>0.934195</v>
      </c>
      <c r="G1089" t="s">
        <v>1776</v>
      </c>
      <c r="H1089" t="s">
        <v>1777</v>
      </c>
      <c r="I1089" t="s">
        <v>4986</v>
      </c>
      <c r="J1089" t="str">
        <f>"Platelet-derived growth factor receptor alpha"</f>
        <v>Platelet-derived growth factor receptor alpha</v>
      </c>
      <c r="K1089" t="str">
        <f>"PDGFRA"</f>
        <v>PDGFRA</v>
      </c>
    </row>
    <row r="1090" spans="1:11" x14ac:dyDescent="0.25">
      <c r="A1090" s="1">
        <v>912</v>
      </c>
      <c r="B1090" s="1">
        <v>3</v>
      </c>
      <c r="C1090" s="1" t="s">
        <v>3</v>
      </c>
      <c r="D1090" s="1">
        <v>12</v>
      </c>
      <c r="E1090" s="1">
        <v>74.731999999999999</v>
      </c>
      <c r="F1090" s="1">
        <v>0.98326499999999994</v>
      </c>
      <c r="G1090" t="s">
        <v>1778</v>
      </c>
      <c r="H1090" t="s">
        <v>1779</v>
      </c>
      <c r="I1090" t="s">
        <v>4987</v>
      </c>
      <c r="J1090" t="str">
        <f>"Protein SCAF8"</f>
        <v>Protein SCAF8</v>
      </c>
      <c r="K1090" t="str">
        <f>"SCAF8"</f>
        <v>SCAF8</v>
      </c>
    </row>
    <row r="1091" spans="1:11" x14ac:dyDescent="0.25">
      <c r="A1091" s="1">
        <v>21</v>
      </c>
      <c r="B1091" s="1">
        <v>3</v>
      </c>
      <c r="C1091" s="1" t="s">
        <v>5</v>
      </c>
      <c r="D1091" s="1">
        <v>5</v>
      </c>
      <c r="E1091" s="1">
        <v>134.68</v>
      </c>
      <c r="F1091" s="1">
        <v>0.63973400000000002</v>
      </c>
      <c r="G1091" t="s">
        <v>1780</v>
      </c>
      <c r="H1091" t="s">
        <v>1777</v>
      </c>
      <c r="I1091" t="s">
        <v>4988</v>
      </c>
      <c r="J1091" t="str">
        <f>"Platelet-derived growth factor receptor alpha"</f>
        <v>Platelet-derived growth factor receptor alpha</v>
      </c>
      <c r="K1091" t="str">
        <f>"PDGFRA"</f>
        <v>PDGFRA</v>
      </c>
    </row>
    <row r="1092" spans="1:11" x14ac:dyDescent="0.25">
      <c r="A1092" s="1">
        <v>44</v>
      </c>
      <c r="B1092" s="1">
        <v>5</v>
      </c>
      <c r="C1092" s="1" t="s">
        <v>5</v>
      </c>
      <c r="D1092" s="1">
        <v>19</v>
      </c>
      <c r="E1092" s="1">
        <v>78.272000000000006</v>
      </c>
      <c r="F1092" s="1">
        <v>0.61434599999999995</v>
      </c>
      <c r="G1092" t="s">
        <v>1781</v>
      </c>
      <c r="H1092" t="s">
        <v>1782</v>
      </c>
      <c r="I1092" t="s">
        <v>4989</v>
      </c>
      <c r="J1092" t="str">
        <f>"Matrin-3"</f>
        <v>Matrin-3</v>
      </c>
      <c r="K1092" t="str">
        <f>"MATR3"</f>
        <v>MATR3</v>
      </c>
    </row>
    <row r="1093" spans="1:11" x14ac:dyDescent="0.25">
      <c r="A1093" s="1">
        <v>821</v>
      </c>
      <c r="B1093" s="1">
        <v>3</v>
      </c>
      <c r="C1093" s="1" t="s">
        <v>3</v>
      </c>
      <c r="D1093" s="1">
        <v>6</v>
      </c>
      <c r="E1093" s="1">
        <v>145.88</v>
      </c>
      <c r="F1093" s="1">
        <v>0.99984700000000004</v>
      </c>
      <c r="G1093" t="s">
        <v>1783</v>
      </c>
      <c r="H1093" t="s">
        <v>1784</v>
      </c>
      <c r="I1093" t="s">
        <v>4990</v>
      </c>
      <c r="J1093" t="str">
        <f>"Ribonucleoprotein PTB-binding 1"</f>
        <v>Ribonucleoprotein PTB-binding 1</v>
      </c>
      <c r="K1093" t="str">
        <f>"RAVER1"</f>
        <v>RAVER1</v>
      </c>
    </row>
    <row r="1094" spans="1:11" x14ac:dyDescent="0.25">
      <c r="A1094" s="1">
        <v>1035</v>
      </c>
      <c r="B1094" s="1">
        <v>2</v>
      </c>
      <c r="C1094" s="1" t="s">
        <v>3</v>
      </c>
      <c r="D1094" s="1">
        <v>2</v>
      </c>
      <c r="E1094" s="1">
        <v>86.497</v>
      </c>
      <c r="F1094" s="1">
        <v>1</v>
      </c>
      <c r="G1094" t="s">
        <v>1785</v>
      </c>
      <c r="H1094" t="s">
        <v>1786</v>
      </c>
      <c r="I1094" t="s">
        <v>4991</v>
      </c>
      <c r="J1094" t="str">
        <f>"Ephrin type-B receptor 2;Ephrin type-B receptor 1"</f>
        <v>Ephrin type-B receptor 2;Ephrin type-B receptor 1</v>
      </c>
      <c r="K1094" t="str">
        <f>"EPHB2;EPHB1"</f>
        <v>EPHB2;EPHB1</v>
      </c>
    </row>
    <row r="1095" spans="1:11" x14ac:dyDescent="0.25">
      <c r="A1095" s="1">
        <v>2906</v>
      </c>
      <c r="B1095" s="1">
        <v>2</v>
      </c>
      <c r="C1095" s="1" t="s">
        <v>3</v>
      </c>
      <c r="D1095" s="1">
        <v>10</v>
      </c>
      <c r="E1095" s="1">
        <v>88.021000000000001</v>
      </c>
      <c r="F1095" s="1">
        <v>1</v>
      </c>
      <c r="G1095" t="s">
        <v>1787</v>
      </c>
      <c r="H1095" t="s">
        <v>1788</v>
      </c>
      <c r="I1095" t="s">
        <v>4992</v>
      </c>
      <c r="J1095" t="str">
        <f>"Plakophilin-4"</f>
        <v>Plakophilin-4</v>
      </c>
      <c r="K1095" t="str">
        <f>"PKP4"</f>
        <v>PKP4</v>
      </c>
    </row>
    <row r="1096" spans="1:11" x14ac:dyDescent="0.25">
      <c r="A1096" s="1">
        <v>643</v>
      </c>
      <c r="B1096" s="1">
        <v>3</v>
      </c>
      <c r="C1096" s="1" t="s">
        <v>4</v>
      </c>
      <c r="D1096" s="1">
        <v>9</v>
      </c>
      <c r="E1096" s="1">
        <v>50.088000000000001</v>
      </c>
      <c r="F1096" s="1">
        <v>0.54533299999999996</v>
      </c>
      <c r="G1096" t="s">
        <v>1789</v>
      </c>
      <c r="H1096" t="s">
        <v>347</v>
      </c>
      <c r="I1096">
        <v>27</v>
      </c>
      <c r="J1096" t="str">
        <f>"Protein S100-A10"</f>
        <v>Protein S100-A10</v>
      </c>
      <c r="K1096" t="str">
        <f>"S100A10"</f>
        <v>S100A10</v>
      </c>
    </row>
    <row r="1097" spans="1:11" x14ac:dyDescent="0.25">
      <c r="A1097" s="1">
        <v>762</v>
      </c>
      <c r="B1097" s="1">
        <v>2</v>
      </c>
      <c r="C1097" s="1" t="s">
        <v>3</v>
      </c>
      <c r="D1097" s="1">
        <v>13</v>
      </c>
      <c r="E1097" s="1">
        <v>183.75</v>
      </c>
      <c r="F1097" s="1">
        <v>1</v>
      </c>
      <c r="G1097" t="s">
        <v>1790</v>
      </c>
      <c r="H1097" t="s">
        <v>1791</v>
      </c>
      <c r="I1097" t="s">
        <v>4993</v>
      </c>
      <c r="J1097" t="str">
        <f>"Leukocyte immunoglobulin-like receptor subfamily B member 1"</f>
        <v>Leukocyte immunoglobulin-like receptor subfamily B member 1</v>
      </c>
      <c r="K1097" t="str">
        <f>"LILRB1;PODNL1"</f>
        <v>LILRB1;PODNL1</v>
      </c>
    </row>
    <row r="1098" spans="1:11" x14ac:dyDescent="0.25">
      <c r="A1098" s="1">
        <v>255</v>
      </c>
      <c r="B1098" s="1">
        <v>3</v>
      </c>
      <c r="C1098" s="1" t="s">
        <v>5</v>
      </c>
      <c r="D1098" s="1">
        <v>18</v>
      </c>
      <c r="E1098" s="1">
        <v>79.69</v>
      </c>
      <c r="F1098" s="1">
        <v>0.61931499999999995</v>
      </c>
      <c r="G1098" t="s">
        <v>1792</v>
      </c>
      <c r="H1098" t="s">
        <v>991</v>
      </c>
      <c r="I1098" t="s">
        <v>4361</v>
      </c>
      <c r="J1098" t="str">
        <f>"Ras GTPase-activating-like protein IQGAP1"</f>
        <v>Ras GTPase-activating-like protein IQGAP1</v>
      </c>
      <c r="K1098" t="str">
        <f>"IQGAP1"</f>
        <v>IQGAP1</v>
      </c>
    </row>
    <row r="1099" spans="1:11" x14ac:dyDescent="0.25">
      <c r="A1099" s="1">
        <v>1952</v>
      </c>
      <c r="B1099" s="1">
        <v>2</v>
      </c>
      <c r="C1099" s="1" t="s">
        <v>3</v>
      </c>
      <c r="D1099" s="1">
        <v>11</v>
      </c>
      <c r="E1099" s="1">
        <v>76.759</v>
      </c>
      <c r="F1099" s="1">
        <v>1</v>
      </c>
      <c r="G1099" t="s">
        <v>1793</v>
      </c>
      <c r="H1099" t="s">
        <v>47</v>
      </c>
      <c r="I1099">
        <v>628</v>
      </c>
      <c r="J1099" t="str">
        <f>"Ephrin type-A receptor 2"</f>
        <v>Ephrin type-A receptor 2</v>
      </c>
      <c r="K1099" t="str">
        <f>"EPHA2"</f>
        <v>EPHA2</v>
      </c>
    </row>
    <row r="1100" spans="1:11" x14ac:dyDescent="0.25">
      <c r="A1100" s="1">
        <v>1613</v>
      </c>
      <c r="B1100" s="1">
        <v>3</v>
      </c>
      <c r="C1100" s="1" t="s">
        <v>3</v>
      </c>
      <c r="D1100" s="1">
        <v>7</v>
      </c>
      <c r="E1100" s="1">
        <v>61.265000000000001</v>
      </c>
      <c r="F1100" s="1">
        <v>0.99975599999999998</v>
      </c>
      <c r="G1100" t="s">
        <v>1794</v>
      </c>
      <c r="H1100" t="s">
        <v>1795</v>
      </c>
      <c r="I1100">
        <v>84</v>
      </c>
      <c r="J1100" t="str">
        <f>"Catalase"</f>
        <v>Catalase</v>
      </c>
      <c r="K1100" t="str">
        <f>"CAT"</f>
        <v>CAT</v>
      </c>
    </row>
    <row r="1101" spans="1:11" x14ac:dyDescent="0.25">
      <c r="A1101" s="1">
        <v>1766</v>
      </c>
      <c r="B1101" s="1">
        <v>3</v>
      </c>
      <c r="C1101" s="1" t="s">
        <v>3</v>
      </c>
      <c r="D1101" s="1">
        <v>3</v>
      </c>
      <c r="E1101" s="1">
        <v>99.043999999999997</v>
      </c>
      <c r="F1101" s="1">
        <v>0.99972399999999995</v>
      </c>
      <c r="G1101" t="s">
        <v>1796</v>
      </c>
      <c r="H1101" t="s">
        <v>996</v>
      </c>
      <c r="I1101">
        <v>273</v>
      </c>
      <c r="J1101" t="str">
        <f>"Protein disulfide-isomerase A4"</f>
        <v>Protein disulfide-isomerase A4</v>
      </c>
      <c r="K1101" t="str">
        <f>"PDIA4"</f>
        <v>PDIA4</v>
      </c>
    </row>
    <row r="1102" spans="1:11" x14ac:dyDescent="0.25">
      <c r="A1102" s="1">
        <v>2713</v>
      </c>
      <c r="B1102" s="1">
        <v>2</v>
      </c>
      <c r="C1102" s="1" t="s">
        <v>3</v>
      </c>
      <c r="D1102" s="1">
        <v>3</v>
      </c>
      <c r="E1102" s="1">
        <v>75.819000000000003</v>
      </c>
      <c r="F1102" s="1">
        <v>0.99888600000000005</v>
      </c>
      <c r="G1102" t="s">
        <v>1797</v>
      </c>
      <c r="H1102" t="s">
        <v>274</v>
      </c>
      <c r="I1102" t="s">
        <v>4994</v>
      </c>
      <c r="J1102" t="str">
        <f>"MAGUK p55 subfamily member 5"</f>
        <v>MAGUK p55 subfamily member 5</v>
      </c>
      <c r="K1102" t="str">
        <f>"MPP5"</f>
        <v>MPP5</v>
      </c>
    </row>
    <row r="1103" spans="1:11" x14ac:dyDescent="0.25">
      <c r="A1103" s="1">
        <v>211</v>
      </c>
      <c r="B1103" s="1">
        <v>3</v>
      </c>
      <c r="C1103" s="1" t="s">
        <v>5</v>
      </c>
      <c r="D1103" s="1">
        <v>12</v>
      </c>
      <c r="E1103" s="1">
        <v>65.427999999999997</v>
      </c>
      <c r="F1103" s="1">
        <v>0.99760499999999996</v>
      </c>
      <c r="G1103" t="s">
        <v>1798</v>
      </c>
      <c r="H1103" t="s">
        <v>941</v>
      </c>
      <c r="I1103">
        <v>28</v>
      </c>
      <c r="J1103" t="str">
        <f>"Desmin"</f>
        <v>Desmin</v>
      </c>
      <c r="K1103" t="str">
        <f>"DES"</f>
        <v>DES</v>
      </c>
    </row>
    <row r="1104" spans="1:11" x14ac:dyDescent="0.25">
      <c r="A1104" s="1">
        <v>1759</v>
      </c>
      <c r="B1104" s="1">
        <v>3</v>
      </c>
      <c r="C1104" s="1" t="s">
        <v>3</v>
      </c>
      <c r="D1104" s="1">
        <v>16</v>
      </c>
      <c r="E1104" s="1">
        <v>59.338999999999999</v>
      </c>
      <c r="F1104" s="1">
        <v>0.98113300000000003</v>
      </c>
      <c r="G1104" t="s">
        <v>1799</v>
      </c>
      <c r="H1104" t="s">
        <v>1800</v>
      </c>
      <c r="I1104" t="s">
        <v>4995</v>
      </c>
      <c r="J1104" t="str">
        <f>"Low affinity immunoglobulin gamma Fc region receptor II-a"</f>
        <v>Low affinity immunoglobulin gamma Fc region receptor II-a</v>
      </c>
      <c r="K1104" t="str">
        <f>"FCGR2A"</f>
        <v>FCGR2A</v>
      </c>
    </row>
    <row r="1105" spans="1:11" x14ac:dyDescent="0.25">
      <c r="A1105" s="1">
        <v>2175</v>
      </c>
      <c r="B1105" s="1">
        <v>4</v>
      </c>
      <c r="C1105" s="1" t="s">
        <v>3</v>
      </c>
      <c r="D1105" s="1">
        <v>5</v>
      </c>
      <c r="E1105" s="1">
        <v>68.168000000000006</v>
      </c>
      <c r="F1105" s="1">
        <v>0.99999899999999997</v>
      </c>
      <c r="G1105" t="s">
        <v>1801</v>
      </c>
      <c r="H1105" t="s">
        <v>199</v>
      </c>
      <c r="I1105" t="s">
        <v>4996</v>
      </c>
      <c r="J1105" t="str">
        <f>"ATP-citrate synthase"</f>
        <v>ATP-citrate synthase</v>
      </c>
      <c r="K1105" t="str">
        <f>"ACLY"</f>
        <v>ACLY</v>
      </c>
    </row>
    <row r="1106" spans="1:11" x14ac:dyDescent="0.25">
      <c r="A1106" s="1">
        <v>1674</v>
      </c>
      <c r="B1106" s="1">
        <v>4</v>
      </c>
      <c r="C1106" s="1" t="s">
        <v>3</v>
      </c>
      <c r="D1106" s="1">
        <v>10</v>
      </c>
      <c r="E1106" s="1">
        <v>65.043000000000006</v>
      </c>
      <c r="F1106" s="1">
        <v>0.85220099999999999</v>
      </c>
      <c r="G1106" t="s">
        <v>1802</v>
      </c>
      <c r="H1106" t="s">
        <v>1803</v>
      </c>
      <c r="I1106" t="s">
        <v>4997</v>
      </c>
      <c r="J1106" t="str">
        <f>"Tropomyosin beta chain"</f>
        <v>Tropomyosin beta chain</v>
      </c>
      <c r="K1106" t="str">
        <f>"TPM2"</f>
        <v>TPM2</v>
      </c>
    </row>
    <row r="1107" spans="1:11" x14ac:dyDescent="0.25">
      <c r="A1107" s="1">
        <v>828</v>
      </c>
      <c r="B1107" s="1">
        <v>3</v>
      </c>
      <c r="C1107" s="1" t="s">
        <v>3</v>
      </c>
      <c r="D1107" s="1">
        <v>3</v>
      </c>
      <c r="E1107" s="1">
        <v>99.043999999999997</v>
      </c>
      <c r="F1107" s="1">
        <v>0.829762</v>
      </c>
      <c r="G1107" t="s">
        <v>1804</v>
      </c>
      <c r="H1107" t="s">
        <v>520</v>
      </c>
      <c r="I1107" t="s">
        <v>4998</v>
      </c>
      <c r="J1107" t="str">
        <f>"Lipoma-preferred partner"</f>
        <v>Lipoma-preferred partner</v>
      </c>
      <c r="K1107" t="str">
        <f>"LPP"</f>
        <v>LPP</v>
      </c>
    </row>
    <row r="1108" spans="1:11" x14ac:dyDescent="0.25">
      <c r="A1108" s="1">
        <v>2680</v>
      </c>
      <c r="B1108" s="1">
        <v>2</v>
      </c>
      <c r="C1108" s="1" t="s">
        <v>3</v>
      </c>
      <c r="D1108" s="1">
        <v>8</v>
      </c>
      <c r="E1108" s="1">
        <v>43.896999999999998</v>
      </c>
      <c r="F1108" s="1">
        <v>1</v>
      </c>
      <c r="G1108" t="s">
        <v>1805</v>
      </c>
      <c r="H1108" t="s">
        <v>1806</v>
      </c>
      <c r="I1108" t="s">
        <v>4999</v>
      </c>
      <c r="J1108" t="str">
        <f>"Lipolysis-stimulated lipoprotein receptor"</f>
        <v>Lipolysis-stimulated lipoprotein receptor</v>
      </c>
      <c r="K1108" t="str">
        <f>"LSR"</f>
        <v>LSR</v>
      </c>
    </row>
    <row r="1109" spans="1:11" x14ac:dyDescent="0.25">
      <c r="A1109" s="1">
        <v>1659</v>
      </c>
      <c r="B1109" s="1">
        <v>2</v>
      </c>
      <c r="C1109" s="1" t="s">
        <v>3</v>
      </c>
      <c r="D1109" s="1">
        <v>4</v>
      </c>
      <c r="E1109" s="1">
        <v>76.072999999999993</v>
      </c>
      <c r="F1109" s="1">
        <v>0.995282</v>
      </c>
      <c r="G1109" t="s">
        <v>1807</v>
      </c>
      <c r="H1109" t="s">
        <v>1808</v>
      </c>
      <c r="I1109" t="s">
        <v>5000</v>
      </c>
      <c r="J1109" t="str">
        <f>"Tubulin beta chain"</f>
        <v>Tubulin beta chain</v>
      </c>
      <c r="K1109" t="str">
        <f>"TUBB"</f>
        <v>TUBB</v>
      </c>
    </row>
    <row r="1110" spans="1:11" x14ac:dyDescent="0.25">
      <c r="A1110" s="1">
        <v>3134</v>
      </c>
      <c r="B1110" s="1">
        <v>2</v>
      </c>
      <c r="C1110" s="1" t="s">
        <v>3</v>
      </c>
      <c r="D1110" s="1">
        <v>16</v>
      </c>
      <c r="E1110" s="1">
        <v>120.9</v>
      </c>
      <c r="F1110" s="1">
        <v>0.76349699999999998</v>
      </c>
      <c r="G1110" t="s">
        <v>1809</v>
      </c>
      <c r="H1110" t="s">
        <v>999</v>
      </c>
      <c r="I1110" t="s">
        <v>5001</v>
      </c>
      <c r="J1110" t="str">
        <f>"Plakophilin-3"</f>
        <v>Plakophilin-3</v>
      </c>
      <c r="K1110" t="str">
        <f>"PKP3"</f>
        <v>PKP3</v>
      </c>
    </row>
    <row r="1111" spans="1:11" x14ac:dyDescent="0.25">
      <c r="A1111" s="1">
        <v>1393</v>
      </c>
      <c r="B1111" s="1">
        <v>3</v>
      </c>
      <c r="C1111" s="1" t="s">
        <v>3</v>
      </c>
      <c r="D1111" s="1">
        <v>13</v>
      </c>
      <c r="E1111" s="1">
        <v>62.780999999999999</v>
      </c>
      <c r="F1111" s="1">
        <v>0.99188100000000001</v>
      </c>
      <c r="G1111" t="s">
        <v>1810</v>
      </c>
      <c r="H1111" t="s">
        <v>1811</v>
      </c>
      <c r="I1111" t="s">
        <v>5002</v>
      </c>
      <c r="J1111" t="str">
        <f>"Eukaryotic translation initiation factor 1;Eukaryotic translation initiation factor 1b"</f>
        <v>Eukaryotic translation initiation factor 1;Eukaryotic translation initiation factor 1b</v>
      </c>
      <c r="K1111" t="str">
        <f>"EIF1;EIF1B"</f>
        <v>EIF1;EIF1B</v>
      </c>
    </row>
    <row r="1112" spans="1:11" x14ac:dyDescent="0.25">
      <c r="A1112" s="1">
        <v>1938</v>
      </c>
      <c r="B1112" s="1">
        <v>4</v>
      </c>
      <c r="C1112" s="1" t="s">
        <v>3</v>
      </c>
      <c r="D1112" s="1">
        <v>14</v>
      </c>
      <c r="E1112" s="1">
        <v>77.468999999999994</v>
      </c>
      <c r="F1112" s="1">
        <v>0.726549</v>
      </c>
      <c r="G1112" t="s">
        <v>1812</v>
      </c>
      <c r="H1112" t="s">
        <v>1813</v>
      </c>
      <c r="I1112" t="s">
        <v>5003</v>
      </c>
      <c r="J1112" t="str">
        <f>"Phosphatidylinositol 3-kinase regulatory subunit alpha"</f>
        <v>Phosphatidylinositol 3-kinase regulatory subunit alpha</v>
      </c>
      <c r="K1112" t="str">
        <f>"PIK3R1"</f>
        <v>PIK3R1</v>
      </c>
    </row>
    <row r="1113" spans="1:11" x14ac:dyDescent="0.25">
      <c r="A1113" s="1">
        <v>1403</v>
      </c>
      <c r="B1113" s="1">
        <v>3</v>
      </c>
      <c r="C1113" s="1" t="s">
        <v>3</v>
      </c>
      <c r="D1113" s="1">
        <v>3</v>
      </c>
      <c r="E1113" s="1">
        <v>101.56</v>
      </c>
      <c r="F1113" s="1">
        <v>0.99151100000000003</v>
      </c>
      <c r="G1113" t="s">
        <v>1814</v>
      </c>
      <c r="H1113" t="s">
        <v>1815</v>
      </c>
      <c r="I1113" t="s">
        <v>5004</v>
      </c>
      <c r="J1113" t="str">
        <f>"ATP-dependent RNA helicase DDX39A;Spliceosome RNA helicase DDX39B"</f>
        <v>ATP-dependent RNA helicase DDX39A;Spliceosome RNA helicase DDX39B</v>
      </c>
      <c r="K1113" t="str">
        <f>"DDX39A;DDX39B"</f>
        <v>DDX39A;DDX39B</v>
      </c>
    </row>
    <row r="1114" spans="1:11" x14ac:dyDescent="0.25">
      <c r="A1114" s="1">
        <v>1757</v>
      </c>
      <c r="B1114" s="1">
        <v>2</v>
      </c>
      <c r="C1114" s="1" t="s">
        <v>3</v>
      </c>
      <c r="D1114" s="1">
        <v>7</v>
      </c>
      <c r="E1114" s="1">
        <v>70.941999999999993</v>
      </c>
      <c r="F1114" s="1">
        <v>0.99999199999999999</v>
      </c>
      <c r="G1114" t="s">
        <v>1816</v>
      </c>
      <c r="H1114" t="s">
        <v>1589</v>
      </c>
      <c r="I1114">
        <v>39</v>
      </c>
      <c r="J1114" t="str">
        <f>"Creatine kinase B-type"</f>
        <v>Creatine kinase B-type</v>
      </c>
      <c r="K1114" t="str">
        <f>"CKB"</f>
        <v>CKB</v>
      </c>
    </row>
    <row r="1115" spans="1:11" x14ac:dyDescent="0.25">
      <c r="A1115" s="1">
        <v>2150</v>
      </c>
      <c r="B1115" s="1">
        <v>4</v>
      </c>
      <c r="C1115" s="1" t="s">
        <v>3</v>
      </c>
      <c r="D1115" s="1">
        <v>1</v>
      </c>
      <c r="E1115" s="1">
        <v>76.161000000000001</v>
      </c>
      <c r="F1115" s="1">
        <v>0.98490299999999997</v>
      </c>
      <c r="G1115" t="s">
        <v>1817</v>
      </c>
      <c r="H1115" t="s">
        <v>629</v>
      </c>
      <c r="I1115" t="s">
        <v>5005</v>
      </c>
      <c r="J1115" t="str">
        <f>"Calponin-1"</f>
        <v>Calponin-1</v>
      </c>
      <c r="K1115" t="str">
        <f>"CNN1"</f>
        <v>CNN1</v>
      </c>
    </row>
    <row r="1116" spans="1:11" x14ac:dyDescent="0.25">
      <c r="A1116" s="1">
        <v>2539</v>
      </c>
      <c r="B1116" s="1">
        <v>2</v>
      </c>
      <c r="C1116" s="1" t="s">
        <v>3</v>
      </c>
      <c r="D1116" s="1">
        <v>1</v>
      </c>
      <c r="E1116" s="1">
        <v>62.286999999999999</v>
      </c>
      <c r="F1116" s="1">
        <v>0.96580299999999997</v>
      </c>
      <c r="G1116" t="s">
        <v>1818</v>
      </c>
      <c r="H1116" t="s">
        <v>1819</v>
      </c>
      <c r="I1116">
        <v>448</v>
      </c>
      <c r="J1116" t="str">
        <f>"Transforming growth factor-beta-induced protein ig-h3"</f>
        <v>Transforming growth factor-beta-induced protein ig-h3</v>
      </c>
      <c r="K1116" t="str">
        <f>"TGFBI"</f>
        <v>TGFBI</v>
      </c>
    </row>
    <row r="1117" spans="1:11" x14ac:dyDescent="0.25">
      <c r="A1117" s="1">
        <v>976</v>
      </c>
      <c r="B1117" s="1">
        <v>3</v>
      </c>
      <c r="C1117" s="1" t="s">
        <v>3</v>
      </c>
      <c r="D1117" s="1">
        <v>20</v>
      </c>
      <c r="E1117" s="1">
        <v>91.275999999999996</v>
      </c>
      <c r="F1117" s="1">
        <v>0.99389099999999997</v>
      </c>
      <c r="G1117" t="s">
        <v>1820</v>
      </c>
      <c r="H1117" t="s">
        <v>1821</v>
      </c>
      <c r="I1117" t="s">
        <v>5006</v>
      </c>
      <c r="J1117" t="str">
        <f>"Leukocyte immunoglobulin-like receptor subfamily B member 5"</f>
        <v>Leukocyte immunoglobulin-like receptor subfamily B member 5</v>
      </c>
      <c r="K1117" t="str">
        <f>"LILRB5"</f>
        <v>LILRB5</v>
      </c>
    </row>
    <row r="1118" spans="1:11" x14ac:dyDescent="0.25">
      <c r="A1118" s="1">
        <v>2692</v>
      </c>
      <c r="B1118" s="1">
        <v>3</v>
      </c>
      <c r="C1118" s="1" t="s">
        <v>3</v>
      </c>
      <c r="D1118" s="1">
        <v>12</v>
      </c>
      <c r="E1118" s="1">
        <v>80.813000000000002</v>
      </c>
      <c r="F1118" s="1">
        <v>0.99917699999999998</v>
      </c>
      <c r="G1118" t="s">
        <v>1822</v>
      </c>
      <c r="H1118" t="s">
        <v>1823</v>
      </c>
      <c r="I1118">
        <v>622</v>
      </c>
      <c r="J1118" t="str">
        <f>"Sodium/hydrogen exchanger 9"</f>
        <v>Sodium/hydrogen exchanger 9</v>
      </c>
      <c r="K1118" t="str">
        <f>"SLC9A9"</f>
        <v>SLC9A9</v>
      </c>
    </row>
    <row r="1119" spans="1:11" x14ac:dyDescent="0.25">
      <c r="A1119" s="1">
        <v>2693</v>
      </c>
      <c r="B1119" s="1">
        <v>2</v>
      </c>
      <c r="C1119" s="1" t="s">
        <v>3</v>
      </c>
      <c r="D1119" s="1">
        <v>4</v>
      </c>
      <c r="E1119" s="1">
        <v>45.368000000000002</v>
      </c>
      <c r="F1119" s="1">
        <v>0.78715199999999996</v>
      </c>
      <c r="G1119" t="s">
        <v>1824</v>
      </c>
      <c r="H1119" t="s">
        <v>1825</v>
      </c>
      <c r="I1119" t="s">
        <v>5007</v>
      </c>
      <c r="J1119" t="str">
        <f>"Protein AHNAK2"</f>
        <v>Protein AHNAK2</v>
      </c>
      <c r="K1119" t="str">
        <f>"AHNAK2"</f>
        <v>AHNAK2</v>
      </c>
    </row>
    <row r="1120" spans="1:11" x14ac:dyDescent="0.25">
      <c r="A1120" s="1">
        <v>2360</v>
      </c>
      <c r="B1120" s="1">
        <v>2</v>
      </c>
      <c r="C1120" s="1" t="s">
        <v>3</v>
      </c>
      <c r="D1120" s="1">
        <v>5</v>
      </c>
      <c r="E1120" s="1">
        <v>53.08</v>
      </c>
      <c r="F1120" s="1">
        <v>1</v>
      </c>
      <c r="G1120" t="s">
        <v>1826</v>
      </c>
      <c r="H1120" t="s">
        <v>1827</v>
      </c>
      <c r="I1120">
        <v>64</v>
      </c>
      <c r="J1120" t="str">
        <f>"Rho GTPase-activating protein 1"</f>
        <v>Rho GTPase-activating protein 1</v>
      </c>
      <c r="K1120" t="str">
        <f>"ARHGAP1"</f>
        <v>ARHGAP1</v>
      </c>
    </row>
    <row r="1121" spans="1:11" x14ac:dyDescent="0.25">
      <c r="A1121" s="1">
        <v>3160</v>
      </c>
      <c r="B1121" s="1">
        <v>2</v>
      </c>
      <c r="C1121" s="1" t="s">
        <v>3</v>
      </c>
      <c r="D1121" s="1">
        <v>2</v>
      </c>
      <c r="E1121" s="1">
        <v>68.397999999999996</v>
      </c>
      <c r="F1121" s="1">
        <v>1</v>
      </c>
      <c r="G1121" t="s">
        <v>1828</v>
      </c>
      <c r="H1121" t="s">
        <v>1829</v>
      </c>
      <c r="I1121">
        <v>22</v>
      </c>
      <c r="J1121" t="str">
        <f>"Feline leukemia virus subgroup C receptor-related protein 1"</f>
        <v>Feline leukemia virus subgroup C receptor-related protein 1</v>
      </c>
      <c r="K1121" t="str">
        <f>"FLVCR1"</f>
        <v>FLVCR1</v>
      </c>
    </row>
    <row r="1122" spans="1:11" x14ac:dyDescent="0.25">
      <c r="A1122" s="1">
        <v>1745</v>
      </c>
      <c r="B1122" s="1">
        <v>3</v>
      </c>
      <c r="C1122" s="1" t="s">
        <v>3</v>
      </c>
      <c r="D1122" s="1">
        <v>12</v>
      </c>
      <c r="E1122" s="1">
        <v>69.92</v>
      </c>
      <c r="F1122" s="1">
        <v>1</v>
      </c>
      <c r="G1122" t="s">
        <v>1830</v>
      </c>
      <c r="H1122" t="s">
        <v>532</v>
      </c>
      <c r="I1122">
        <v>204</v>
      </c>
      <c r="J1122" t="str">
        <f>"Glycogen phosphorylase, brain form"</f>
        <v>Glycogen phosphorylase, brain form</v>
      </c>
      <c r="K1122" t="str">
        <f>"PYGB"</f>
        <v>PYGB</v>
      </c>
    </row>
    <row r="1123" spans="1:11" x14ac:dyDescent="0.25">
      <c r="A1123" s="1">
        <v>2557</v>
      </c>
      <c r="B1123" s="1">
        <v>4</v>
      </c>
      <c r="C1123" s="1" t="s">
        <v>3</v>
      </c>
      <c r="D1123" s="1">
        <v>1</v>
      </c>
      <c r="E1123" s="1">
        <v>57.366</v>
      </c>
      <c r="F1123" s="1">
        <v>0.99984300000000004</v>
      </c>
      <c r="G1123" t="s">
        <v>1831</v>
      </c>
      <c r="H1123" t="s">
        <v>1832</v>
      </c>
      <c r="I1123" t="s">
        <v>5008</v>
      </c>
      <c r="J1123" t="str">
        <f>"Membrane primary amine oxidase"</f>
        <v>Membrane primary amine oxidase</v>
      </c>
      <c r="K1123" t="str">
        <f>"AOC3"</f>
        <v>AOC3</v>
      </c>
    </row>
    <row r="1124" spans="1:11" x14ac:dyDescent="0.25">
      <c r="A1124" s="1">
        <v>336</v>
      </c>
      <c r="B1124" s="1">
        <v>2</v>
      </c>
      <c r="C1124" s="1" t="s">
        <v>5</v>
      </c>
      <c r="D1124" s="1">
        <v>10</v>
      </c>
      <c r="E1124" s="1">
        <v>94.569000000000003</v>
      </c>
      <c r="F1124" s="1">
        <v>0.56150999999999995</v>
      </c>
      <c r="G1124" t="s">
        <v>1833</v>
      </c>
      <c r="H1124" t="s">
        <v>136</v>
      </c>
      <c r="I1124" t="s">
        <v>5009</v>
      </c>
      <c r="J1124" t="str">
        <f>"SH2 domain-containing adapter protein B"</f>
        <v>SH2 domain-containing adapter protein B</v>
      </c>
      <c r="K1124" t="str">
        <f>"SHB"</f>
        <v>SHB</v>
      </c>
    </row>
    <row r="1125" spans="1:11" x14ac:dyDescent="0.25">
      <c r="A1125" s="1">
        <v>971</v>
      </c>
      <c r="B1125" s="1">
        <v>3</v>
      </c>
      <c r="C1125" s="1" t="s">
        <v>3</v>
      </c>
      <c r="D1125" s="1">
        <v>17</v>
      </c>
      <c r="E1125" s="1">
        <v>93.165999999999997</v>
      </c>
      <c r="F1125" s="1">
        <v>0.767428</v>
      </c>
      <c r="G1125" t="s">
        <v>1834</v>
      </c>
      <c r="H1125" t="s">
        <v>1835</v>
      </c>
      <c r="I1125" t="s">
        <v>5010</v>
      </c>
      <c r="J1125" t="str">
        <f>"Leukocyte immunoglobulin-like receptor subfamily B member 4"</f>
        <v>Leukocyte immunoglobulin-like receptor subfamily B member 4</v>
      </c>
      <c r="K1125" t="str">
        <f>"LILRB4"</f>
        <v>LILRB4</v>
      </c>
    </row>
    <row r="1126" spans="1:11" x14ac:dyDescent="0.25">
      <c r="A1126" s="1">
        <v>1451</v>
      </c>
      <c r="B1126" s="1">
        <v>2</v>
      </c>
      <c r="C1126" s="1" t="s">
        <v>3</v>
      </c>
      <c r="D1126" s="1">
        <v>6</v>
      </c>
      <c r="E1126" s="1">
        <v>58.698999999999998</v>
      </c>
      <c r="F1126" s="1">
        <v>0.84144300000000005</v>
      </c>
      <c r="G1126" t="s">
        <v>1836</v>
      </c>
      <c r="H1126" t="s">
        <v>1837</v>
      </c>
      <c r="I1126" t="s">
        <v>5011</v>
      </c>
      <c r="J1126" t="str">
        <f>"Synemin"</f>
        <v>Synemin</v>
      </c>
      <c r="K1126" t="str">
        <f>"SYNM"</f>
        <v>SYNM</v>
      </c>
    </row>
    <row r="1127" spans="1:11" x14ac:dyDescent="0.25">
      <c r="A1127" s="1">
        <v>2687</v>
      </c>
      <c r="B1127" s="1">
        <v>3</v>
      </c>
      <c r="C1127" s="1" t="s">
        <v>3</v>
      </c>
      <c r="D1127" s="1">
        <v>5</v>
      </c>
      <c r="E1127" s="1">
        <v>82.59</v>
      </c>
      <c r="F1127" s="1">
        <v>0.79059500000000005</v>
      </c>
      <c r="G1127" t="s">
        <v>1838</v>
      </c>
      <c r="H1127" t="s">
        <v>258</v>
      </c>
      <c r="I1127">
        <v>159</v>
      </c>
      <c r="J1127" t="str">
        <f>"Tyrosine-protein kinase SgK223"</f>
        <v>Tyrosine-protein kinase SgK223</v>
      </c>
      <c r="K1127" t="str">
        <f>"SGK223"</f>
        <v>SGK223</v>
      </c>
    </row>
    <row r="1128" spans="1:11" x14ac:dyDescent="0.25">
      <c r="A1128" s="1">
        <v>551</v>
      </c>
      <c r="B1128" s="1">
        <v>2</v>
      </c>
      <c r="C1128" s="1" t="s">
        <v>4</v>
      </c>
      <c r="D1128" s="1">
        <v>10</v>
      </c>
      <c r="E1128" s="1">
        <v>70.941999999999993</v>
      </c>
      <c r="F1128" s="1">
        <v>0.69383899999999998</v>
      </c>
      <c r="G1128" t="s">
        <v>1839</v>
      </c>
      <c r="H1128" t="s">
        <v>230</v>
      </c>
      <c r="I1128" t="s">
        <v>5012</v>
      </c>
      <c r="J1128" t="str">
        <f>"Phosphatidylinositol 3-kinase regulatory subunit beta"</f>
        <v>Phosphatidylinositol 3-kinase regulatory subunit beta</v>
      </c>
      <c r="K1128" t="str">
        <f>"PIK3R2"</f>
        <v>PIK3R2</v>
      </c>
    </row>
    <row r="1129" spans="1:11" x14ac:dyDescent="0.25">
      <c r="A1129" s="1">
        <v>2430</v>
      </c>
      <c r="B1129" s="1">
        <v>3</v>
      </c>
      <c r="C1129" s="1" t="s">
        <v>3</v>
      </c>
      <c r="D1129" s="1">
        <v>10</v>
      </c>
      <c r="E1129" s="1">
        <v>57.433999999999997</v>
      </c>
      <c r="F1129" s="1">
        <v>0.78073700000000001</v>
      </c>
      <c r="G1129" t="s">
        <v>1840</v>
      </c>
      <c r="H1129" t="s">
        <v>1676</v>
      </c>
      <c r="I1129" t="s">
        <v>5013</v>
      </c>
      <c r="J1129" t="str">
        <f>"Receptor-interacting serine/threonine-protein kinase 1"</f>
        <v>Receptor-interacting serine/threonine-protein kinase 1</v>
      </c>
      <c r="K1129" t="str">
        <f>"RIPK1"</f>
        <v>RIPK1</v>
      </c>
    </row>
    <row r="1130" spans="1:11" x14ac:dyDescent="0.25">
      <c r="A1130" s="1">
        <v>2402</v>
      </c>
      <c r="B1130" s="1">
        <v>2</v>
      </c>
      <c r="C1130" s="1" t="s">
        <v>3</v>
      </c>
      <c r="D1130" s="1">
        <v>6</v>
      </c>
      <c r="E1130" s="1">
        <v>65.251999999999995</v>
      </c>
      <c r="F1130" s="1">
        <v>0.90069399999999999</v>
      </c>
      <c r="G1130" t="s">
        <v>1841</v>
      </c>
      <c r="H1130" t="s">
        <v>1842</v>
      </c>
      <c r="I1130" t="s">
        <v>5014</v>
      </c>
      <c r="J1130" t="str">
        <f>"5'-AMP-activated protein kinase catalytic subunit alpha-1"</f>
        <v>5'-AMP-activated protein kinase catalytic subunit alpha-1</v>
      </c>
      <c r="K1130" t="str">
        <f>"PRKAA1"</f>
        <v>PRKAA1</v>
      </c>
    </row>
    <row r="1131" spans="1:11" x14ac:dyDescent="0.25">
      <c r="A1131" s="1">
        <v>2046</v>
      </c>
      <c r="B1131" s="1">
        <v>3</v>
      </c>
      <c r="C1131" s="1" t="s">
        <v>3</v>
      </c>
      <c r="D1131" s="1">
        <v>11</v>
      </c>
      <c r="E1131" s="1">
        <v>45.28</v>
      </c>
      <c r="F1131" s="1">
        <v>1</v>
      </c>
      <c r="G1131" t="s">
        <v>121</v>
      </c>
      <c r="H1131" t="s">
        <v>122</v>
      </c>
      <c r="I1131">
        <v>53</v>
      </c>
      <c r="J1131" t="str">
        <f>"Tyrosine-protein kinase FRK"</f>
        <v>Tyrosine-protein kinase FRK</v>
      </c>
      <c r="K1131" t="str">
        <f>"FRK"</f>
        <v>FRK</v>
      </c>
    </row>
    <row r="1132" spans="1:11" x14ac:dyDescent="0.25">
      <c r="A1132" s="1">
        <v>972</v>
      </c>
      <c r="B1132" s="1">
        <v>2</v>
      </c>
      <c r="C1132" s="1" t="s">
        <v>3</v>
      </c>
      <c r="D1132" s="1">
        <v>5</v>
      </c>
      <c r="E1132" s="1">
        <v>105.65</v>
      </c>
      <c r="F1132" s="1">
        <v>1</v>
      </c>
      <c r="G1132" t="s">
        <v>1843</v>
      </c>
      <c r="H1132" t="s">
        <v>1844</v>
      </c>
      <c r="I1132" t="s">
        <v>5015</v>
      </c>
      <c r="J1132" t="str">
        <f>"Cadherin-related family member 5"</f>
        <v>Cadherin-related family member 5</v>
      </c>
      <c r="K1132" t="str">
        <f>"CDHR5"</f>
        <v>CDHR5</v>
      </c>
    </row>
    <row r="1133" spans="1:11" x14ac:dyDescent="0.25">
      <c r="A1133" s="1">
        <v>1024</v>
      </c>
      <c r="B1133" s="1">
        <v>3</v>
      </c>
      <c r="C1133" s="1" t="s">
        <v>3</v>
      </c>
      <c r="D1133" s="1">
        <v>2</v>
      </c>
      <c r="E1133" s="1">
        <v>74.789000000000001</v>
      </c>
      <c r="F1133" s="1">
        <v>0.99999800000000005</v>
      </c>
      <c r="G1133" t="s">
        <v>1845</v>
      </c>
      <c r="H1133" t="s">
        <v>1451</v>
      </c>
      <c r="I1133" t="s">
        <v>5016</v>
      </c>
      <c r="J1133" t="str">
        <f>"Eukaryotic translation initiation factor 3 subunit L"</f>
        <v>Eukaryotic translation initiation factor 3 subunit L</v>
      </c>
      <c r="K1133" t="str">
        <f>"EIF3L"</f>
        <v>EIF3L</v>
      </c>
    </row>
    <row r="1134" spans="1:11" x14ac:dyDescent="0.25">
      <c r="A1134" s="1">
        <v>1476</v>
      </c>
      <c r="B1134" s="1">
        <v>3</v>
      </c>
      <c r="C1134" s="1" t="s">
        <v>3</v>
      </c>
      <c r="D1134" s="1">
        <v>2</v>
      </c>
      <c r="E1134" s="1">
        <v>74.516000000000005</v>
      </c>
      <c r="F1134" s="1">
        <v>0.99999899999999997</v>
      </c>
      <c r="G1134" t="s">
        <v>1846</v>
      </c>
      <c r="H1134" t="s">
        <v>444</v>
      </c>
      <c r="I1134">
        <v>251</v>
      </c>
      <c r="J1134" t="str">
        <f>"Cytoplasmic protein NCK2"</f>
        <v>Cytoplasmic protein NCK2</v>
      </c>
      <c r="K1134" t="str">
        <f>"NCK2"</f>
        <v>NCK2</v>
      </c>
    </row>
    <row r="1135" spans="1:11" x14ac:dyDescent="0.25">
      <c r="A1135" s="1">
        <v>1415</v>
      </c>
      <c r="B1135" s="1">
        <v>3</v>
      </c>
      <c r="C1135" s="1" t="s">
        <v>3</v>
      </c>
      <c r="D1135" s="1">
        <v>11</v>
      </c>
      <c r="E1135" s="1">
        <v>123.12</v>
      </c>
      <c r="F1135" s="1">
        <v>0.98583100000000001</v>
      </c>
      <c r="G1135" t="s">
        <v>1847</v>
      </c>
      <c r="H1135" t="s">
        <v>1848</v>
      </c>
      <c r="I1135" t="s">
        <v>5017</v>
      </c>
      <c r="J1135" t="str">
        <f>"Membrane-associated progesterone receptor component 1"</f>
        <v>Membrane-associated progesterone receptor component 1</v>
      </c>
      <c r="K1135" t="str">
        <f>"PGRMC1"</f>
        <v>PGRMC1</v>
      </c>
    </row>
    <row r="1136" spans="1:11" x14ac:dyDescent="0.25">
      <c r="A1136" s="1">
        <v>582</v>
      </c>
      <c r="B1136" s="1">
        <v>3</v>
      </c>
      <c r="C1136" s="1" t="s">
        <v>4</v>
      </c>
      <c r="D1136" s="1">
        <v>2</v>
      </c>
      <c r="E1136" s="1">
        <v>41.905000000000001</v>
      </c>
      <c r="F1136" s="1">
        <v>0.565326</v>
      </c>
      <c r="G1136" t="s">
        <v>1849</v>
      </c>
      <c r="H1136" t="s">
        <v>1850</v>
      </c>
      <c r="I1136">
        <v>11</v>
      </c>
      <c r="J1136" t="str">
        <f>"Annexin A3"</f>
        <v>Annexin A3</v>
      </c>
      <c r="K1136" t="str">
        <f>"ANXA3"</f>
        <v>ANXA3</v>
      </c>
    </row>
    <row r="1137" spans="1:11" x14ac:dyDescent="0.25">
      <c r="A1137" s="1">
        <v>1256</v>
      </c>
      <c r="B1137" s="1">
        <v>4</v>
      </c>
      <c r="C1137" s="1" t="s">
        <v>3</v>
      </c>
      <c r="D1137" s="1">
        <v>6</v>
      </c>
      <c r="E1137" s="1">
        <v>74.287000000000006</v>
      </c>
      <c r="F1137" s="1">
        <v>0.93623800000000001</v>
      </c>
      <c r="G1137" t="s">
        <v>1851</v>
      </c>
      <c r="H1137" t="s">
        <v>1852</v>
      </c>
      <c r="I1137" t="s">
        <v>5018</v>
      </c>
      <c r="J1137" t="str">
        <f>"Multivesicular body subunit 12A"</f>
        <v>Multivesicular body subunit 12A</v>
      </c>
      <c r="K1137" t="str">
        <f>"MVB12A"</f>
        <v>MVB12A</v>
      </c>
    </row>
    <row r="1138" spans="1:11" x14ac:dyDescent="0.25">
      <c r="A1138" s="1">
        <v>2171</v>
      </c>
      <c r="B1138" s="1">
        <v>3</v>
      </c>
      <c r="C1138" s="1" t="s">
        <v>3</v>
      </c>
      <c r="D1138" s="1">
        <v>24</v>
      </c>
      <c r="E1138" s="1">
        <v>71.06</v>
      </c>
      <c r="F1138" s="1">
        <v>0.80616299999999996</v>
      </c>
      <c r="G1138" t="s">
        <v>1853</v>
      </c>
      <c r="H1138" t="s">
        <v>831</v>
      </c>
      <c r="I1138" t="s">
        <v>5019</v>
      </c>
      <c r="J1138" t="str">
        <f>"Ephrin-B2;Ephrin-B1"</f>
        <v>Ephrin-B2;Ephrin-B1</v>
      </c>
      <c r="K1138" t="str">
        <f>"EFNB2;EFNB1"</f>
        <v>EFNB2;EFNB1</v>
      </c>
    </row>
    <row r="1139" spans="1:11" x14ac:dyDescent="0.25">
      <c r="A1139" s="1">
        <v>2526</v>
      </c>
      <c r="B1139" s="1">
        <v>3</v>
      </c>
      <c r="C1139" s="1" t="s">
        <v>3</v>
      </c>
      <c r="D1139" s="1">
        <v>9</v>
      </c>
      <c r="E1139" s="1">
        <v>141.18</v>
      </c>
      <c r="F1139" s="1">
        <v>0.99558400000000002</v>
      </c>
      <c r="G1139" t="s">
        <v>1854</v>
      </c>
      <c r="H1139" t="s">
        <v>1855</v>
      </c>
      <c r="I1139">
        <v>468</v>
      </c>
      <c r="J1139" t="str">
        <f>"Nectin-1"</f>
        <v>Nectin-1</v>
      </c>
      <c r="K1139" t="str">
        <f>"PVRL1"</f>
        <v>PVRL1</v>
      </c>
    </row>
    <row r="1140" spans="1:11" x14ac:dyDescent="0.25">
      <c r="A1140" s="1">
        <v>1755</v>
      </c>
      <c r="B1140" s="1">
        <v>2</v>
      </c>
      <c r="C1140" s="1" t="s">
        <v>3</v>
      </c>
      <c r="D1140" s="1">
        <v>7</v>
      </c>
      <c r="E1140" s="1">
        <v>59.198</v>
      </c>
      <c r="F1140" s="1">
        <v>0.94504100000000002</v>
      </c>
      <c r="G1140" t="s">
        <v>1856</v>
      </c>
      <c r="H1140" t="s">
        <v>1502</v>
      </c>
      <c r="I1140" t="s">
        <v>5020</v>
      </c>
      <c r="J1140" t="str">
        <f>"ADP/ATP translocase 1;ADP/ATP translocase 3;ADP/ATP translocase 3, N-terminally processed"</f>
        <v>ADP/ATP translocase 1;ADP/ATP translocase 3;ADP/ATP translocase 3, N-terminally processed</v>
      </c>
      <c r="K1140" t="str">
        <f>"SLC25A4;SLC25A6"</f>
        <v>SLC25A4;SLC25A6</v>
      </c>
    </row>
    <row r="1141" spans="1:11" x14ac:dyDescent="0.25">
      <c r="A1141" s="1">
        <v>1913</v>
      </c>
      <c r="B1141" s="1">
        <v>3</v>
      </c>
      <c r="C1141" s="1" t="s">
        <v>3</v>
      </c>
      <c r="D1141" s="1">
        <v>8</v>
      </c>
      <c r="E1141" s="1">
        <v>123.12</v>
      </c>
      <c r="F1141" s="1">
        <v>0.82089599999999996</v>
      </c>
      <c r="G1141" t="s">
        <v>1857</v>
      </c>
      <c r="H1141" t="s">
        <v>1858</v>
      </c>
      <c r="I1141" t="s">
        <v>5021</v>
      </c>
      <c r="J1141" t="str">
        <f>"Low molecular weight phosphotyrosine protein phosphatase"</f>
        <v>Low molecular weight phosphotyrosine protein phosphatase</v>
      </c>
      <c r="K1141" t="str">
        <f>"ACP1"</f>
        <v>ACP1</v>
      </c>
    </row>
    <row r="1142" spans="1:11" x14ac:dyDescent="0.25">
      <c r="A1142" s="1">
        <v>1428</v>
      </c>
      <c r="B1142" s="1">
        <v>2</v>
      </c>
      <c r="C1142" s="1" t="s">
        <v>3</v>
      </c>
      <c r="D1142" s="1">
        <v>8</v>
      </c>
      <c r="E1142" s="1">
        <v>117.7</v>
      </c>
      <c r="F1142" s="1">
        <v>1</v>
      </c>
      <c r="G1142" t="s">
        <v>1859</v>
      </c>
      <c r="H1142" t="s">
        <v>1860</v>
      </c>
      <c r="I1142">
        <v>216</v>
      </c>
      <c r="J1142" t="str">
        <f>"Fructose-1,6-bisphosphatase isozyme 2"</f>
        <v>Fructose-1,6-bisphosphatase isozyme 2</v>
      </c>
      <c r="K1142" t="str">
        <f>"FBP2"</f>
        <v>FBP2</v>
      </c>
    </row>
    <row r="1143" spans="1:11" x14ac:dyDescent="0.25">
      <c r="A1143" s="1">
        <v>1554</v>
      </c>
      <c r="B1143" s="1">
        <v>3</v>
      </c>
      <c r="C1143" s="1" t="s">
        <v>3</v>
      </c>
      <c r="D1143" s="1">
        <v>10</v>
      </c>
      <c r="E1143" s="1">
        <v>81.525999999999996</v>
      </c>
      <c r="F1143" s="1">
        <v>0.98077599999999998</v>
      </c>
      <c r="G1143" t="s">
        <v>1861</v>
      </c>
      <c r="H1143" t="s">
        <v>1862</v>
      </c>
      <c r="I1143" t="s">
        <v>5022</v>
      </c>
      <c r="J1143" t="str">
        <f>"SAM domain-containing protein SAMSN-1;SAM and SH3 domain-containing protein 1"</f>
        <v>SAM domain-containing protein SAMSN-1;SAM and SH3 domain-containing protein 1</v>
      </c>
      <c r="K1143" t="str">
        <f>"SAMSN1;SASH1"</f>
        <v>SAMSN1;SASH1</v>
      </c>
    </row>
    <row r="1144" spans="1:11" x14ac:dyDescent="0.25">
      <c r="A1144" s="1">
        <v>1096</v>
      </c>
      <c r="B1144" s="1">
        <v>2</v>
      </c>
      <c r="C1144" s="1" t="s">
        <v>3</v>
      </c>
      <c r="D1144" s="1">
        <v>1</v>
      </c>
      <c r="E1144" s="1">
        <v>75.311000000000007</v>
      </c>
      <c r="F1144" s="1">
        <v>1</v>
      </c>
      <c r="G1144" t="s">
        <v>1863</v>
      </c>
      <c r="H1144" t="s">
        <v>1864</v>
      </c>
      <c r="I1144" t="s">
        <v>5023</v>
      </c>
      <c r="J1144" t="str">
        <f>"RNA-binding protein 12B"</f>
        <v>RNA-binding protein 12B</v>
      </c>
      <c r="K1144" t="str">
        <f>"RBM12B"</f>
        <v>RBM12B</v>
      </c>
    </row>
    <row r="1145" spans="1:11" x14ac:dyDescent="0.25">
      <c r="A1145" s="1">
        <v>1795</v>
      </c>
      <c r="B1145" s="1">
        <v>3</v>
      </c>
      <c r="C1145" s="1" t="s">
        <v>3</v>
      </c>
      <c r="D1145" s="1">
        <v>10</v>
      </c>
      <c r="E1145" s="1">
        <v>45.558</v>
      </c>
      <c r="F1145" s="1">
        <v>0.601715</v>
      </c>
      <c r="G1145" t="s">
        <v>1865</v>
      </c>
      <c r="H1145" t="s">
        <v>807</v>
      </c>
      <c r="I1145">
        <v>22</v>
      </c>
      <c r="J1145" t="str">
        <f>"Junction plakoglobin"</f>
        <v>Junction plakoglobin</v>
      </c>
      <c r="K1145" t="str">
        <f>"JUP"</f>
        <v>JUP</v>
      </c>
    </row>
    <row r="1146" spans="1:11" x14ac:dyDescent="0.25">
      <c r="A1146" s="1">
        <v>1932</v>
      </c>
      <c r="B1146" s="1">
        <v>3</v>
      </c>
      <c r="C1146" s="1" t="s">
        <v>3</v>
      </c>
      <c r="D1146" s="1">
        <v>11</v>
      </c>
      <c r="E1146" s="1">
        <v>68.168000000000006</v>
      </c>
      <c r="F1146" s="1">
        <v>0.999587</v>
      </c>
      <c r="G1146" t="s">
        <v>1866</v>
      </c>
      <c r="H1146" t="s">
        <v>1867</v>
      </c>
      <c r="I1146">
        <v>149</v>
      </c>
      <c r="J1146" t="str">
        <f>"14-3-3 protein theta"</f>
        <v>14-3-3 protein theta</v>
      </c>
      <c r="K1146" t="str">
        <f>"YWHAQ"</f>
        <v>YWHAQ</v>
      </c>
    </row>
    <row r="1147" spans="1:11" x14ac:dyDescent="0.25">
      <c r="A1147" s="1">
        <v>1899</v>
      </c>
      <c r="B1147" s="1">
        <v>3</v>
      </c>
      <c r="C1147" s="1" t="s">
        <v>3</v>
      </c>
      <c r="D1147" s="1">
        <v>8</v>
      </c>
      <c r="E1147" s="1">
        <v>106.38</v>
      </c>
      <c r="F1147" s="1">
        <v>0.96037799999999995</v>
      </c>
      <c r="G1147" t="s">
        <v>1868</v>
      </c>
      <c r="H1147" t="s">
        <v>1869</v>
      </c>
      <c r="I1147">
        <v>1034</v>
      </c>
      <c r="J1147" t="str">
        <f>"Tyrosine-protein kinase JAK1"</f>
        <v>Tyrosine-protein kinase JAK1</v>
      </c>
      <c r="K1147" t="str">
        <f>"JAK1"</f>
        <v>JAK1</v>
      </c>
    </row>
    <row r="1148" spans="1:11" x14ac:dyDescent="0.25">
      <c r="A1148" s="1">
        <v>1277</v>
      </c>
      <c r="B1148" s="1">
        <v>4</v>
      </c>
      <c r="C1148" s="1" t="s">
        <v>3</v>
      </c>
      <c r="D1148" s="1">
        <v>19</v>
      </c>
      <c r="E1148" s="1">
        <v>56.171999999999997</v>
      </c>
      <c r="F1148" s="1">
        <v>0.88607100000000005</v>
      </c>
      <c r="G1148" t="s">
        <v>1870</v>
      </c>
      <c r="H1148" t="s">
        <v>513</v>
      </c>
      <c r="I1148" t="s">
        <v>5024</v>
      </c>
      <c r="J1148" t="str">
        <f>"Paxillin"</f>
        <v>Paxillin</v>
      </c>
      <c r="K1148" t="str">
        <f>"PXN"</f>
        <v>PXN</v>
      </c>
    </row>
    <row r="1149" spans="1:11" x14ac:dyDescent="0.25">
      <c r="A1149" s="1">
        <v>2952</v>
      </c>
      <c r="B1149" s="1">
        <v>2</v>
      </c>
      <c r="C1149" s="1" t="s">
        <v>3</v>
      </c>
      <c r="D1149" s="1">
        <v>4</v>
      </c>
      <c r="E1149" s="1">
        <v>158.11000000000001</v>
      </c>
      <c r="F1149" s="1">
        <v>0.99993399999999999</v>
      </c>
      <c r="G1149" t="s">
        <v>1871</v>
      </c>
      <c r="H1149" t="s">
        <v>1872</v>
      </c>
      <c r="I1149" t="s">
        <v>5025</v>
      </c>
      <c r="J1149" t="str">
        <f>"Rho GTPase-activating protein 39"</f>
        <v>Rho GTPase-activating protein 39</v>
      </c>
      <c r="K1149" t="str">
        <f>"ARHGAP39"</f>
        <v>ARHGAP39</v>
      </c>
    </row>
    <row r="1150" spans="1:11" x14ac:dyDescent="0.25">
      <c r="A1150" s="1">
        <v>1406</v>
      </c>
      <c r="B1150" s="1">
        <v>3</v>
      </c>
      <c r="C1150" s="1" t="s">
        <v>3</v>
      </c>
      <c r="D1150" s="1">
        <v>10</v>
      </c>
      <c r="E1150" s="1">
        <v>66.393000000000001</v>
      </c>
      <c r="F1150" s="1">
        <v>1</v>
      </c>
      <c r="G1150" t="s">
        <v>1873</v>
      </c>
      <c r="H1150" t="s">
        <v>1874</v>
      </c>
      <c r="I1150">
        <v>306</v>
      </c>
      <c r="J1150" t="str">
        <f>"PDZ and LIM domain protein 1"</f>
        <v>PDZ and LIM domain protein 1</v>
      </c>
      <c r="K1150" t="str">
        <f>"PDLIM1"</f>
        <v>PDLIM1</v>
      </c>
    </row>
    <row r="1151" spans="1:11" x14ac:dyDescent="0.25">
      <c r="A1151" s="1">
        <v>243</v>
      </c>
      <c r="B1151" s="1">
        <v>3</v>
      </c>
      <c r="C1151" s="1" t="s">
        <v>5</v>
      </c>
      <c r="D1151" s="1">
        <v>11</v>
      </c>
      <c r="E1151" s="1">
        <v>95.926000000000002</v>
      </c>
      <c r="F1151" s="1">
        <v>0.54438799999999998</v>
      </c>
      <c r="G1151" t="s">
        <v>1875</v>
      </c>
      <c r="H1151" t="s">
        <v>1424</v>
      </c>
      <c r="I1151">
        <v>326</v>
      </c>
      <c r="J1151" t="str">
        <f>"Gap junction gamma-1 protein"</f>
        <v>Gap junction gamma-1 protein</v>
      </c>
      <c r="K1151" t="str">
        <f>"GJC1"</f>
        <v>GJC1</v>
      </c>
    </row>
    <row r="1152" spans="1:11" x14ac:dyDescent="0.25">
      <c r="A1152" s="1">
        <v>1382</v>
      </c>
      <c r="B1152" s="1">
        <v>3</v>
      </c>
      <c r="C1152" s="1" t="s">
        <v>3</v>
      </c>
      <c r="D1152" s="1">
        <v>21</v>
      </c>
      <c r="E1152" s="1">
        <v>48.076999999999998</v>
      </c>
      <c r="F1152" s="1">
        <v>0.99682499999999996</v>
      </c>
      <c r="G1152" t="s">
        <v>1876</v>
      </c>
      <c r="H1152" t="s">
        <v>349</v>
      </c>
      <c r="I1152" t="s">
        <v>5026</v>
      </c>
      <c r="J1152" t="str">
        <f>"Tyrosine-protein kinase Yes"</f>
        <v>Tyrosine-protein kinase Yes</v>
      </c>
      <c r="K1152" t="str">
        <f>"YES1"</f>
        <v>YES1</v>
      </c>
    </row>
    <row r="1153" spans="1:11" x14ac:dyDescent="0.25">
      <c r="A1153" s="1">
        <v>2337</v>
      </c>
      <c r="B1153" s="1">
        <v>3</v>
      </c>
      <c r="C1153" s="1" t="s">
        <v>3</v>
      </c>
      <c r="D1153" s="1">
        <v>15</v>
      </c>
      <c r="E1153" s="1">
        <v>81.314999999999998</v>
      </c>
      <c r="F1153" s="1">
        <v>0.98297500000000004</v>
      </c>
      <c r="G1153" t="s">
        <v>1877</v>
      </c>
      <c r="H1153" t="s">
        <v>1878</v>
      </c>
      <c r="I1153" t="s">
        <v>5027</v>
      </c>
      <c r="J1153" t="str">
        <f>"Focal adhesion kinase 1"</f>
        <v>Focal adhesion kinase 1</v>
      </c>
      <c r="K1153" t="str">
        <f>"PTK2"</f>
        <v>PTK2</v>
      </c>
    </row>
    <row r="1154" spans="1:11" x14ac:dyDescent="0.25">
      <c r="A1154" s="1">
        <v>3018</v>
      </c>
      <c r="B1154" s="1">
        <v>3</v>
      </c>
      <c r="C1154" s="1" t="s">
        <v>3</v>
      </c>
      <c r="D1154" s="1">
        <v>6</v>
      </c>
      <c r="E1154" s="1">
        <v>66.924999999999997</v>
      </c>
      <c r="F1154" s="1">
        <v>0.99990900000000005</v>
      </c>
      <c r="G1154" t="s">
        <v>1879</v>
      </c>
      <c r="H1154" t="s">
        <v>1880</v>
      </c>
      <c r="I1154">
        <v>6</v>
      </c>
      <c r="J1154" t="str">
        <f>"Palmitoyltransferase ZDHHC18"</f>
        <v>Palmitoyltransferase ZDHHC18</v>
      </c>
      <c r="K1154" t="str">
        <f>"ZDHHC18"</f>
        <v>ZDHHC18</v>
      </c>
    </row>
    <row r="1155" spans="1:11" x14ac:dyDescent="0.25">
      <c r="A1155" s="1">
        <v>1199</v>
      </c>
      <c r="B1155" s="1">
        <v>3</v>
      </c>
      <c r="C1155" s="1" t="s">
        <v>3</v>
      </c>
      <c r="D1155" s="1">
        <v>4</v>
      </c>
      <c r="E1155" s="1">
        <v>52.247</v>
      </c>
      <c r="F1155" s="1">
        <v>0.99670499999999995</v>
      </c>
      <c r="G1155" t="s">
        <v>1881</v>
      </c>
      <c r="H1155" t="s">
        <v>1882</v>
      </c>
      <c r="I1155" t="s">
        <v>5028</v>
      </c>
      <c r="J1155" t="str">
        <f>"U4/U6 small nuclear ribonucleoprotein Prp31"</f>
        <v>U4/U6 small nuclear ribonucleoprotein Prp31</v>
      </c>
      <c r="K1155" t="str">
        <f>"PRPF31"</f>
        <v>PRPF31</v>
      </c>
    </row>
    <row r="1156" spans="1:11" x14ac:dyDescent="0.25">
      <c r="A1156" s="1">
        <v>859</v>
      </c>
      <c r="B1156" s="1">
        <v>4</v>
      </c>
      <c r="C1156" s="1" t="s">
        <v>3</v>
      </c>
      <c r="D1156" s="1">
        <v>4</v>
      </c>
      <c r="E1156" s="1">
        <v>102.72</v>
      </c>
      <c r="F1156" s="1">
        <v>0.79649700000000001</v>
      </c>
      <c r="G1156" t="s">
        <v>1883</v>
      </c>
      <c r="H1156" t="s">
        <v>568</v>
      </c>
      <c r="I1156">
        <v>205</v>
      </c>
      <c r="J1156" t="str">
        <f>""</f>
        <v/>
      </c>
      <c r="K1156" t="str">
        <f>""</f>
        <v/>
      </c>
    </row>
    <row r="1157" spans="1:11" x14ac:dyDescent="0.25">
      <c r="A1157" s="1">
        <v>1271</v>
      </c>
      <c r="B1157" s="1">
        <v>3</v>
      </c>
      <c r="C1157" s="1" t="s">
        <v>3</v>
      </c>
      <c r="D1157" s="1">
        <v>14</v>
      </c>
      <c r="E1157" s="1">
        <v>66.022000000000006</v>
      </c>
      <c r="F1157" s="1">
        <v>0.999803</v>
      </c>
      <c r="G1157" t="s">
        <v>1884</v>
      </c>
      <c r="H1157" t="s">
        <v>1102</v>
      </c>
      <c r="I1157" t="s">
        <v>5029</v>
      </c>
      <c r="J1157" t="str">
        <f>"Transmembrane channel-like protein;Transmembrane channel-like protein 5"</f>
        <v>Transmembrane channel-like protein;Transmembrane channel-like protein 5</v>
      </c>
      <c r="K1157" t="str">
        <f>"TMC5"</f>
        <v>TMC5</v>
      </c>
    </row>
    <row r="1158" spans="1:11" x14ac:dyDescent="0.25">
      <c r="A1158" s="1">
        <v>3088</v>
      </c>
      <c r="B1158" s="1">
        <v>2</v>
      </c>
      <c r="C1158" s="1" t="s">
        <v>3</v>
      </c>
      <c r="D1158" s="1">
        <v>8</v>
      </c>
      <c r="E1158" s="1">
        <v>69.260999999999996</v>
      </c>
      <c r="F1158" s="1">
        <v>0.94808199999999998</v>
      </c>
      <c r="G1158" t="s">
        <v>1885</v>
      </c>
      <c r="H1158" t="s">
        <v>1886</v>
      </c>
      <c r="I1158" t="s">
        <v>5030</v>
      </c>
      <c r="J1158" t="str">
        <f>"Paired immunoglobulin-like type 2 receptor alpha"</f>
        <v>Paired immunoglobulin-like type 2 receptor alpha</v>
      </c>
      <c r="K1158" t="str">
        <f>"PILRA"</f>
        <v>PILRA</v>
      </c>
    </row>
    <row r="1159" spans="1:11" x14ac:dyDescent="0.25">
      <c r="A1159" s="1">
        <v>2341</v>
      </c>
      <c r="B1159" s="1">
        <v>2</v>
      </c>
      <c r="C1159" s="1" t="s">
        <v>3</v>
      </c>
      <c r="D1159" s="1">
        <v>1</v>
      </c>
      <c r="E1159" s="1">
        <v>85.676000000000002</v>
      </c>
      <c r="F1159" s="1">
        <v>1</v>
      </c>
      <c r="G1159" t="s">
        <v>1887</v>
      </c>
      <c r="H1159" t="s">
        <v>1888</v>
      </c>
      <c r="I1159" t="s">
        <v>5031</v>
      </c>
      <c r="J1159" t="str">
        <f>"Focal adhesion kinase 1"</f>
        <v>Focal adhesion kinase 1</v>
      </c>
      <c r="K1159" t="str">
        <f>"PTK2"</f>
        <v>PTK2</v>
      </c>
    </row>
    <row r="1160" spans="1:11" x14ac:dyDescent="0.25">
      <c r="A1160" s="1">
        <v>1994</v>
      </c>
      <c r="B1160" s="1">
        <v>2</v>
      </c>
      <c r="C1160" s="1" t="s">
        <v>3</v>
      </c>
      <c r="D1160" s="1">
        <v>7</v>
      </c>
      <c r="E1160" s="1">
        <v>46.494</v>
      </c>
      <c r="F1160" s="1">
        <v>0.89899600000000002</v>
      </c>
      <c r="G1160" t="s">
        <v>1889</v>
      </c>
      <c r="H1160" t="s">
        <v>1890</v>
      </c>
      <c r="I1160" t="s">
        <v>5032</v>
      </c>
      <c r="J1160" t="str">
        <f>"Serine hydroxymethyltransferase, cytosolic"</f>
        <v>Serine hydroxymethyltransferase, cytosolic</v>
      </c>
      <c r="K1160" t="str">
        <f>"SHMT1"</f>
        <v>SHMT1</v>
      </c>
    </row>
    <row r="1161" spans="1:11" x14ac:dyDescent="0.25">
      <c r="A1161" s="1">
        <v>860</v>
      </c>
      <c r="B1161" s="1">
        <v>2</v>
      </c>
      <c r="C1161" s="1" t="s">
        <v>3</v>
      </c>
      <c r="D1161" s="1">
        <v>6</v>
      </c>
      <c r="E1161" s="1">
        <v>53.774999999999999</v>
      </c>
      <c r="F1161" s="1">
        <v>1</v>
      </c>
      <c r="G1161" t="s">
        <v>1891</v>
      </c>
      <c r="H1161" t="s">
        <v>1892</v>
      </c>
      <c r="I1161" t="s">
        <v>5033</v>
      </c>
      <c r="J1161" t="str">
        <f>"Elongation factor 1-delta"</f>
        <v>Elongation factor 1-delta</v>
      </c>
      <c r="K1161" t="str">
        <f>"EEF1D"</f>
        <v>EEF1D</v>
      </c>
    </row>
    <row r="1162" spans="1:11" x14ac:dyDescent="0.25">
      <c r="A1162" s="1">
        <v>2020</v>
      </c>
      <c r="B1162" s="1">
        <v>3</v>
      </c>
      <c r="C1162" s="1" t="s">
        <v>3</v>
      </c>
      <c r="D1162" s="1">
        <v>14</v>
      </c>
      <c r="E1162" s="1">
        <v>55.128</v>
      </c>
      <c r="F1162" s="1">
        <v>0.930751</v>
      </c>
      <c r="G1162" t="s">
        <v>1893</v>
      </c>
      <c r="H1162" t="s">
        <v>1894</v>
      </c>
      <c r="I1162">
        <v>113</v>
      </c>
      <c r="J1162" t="str">
        <f>"Nicotinamide N-methyltransferase"</f>
        <v>Nicotinamide N-methyltransferase</v>
      </c>
      <c r="K1162" t="str">
        <f>"NNMT"</f>
        <v>NNMT</v>
      </c>
    </row>
    <row r="1163" spans="1:11" x14ac:dyDescent="0.25">
      <c r="A1163" s="1">
        <v>671</v>
      </c>
      <c r="B1163" s="1">
        <v>4</v>
      </c>
      <c r="C1163" s="1" t="s">
        <v>4</v>
      </c>
      <c r="D1163" s="1">
        <v>10</v>
      </c>
      <c r="E1163" s="1">
        <v>79.59</v>
      </c>
      <c r="F1163" s="1">
        <v>0.52327000000000001</v>
      </c>
      <c r="G1163" t="s">
        <v>1895</v>
      </c>
      <c r="H1163" t="s">
        <v>400</v>
      </c>
      <c r="I1163" t="s">
        <v>5034</v>
      </c>
      <c r="J1163" t="str">
        <f>"Epidermal growth factor receptor kinase substrate 8"</f>
        <v>Epidermal growth factor receptor kinase substrate 8</v>
      </c>
      <c r="K1163" t="str">
        <f>"EPS8"</f>
        <v>EPS8</v>
      </c>
    </row>
    <row r="1164" spans="1:11" x14ac:dyDescent="0.25">
      <c r="A1164" s="1">
        <v>2133</v>
      </c>
      <c r="B1164" s="1">
        <v>3</v>
      </c>
      <c r="C1164" s="1" t="s">
        <v>3</v>
      </c>
      <c r="D1164" s="1">
        <v>5</v>
      </c>
      <c r="E1164" s="1">
        <v>43.945999999999998</v>
      </c>
      <c r="F1164" s="1">
        <v>0.75317400000000001</v>
      </c>
      <c r="G1164" t="s">
        <v>1896</v>
      </c>
      <c r="H1164" t="s">
        <v>833</v>
      </c>
      <c r="I1164" t="s">
        <v>5035</v>
      </c>
      <c r="J1164" t="str">
        <f>"T-complex protein 1 subunit theta"</f>
        <v>T-complex protein 1 subunit theta</v>
      </c>
      <c r="K1164" t="str">
        <f>"CCT8"</f>
        <v>CCT8</v>
      </c>
    </row>
    <row r="1165" spans="1:11" x14ac:dyDescent="0.25">
      <c r="A1165" s="1">
        <v>773</v>
      </c>
      <c r="B1165" s="1">
        <v>3</v>
      </c>
      <c r="C1165" s="1" t="s">
        <v>3</v>
      </c>
      <c r="D1165" s="1">
        <v>1</v>
      </c>
      <c r="E1165" s="1">
        <v>61.265000000000001</v>
      </c>
      <c r="F1165" s="1">
        <v>0.99794300000000002</v>
      </c>
      <c r="G1165" t="s">
        <v>1897</v>
      </c>
      <c r="H1165" t="s">
        <v>1898</v>
      </c>
      <c r="I1165" t="s">
        <v>5036</v>
      </c>
      <c r="J1165" t="str">
        <f>"Glutathione peroxidase 2"</f>
        <v>Glutathione peroxidase 2</v>
      </c>
      <c r="K1165" t="str">
        <f>"GPX2"</f>
        <v>GPX2</v>
      </c>
    </row>
    <row r="1166" spans="1:11" x14ac:dyDescent="0.25">
      <c r="A1166" s="1">
        <v>2293</v>
      </c>
      <c r="B1166" s="1">
        <v>3</v>
      </c>
      <c r="C1166" s="1" t="s">
        <v>3</v>
      </c>
      <c r="D1166" s="1">
        <v>8</v>
      </c>
      <c r="E1166" s="1">
        <v>107.47</v>
      </c>
      <c r="F1166" s="1">
        <v>0.90922199999999997</v>
      </c>
      <c r="G1166" t="s">
        <v>1899</v>
      </c>
      <c r="H1166" t="s">
        <v>1900</v>
      </c>
      <c r="I1166">
        <v>439</v>
      </c>
      <c r="J1166" t="str">
        <f>"Eukaryotic translation initiation factor 4 gamma 2"</f>
        <v>Eukaryotic translation initiation factor 4 gamma 2</v>
      </c>
      <c r="K1166" t="str">
        <f>"EIF4G2"</f>
        <v>EIF4G2</v>
      </c>
    </row>
    <row r="1167" spans="1:11" x14ac:dyDescent="0.25">
      <c r="A1167" s="1">
        <v>1236</v>
      </c>
      <c r="B1167" s="1">
        <v>3</v>
      </c>
      <c r="C1167" s="1" t="s">
        <v>3</v>
      </c>
      <c r="D1167" s="1">
        <v>4</v>
      </c>
      <c r="E1167" s="1">
        <v>62.286999999999999</v>
      </c>
      <c r="F1167" s="1">
        <v>0.95043800000000001</v>
      </c>
      <c r="G1167" t="s">
        <v>1901</v>
      </c>
      <c r="H1167" t="s">
        <v>1902</v>
      </c>
      <c r="I1167" t="s">
        <v>5037</v>
      </c>
      <c r="J1167" t="str">
        <f>"G-protein-signaling modulator 3"</f>
        <v>G-protein-signaling modulator 3</v>
      </c>
      <c r="K1167" t="str">
        <f>"GPSM3"</f>
        <v>GPSM3</v>
      </c>
    </row>
    <row r="1168" spans="1:11" x14ac:dyDescent="0.25">
      <c r="A1168" s="1">
        <v>554</v>
      </c>
      <c r="B1168" s="1">
        <v>2</v>
      </c>
      <c r="C1168" s="1" t="s">
        <v>4</v>
      </c>
      <c r="D1168" s="1">
        <v>12</v>
      </c>
      <c r="E1168" s="1">
        <v>69.352000000000004</v>
      </c>
      <c r="F1168" s="1">
        <v>0.67133699999999996</v>
      </c>
      <c r="G1168" t="s">
        <v>1903</v>
      </c>
      <c r="H1168" t="s">
        <v>173</v>
      </c>
      <c r="I1168" t="s">
        <v>5038</v>
      </c>
      <c r="J1168" t="str">
        <f>"Mitogen-activated protein kinase 13"</f>
        <v>Mitogen-activated protein kinase 13</v>
      </c>
      <c r="K1168" t="str">
        <f>"MAPK13"</f>
        <v>MAPK13</v>
      </c>
    </row>
    <row r="1169" spans="1:11" x14ac:dyDescent="0.25">
      <c r="A1169" s="1">
        <v>2836</v>
      </c>
      <c r="B1169" s="1">
        <v>3</v>
      </c>
      <c r="C1169" s="1" t="s">
        <v>3</v>
      </c>
      <c r="D1169" s="1">
        <v>12</v>
      </c>
      <c r="E1169" s="1">
        <v>50.896999999999998</v>
      </c>
      <c r="F1169" s="1">
        <v>0.99710200000000004</v>
      </c>
      <c r="G1169" t="s">
        <v>1904</v>
      </c>
      <c r="H1169" t="s">
        <v>1905</v>
      </c>
      <c r="I1169">
        <v>160</v>
      </c>
      <c r="J1169" t="str">
        <f>"Isochorismatase domain-containing protein 1"</f>
        <v>Isochorismatase domain-containing protein 1</v>
      </c>
      <c r="K1169" t="str">
        <f>"ISOC1"</f>
        <v>ISOC1</v>
      </c>
    </row>
    <row r="1170" spans="1:11" x14ac:dyDescent="0.25">
      <c r="A1170" s="1">
        <v>622</v>
      </c>
      <c r="B1170" s="1">
        <v>4</v>
      </c>
      <c r="C1170" s="1" t="s">
        <v>4</v>
      </c>
      <c r="D1170" s="1">
        <v>22</v>
      </c>
      <c r="E1170" s="1">
        <v>50.752000000000002</v>
      </c>
      <c r="F1170" s="1">
        <v>0.59259399999999995</v>
      </c>
      <c r="G1170" t="s">
        <v>1906</v>
      </c>
      <c r="H1170" t="s">
        <v>32</v>
      </c>
      <c r="I1170">
        <v>707</v>
      </c>
      <c r="J1170" t="str">
        <f>"Signal transducer and activator of transcription 3"</f>
        <v>Signal transducer and activator of transcription 3</v>
      </c>
      <c r="K1170" t="str">
        <f>"STAT3"</f>
        <v>STAT3</v>
      </c>
    </row>
    <row r="1171" spans="1:11" x14ac:dyDescent="0.25">
      <c r="A1171" s="1">
        <v>2918</v>
      </c>
      <c r="B1171" s="1">
        <v>3</v>
      </c>
      <c r="C1171" s="1" t="s">
        <v>3</v>
      </c>
      <c r="D1171" s="1">
        <v>3</v>
      </c>
      <c r="E1171" s="1">
        <v>71.03</v>
      </c>
      <c r="F1171" s="1">
        <v>1</v>
      </c>
      <c r="G1171" t="s">
        <v>1907</v>
      </c>
      <c r="H1171" t="s">
        <v>1908</v>
      </c>
      <c r="I1171">
        <v>281</v>
      </c>
      <c r="J1171" t="str">
        <f>"Cell surface A33 antigen"</f>
        <v>Cell surface A33 antigen</v>
      </c>
      <c r="K1171" t="str">
        <f>"GPA33"</f>
        <v>GPA33</v>
      </c>
    </row>
    <row r="1172" spans="1:11" x14ac:dyDescent="0.25">
      <c r="A1172" s="1">
        <v>2628</v>
      </c>
      <c r="B1172" s="1">
        <v>2</v>
      </c>
      <c r="C1172" s="1" t="s">
        <v>3</v>
      </c>
      <c r="D1172" s="1">
        <v>4</v>
      </c>
      <c r="E1172" s="1">
        <v>57.433999999999997</v>
      </c>
      <c r="F1172" s="1">
        <v>0.96298499999999998</v>
      </c>
      <c r="G1172" t="s">
        <v>1909</v>
      </c>
      <c r="H1172" t="s">
        <v>1910</v>
      </c>
      <c r="I1172">
        <v>138</v>
      </c>
      <c r="J1172" t="str">
        <f>"Ragulator complex protein LAMTOR1"</f>
        <v>Ragulator complex protein LAMTOR1</v>
      </c>
      <c r="K1172" t="str">
        <f>"LAMTOR1"</f>
        <v>LAMTOR1</v>
      </c>
    </row>
    <row r="1173" spans="1:11" x14ac:dyDescent="0.25">
      <c r="A1173" s="1">
        <v>1563</v>
      </c>
      <c r="B1173" s="1">
        <v>3</v>
      </c>
      <c r="C1173" s="1" t="s">
        <v>3</v>
      </c>
      <c r="D1173" s="1">
        <v>17</v>
      </c>
      <c r="E1173" s="1">
        <v>74.819000000000003</v>
      </c>
      <c r="F1173" s="1">
        <v>0.73374200000000001</v>
      </c>
      <c r="G1173" t="s">
        <v>1911</v>
      </c>
      <c r="H1173" t="s">
        <v>1579</v>
      </c>
      <c r="I1173" t="s">
        <v>5039</v>
      </c>
      <c r="J1173" t="str">
        <f>"Actin-binding LIM protein 3"</f>
        <v>Actin-binding LIM protein 3</v>
      </c>
      <c r="K1173" t="str">
        <f>"ABLIM3"</f>
        <v>ABLIM3</v>
      </c>
    </row>
    <row r="1174" spans="1:11" x14ac:dyDescent="0.25">
      <c r="A1174" s="1">
        <v>842</v>
      </c>
      <c r="B1174" s="1">
        <v>4</v>
      </c>
      <c r="C1174" s="1" t="s">
        <v>3</v>
      </c>
      <c r="D1174" s="1">
        <v>1</v>
      </c>
      <c r="E1174" s="1">
        <v>50.627000000000002</v>
      </c>
      <c r="F1174" s="1">
        <v>0.99760199999999999</v>
      </c>
      <c r="G1174" t="s">
        <v>1912</v>
      </c>
      <c r="H1174" t="s">
        <v>724</v>
      </c>
      <c r="I1174" t="s">
        <v>5040</v>
      </c>
      <c r="J1174" t="str">
        <f>"Tight junction protein ZO-1"</f>
        <v>Tight junction protein ZO-1</v>
      </c>
      <c r="K1174" t="str">
        <f>"TJP1"</f>
        <v>TJP1</v>
      </c>
    </row>
    <row r="1175" spans="1:11" x14ac:dyDescent="0.25">
      <c r="A1175" s="1">
        <v>1824</v>
      </c>
      <c r="B1175" s="1">
        <v>3</v>
      </c>
      <c r="C1175" s="1" t="s">
        <v>3</v>
      </c>
      <c r="D1175" s="1">
        <v>11</v>
      </c>
      <c r="E1175" s="1">
        <v>52.814</v>
      </c>
      <c r="F1175" s="1">
        <v>0.98730099999999998</v>
      </c>
      <c r="G1175" t="s">
        <v>1913</v>
      </c>
      <c r="H1175" t="s">
        <v>1914</v>
      </c>
      <c r="I1175" t="s">
        <v>5041</v>
      </c>
      <c r="J1175" t="str">
        <f>"Vascular endothelial growth factor receptor 1"</f>
        <v>Vascular endothelial growth factor receptor 1</v>
      </c>
      <c r="K1175" t="str">
        <f>"FLT1"</f>
        <v>FLT1</v>
      </c>
    </row>
    <row r="1176" spans="1:11" x14ac:dyDescent="0.25">
      <c r="A1176" s="1">
        <v>2838</v>
      </c>
      <c r="B1176" s="1">
        <v>3</v>
      </c>
      <c r="C1176" s="1" t="s">
        <v>3</v>
      </c>
      <c r="D1176" s="1">
        <v>6</v>
      </c>
      <c r="E1176" s="1">
        <v>55.755000000000003</v>
      </c>
      <c r="F1176" s="1">
        <v>1</v>
      </c>
      <c r="G1176" t="s">
        <v>1915</v>
      </c>
      <c r="H1176" t="s">
        <v>1916</v>
      </c>
      <c r="I1176">
        <v>38</v>
      </c>
      <c r="J1176" t="str">
        <f>"Coiled-coil domain-containing protein 124"</f>
        <v>Coiled-coil domain-containing protein 124</v>
      </c>
      <c r="K1176" t="str">
        <f>"CCDC124"</f>
        <v>CCDC124</v>
      </c>
    </row>
    <row r="1177" spans="1:11" x14ac:dyDescent="0.25">
      <c r="A1177" s="1">
        <v>326</v>
      </c>
      <c r="B1177" s="1">
        <v>2</v>
      </c>
      <c r="C1177" s="1" t="s">
        <v>5</v>
      </c>
      <c r="D1177" s="1">
        <v>4</v>
      </c>
      <c r="E1177" s="1">
        <v>96.153000000000006</v>
      </c>
      <c r="F1177" s="1">
        <v>0.92967</v>
      </c>
      <c r="G1177" t="s">
        <v>1917</v>
      </c>
      <c r="H1177" t="s">
        <v>534</v>
      </c>
      <c r="I1177" t="s">
        <v>5042</v>
      </c>
      <c r="J1177" t="str">
        <f>"Src substrate cortactin"</f>
        <v>Src substrate cortactin</v>
      </c>
      <c r="K1177" t="str">
        <f>"CTTN"</f>
        <v>CTTN</v>
      </c>
    </row>
    <row r="1178" spans="1:11" x14ac:dyDescent="0.25">
      <c r="A1178" s="1">
        <v>534</v>
      </c>
      <c r="B1178" s="1">
        <v>2</v>
      </c>
      <c r="C1178" s="1" t="s">
        <v>4</v>
      </c>
      <c r="D1178" s="1">
        <v>9</v>
      </c>
      <c r="E1178" s="1">
        <v>42.426000000000002</v>
      </c>
      <c r="F1178" s="1">
        <v>0.71625700000000003</v>
      </c>
      <c r="G1178" t="s">
        <v>1918</v>
      </c>
      <c r="H1178" t="s">
        <v>270</v>
      </c>
      <c r="I1178" t="s">
        <v>5043</v>
      </c>
      <c r="J1178" t="str">
        <f>"Tensin-1"</f>
        <v>Tensin-1</v>
      </c>
      <c r="K1178" t="str">
        <f>"TNS1"</f>
        <v>TNS1</v>
      </c>
    </row>
    <row r="1179" spans="1:11" x14ac:dyDescent="0.25">
      <c r="A1179" s="1">
        <v>1947</v>
      </c>
      <c r="B1179" s="1">
        <v>3</v>
      </c>
      <c r="C1179" s="1" t="s">
        <v>3</v>
      </c>
      <c r="D1179" s="1">
        <v>4</v>
      </c>
      <c r="E1179" s="1">
        <v>110.6</v>
      </c>
      <c r="F1179" s="1">
        <v>0.75199400000000005</v>
      </c>
      <c r="G1179" t="s">
        <v>1919</v>
      </c>
      <c r="H1179" t="s">
        <v>47</v>
      </c>
      <c r="I1179">
        <v>921</v>
      </c>
      <c r="J1179" t="str">
        <f>"Ephrin type-A receptor 2"</f>
        <v>Ephrin type-A receptor 2</v>
      </c>
      <c r="K1179" t="str">
        <f>"EPHA2"</f>
        <v>EPHA2</v>
      </c>
    </row>
    <row r="1180" spans="1:11" x14ac:dyDescent="0.25">
      <c r="A1180" s="1">
        <v>2228</v>
      </c>
      <c r="B1180" s="1">
        <v>2</v>
      </c>
      <c r="C1180" s="1" t="s">
        <v>3</v>
      </c>
      <c r="D1180" s="1">
        <v>2</v>
      </c>
      <c r="E1180" s="1">
        <v>66.994</v>
      </c>
      <c r="F1180" s="1">
        <v>0.99995000000000001</v>
      </c>
      <c r="G1180" t="s">
        <v>1920</v>
      </c>
      <c r="H1180" t="s">
        <v>1921</v>
      </c>
      <c r="I1180" t="s">
        <v>5044</v>
      </c>
      <c r="J1180" t="str">
        <f>"Ras-related protein Rab-2A"</f>
        <v>Ras-related protein Rab-2A</v>
      </c>
      <c r="K1180" t="str">
        <f>"RAB2A"</f>
        <v>RAB2A</v>
      </c>
    </row>
    <row r="1181" spans="1:11" x14ac:dyDescent="0.25">
      <c r="A1181" s="1">
        <v>1496</v>
      </c>
      <c r="B1181" s="1">
        <v>3</v>
      </c>
      <c r="C1181" s="1" t="s">
        <v>3</v>
      </c>
      <c r="D1181" s="1">
        <v>4</v>
      </c>
      <c r="E1181" s="1">
        <v>67.019000000000005</v>
      </c>
      <c r="F1181" s="1">
        <v>1</v>
      </c>
      <c r="G1181" t="s">
        <v>1922</v>
      </c>
      <c r="H1181" t="s">
        <v>1923</v>
      </c>
      <c r="I1181" t="s">
        <v>5045</v>
      </c>
      <c r="J1181" t="str">
        <f>"Heterogeneous nuclear ribonucleoprotein Q"</f>
        <v>Heterogeneous nuclear ribonucleoprotein Q</v>
      </c>
      <c r="K1181" t="str">
        <f>"SYNCRIP"</f>
        <v>SYNCRIP</v>
      </c>
    </row>
    <row r="1182" spans="1:11" x14ac:dyDescent="0.25">
      <c r="A1182" s="1">
        <v>1469</v>
      </c>
      <c r="B1182" s="1">
        <v>3</v>
      </c>
      <c r="C1182" s="1" t="s">
        <v>3</v>
      </c>
      <c r="D1182" s="1">
        <v>7</v>
      </c>
      <c r="E1182" s="1">
        <v>70.888999999999996</v>
      </c>
      <c r="F1182" s="1">
        <v>0.83225899999999997</v>
      </c>
      <c r="G1182" t="s">
        <v>1924</v>
      </c>
      <c r="H1182" t="s">
        <v>1434</v>
      </c>
      <c r="I1182" t="s">
        <v>5046</v>
      </c>
      <c r="J1182" t="str">
        <f>"Heterogeneous nuclear ribonucleoprotein R"</f>
        <v>Heterogeneous nuclear ribonucleoprotein R</v>
      </c>
      <c r="K1182" t="str">
        <f>"HNRNPR"</f>
        <v>HNRNPR</v>
      </c>
    </row>
    <row r="1183" spans="1:11" x14ac:dyDescent="0.25">
      <c r="A1183" s="1">
        <v>1079</v>
      </c>
      <c r="B1183" s="1">
        <v>3</v>
      </c>
      <c r="C1183" s="1" t="s">
        <v>3</v>
      </c>
      <c r="D1183" s="1">
        <v>11</v>
      </c>
      <c r="E1183" s="1">
        <v>58.268000000000001</v>
      </c>
      <c r="F1183" s="1">
        <v>0.99822599999999995</v>
      </c>
      <c r="G1183" t="s">
        <v>1925</v>
      </c>
      <c r="H1183" t="s">
        <v>336</v>
      </c>
      <c r="I1183" t="s">
        <v>5047</v>
      </c>
      <c r="J1183" t="str">
        <f>"GRB2-associated-binding protein 1"</f>
        <v>GRB2-associated-binding protein 1</v>
      </c>
      <c r="K1183" t="str">
        <f>"GAB1"</f>
        <v>GAB1</v>
      </c>
    </row>
    <row r="1184" spans="1:11" x14ac:dyDescent="0.25">
      <c r="A1184" s="1">
        <v>1650</v>
      </c>
      <c r="B1184" s="1">
        <v>2</v>
      </c>
      <c r="C1184" s="1" t="s">
        <v>3</v>
      </c>
      <c r="D1184" s="1">
        <v>7</v>
      </c>
      <c r="E1184" s="1">
        <v>64.120999999999995</v>
      </c>
      <c r="F1184" s="1">
        <v>1</v>
      </c>
      <c r="G1184" t="s">
        <v>1926</v>
      </c>
      <c r="H1184" t="s">
        <v>1927</v>
      </c>
      <c r="I1184" t="s">
        <v>5048</v>
      </c>
      <c r="J1184" t="str">
        <f>"Tyrosine-protein kinase Fes/Fps;Tyrosine-protein kinase"</f>
        <v>Tyrosine-protein kinase Fes/Fps;Tyrosine-protein kinase</v>
      </c>
      <c r="K1184" t="str">
        <f>"FES"</f>
        <v>FES</v>
      </c>
    </row>
    <row r="1185" spans="1:11" x14ac:dyDescent="0.25">
      <c r="A1185" s="1">
        <v>1486</v>
      </c>
      <c r="B1185" s="1">
        <v>3</v>
      </c>
      <c r="C1185" s="1" t="s">
        <v>3</v>
      </c>
      <c r="D1185" s="1">
        <v>20</v>
      </c>
      <c r="E1185" s="1">
        <v>132.13999999999999</v>
      </c>
      <c r="F1185" s="1">
        <v>0.98199400000000003</v>
      </c>
      <c r="G1185" t="s">
        <v>1928</v>
      </c>
      <c r="H1185" t="s">
        <v>1929</v>
      </c>
      <c r="I1185" t="s">
        <v>5049</v>
      </c>
      <c r="J1185" t="str">
        <f>"Syntaxin-6"</f>
        <v>Syntaxin-6</v>
      </c>
      <c r="K1185" t="str">
        <f>"STX6"</f>
        <v>STX6</v>
      </c>
    </row>
    <row r="1186" spans="1:11" x14ac:dyDescent="0.25">
      <c r="A1186" s="1">
        <v>2331</v>
      </c>
      <c r="B1186" s="1">
        <v>3</v>
      </c>
      <c r="C1186" s="1" t="s">
        <v>3</v>
      </c>
      <c r="D1186" s="1">
        <v>10</v>
      </c>
      <c r="E1186" s="1">
        <v>52.866</v>
      </c>
      <c r="F1186" s="1">
        <v>0.89993400000000001</v>
      </c>
      <c r="G1186" t="s">
        <v>1930</v>
      </c>
      <c r="H1186" t="s">
        <v>442</v>
      </c>
      <c r="I1186" t="s">
        <v>5050</v>
      </c>
      <c r="J1186" t="str">
        <f>"1,4-alpha-glucan-branching enzyme"</f>
        <v>1,4-alpha-glucan-branching enzyme</v>
      </c>
      <c r="K1186" t="str">
        <f>"GBE1"</f>
        <v>GBE1</v>
      </c>
    </row>
    <row r="1187" spans="1:11" x14ac:dyDescent="0.25">
      <c r="A1187" s="1">
        <v>2935</v>
      </c>
      <c r="B1187" s="1">
        <v>4</v>
      </c>
      <c r="C1187" s="1" t="s">
        <v>3</v>
      </c>
      <c r="D1187" s="1">
        <v>7</v>
      </c>
      <c r="E1187" s="1">
        <v>48.899000000000001</v>
      </c>
      <c r="F1187" s="1">
        <v>0.95089199999999996</v>
      </c>
      <c r="G1187" t="s">
        <v>1931</v>
      </c>
      <c r="H1187" t="s">
        <v>1932</v>
      </c>
      <c r="I1187">
        <v>146</v>
      </c>
      <c r="J1187" t="str">
        <f>"Histidine triad nucleotide-binding protein 2, mitochondrial"</f>
        <v>Histidine triad nucleotide-binding protein 2, mitochondrial</v>
      </c>
      <c r="K1187" t="str">
        <f>"HINT2"</f>
        <v>HINT2</v>
      </c>
    </row>
    <row r="1188" spans="1:11" x14ac:dyDescent="0.25">
      <c r="A1188" s="1">
        <v>2762</v>
      </c>
      <c r="B1188" s="1">
        <v>3</v>
      </c>
      <c r="C1188" s="1" t="s">
        <v>3</v>
      </c>
      <c r="D1188" s="1">
        <v>6</v>
      </c>
      <c r="E1188" s="1">
        <v>66.466999999999999</v>
      </c>
      <c r="F1188" s="1">
        <v>0.98528499999999997</v>
      </c>
      <c r="G1188" t="s">
        <v>1933</v>
      </c>
      <c r="H1188" t="s">
        <v>1934</v>
      </c>
      <c r="I1188">
        <v>42</v>
      </c>
      <c r="J1188" t="str">
        <f>"Overexpressed in colon carcinoma 1 protein"</f>
        <v>Overexpressed in colon carcinoma 1 protein</v>
      </c>
      <c r="K1188" t="str">
        <f>"OCC1"</f>
        <v>OCC1</v>
      </c>
    </row>
    <row r="1189" spans="1:11" x14ac:dyDescent="0.25">
      <c r="A1189" s="1">
        <v>466</v>
      </c>
      <c r="B1189" s="1">
        <v>3</v>
      </c>
      <c r="C1189" s="1" t="s">
        <v>5</v>
      </c>
      <c r="D1189" s="1">
        <v>17</v>
      </c>
      <c r="E1189" s="1">
        <v>54.854999999999997</v>
      </c>
      <c r="F1189" s="1">
        <v>0.77633099999999999</v>
      </c>
      <c r="G1189" t="s">
        <v>1935</v>
      </c>
      <c r="H1189" t="s">
        <v>1936</v>
      </c>
      <c r="I1189" t="s">
        <v>5051</v>
      </c>
      <c r="J1189" t="str">
        <f>"Synaptopodin-2"</f>
        <v>Synaptopodin-2</v>
      </c>
      <c r="K1189" t="str">
        <f>"SYNPO2"</f>
        <v>SYNPO2</v>
      </c>
    </row>
    <row r="1190" spans="1:11" x14ac:dyDescent="0.25">
      <c r="A1190" s="1">
        <v>1886</v>
      </c>
      <c r="B1190" s="1">
        <v>3</v>
      </c>
      <c r="C1190" s="1" t="s">
        <v>3</v>
      </c>
      <c r="D1190" s="1">
        <v>9</v>
      </c>
      <c r="E1190" s="1">
        <v>59.893000000000001</v>
      </c>
      <c r="F1190" s="1">
        <v>0.74840499999999999</v>
      </c>
      <c r="G1190" t="s">
        <v>1937</v>
      </c>
      <c r="H1190" t="s">
        <v>547</v>
      </c>
      <c r="I1190" t="s">
        <v>5052</v>
      </c>
      <c r="J1190" t="str">
        <f>"Heterogeneous nuclear ribonucleoproteins A2/B1"</f>
        <v>Heterogeneous nuclear ribonucleoproteins A2/B1</v>
      </c>
      <c r="K1190" t="str">
        <f>"HNRNPA2B1"</f>
        <v>HNRNPA2B1</v>
      </c>
    </row>
    <row r="1191" spans="1:11" x14ac:dyDescent="0.25">
      <c r="A1191" s="1">
        <v>1046</v>
      </c>
      <c r="B1191" s="1">
        <v>3</v>
      </c>
      <c r="C1191" s="1" t="s">
        <v>3</v>
      </c>
      <c r="D1191" s="1">
        <v>14</v>
      </c>
      <c r="E1191" s="1">
        <v>49.536999999999999</v>
      </c>
      <c r="F1191" s="1">
        <v>0.99362300000000003</v>
      </c>
      <c r="G1191" t="s">
        <v>1938</v>
      </c>
      <c r="H1191" t="s">
        <v>1939</v>
      </c>
      <c r="I1191" t="s">
        <v>5053</v>
      </c>
      <c r="J1191" t="str">
        <f>"Receptor tyrosine-protein kinase erbB-3"</f>
        <v>Receptor tyrosine-protein kinase erbB-3</v>
      </c>
      <c r="K1191" t="str">
        <f>"ERBB3"</f>
        <v>ERBB3</v>
      </c>
    </row>
    <row r="1192" spans="1:11" x14ac:dyDescent="0.25">
      <c r="A1192" s="1">
        <v>1313</v>
      </c>
      <c r="B1192" s="1">
        <v>2</v>
      </c>
      <c r="C1192" s="1" t="s">
        <v>3</v>
      </c>
      <c r="D1192" s="1">
        <v>3</v>
      </c>
      <c r="E1192" s="1">
        <v>84.507999999999996</v>
      </c>
      <c r="F1192" s="1">
        <v>0.85447700000000004</v>
      </c>
      <c r="G1192" t="s">
        <v>1940</v>
      </c>
      <c r="H1192" t="s">
        <v>1941</v>
      </c>
      <c r="I1192" t="s">
        <v>4476</v>
      </c>
      <c r="J1192" t="str">
        <f>"Insulin-like growth factor 2 mRNA-binding protein 2"</f>
        <v>Insulin-like growth factor 2 mRNA-binding protein 2</v>
      </c>
      <c r="K1192" t="str">
        <f>"IGF2BP2"</f>
        <v>IGF2BP2</v>
      </c>
    </row>
    <row r="1193" spans="1:11" x14ac:dyDescent="0.25">
      <c r="A1193" s="1">
        <v>1551</v>
      </c>
      <c r="B1193" s="1">
        <v>3</v>
      </c>
      <c r="C1193" s="1" t="s">
        <v>3</v>
      </c>
      <c r="D1193" s="1">
        <v>19</v>
      </c>
      <c r="E1193" s="1">
        <v>87.319000000000003</v>
      </c>
      <c r="F1193" s="1">
        <v>0.70114699999999996</v>
      </c>
      <c r="G1193" t="s">
        <v>1942</v>
      </c>
      <c r="H1193" t="s">
        <v>1943</v>
      </c>
      <c r="I1193" t="s">
        <v>5054</v>
      </c>
      <c r="J1193" t="str">
        <f>"Carboxypeptidase D"</f>
        <v>Carboxypeptidase D</v>
      </c>
      <c r="K1193" t="str">
        <f>"CPD"</f>
        <v>CPD</v>
      </c>
    </row>
    <row r="1194" spans="1:11" x14ac:dyDescent="0.25">
      <c r="A1194" s="1">
        <v>183</v>
      </c>
      <c r="B1194" s="1">
        <v>3</v>
      </c>
      <c r="C1194" s="1" t="s">
        <v>5</v>
      </c>
      <c r="D1194" s="1">
        <v>17</v>
      </c>
      <c r="E1194" s="1">
        <v>80.316000000000003</v>
      </c>
      <c r="F1194" s="1">
        <v>0.57819699999999996</v>
      </c>
      <c r="G1194" t="s">
        <v>1944</v>
      </c>
      <c r="H1194" t="s">
        <v>905</v>
      </c>
      <c r="I1194">
        <v>691</v>
      </c>
      <c r="J1194" t="str">
        <f>"Bifunctional glutamate/proline--tRNA ligase;Glutamate--tRNA ligase;Proline--tRNA ligase"</f>
        <v>Bifunctional glutamate/proline--tRNA ligase;Glutamate--tRNA ligase;Proline--tRNA ligase</v>
      </c>
      <c r="K1194" t="str">
        <f>"EPRS"</f>
        <v>EPRS</v>
      </c>
    </row>
    <row r="1195" spans="1:11" x14ac:dyDescent="0.25">
      <c r="A1195" s="1">
        <v>1800</v>
      </c>
      <c r="B1195" s="1">
        <v>3</v>
      </c>
      <c r="C1195" s="1" t="s">
        <v>3</v>
      </c>
      <c r="D1195" s="1">
        <v>13</v>
      </c>
      <c r="E1195" s="1">
        <v>87.138000000000005</v>
      </c>
      <c r="F1195" s="1">
        <v>0.99999499999999997</v>
      </c>
      <c r="G1195" t="s">
        <v>1945</v>
      </c>
      <c r="H1195" t="s">
        <v>1946</v>
      </c>
      <c r="I1195" t="s">
        <v>5055</v>
      </c>
      <c r="J1195" t="str">
        <f>"Nucleoside diphosphate kinase A;Nucleoside diphosphate kinase;Nucleoside diphosphate kinase B"</f>
        <v>Nucleoside diphosphate kinase A;Nucleoside diphosphate kinase;Nucleoside diphosphate kinase B</v>
      </c>
      <c r="K1195" t="str">
        <f>"NME1;NME1-NME2;NME2"</f>
        <v>NME1;NME1-NME2;NME2</v>
      </c>
    </row>
    <row r="1196" spans="1:11" x14ac:dyDescent="0.25">
      <c r="A1196" s="1">
        <v>950</v>
      </c>
      <c r="B1196" s="1">
        <v>4</v>
      </c>
      <c r="C1196" s="1" t="s">
        <v>3</v>
      </c>
      <c r="D1196" s="1">
        <v>11</v>
      </c>
      <c r="E1196" s="1">
        <v>63.823</v>
      </c>
      <c r="F1196" s="1">
        <v>0.99528700000000003</v>
      </c>
      <c r="G1196" t="s">
        <v>1947</v>
      </c>
      <c r="H1196" t="s">
        <v>1462</v>
      </c>
      <c r="I1196" t="s">
        <v>5056</v>
      </c>
      <c r="J1196" t="str">
        <f>"ATP-dependent RNA helicase DDX3X;ATP-dependent RNA helicase DDX3Y"</f>
        <v>ATP-dependent RNA helicase DDX3X;ATP-dependent RNA helicase DDX3Y</v>
      </c>
      <c r="K1196" t="str">
        <f>"DDX3X;DDX3Y"</f>
        <v>DDX3X;DDX3Y</v>
      </c>
    </row>
    <row r="1197" spans="1:11" x14ac:dyDescent="0.25">
      <c r="A1197" s="1">
        <v>1796</v>
      </c>
      <c r="B1197" s="1">
        <v>3</v>
      </c>
      <c r="C1197" s="1" t="s">
        <v>3</v>
      </c>
      <c r="D1197" s="1">
        <v>1</v>
      </c>
      <c r="E1197" s="1">
        <v>64.298000000000002</v>
      </c>
      <c r="F1197" s="1">
        <v>0.99999800000000005</v>
      </c>
      <c r="G1197" t="s">
        <v>1948</v>
      </c>
      <c r="H1197" t="s">
        <v>869</v>
      </c>
      <c r="I1197" t="s">
        <v>5057</v>
      </c>
      <c r="J1197" t="str">
        <f>"Aldose reductase"</f>
        <v>Aldose reductase</v>
      </c>
      <c r="K1197" t="str">
        <f>"AKR1B1"</f>
        <v>AKR1B1</v>
      </c>
    </row>
    <row r="1198" spans="1:11" x14ac:dyDescent="0.25">
      <c r="A1198" s="1">
        <v>1733</v>
      </c>
      <c r="B1198" s="1">
        <v>3</v>
      </c>
      <c r="C1198" s="1" t="s">
        <v>3</v>
      </c>
      <c r="D1198" s="1">
        <v>3</v>
      </c>
      <c r="E1198" s="1">
        <v>124.43</v>
      </c>
      <c r="F1198" s="1">
        <v>0.99924800000000003</v>
      </c>
      <c r="G1198" t="s">
        <v>1949</v>
      </c>
      <c r="H1198" t="s">
        <v>1950</v>
      </c>
      <c r="I1198" t="s">
        <v>5058</v>
      </c>
      <c r="J1198" t="str">
        <f>"Osteopontin"</f>
        <v>Osteopontin</v>
      </c>
      <c r="K1198" t="str">
        <f>"SPP1"</f>
        <v>SPP1</v>
      </c>
    </row>
    <row r="1199" spans="1:11" x14ac:dyDescent="0.25">
      <c r="A1199" s="1">
        <v>2200</v>
      </c>
      <c r="B1199" s="1">
        <v>4</v>
      </c>
      <c r="C1199" s="1" t="s">
        <v>3</v>
      </c>
      <c r="D1199" s="1">
        <v>24</v>
      </c>
      <c r="E1199" s="1">
        <v>72.935000000000002</v>
      </c>
      <c r="F1199" s="1">
        <v>0.76423799999999997</v>
      </c>
      <c r="G1199" t="s">
        <v>1951</v>
      </c>
      <c r="H1199" t="s">
        <v>1952</v>
      </c>
      <c r="I1199">
        <v>25</v>
      </c>
      <c r="J1199" t="str">
        <f>"Protein p13 MTCP-1"</f>
        <v>Protein p13 MTCP-1</v>
      </c>
      <c r="K1199" t="str">
        <f>"MTCP1"</f>
        <v>MTCP1</v>
      </c>
    </row>
    <row r="1200" spans="1:11" x14ac:dyDescent="0.25">
      <c r="A1200" s="1">
        <v>1408</v>
      </c>
      <c r="B1200" s="1">
        <v>3</v>
      </c>
      <c r="C1200" s="1" t="s">
        <v>3</v>
      </c>
      <c r="D1200" s="1">
        <v>13</v>
      </c>
      <c r="E1200" s="1">
        <v>45.192999999999998</v>
      </c>
      <c r="F1200" s="1">
        <v>0.74740700000000004</v>
      </c>
      <c r="G1200" t="s">
        <v>1953</v>
      </c>
      <c r="H1200" t="s">
        <v>1874</v>
      </c>
      <c r="I1200">
        <v>151</v>
      </c>
      <c r="J1200" t="str">
        <f>"PDZ and LIM domain protein 1"</f>
        <v>PDZ and LIM domain protein 1</v>
      </c>
      <c r="K1200" t="str">
        <f>"PDLIM1"</f>
        <v>PDLIM1</v>
      </c>
    </row>
    <row r="1201" spans="1:11" x14ac:dyDescent="0.25">
      <c r="A1201" s="1">
        <v>2001</v>
      </c>
      <c r="B1201" s="1">
        <v>4</v>
      </c>
      <c r="C1201" s="1" t="s">
        <v>3</v>
      </c>
      <c r="D1201" s="1">
        <v>8</v>
      </c>
      <c r="E1201" s="1">
        <v>81.055000000000007</v>
      </c>
      <c r="F1201" s="1">
        <v>0.97836500000000004</v>
      </c>
      <c r="G1201" t="s">
        <v>1954</v>
      </c>
      <c r="H1201" t="s">
        <v>450</v>
      </c>
      <c r="I1201" t="s">
        <v>5059</v>
      </c>
      <c r="J1201" t="str">
        <f>"Myosin-9"</f>
        <v>Myosin-9</v>
      </c>
      <c r="K1201" t="str">
        <f>"MYH9"</f>
        <v>MYH9</v>
      </c>
    </row>
    <row r="1202" spans="1:11" x14ac:dyDescent="0.25">
      <c r="A1202" s="1">
        <v>3146</v>
      </c>
      <c r="B1202" s="1">
        <v>2</v>
      </c>
      <c r="C1202" s="1" t="s">
        <v>3</v>
      </c>
      <c r="D1202" s="1">
        <v>4</v>
      </c>
      <c r="E1202" s="1">
        <v>70.197000000000003</v>
      </c>
      <c r="F1202" s="1">
        <v>0.99369799999999997</v>
      </c>
      <c r="G1202" t="s">
        <v>1955</v>
      </c>
      <c r="H1202" t="s">
        <v>898</v>
      </c>
      <c r="I1202">
        <v>675</v>
      </c>
      <c r="J1202" t="str">
        <f>"Insulin receptor substrate 2"</f>
        <v>Insulin receptor substrate 2</v>
      </c>
      <c r="K1202" t="str">
        <f>"IRS2"</f>
        <v>IRS2</v>
      </c>
    </row>
    <row r="1203" spans="1:11" x14ac:dyDescent="0.25">
      <c r="A1203" s="1">
        <v>621</v>
      </c>
      <c r="B1203" s="1">
        <v>4</v>
      </c>
      <c r="C1203" s="1" t="s">
        <v>4</v>
      </c>
      <c r="D1203" s="1">
        <v>23</v>
      </c>
      <c r="E1203" s="1">
        <v>69.087999999999994</v>
      </c>
      <c r="F1203" s="1">
        <v>0.53839000000000004</v>
      </c>
      <c r="G1203" t="s">
        <v>1956</v>
      </c>
      <c r="H1203" t="s">
        <v>18</v>
      </c>
      <c r="I1203" t="s">
        <v>5060</v>
      </c>
      <c r="J1203" t="str">
        <f>"Signal transducer and activator of transcription 3;Signal transducer and activator of transcription"</f>
        <v>Signal transducer and activator of transcription 3;Signal transducer and activator of transcription</v>
      </c>
      <c r="K1203" t="str">
        <f>"STAT3"</f>
        <v>STAT3</v>
      </c>
    </row>
    <row r="1204" spans="1:11" x14ac:dyDescent="0.25">
      <c r="A1204" s="1">
        <v>1290</v>
      </c>
      <c r="B1204" s="1">
        <v>4</v>
      </c>
      <c r="C1204" s="1" t="s">
        <v>3</v>
      </c>
      <c r="D1204" s="1">
        <v>14</v>
      </c>
      <c r="E1204" s="1">
        <v>49.594999999999999</v>
      </c>
      <c r="F1204" s="1">
        <v>0.99993200000000004</v>
      </c>
      <c r="G1204" t="s">
        <v>1957</v>
      </c>
      <c r="H1204" t="s">
        <v>1958</v>
      </c>
      <c r="I1204" t="s">
        <v>5061</v>
      </c>
      <c r="J1204" t="str">
        <f>"Mitogen-activated protein kinase kinase kinase 4"</f>
        <v>Mitogen-activated protein kinase kinase kinase 4</v>
      </c>
      <c r="K1204" t="str">
        <f>"MAP3K4"</f>
        <v>MAP3K4</v>
      </c>
    </row>
    <row r="1205" spans="1:11" x14ac:dyDescent="0.25">
      <c r="A1205" s="1">
        <v>311</v>
      </c>
      <c r="B1205" s="1">
        <v>2</v>
      </c>
      <c r="C1205" s="1" t="s">
        <v>5</v>
      </c>
      <c r="D1205" s="1">
        <v>2</v>
      </c>
      <c r="E1205" s="1">
        <v>63.29</v>
      </c>
      <c r="F1205" s="1">
        <v>0.999996</v>
      </c>
      <c r="G1205" t="s">
        <v>1959</v>
      </c>
      <c r="H1205" t="s">
        <v>1960</v>
      </c>
      <c r="I1205">
        <v>211</v>
      </c>
      <c r="J1205" t="str">
        <f>"Serine/arginine-rich splicing factor 9"</f>
        <v>Serine/arginine-rich splicing factor 9</v>
      </c>
      <c r="K1205" t="str">
        <f>"SRSF9"</f>
        <v>SRSF9</v>
      </c>
    </row>
    <row r="1206" spans="1:11" x14ac:dyDescent="0.25">
      <c r="A1206" s="1">
        <v>2510</v>
      </c>
      <c r="B1206" s="1">
        <v>3</v>
      </c>
      <c r="C1206" s="1" t="s">
        <v>3</v>
      </c>
      <c r="D1206" s="1">
        <v>15</v>
      </c>
      <c r="E1206" s="1">
        <v>66.893000000000001</v>
      </c>
      <c r="F1206" s="1">
        <v>0.99999800000000005</v>
      </c>
      <c r="G1206" t="s">
        <v>1961</v>
      </c>
      <c r="H1206" t="s">
        <v>1962</v>
      </c>
      <c r="I1206" t="s">
        <v>4633</v>
      </c>
      <c r="J1206" t="str">
        <f>"[Pyruvate dehydrogenase (acetyl-transferring)] kinase isozyme 3, mitochondrial"</f>
        <v>[Pyruvate dehydrogenase (acetyl-transferring)] kinase isozyme 3, mitochondrial</v>
      </c>
      <c r="K1206" t="str">
        <f>"PDK3"</f>
        <v>PDK3</v>
      </c>
    </row>
    <row r="1207" spans="1:11" x14ac:dyDescent="0.25">
      <c r="A1207" s="1">
        <v>2216</v>
      </c>
      <c r="B1207" s="1">
        <v>3</v>
      </c>
      <c r="C1207" s="1" t="s">
        <v>3</v>
      </c>
      <c r="D1207" s="1">
        <v>14</v>
      </c>
      <c r="E1207" s="1">
        <v>64.248999999999995</v>
      </c>
      <c r="F1207" s="1">
        <v>0.97077199999999997</v>
      </c>
      <c r="G1207" t="s">
        <v>1963</v>
      </c>
      <c r="H1207" t="s">
        <v>1964</v>
      </c>
      <c r="I1207" t="s">
        <v>5062</v>
      </c>
      <c r="J1207" t="str">
        <f>"Eukaryotic translation initiation factor 3 subunit E"</f>
        <v>Eukaryotic translation initiation factor 3 subunit E</v>
      </c>
      <c r="K1207" t="str">
        <f>"EIF3E"</f>
        <v>EIF3E</v>
      </c>
    </row>
    <row r="1208" spans="1:11" x14ac:dyDescent="0.25">
      <c r="A1208" s="1">
        <v>1854</v>
      </c>
      <c r="B1208" s="1">
        <v>3</v>
      </c>
      <c r="C1208" s="1" t="s">
        <v>3</v>
      </c>
      <c r="D1208" s="1">
        <v>2</v>
      </c>
      <c r="E1208" s="1">
        <v>104.24</v>
      </c>
      <c r="F1208" s="1">
        <v>1</v>
      </c>
      <c r="G1208" t="s">
        <v>1965</v>
      </c>
      <c r="H1208" t="s">
        <v>1966</v>
      </c>
      <c r="I1208">
        <v>298</v>
      </c>
      <c r="J1208" t="str">
        <f>"Eukaryotic translation initiation factor 2 subunit 2"</f>
        <v>Eukaryotic translation initiation factor 2 subunit 2</v>
      </c>
      <c r="K1208" t="str">
        <f>"EIF2S2"</f>
        <v>EIF2S2</v>
      </c>
    </row>
    <row r="1209" spans="1:11" x14ac:dyDescent="0.25">
      <c r="A1209" s="1">
        <v>1193</v>
      </c>
      <c r="B1209" s="1">
        <v>3</v>
      </c>
      <c r="C1209" s="1" t="s">
        <v>3</v>
      </c>
      <c r="D1209" s="1">
        <v>17</v>
      </c>
      <c r="E1209" s="1">
        <v>56.29</v>
      </c>
      <c r="F1209" s="1">
        <v>0.98041100000000003</v>
      </c>
      <c r="G1209" t="s">
        <v>1967</v>
      </c>
      <c r="H1209" t="s">
        <v>1968</v>
      </c>
      <c r="I1209" t="s">
        <v>5063</v>
      </c>
      <c r="J1209" t="str">
        <f>"Protein phosphatase inhibitor 2"</f>
        <v>Protein phosphatase inhibitor 2</v>
      </c>
      <c r="K1209" t="str">
        <f>"PPP1R2"</f>
        <v>PPP1R2</v>
      </c>
    </row>
    <row r="1210" spans="1:11" x14ac:dyDescent="0.25">
      <c r="A1210" s="1">
        <v>1266</v>
      </c>
      <c r="B1210" s="1">
        <v>3</v>
      </c>
      <c r="C1210" s="1" t="s">
        <v>3</v>
      </c>
      <c r="D1210" s="1">
        <v>3</v>
      </c>
      <c r="E1210" s="1">
        <v>60.334000000000003</v>
      </c>
      <c r="F1210" s="1">
        <v>0.99997599999999998</v>
      </c>
      <c r="G1210" t="s">
        <v>1969</v>
      </c>
      <c r="H1210" t="s">
        <v>1970</v>
      </c>
      <c r="I1210" t="s">
        <v>5064</v>
      </c>
      <c r="J1210" t="str">
        <f>"Dedicator of cytokinesis protein 4"</f>
        <v>Dedicator of cytokinesis protein 4</v>
      </c>
      <c r="K1210" t="str">
        <f>"DOCK4"</f>
        <v>DOCK4</v>
      </c>
    </row>
    <row r="1211" spans="1:11" x14ac:dyDescent="0.25">
      <c r="A1211" s="1">
        <v>1839</v>
      </c>
      <c r="B1211" s="1">
        <v>3</v>
      </c>
      <c r="C1211" s="1" t="s">
        <v>3</v>
      </c>
      <c r="D1211" s="1">
        <v>2</v>
      </c>
      <c r="E1211" s="1">
        <v>44.847999999999999</v>
      </c>
      <c r="F1211" s="1">
        <v>0.78302099999999997</v>
      </c>
      <c r="G1211" t="s">
        <v>1971</v>
      </c>
      <c r="H1211" t="s">
        <v>987</v>
      </c>
      <c r="I1211" t="s">
        <v>5065</v>
      </c>
      <c r="J1211" t="str">
        <f>"Phosphoglycerate mutase 1;Probable phosphoglycerate mutase 4"</f>
        <v>Phosphoglycerate mutase 1;Probable phosphoglycerate mutase 4</v>
      </c>
      <c r="K1211" t="str">
        <f>"PGAM1;PGAM4"</f>
        <v>PGAM1;PGAM4</v>
      </c>
    </row>
    <row r="1212" spans="1:11" x14ac:dyDescent="0.25">
      <c r="A1212" s="1">
        <v>2911</v>
      </c>
      <c r="B1212" s="1">
        <v>4</v>
      </c>
      <c r="C1212" s="1" t="s">
        <v>3</v>
      </c>
      <c r="D1212" s="1">
        <v>16</v>
      </c>
      <c r="E1212" s="1">
        <v>44.177999999999997</v>
      </c>
      <c r="F1212" s="1">
        <v>0.86724400000000001</v>
      </c>
      <c r="G1212" t="s">
        <v>1972</v>
      </c>
      <c r="H1212" t="s">
        <v>985</v>
      </c>
      <c r="I1212">
        <v>861</v>
      </c>
      <c r="J1212" t="str">
        <f>"Oncostatin-M-specific receptor subunit beta"</f>
        <v>Oncostatin-M-specific receptor subunit beta</v>
      </c>
      <c r="K1212" t="str">
        <f>"OSMR"</f>
        <v>OSMR</v>
      </c>
    </row>
    <row r="1213" spans="1:11" x14ac:dyDescent="0.25">
      <c r="A1213" s="1">
        <v>3064</v>
      </c>
      <c r="B1213" s="1">
        <v>3</v>
      </c>
      <c r="C1213" s="1" t="s">
        <v>3</v>
      </c>
      <c r="D1213" s="1">
        <v>13</v>
      </c>
      <c r="E1213" s="1">
        <v>184.56</v>
      </c>
      <c r="F1213" s="1">
        <v>0.94920599999999999</v>
      </c>
      <c r="G1213" t="s">
        <v>1973</v>
      </c>
      <c r="H1213" t="s">
        <v>1974</v>
      </c>
      <c r="I1213" t="s">
        <v>5066</v>
      </c>
      <c r="J1213" t="str">
        <f>"Testin"</f>
        <v>Testin</v>
      </c>
      <c r="K1213" t="str">
        <f>"TES"</f>
        <v>TES</v>
      </c>
    </row>
    <row r="1214" spans="1:11" x14ac:dyDescent="0.25">
      <c r="A1214" s="1">
        <v>874</v>
      </c>
      <c r="B1214" s="1">
        <v>3</v>
      </c>
      <c r="C1214" s="1" t="s">
        <v>3</v>
      </c>
      <c r="D1214" s="1">
        <v>10</v>
      </c>
      <c r="E1214" s="1">
        <v>66.245999999999995</v>
      </c>
      <c r="F1214" s="1">
        <v>0.989846</v>
      </c>
      <c r="G1214" t="s">
        <v>1975</v>
      </c>
      <c r="H1214" t="s">
        <v>1976</v>
      </c>
      <c r="I1214" t="s">
        <v>5067</v>
      </c>
      <c r="J1214" t="str">
        <f>"Heterogeneous nuclear ribonucleoprotein U-like protein 1"</f>
        <v>Heterogeneous nuclear ribonucleoprotein U-like protein 1</v>
      </c>
      <c r="K1214" t="str">
        <f>"HNRNPUL1"</f>
        <v>HNRNPUL1</v>
      </c>
    </row>
    <row r="1215" spans="1:11" x14ac:dyDescent="0.25">
      <c r="A1215" s="1">
        <v>502</v>
      </c>
      <c r="B1215" s="1">
        <v>3</v>
      </c>
      <c r="C1215" s="1" t="s">
        <v>4</v>
      </c>
      <c r="D1215" s="1">
        <v>21</v>
      </c>
      <c r="E1215" s="1">
        <v>165.85</v>
      </c>
      <c r="F1215" s="1">
        <v>0.55065500000000001</v>
      </c>
      <c r="G1215" t="s">
        <v>1977</v>
      </c>
      <c r="H1215" t="s">
        <v>239</v>
      </c>
      <c r="I1215" t="s">
        <v>5068</v>
      </c>
      <c r="J1215" t="str">
        <f>"Enoyl-CoA delta isomerase 2, mitochondrial"</f>
        <v>Enoyl-CoA delta isomerase 2, mitochondrial</v>
      </c>
      <c r="K1215" t="str">
        <f>"ECI2"</f>
        <v>ECI2</v>
      </c>
    </row>
    <row r="1216" spans="1:11" x14ac:dyDescent="0.25">
      <c r="A1216" s="1">
        <v>921</v>
      </c>
      <c r="B1216" s="1">
        <v>2</v>
      </c>
      <c r="C1216" s="1" t="s">
        <v>3</v>
      </c>
      <c r="D1216" s="1">
        <v>4</v>
      </c>
      <c r="E1216" s="1">
        <v>67.997</v>
      </c>
      <c r="F1216" s="1">
        <v>0.99999300000000002</v>
      </c>
      <c r="G1216" t="s">
        <v>1978</v>
      </c>
      <c r="H1216" t="s">
        <v>1979</v>
      </c>
      <c r="I1216" t="s">
        <v>5069</v>
      </c>
      <c r="J1216" t="str">
        <f>"Transmembrane emp24 domain-containing protein 7"</f>
        <v>Transmembrane emp24 domain-containing protein 7</v>
      </c>
      <c r="K1216" t="str">
        <f>"TMED7"</f>
        <v>TMED7</v>
      </c>
    </row>
    <row r="1217" spans="1:11" x14ac:dyDescent="0.25">
      <c r="A1217" s="1">
        <v>960</v>
      </c>
      <c r="B1217" s="1">
        <v>4</v>
      </c>
      <c r="C1217" s="1" t="s">
        <v>3</v>
      </c>
      <c r="D1217" s="1">
        <v>9</v>
      </c>
      <c r="E1217" s="1">
        <v>58.692999999999998</v>
      </c>
      <c r="F1217" s="1">
        <v>0.99207900000000004</v>
      </c>
      <c r="G1217" t="s">
        <v>1980</v>
      </c>
      <c r="H1217" t="s">
        <v>1981</v>
      </c>
      <c r="I1217" t="s">
        <v>5070</v>
      </c>
      <c r="J1217" t="str">
        <f>"RNA-binding protein EWS"</f>
        <v>RNA-binding protein EWS</v>
      </c>
      <c r="K1217" t="str">
        <f>"EWSR1"</f>
        <v>EWSR1</v>
      </c>
    </row>
    <row r="1218" spans="1:11" x14ac:dyDescent="0.25">
      <c r="A1218" s="1">
        <v>527</v>
      </c>
      <c r="B1218" s="1">
        <v>3</v>
      </c>
      <c r="C1218" s="1" t="s">
        <v>4</v>
      </c>
      <c r="D1218" s="1">
        <v>14</v>
      </c>
      <c r="E1218" s="1">
        <v>54.667999999999999</v>
      </c>
      <c r="F1218" s="1">
        <v>0.80491100000000004</v>
      </c>
      <c r="G1218" t="s">
        <v>1982</v>
      </c>
      <c r="H1218" t="s">
        <v>143</v>
      </c>
      <c r="I1218">
        <v>98</v>
      </c>
      <c r="J1218" t="str">
        <f>""</f>
        <v/>
      </c>
      <c r="K1218" t="str">
        <f>"CTNND1"</f>
        <v>CTNND1</v>
      </c>
    </row>
    <row r="1219" spans="1:11" x14ac:dyDescent="0.25">
      <c r="A1219" s="1">
        <v>24</v>
      </c>
      <c r="B1219" s="1">
        <v>3</v>
      </c>
      <c r="C1219" s="1" t="s">
        <v>5</v>
      </c>
      <c r="D1219" s="1">
        <v>3</v>
      </c>
      <c r="E1219" s="1">
        <v>90.412000000000006</v>
      </c>
      <c r="F1219" s="1">
        <v>0.51229400000000003</v>
      </c>
      <c r="G1219" t="s">
        <v>1983</v>
      </c>
      <c r="H1219" t="s">
        <v>705</v>
      </c>
      <c r="I1219" t="s">
        <v>5071</v>
      </c>
      <c r="J1219" t="str">
        <f>"Tubulin beta-3 chain;Tubulin beta-4A chain;Tubulin beta chain;Tubulin beta-4B chain;Tubulin beta-2A chain;Tubulin beta-6 chain;Tubulin beta-2B chain"</f>
        <v>Tubulin beta-3 chain;Tubulin beta-4A chain;Tubulin beta chain;Tubulin beta-4B chain;Tubulin beta-2A chain;Tubulin beta-6 chain;Tubulin beta-2B chain</v>
      </c>
      <c r="K1219" t="str">
        <f>"TUBB3;TUBB4A;TUBB;TUBB4B;TUBB2A;TUBB6;TUBB2B"</f>
        <v>TUBB3;TUBB4A;TUBB;TUBB4B;TUBB2A;TUBB6;TUBB2B</v>
      </c>
    </row>
    <row r="1220" spans="1:11" x14ac:dyDescent="0.25">
      <c r="A1220" s="1">
        <v>499</v>
      </c>
      <c r="B1220" s="1">
        <v>3</v>
      </c>
      <c r="C1220" s="1" t="s">
        <v>4</v>
      </c>
      <c r="D1220" s="1">
        <v>21</v>
      </c>
      <c r="E1220" s="1">
        <v>71.070999999999998</v>
      </c>
      <c r="F1220" s="1">
        <v>0.50791900000000001</v>
      </c>
      <c r="G1220" t="s">
        <v>1984</v>
      </c>
      <c r="H1220" t="s">
        <v>116</v>
      </c>
      <c r="I1220" t="s">
        <v>5072</v>
      </c>
      <c r="J1220" t="str">
        <f>"Abl interactor 1"</f>
        <v>Abl interactor 1</v>
      </c>
      <c r="K1220" t="str">
        <f>"ABI1"</f>
        <v>ABI1</v>
      </c>
    </row>
    <row r="1221" spans="1:11" x14ac:dyDescent="0.25">
      <c r="A1221" s="1">
        <v>939</v>
      </c>
      <c r="B1221" s="1">
        <v>2</v>
      </c>
      <c r="C1221" s="1" t="s">
        <v>3</v>
      </c>
      <c r="D1221" s="1">
        <v>1</v>
      </c>
      <c r="E1221" s="1">
        <v>56.042999999999999</v>
      </c>
      <c r="F1221" s="1">
        <v>1</v>
      </c>
      <c r="G1221" t="s">
        <v>1985</v>
      </c>
      <c r="H1221" t="s">
        <v>322</v>
      </c>
      <c r="I1221" t="s">
        <v>5073</v>
      </c>
      <c r="J1221" t="str">
        <f>"40S ribosomal protein SA"</f>
        <v>40S ribosomal protein SA</v>
      </c>
      <c r="K1221" t="str">
        <f>"RPSA;RPSAP58"</f>
        <v>RPSA;RPSAP58</v>
      </c>
    </row>
    <row r="1222" spans="1:11" x14ac:dyDescent="0.25">
      <c r="A1222" s="1">
        <v>1034</v>
      </c>
      <c r="B1222" s="1">
        <v>3</v>
      </c>
      <c r="C1222" s="1" t="s">
        <v>3</v>
      </c>
      <c r="D1222" s="1">
        <v>11</v>
      </c>
      <c r="E1222" s="1">
        <v>43.207999999999998</v>
      </c>
      <c r="F1222" s="1">
        <v>0.85341</v>
      </c>
      <c r="G1222" t="s">
        <v>1986</v>
      </c>
      <c r="H1222" t="s">
        <v>1027</v>
      </c>
      <c r="I1222" t="s">
        <v>5074</v>
      </c>
      <c r="J1222" t="str">
        <f>"Ephrin type-B receptor 2"</f>
        <v>Ephrin type-B receptor 2</v>
      </c>
      <c r="K1222" t="str">
        <f>"EPHB2"</f>
        <v>EPHB2</v>
      </c>
    </row>
    <row r="1223" spans="1:11" x14ac:dyDescent="0.25">
      <c r="A1223" s="1">
        <v>974</v>
      </c>
      <c r="B1223" s="1">
        <v>3</v>
      </c>
      <c r="C1223" s="1" t="s">
        <v>3</v>
      </c>
      <c r="D1223" s="1">
        <v>15</v>
      </c>
      <c r="E1223" s="1">
        <v>98.292000000000002</v>
      </c>
      <c r="F1223" s="1">
        <v>1</v>
      </c>
      <c r="G1223" t="s">
        <v>1987</v>
      </c>
      <c r="H1223" t="s">
        <v>1988</v>
      </c>
      <c r="I1223" t="s">
        <v>5075</v>
      </c>
      <c r="J1223" t="str">
        <f>"Rho GTPase-activating protein 27"</f>
        <v>Rho GTPase-activating protein 27</v>
      </c>
      <c r="K1223" t="str">
        <f>"ARHGAP27"</f>
        <v>ARHGAP27</v>
      </c>
    </row>
    <row r="1224" spans="1:11" x14ac:dyDescent="0.25">
      <c r="A1224" s="1">
        <v>2799</v>
      </c>
      <c r="B1224" s="1">
        <v>2</v>
      </c>
      <c r="C1224" s="1" t="s">
        <v>3</v>
      </c>
      <c r="D1224" s="1">
        <v>2</v>
      </c>
      <c r="E1224" s="1">
        <v>89.623999999999995</v>
      </c>
      <c r="F1224" s="1">
        <v>1</v>
      </c>
      <c r="G1224" t="s">
        <v>1989</v>
      </c>
      <c r="H1224" t="s">
        <v>1990</v>
      </c>
      <c r="I1224" t="s">
        <v>5076</v>
      </c>
      <c r="J1224" t="str">
        <f>"Cell differentiation protein RCD1 homolog"</f>
        <v>Cell differentiation protein RCD1 homolog</v>
      </c>
      <c r="K1224" t="str">
        <f>"RQCD1"</f>
        <v>RQCD1</v>
      </c>
    </row>
    <row r="1225" spans="1:11" x14ac:dyDescent="0.25">
      <c r="A1225" s="1">
        <v>2234</v>
      </c>
      <c r="B1225" s="1">
        <v>3</v>
      </c>
      <c r="C1225" s="1" t="s">
        <v>3</v>
      </c>
      <c r="D1225" s="1">
        <v>4</v>
      </c>
      <c r="E1225" s="1">
        <v>46.317999999999998</v>
      </c>
      <c r="F1225" s="1">
        <v>0.95282</v>
      </c>
      <c r="G1225" t="s">
        <v>1991</v>
      </c>
      <c r="H1225" t="s">
        <v>1992</v>
      </c>
      <c r="I1225" t="s">
        <v>5077</v>
      </c>
      <c r="J1225" t="str">
        <f>"60S ribosomal protein L15"</f>
        <v>60S ribosomal protein L15</v>
      </c>
      <c r="K1225" t="str">
        <f>"RPL15"</f>
        <v>RPL15</v>
      </c>
    </row>
    <row r="1226" spans="1:11" x14ac:dyDescent="0.25">
      <c r="A1226" s="1">
        <v>1113</v>
      </c>
      <c r="B1226" s="1">
        <v>2</v>
      </c>
      <c r="C1226" s="1" t="s">
        <v>3</v>
      </c>
      <c r="D1226" s="1">
        <v>1</v>
      </c>
      <c r="E1226" s="1">
        <v>91.960999999999999</v>
      </c>
      <c r="F1226" s="1">
        <v>1</v>
      </c>
      <c r="G1226" t="s">
        <v>1993</v>
      </c>
      <c r="H1226" t="s">
        <v>1994</v>
      </c>
      <c r="I1226" t="s">
        <v>5078</v>
      </c>
      <c r="J1226" t="str">
        <f>""</f>
        <v/>
      </c>
      <c r="K1226" t="str">
        <f>"FGG"</f>
        <v>FGG</v>
      </c>
    </row>
    <row r="1227" spans="1:11" x14ac:dyDescent="0.25">
      <c r="A1227" s="1">
        <v>546</v>
      </c>
      <c r="B1227" s="1">
        <v>3</v>
      </c>
      <c r="C1227" s="1" t="s">
        <v>4</v>
      </c>
      <c r="D1227" s="1">
        <v>14</v>
      </c>
      <c r="E1227" s="1">
        <v>95.197000000000003</v>
      </c>
      <c r="F1227" s="1">
        <v>0.58860400000000002</v>
      </c>
      <c r="G1227" t="s">
        <v>1995</v>
      </c>
      <c r="H1227" t="s">
        <v>1004</v>
      </c>
      <c r="I1227" t="s">
        <v>5079</v>
      </c>
      <c r="J1227" t="str">
        <f>"LysM and putative peptidoglycan-binding domain-containing protein 2"</f>
        <v>LysM and putative peptidoglycan-binding domain-containing protein 2</v>
      </c>
      <c r="K1227" t="str">
        <f>"LYSMD2"</f>
        <v>LYSMD2</v>
      </c>
    </row>
    <row r="1228" spans="1:11" x14ac:dyDescent="0.25">
      <c r="A1228" s="1">
        <v>1009</v>
      </c>
      <c r="B1228" s="1">
        <v>3</v>
      </c>
      <c r="C1228" s="1" t="s">
        <v>3</v>
      </c>
      <c r="D1228" s="1">
        <v>12</v>
      </c>
      <c r="E1228" s="1">
        <v>85.554000000000002</v>
      </c>
      <c r="F1228" s="1">
        <v>0.99999499999999997</v>
      </c>
      <c r="G1228" t="s">
        <v>1996</v>
      </c>
      <c r="H1228" t="s">
        <v>884</v>
      </c>
      <c r="I1228" t="s">
        <v>5080</v>
      </c>
      <c r="J1228" t="str">
        <f>"Afadin"</f>
        <v>Afadin</v>
      </c>
      <c r="K1228" t="str">
        <f>"MLLT4"</f>
        <v>MLLT4</v>
      </c>
    </row>
    <row r="1229" spans="1:11" x14ac:dyDescent="0.25">
      <c r="A1229" s="1">
        <v>1173</v>
      </c>
      <c r="B1229" s="1">
        <v>2</v>
      </c>
      <c r="C1229" s="1" t="s">
        <v>3</v>
      </c>
      <c r="D1229" s="1">
        <v>5</v>
      </c>
      <c r="E1229" s="1">
        <v>76.819999999999993</v>
      </c>
      <c r="F1229" s="1">
        <v>0.99999899999999997</v>
      </c>
      <c r="G1229" t="s">
        <v>1997</v>
      </c>
      <c r="H1229" t="s">
        <v>1998</v>
      </c>
      <c r="I1229" t="s">
        <v>5081</v>
      </c>
      <c r="J1229" t="str">
        <f>"Septin-7"</f>
        <v>Septin-7</v>
      </c>
      <c r="K1229" t="str">
        <f>"SEPT7"</f>
        <v>SEPT7</v>
      </c>
    </row>
    <row r="1230" spans="1:11" x14ac:dyDescent="0.25">
      <c r="A1230" s="1">
        <v>1268</v>
      </c>
      <c r="B1230" s="1">
        <v>3</v>
      </c>
      <c r="C1230" s="1" t="s">
        <v>3</v>
      </c>
      <c r="D1230" s="1">
        <v>2</v>
      </c>
      <c r="E1230" s="1">
        <v>102.52</v>
      </c>
      <c r="F1230" s="1">
        <v>0.99999700000000002</v>
      </c>
      <c r="G1230" t="s">
        <v>1999</v>
      </c>
      <c r="H1230" t="s">
        <v>2000</v>
      </c>
      <c r="I1230" t="s">
        <v>5082</v>
      </c>
      <c r="J1230" t="str">
        <f>"Ubiquitin thioesterase OTUB1"</f>
        <v>Ubiquitin thioesterase OTUB1</v>
      </c>
      <c r="K1230" t="str">
        <f>"OTUB1"</f>
        <v>OTUB1</v>
      </c>
    </row>
    <row r="1231" spans="1:11" x14ac:dyDescent="0.25">
      <c r="A1231" s="1">
        <v>1532</v>
      </c>
      <c r="B1231" s="1">
        <v>5</v>
      </c>
      <c r="C1231" s="1" t="s">
        <v>3</v>
      </c>
      <c r="D1231" s="1">
        <v>4</v>
      </c>
      <c r="E1231" s="1">
        <v>66.474000000000004</v>
      </c>
      <c r="F1231" s="1">
        <v>0.999996</v>
      </c>
      <c r="G1231" t="s">
        <v>2001</v>
      </c>
      <c r="H1231" t="s">
        <v>2002</v>
      </c>
      <c r="I1231" t="s">
        <v>5083</v>
      </c>
      <c r="J1231" t="str">
        <f>"Splicing factor 3B subunit 1"</f>
        <v>Splicing factor 3B subunit 1</v>
      </c>
      <c r="K1231" t="str">
        <f>"SF3B1"</f>
        <v>SF3B1</v>
      </c>
    </row>
    <row r="1232" spans="1:11" x14ac:dyDescent="0.25">
      <c r="A1232" s="1">
        <v>1278</v>
      </c>
      <c r="B1232" s="1">
        <v>3</v>
      </c>
      <c r="C1232" s="1" t="s">
        <v>3</v>
      </c>
      <c r="D1232" s="1">
        <v>7</v>
      </c>
      <c r="E1232" s="1">
        <v>60.156999999999996</v>
      </c>
      <c r="F1232" s="1">
        <v>1</v>
      </c>
      <c r="G1232" t="s">
        <v>2003</v>
      </c>
      <c r="H1232" t="s">
        <v>513</v>
      </c>
      <c r="I1232" t="s">
        <v>5084</v>
      </c>
      <c r="J1232" t="str">
        <f>"Paxillin"</f>
        <v>Paxillin</v>
      </c>
      <c r="K1232" t="str">
        <f>"PXN"</f>
        <v>PXN</v>
      </c>
    </row>
    <row r="1233" spans="1:11" x14ac:dyDescent="0.25">
      <c r="A1233" s="1">
        <v>1901</v>
      </c>
      <c r="B1233" s="1">
        <v>2</v>
      </c>
      <c r="C1233" s="1" t="s">
        <v>3</v>
      </c>
      <c r="D1233" s="1">
        <v>12</v>
      </c>
      <c r="E1233" s="1">
        <v>87.388000000000005</v>
      </c>
      <c r="F1233" s="1">
        <v>0.940801</v>
      </c>
      <c r="G1233" t="s">
        <v>2004</v>
      </c>
      <c r="H1233" t="s">
        <v>2005</v>
      </c>
      <c r="I1233" t="s">
        <v>5085</v>
      </c>
      <c r="J1233" t="str">
        <f>"Receptor-type tyrosine-protein phosphatase epsilon"</f>
        <v>Receptor-type tyrosine-protein phosphatase epsilon</v>
      </c>
      <c r="K1233" t="str">
        <f>"PTPRE"</f>
        <v>PTPRE</v>
      </c>
    </row>
    <row r="1234" spans="1:11" x14ac:dyDescent="0.25">
      <c r="A1234" s="1">
        <v>2269</v>
      </c>
      <c r="B1234" s="1">
        <v>3</v>
      </c>
      <c r="C1234" s="1" t="s">
        <v>3</v>
      </c>
      <c r="D1234" s="1">
        <v>6</v>
      </c>
      <c r="E1234" s="1">
        <v>86.539000000000001</v>
      </c>
      <c r="F1234" s="1">
        <v>0.74188100000000001</v>
      </c>
      <c r="G1234" t="s">
        <v>2006</v>
      </c>
      <c r="H1234" t="s">
        <v>2007</v>
      </c>
      <c r="I1234" t="s">
        <v>5086</v>
      </c>
      <c r="J1234" t="str">
        <f>"Serine/threonine-protein phosphatase 2A 55 kDa regulatory subunit B alpha isoform;Serine/threonine-protein phosphatase 2A 55 kDa regulatory subunit B delta isoform;Serine/threonine-protein phosphatase 2A 55 kDa regulatory subunit B beta isoform"</f>
        <v>Serine/threonine-protein phosphatase 2A 55 kDa regulatory subunit B alpha isoform;Serine/threonine-protein phosphatase 2A 55 kDa regulatory subunit B delta isoform;Serine/threonine-protein phosphatase 2A 55 kDa regulatory subunit B beta isoform</v>
      </c>
      <c r="K1234" t="str">
        <f>"PPP2R2A;PPP2R2D;PPP2R2B"</f>
        <v>PPP2R2A;PPP2R2D;PPP2R2B</v>
      </c>
    </row>
    <row r="1235" spans="1:11" x14ac:dyDescent="0.25">
      <c r="A1235" s="1">
        <v>1735</v>
      </c>
      <c r="B1235" s="1">
        <v>3</v>
      </c>
      <c r="C1235" s="1" t="s">
        <v>3</v>
      </c>
      <c r="D1235" s="1">
        <v>10</v>
      </c>
      <c r="E1235" s="1">
        <v>57.366</v>
      </c>
      <c r="F1235" s="1">
        <v>0.91215100000000005</v>
      </c>
      <c r="G1235" t="s">
        <v>2008</v>
      </c>
      <c r="H1235" t="s">
        <v>2009</v>
      </c>
      <c r="I1235" t="s">
        <v>5087</v>
      </c>
      <c r="J1235" t="str">
        <f>"Mast/stem cell growth factor receptor Kit"</f>
        <v>Mast/stem cell growth factor receptor Kit</v>
      </c>
      <c r="K1235" t="str">
        <f>"KIT"</f>
        <v>KIT</v>
      </c>
    </row>
    <row r="1236" spans="1:11" x14ac:dyDescent="0.25">
      <c r="A1236" s="1">
        <v>1456</v>
      </c>
      <c r="B1236" s="1">
        <v>2</v>
      </c>
      <c r="C1236" s="1" t="s">
        <v>3</v>
      </c>
      <c r="D1236" s="1">
        <v>6</v>
      </c>
      <c r="E1236" s="1">
        <v>63.682000000000002</v>
      </c>
      <c r="F1236" s="1">
        <v>0.99997000000000003</v>
      </c>
      <c r="G1236" t="s">
        <v>2010</v>
      </c>
      <c r="H1236" t="s">
        <v>2011</v>
      </c>
      <c r="I1236" t="s">
        <v>5088</v>
      </c>
      <c r="J1236" t="str">
        <f>"Zinc finger protein 185"</f>
        <v>Zinc finger protein 185</v>
      </c>
      <c r="K1236" t="str">
        <f>"ZNF185"</f>
        <v>ZNF185</v>
      </c>
    </row>
    <row r="1237" spans="1:11" x14ac:dyDescent="0.25">
      <c r="A1237" s="1">
        <v>793</v>
      </c>
      <c r="B1237" s="1">
        <v>2</v>
      </c>
      <c r="C1237" s="1" t="s">
        <v>3</v>
      </c>
      <c r="D1237" s="1">
        <v>4</v>
      </c>
      <c r="E1237" s="1">
        <v>62.713999999999999</v>
      </c>
      <c r="F1237" s="1">
        <v>1</v>
      </c>
      <c r="G1237" t="s">
        <v>2012</v>
      </c>
      <c r="H1237" t="s">
        <v>493</v>
      </c>
      <c r="I1237" t="s">
        <v>5089</v>
      </c>
      <c r="J1237" t="str">
        <f>"Clathrin heavy chain 1"</f>
        <v>Clathrin heavy chain 1</v>
      </c>
      <c r="K1237" t="str">
        <f>"CLTC"</f>
        <v>CLTC</v>
      </c>
    </row>
    <row r="1238" spans="1:11" x14ac:dyDescent="0.25">
      <c r="A1238" s="1">
        <v>3008</v>
      </c>
      <c r="B1238" s="1">
        <v>3</v>
      </c>
      <c r="C1238" s="1" t="s">
        <v>3</v>
      </c>
      <c r="D1238" s="1">
        <v>4</v>
      </c>
      <c r="E1238" s="1">
        <v>180.86</v>
      </c>
      <c r="F1238" s="1">
        <v>0.97769200000000001</v>
      </c>
      <c r="G1238" t="s">
        <v>2013</v>
      </c>
      <c r="H1238" t="s">
        <v>1082</v>
      </c>
      <c r="I1238">
        <v>91</v>
      </c>
      <c r="J1238" t="str">
        <f>"14 kDa phosphohistidine phosphatase"</f>
        <v>14 kDa phosphohistidine phosphatase</v>
      </c>
      <c r="K1238" t="str">
        <f>"PHPT1"</f>
        <v>PHPT1</v>
      </c>
    </row>
    <row r="1239" spans="1:11" x14ac:dyDescent="0.25">
      <c r="A1239" s="1">
        <v>2757</v>
      </c>
      <c r="B1239" s="1">
        <v>3</v>
      </c>
      <c r="C1239" s="1" t="s">
        <v>3</v>
      </c>
      <c r="D1239" s="1">
        <v>16</v>
      </c>
      <c r="E1239" s="1">
        <v>152.06</v>
      </c>
      <c r="F1239" s="1">
        <v>0.95136299999999996</v>
      </c>
      <c r="G1239" t="s">
        <v>2014</v>
      </c>
      <c r="H1239" t="s">
        <v>2015</v>
      </c>
      <c r="I1239">
        <v>292</v>
      </c>
      <c r="J1239" t="str">
        <f>"N-acylneuraminate cytidylyltransferase"</f>
        <v>N-acylneuraminate cytidylyltransferase</v>
      </c>
      <c r="K1239" t="str">
        <f>"CMAS"</f>
        <v>CMAS</v>
      </c>
    </row>
    <row r="1240" spans="1:11" x14ac:dyDescent="0.25">
      <c r="A1240" s="1">
        <v>1446</v>
      </c>
      <c r="B1240" s="1">
        <v>3</v>
      </c>
      <c r="C1240" s="1" t="s">
        <v>3</v>
      </c>
      <c r="D1240" s="1">
        <v>7</v>
      </c>
      <c r="E1240" s="1">
        <v>62.94</v>
      </c>
      <c r="F1240" s="1">
        <v>0.93715700000000002</v>
      </c>
      <c r="G1240" t="s">
        <v>2016</v>
      </c>
      <c r="H1240" t="s">
        <v>2017</v>
      </c>
      <c r="I1240" t="s">
        <v>5090</v>
      </c>
      <c r="J1240" t="str">
        <f>"Rho guanine nucleotide exchange factor 10"</f>
        <v>Rho guanine nucleotide exchange factor 10</v>
      </c>
      <c r="K1240" t="str">
        <f>"ARHGEF10"</f>
        <v>ARHGEF10</v>
      </c>
    </row>
    <row r="1241" spans="1:11" x14ac:dyDescent="0.25">
      <c r="A1241" s="1">
        <v>1251</v>
      </c>
      <c r="B1241" s="1">
        <v>3</v>
      </c>
      <c r="C1241" s="1" t="s">
        <v>3</v>
      </c>
      <c r="D1241" s="1">
        <v>10</v>
      </c>
      <c r="E1241" s="1">
        <v>77.061999999999998</v>
      </c>
      <c r="F1241" s="1">
        <v>0.99998699999999996</v>
      </c>
      <c r="G1241" t="s">
        <v>2018</v>
      </c>
      <c r="H1241" t="s">
        <v>2019</v>
      </c>
      <c r="I1241" t="s">
        <v>5091</v>
      </c>
      <c r="J1241" t="str">
        <f>"LIM domain only protein 7"</f>
        <v>LIM domain only protein 7</v>
      </c>
      <c r="K1241" t="str">
        <f>"LMO7"</f>
        <v>LMO7</v>
      </c>
    </row>
    <row r="1242" spans="1:11" x14ac:dyDescent="0.25">
      <c r="A1242" s="1">
        <v>1036</v>
      </c>
      <c r="B1242" s="1">
        <v>3</v>
      </c>
      <c r="C1242" s="1" t="s">
        <v>3</v>
      </c>
      <c r="D1242" s="1">
        <v>8</v>
      </c>
      <c r="E1242" s="1">
        <v>61.444000000000003</v>
      </c>
      <c r="F1242" s="1">
        <v>0.94327099999999997</v>
      </c>
      <c r="G1242" t="s">
        <v>2020</v>
      </c>
      <c r="H1242" t="s">
        <v>1786</v>
      </c>
      <c r="I1242" t="s">
        <v>5092</v>
      </c>
      <c r="J1242" t="str">
        <f>"Ephrin type-B receptor 2;Ephrin type-B receptor 1"</f>
        <v>Ephrin type-B receptor 2;Ephrin type-B receptor 1</v>
      </c>
      <c r="K1242" t="str">
        <f>"EPHB2;EPHB1"</f>
        <v>EPHB2;EPHB1</v>
      </c>
    </row>
    <row r="1243" spans="1:11" x14ac:dyDescent="0.25">
      <c r="A1243" s="1">
        <v>2586</v>
      </c>
      <c r="B1243" s="1">
        <v>2</v>
      </c>
      <c r="C1243" s="1" t="s">
        <v>3</v>
      </c>
      <c r="D1243" s="1">
        <v>9</v>
      </c>
      <c r="E1243" s="1">
        <v>87.183999999999997</v>
      </c>
      <c r="F1243" s="1">
        <v>1</v>
      </c>
      <c r="G1243" t="s">
        <v>2021</v>
      </c>
      <c r="H1243" t="s">
        <v>2022</v>
      </c>
      <c r="I1243">
        <v>2023</v>
      </c>
      <c r="J1243" t="str">
        <f>"Leucine-rich repeat serine/threonine-protein kinase 2"</f>
        <v>Leucine-rich repeat serine/threonine-protein kinase 2</v>
      </c>
      <c r="K1243" t="str">
        <f>"LRRK2"</f>
        <v>LRRK2</v>
      </c>
    </row>
    <row r="1244" spans="1:11" x14ac:dyDescent="0.25">
      <c r="A1244" s="1">
        <v>2823</v>
      </c>
      <c r="B1244" s="1">
        <v>2</v>
      </c>
      <c r="C1244" s="1" t="s">
        <v>3</v>
      </c>
      <c r="D1244" s="1">
        <v>2</v>
      </c>
      <c r="E1244" s="1">
        <v>90.15</v>
      </c>
      <c r="F1244" s="1">
        <v>0.98135399999999995</v>
      </c>
      <c r="G1244" t="s">
        <v>2023</v>
      </c>
      <c r="H1244" t="s">
        <v>2024</v>
      </c>
      <c r="I1244" t="s">
        <v>5093</v>
      </c>
      <c r="J1244" t="str">
        <f>"UPF0556 protein C19orf10"</f>
        <v>UPF0556 protein C19orf10</v>
      </c>
      <c r="K1244" t="str">
        <f>"C19orf10"</f>
        <v>C19orf10</v>
      </c>
    </row>
    <row r="1245" spans="1:11" x14ac:dyDescent="0.25">
      <c r="A1245" s="1">
        <v>1673</v>
      </c>
      <c r="B1245" s="1">
        <v>2</v>
      </c>
      <c r="C1245" s="1" t="s">
        <v>3</v>
      </c>
      <c r="D1245" s="1">
        <v>9</v>
      </c>
      <c r="E1245" s="1">
        <v>50.896999999999998</v>
      </c>
      <c r="F1245" s="1">
        <v>1</v>
      </c>
      <c r="G1245" t="s">
        <v>2025</v>
      </c>
      <c r="H1245" t="s">
        <v>82</v>
      </c>
      <c r="I1245" t="s">
        <v>5094</v>
      </c>
      <c r="J1245" t="str">
        <f>"Tyrosine-protein kinase Lyn"</f>
        <v>Tyrosine-protein kinase Lyn</v>
      </c>
      <c r="K1245" t="str">
        <f>"LYN"</f>
        <v>LYN</v>
      </c>
    </row>
    <row r="1246" spans="1:11" x14ac:dyDescent="0.25">
      <c r="A1246" s="1">
        <v>1621</v>
      </c>
      <c r="B1246" s="1">
        <v>3</v>
      </c>
      <c r="C1246" s="1" t="s">
        <v>3</v>
      </c>
      <c r="D1246" s="1">
        <v>3</v>
      </c>
      <c r="E1246" s="1">
        <v>58.32</v>
      </c>
      <c r="F1246" s="1">
        <v>0.97069000000000005</v>
      </c>
      <c r="G1246" t="s">
        <v>2026</v>
      </c>
      <c r="H1246" t="s">
        <v>2027</v>
      </c>
      <c r="I1246" t="s">
        <v>5095</v>
      </c>
      <c r="J1246" t="str">
        <f>"Guanine nucleotide-binding protein G(i) subunit alpha-2;Guanine nucleotide-binding protein G(k) subunit alpha;Guanine nucleotide-binding protein G(i) subunit alpha-1"</f>
        <v>Guanine nucleotide-binding protein G(i) subunit alpha-2;Guanine nucleotide-binding protein G(k) subunit alpha;Guanine nucleotide-binding protein G(i) subunit alpha-1</v>
      </c>
      <c r="K1246" t="str">
        <f>"GNAI2;GNAI3;GNAI1"</f>
        <v>GNAI2;GNAI3;GNAI1</v>
      </c>
    </row>
    <row r="1247" spans="1:11" x14ac:dyDescent="0.25">
      <c r="A1247" s="1">
        <v>3128</v>
      </c>
      <c r="B1247" s="1">
        <v>3</v>
      </c>
      <c r="C1247" s="1" t="s">
        <v>3</v>
      </c>
      <c r="D1247" s="1">
        <v>16</v>
      </c>
      <c r="E1247" s="1">
        <v>77.221000000000004</v>
      </c>
      <c r="F1247" s="1">
        <v>0.95373600000000003</v>
      </c>
      <c r="G1247" t="s">
        <v>2028</v>
      </c>
      <c r="H1247" t="s">
        <v>812</v>
      </c>
      <c r="I1247" t="s">
        <v>5096</v>
      </c>
      <c r="J1247" t="str">
        <f>"Signaling threshold-regulating transmembrane adapter 1"</f>
        <v>Signaling threshold-regulating transmembrane adapter 1</v>
      </c>
      <c r="K1247" t="str">
        <f>"SIT1"</f>
        <v>SIT1</v>
      </c>
    </row>
    <row r="1248" spans="1:11" x14ac:dyDescent="0.25">
      <c r="A1248" s="1">
        <v>1907</v>
      </c>
      <c r="B1248" s="1">
        <v>2</v>
      </c>
      <c r="C1248" s="1" t="s">
        <v>3</v>
      </c>
      <c r="D1248" s="1">
        <v>7</v>
      </c>
      <c r="E1248" s="1">
        <v>83.203999999999994</v>
      </c>
      <c r="F1248" s="1">
        <v>0.97179199999999999</v>
      </c>
      <c r="G1248" t="s">
        <v>2029</v>
      </c>
      <c r="H1248" t="s">
        <v>2030</v>
      </c>
      <c r="I1248" t="s">
        <v>5097</v>
      </c>
      <c r="J1248" t="str">
        <f>"Plasma membrane calcium-transporting ATPase 4"</f>
        <v>Plasma membrane calcium-transporting ATPase 4</v>
      </c>
      <c r="K1248" t="str">
        <f>"ATP2B4"</f>
        <v>ATP2B4</v>
      </c>
    </row>
    <row r="1249" spans="1:11" x14ac:dyDescent="0.25">
      <c r="A1249" s="1">
        <v>1850</v>
      </c>
      <c r="B1249" s="1">
        <v>3</v>
      </c>
      <c r="C1249" s="1" t="s">
        <v>3</v>
      </c>
      <c r="D1249" s="1">
        <v>11</v>
      </c>
      <c r="E1249" s="1">
        <v>41.088000000000001</v>
      </c>
      <c r="F1249" s="1">
        <v>1</v>
      </c>
      <c r="G1249" t="s">
        <v>2031</v>
      </c>
      <c r="H1249" t="s">
        <v>2032</v>
      </c>
      <c r="I1249">
        <v>240</v>
      </c>
      <c r="J1249" t="str">
        <f>"Casein kinase II subunit alpha'"</f>
        <v>Casein kinase II subunit alpha'</v>
      </c>
      <c r="K1249" t="str">
        <f>"CSNK2A2"</f>
        <v>CSNK2A2</v>
      </c>
    </row>
    <row r="1250" spans="1:11" x14ac:dyDescent="0.25">
      <c r="A1250" s="1">
        <v>1083</v>
      </c>
      <c r="B1250" s="1">
        <v>3</v>
      </c>
      <c r="C1250" s="1" t="s">
        <v>3</v>
      </c>
      <c r="D1250" s="1">
        <v>7</v>
      </c>
      <c r="E1250" s="1">
        <v>69.03</v>
      </c>
      <c r="F1250" s="1">
        <v>1</v>
      </c>
      <c r="G1250" t="s">
        <v>2033</v>
      </c>
      <c r="H1250" t="s">
        <v>2034</v>
      </c>
      <c r="I1250" t="s">
        <v>5098</v>
      </c>
      <c r="J1250" t="str">
        <f>"Mothers against decapentaplegic homolog 2"</f>
        <v>Mothers against decapentaplegic homolog 2</v>
      </c>
      <c r="K1250" t="str">
        <f>"SMAD2"</f>
        <v>SMAD2</v>
      </c>
    </row>
    <row r="1251" spans="1:11" x14ac:dyDescent="0.25">
      <c r="A1251" s="1">
        <v>2397</v>
      </c>
      <c r="B1251" s="1">
        <v>3</v>
      </c>
      <c r="C1251" s="1" t="s">
        <v>3</v>
      </c>
      <c r="D1251" s="1">
        <v>15</v>
      </c>
      <c r="E1251" s="1">
        <v>75.063999999999993</v>
      </c>
      <c r="F1251" s="1">
        <v>0.99890599999999996</v>
      </c>
      <c r="G1251" t="s">
        <v>2035</v>
      </c>
      <c r="H1251" t="s">
        <v>2036</v>
      </c>
      <c r="I1251" t="s">
        <v>5099</v>
      </c>
      <c r="J1251" t="str">
        <f>"Rho GTPase-activating protein 5"</f>
        <v>Rho GTPase-activating protein 5</v>
      </c>
      <c r="K1251" t="str">
        <f>"ARHGAP5"</f>
        <v>ARHGAP5</v>
      </c>
    </row>
    <row r="1252" spans="1:11" x14ac:dyDescent="0.25">
      <c r="A1252" s="1">
        <v>1982</v>
      </c>
      <c r="B1252" s="1">
        <v>3</v>
      </c>
      <c r="C1252" s="1" t="s">
        <v>3</v>
      </c>
      <c r="D1252" s="1">
        <v>14</v>
      </c>
      <c r="E1252" s="1">
        <v>97.384</v>
      </c>
      <c r="F1252" s="1">
        <v>0.97952499999999998</v>
      </c>
      <c r="G1252" t="s">
        <v>2037</v>
      </c>
      <c r="H1252" t="s">
        <v>2038</v>
      </c>
      <c r="I1252" t="s">
        <v>5065</v>
      </c>
      <c r="J1252" t="str">
        <f>"DnaJ homolog subfamily A member 1"</f>
        <v>DnaJ homolog subfamily A member 1</v>
      </c>
      <c r="K1252" t="str">
        <f>"DNAJA1"</f>
        <v>DNAJA1</v>
      </c>
    </row>
    <row r="1253" spans="1:11" x14ac:dyDescent="0.25">
      <c r="A1253" s="1">
        <v>1819</v>
      </c>
      <c r="B1253" s="1">
        <v>3</v>
      </c>
      <c r="C1253" s="1" t="s">
        <v>3</v>
      </c>
      <c r="D1253" s="1">
        <v>6</v>
      </c>
      <c r="E1253" s="1">
        <v>92.265000000000001</v>
      </c>
      <c r="F1253" s="1">
        <v>0.98627699999999996</v>
      </c>
      <c r="G1253" t="s">
        <v>2039</v>
      </c>
      <c r="H1253" t="s">
        <v>941</v>
      </c>
      <c r="I1253">
        <v>331</v>
      </c>
      <c r="J1253" t="str">
        <f>"Desmin"</f>
        <v>Desmin</v>
      </c>
      <c r="K1253" t="str">
        <f>"DES"</f>
        <v>DES</v>
      </c>
    </row>
    <row r="1254" spans="1:11" x14ac:dyDescent="0.25">
      <c r="A1254" s="1">
        <v>2611</v>
      </c>
      <c r="B1254" s="1">
        <v>3</v>
      </c>
      <c r="C1254" s="1" t="s">
        <v>3</v>
      </c>
      <c r="D1254" s="1">
        <v>3</v>
      </c>
      <c r="E1254" s="1">
        <v>53.255000000000003</v>
      </c>
      <c r="F1254" s="1">
        <v>0.98398799999999997</v>
      </c>
      <c r="G1254" t="s">
        <v>2040</v>
      </c>
      <c r="H1254" t="s">
        <v>557</v>
      </c>
      <c r="I1254" t="s">
        <v>5100</v>
      </c>
      <c r="J1254" t="str">
        <f>"Partitioning defective 3 homolog"</f>
        <v>Partitioning defective 3 homolog</v>
      </c>
      <c r="K1254" t="str">
        <f>"PARD3"</f>
        <v>PARD3</v>
      </c>
    </row>
    <row r="1255" spans="1:11" x14ac:dyDescent="0.25">
      <c r="A1255" s="1">
        <v>1897</v>
      </c>
      <c r="B1255" s="1">
        <v>5</v>
      </c>
      <c r="C1255" s="1" t="s">
        <v>3</v>
      </c>
      <c r="D1255" s="1">
        <v>6</v>
      </c>
      <c r="E1255" s="1">
        <v>66.605999999999995</v>
      </c>
      <c r="F1255" s="1">
        <v>1</v>
      </c>
      <c r="G1255" t="s">
        <v>2041</v>
      </c>
      <c r="H1255" t="s">
        <v>2042</v>
      </c>
      <c r="I1255" t="s">
        <v>4688</v>
      </c>
      <c r="J1255" t="str">
        <f>"Splicing factor, proline- and glutamine-rich"</f>
        <v>Splicing factor, proline- and glutamine-rich</v>
      </c>
      <c r="K1255" t="str">
        <f>"SFPQ"</f>
        <v>SFPQ</v>
      </c>
    </row>
    <row r="1256" spans="1:11" x14ac:dyDescent="0.25">
      <c r="A1256" s="1">
        <v>1085</v>
      </c>
      <c r="B1256" s="1">
        <v>3</v>
      </c>
      <c r="C1256" s="1" t="s">
        <v>3</v>
      </c>
      <c r="D1256" s="1">
        <v>10</v>
      </c>
      <c r="E1256" s="1">
        <v>45.28</v>
      </c>
      <c r="F1256" s="1">
        <v>0.90326899999999999</v>
      </c>
      <c r="G1256" t="s">
        <v>2043</v>
      </c>
      <c r="H1256" t="s">
        <v>2044</v>
      </c>
      <c r="I1256" t="s">
        <v>5101</v>
      </c>
      <c r="J1256" t="str">
        <f>"Ephrin type-A receptor 4;Ephrin type-A receptor 5;Ephrin type-A receptor 3"</f>
        <v>Ephrin type-A receptor 4;Ephrin type-A receptor 5;Ephrin type-A receptor 3</v>
      </c>
      <c r="K1256" t="str">
        <f>"EPHA5;EPHA3;EPHA4"</f>
        <v>EPHA5;EPHA3;EPHA4</v>
      </c>
    </row>
    <row r="1257" spans="1:11" x14ac:dyDescent="0.25">
      <c r="A1257" s="1">
        <v>2821</v>
      </c>
      <c r="B1257" s="1">
        <v>3</v>
      </c>
      <c r="C1257" s="1" t="s">
        <v>3</v>
      </c>
      <c r="D1257" s="1">
        <v>7</v>
      </c>
      <c r="E1257" s="1">
        <v>64.376999999999995</v>
      </c>
      <c r="F1257" s="1">
        <v>0.84565699999999999</v>
      </c>
      <c r="G1257" t="s">
        <v>2045</v>
      </c>
      <c r="H1257" t="s">
        <v>2046</v>
      </c>
      <c r="I1257" t="s">
        <v>5102</v>
      </c>
      <c r="J1257" t="str">
        <f>"Betaine--homocysteine S-methyltransferase 1"</f>
        <v>Betaine--homocysteine S-methyltransferase 1</v>
      </c>
      <c r="K1257" t="str">
        <f>"BHMT"</f>
        <v>BHMT</v>
      </c>
    </row>
    <row r="1258" spans="1:11" x14ac:dyDescent="0.25">
      <c r="A1258" s="1">
        <v>695</v>
      </c>
      <c r="B1258" s="1">
        <v>4</v>
      </c>
      <c r="C1258" s="1" t="s">
        <v>4</v>
      </c>
      <c r="D1258" s="1">
        <v>3</v>
      </c>
      <c r="E1258" s="1">
        <v>123.86</v>
      </c>
      <c r="F1258" s="1">
        <v>0.99731800000000004</v>
      </c>
      <c r="G1258" t="s">
        <v>2047</v>
      </c>
      <c r="H1258" t="s">
        <v>2048</v>
      </c>
      <c r="I1258" t="s">
        <v>5103</v>
      </c>
      <c r="J1258" t="str">
        <f>"Src kinase-associated phosphoprotein 1"</f>
        <v>Src kinase-associated phosphoprotein 1</v>
      </c>
      <c r="K1258" t="str">
        <f>"SKAP1"</f>
        <v>SKAP1</v>
      </c>
    </row>
    <row r="1259" spans="1:11" x14ac:dyDescent="0.25">
      <c r="A1259" s="1">
        <v>984</v>
      </c>
      <c r="B1259" s="1">
        <v>3</v>
      </c>
      <c r="C1259" s="1" t="s">
        <v>3</v>
      </c>
      <c r="D1259" s="1">
        <v>7</v>
      </c>
      <c r="E1259" s="1">
        <v>62.356999999999999</v>
      </c>
      <c r="F1259" s="1">
        <v>0.74344100000000002</v>
      </c>
      <c r="G1259" t="s">
        <v>2049</v>
      </c>
      <c r="H1259" t="s">
        <v>2050</v>
      </c>
      <c r="I1259" t="s">
        <v>5104</v>
      </c>
      <c r="J1259" t="str">
        <f>"Aconitate hydratase, mitochondrial"</f>
        <v>Aconitate hydratase, mitochondrial</v>
      </c>
      <c r="K1259" t="str">
        <f>"ACO2"</f>
        <v>ACO2</v>
      </c>
    </row>
    <row r="1260" spans="1:11" x14ac:dyDescent="0.25">
      <c r="A1260" s="1">
        <v>2712</v>
      </c>
      <c r="B1260" s="1">
        <v>3</v>
      </c>
      <c r="C1260" s="1" t="s">
        <v>3</v>
      </c>
      <c r="D1260" s="1">
        <v>9</v>
      </c>
      <c r="E1260" s="1">
        <v>74.852999999999994</v>
      </c>
      <c r="F1260" s="1">
        <v>0.97295100000000001</v>
      </c>
      <c r="G1260" t="s">
        <v>2051</v>
      </c>
      <c r="H1260" t="s">
        <v>274</v>
      </c>
      <c r="I1260" t="s">
        <v>5105</v>
      </c>
      <c r="J1260" t="str">
        <f>"MAGUK p55 subfamily member 5"</f>
        <v>MAGUK p55 subfamily member 5</v>
      </c>
      <c r="K1260" t="str">
        <f>"MPP5"</f>
        <v>MPP5</v>
      </c>
    </row>
    <row r="1261" spans="1:11" x14ac:dyDescent="0.25">
      <c r="A1261" s="1">
        <v>102</v>
      </c>
      <c r="B1261" s="1">
        <v>4</v>
      </c>
      <c r="C1261" s="1" t="s">
        <v>5</v>
      </c>
      <c r="D1261" s="1">
        <v>7</v>
      </c>
      <c r="E1261" s="1">
        <v>64.27</v>
      </c>
      <c r="F1261" s="1">
        <v>0.53271100000000005</v>
      </c>
      <c r="G1261" t="s">
        <v>2052</v>
      </c>
      <c r="H1261" t="s">
        <v>2053</v>
      </c>
      <c r="I1261" t="s">
        <v>5106</v>
      </c>
      <c r="J1261" t="str">
        <f>"GTPase-activating protein and VPS9 domain-containing protein 1"</f>
        <v>GTPase-activating protein and VPS9 domain-containing protein 1</v>
      </c>
      <c r="K1261" t="str">
        <f>"GAPVD1"</f>
        <v>GAPVD1</v>
      </c>
    </row>
    <row r="1262" spans="1:11" x14ac:dyDescent="0.25">
      <c r="A1262" s="1">
        <v>1546</v>
      </c>
      <c r="B1262" s="1">
        <v>2</v>
      </c>
      <c r="C1262" s="1" t="s">
        <v>3</v>
      </c>
      <c r="D1262" s="1">
        <v>3</v>
      </c>
      <c r="E1262" s="1">
        <v>46.768000000000001</v>
      </c>
      <c r="F1262" s="1">
        <v>0.99385900000000005</v>
      </c>
      <c r="G1262" t="s">
        <v>2054</v>
      </c>
      <c r="H1262" t="s">
        <v>2055</v>
      </c>
      <c r="I1262" t="s">
        <v>5107</v>
      </c>
      <c r="J1262" t="str">
        <f>"Signal transducing adapter molecule 2"</f>
        <v>Signal transducing adapter molecule 2</v>
      </c>
      <c r="K1262" t="str">
        <f>"STAM2"</f>
        <v>STAM2</v>
      </c>
    </row>
    <row r="1263" spans="1:11" x14ac:dyDescent="0.25">
      <c r="A1263" s="1">
        <v>2319</v>
      </c>
      <c r="B1263" s="1">
        <v>2</v>
      </c>
      <c r="C1263" s="1" t="s">
        <v>3</v>
      </c>
      <c r="D1263" s="1">
        <v>2</v>
      </c>
      <c r="E1263" s="1">
        <v>48.423000000000002</v>
      </c>
      <c r="F1263" s="1">
        <v>1</v>
      </c>
      <c r="G1263" t="s">
        <v>2056</v>
      </c>
      <c r="H1263" t="s">
        <v>907</v>
      </c>
      <c r="I1263">
        <v>411</v>
      </c>
      <c r="J1263" t="str">
        <f>"Peptidyl-prolyl cis-trans isomerase FKBP4;Peptidyl-prolyl cis-trans isomerase FKBP4, N-terminally processed"</f>
        <v>Peptidyl-prolyl cis-trans isomerase FKBP4;Peptidyl-prolyl cis-trans isomerase FKBP4, N-terminally processed</v>
      </c>
      <c r="K1263" t="str">
        <f>"FKBP4"</f>
        <v>FKBP4</v>
      </c>
    </row>
    <row r="1264" spans="1:11" x14ac:dyDescent="0.25">
      <c r="A1264" s="1">
        <v>901</v>
      </c>
      <c r="B1264" s="1">
        <v>3</v>
      </c>
      <c r="C1264" s="1" t="s">
        <v>3</v>
      </c>
      <c r="D1264" s="1">
        <v>13</v>
      </c>
      <c r="E1264" s="1">
        <v>57.287999999999997</v>
      </c>
      <c r="F1264" s="1">
        <v>0.99999800000000005</v>
      </c>
      <c r="G1264" t="s">
        <v>2057</v>
      </c>
      <c r="H1264" t="s">
        <v>1563</v>
      </c>
      <c r="I1264" t="s">
        <v>5108</v>
      </c>
      <c r="J1264" t="str">
        <f>"Aldo-keto reductase family 1 member C3"</f>
        <v>Aldo-keto reductase family 1 member C3</v>
      </c>
      <c r="K1264" t="str">
        <f>"AKR1C3"</f>
        <v>AKR1C3</v>
      </c>
    </row>
    <row r="1265" spans="1:11" x14ac:dyDescent="0.25">
      <c r="A1265" s="1">
        <v>979</v>
      </c>
      <c r="B1265" s="1">
        <v>3</v>
      </c>
      <c r="C1265" s="1" t="s">
        <v>3</v>
      </c>
      <c r="D1265" s="1">
        <v>4</v>
      </c>
      <c r="E1265" s="1">
        <v>45.915999999999997</v>
      </c>
      <c r="F1265" s="1">
        <v>0.99991600000000003</v>
      </c>
      <c r="G1265" t="s">
        <v>2058</v>
      </c>
      <c r="H1265" t="s">
        <v>2059</v>
      </c>
      <c r="I1265" t="s">
        <v>5109</v>
      </c>
      <c r="J1265" t="str">
        <f>"MARVEL domain-containing protein 2"</f>
        <v>MARVEL domain-containing protein 2</v>
      </c>
      <c r="K1265" t="str">
        <f>"MARVELD2"</f>
        <v>MARVELD2</v>
      </c>
    </row>
    <row r="1266" spans="1:11" x14ac:dyDescent="0.25">
      <c r="A1266" s="1">
        <v>1431</v>
      </c>
      <c r="B1266" s="1">
        <v>3</v>
      </c>
      <c r="C1266" s="1" t="s">
        <v>3</v>
      </c>
      <c r="D1266" s="1">
        <v>2</v>
      </c>
      <c r="E1266" s="1">
        <v>108.08</v>
      </c>
      <c r="F1266" s="1">
        <v>0.99973500000000004</v>
      </c>
      <c r="G1266" t="s">
        <v>2060</v>
      </c>
      <c r="H1266" t="s">
        <v>2061</v>
      </c>
      <c r="I1266">
        <v>358</v>
      </c>
      <c r="J1266" t="str">
        <f>"Suppressor of cytokine signaling 6"</f>
        <v>Suppressor of cytokine signaling 6</v>
      </c>
      <c r="K1266" t="str">
        <f>"SOCS6"</f>
        <v>SOCS6</v>
      </c>
    </row>
    <row r="1267" spans="1:11" x14ac:dyDescent="0.25">
      <c r="A1267" s="1">
        <v>2808</v>
      </c>
      <c r="B1267" s="1">
        <v>3</v>
      </c>
      <c r="C1267" s="1" t="s">
        <v>3</v>
      </c>
      <c r="D1267" s="1">
        <v>9</v>
      </c>
      <c r="E1267" s="1">
        <v>63.185000000000002</v>
      </c>
      <c r="F1267" s="1">
        <v>0.95192200000000005</v>
      </c>
      <c r="G1267" t="s">
        <v>2062</v>
      </c>
      <c r="H1267" t="s">
        <v>2063</v>
      </c>
      <c r="I1267" t="s">
        <v>5110</v>
      </c>
      <c r="J1267" t="str">
        <f>"Histone acetyltransferase KAT2A"</f>
        <v>Histone acetyltransferase KAT2A</v>
      </c>
      <c r="K1267" t="str">
        <f>"KAT2A"</f>
        <v>KAT2A</v>
      </c>
    </row>
    <row r="1268" spans="1:11" x14ac:dyDescent="0.25">
      <c r="A1268" s="1">
        <v>1700</v>
      </c>
      <c r="B1268" s="1">
        <v>3</v>
      </c>
      <c r="C1268" s="1" t="s">
        <v>3</v>
      </c>
      <c r="D1268" s="1">
        <v>6</v>
      </c>
      <c r="E1268" s="1">
        <v>72.891000000000005</v>
      </c>
      <c r="F1268" s="1">
        <v>1</v>
      </c>
      <c r="G1268" t="s">
        <v>2064</v>
      </c>
      <c r="H1268" t="s">
        <v>374</v>
      </c>
      <c r="I1268" t="s">
        <v>5111</v>
      </c>
      <c r="J1268" t="str">
        <f>"U1 small nuclear ribonucleoprotein 70 kDa"</f>
        <v>U1 small nuclear ribonucleoprotein 70 kDa</v>
      </c>
      <c r="K1268" t="str">
        <f>"SNRNP70"</f>
        <v>SNRNP70</v>
      </c>
    </row>
    <row r="1269" spans="1:11" x14ac:dyDescent="0.25">
      <c r="A1269" s="1">
        <v>2089</v>
      </c>
      <c r="B1269" s="1">
        <v>3</v>
      </c>
      <c r="C1269" s="1" t="s">
        <v>3</v>
      </c>
      <c r="D1269" s="1">
        <v>16</v>
      </c>
      <c r="E1269" s="1">
        <v>131.77000000000001</v>
      </c>
      <c r="F1269" s="1">
        <v>0.78918699999999997</v>
      </c>
      <c r="G1269" t="s">
        <v>2065</v>
      </c>
      <c r="H1269" t="s">
        <v>991</v>
      </c>
      <c r="I1269" t="s">
        <v>4589</v>
      </c>
      <c r="J1269" t="str">
        <f>"Ras GTPase-activating-like protein IQGAP1"</f>
        <v>Ras GTPase-activating-like protein IQGAP1</v>
      </c>
      <c r="K1269" t="str">
        <f>"IQGAP1"</f>
        <v>IQGAP1</v>
      </c>
    </row>
    <row r="1270" spans="1:11" x14ac:dyDescent="0.25">
      <c r="A1270" s="1">
        <v>2530</v>
      </c>
      <c r="B1270" s="1">
        <v>5</v>
      </c>
      <c r="C1270" s="1" t="s">
        <v>3</v>
      </c>
      <c r="D1270" s="1">
        <v>22</v>
      </c>
      <c r="E1270" s="1">
        <v>63.433</v>
      </c>
      <c r="F1270" s="1">
        <v>0.925485</v>
      </c>
      <c r="G1270" t="s">
        <v>2066</v>
      </c>
      <c r="H1270" t="s">
        <v>1367</v>
      </c>
      <c r="I1270">
        <v>222</v>
      </c>
      <c r="J1270" t="str">
        <f>"Poly(rC)-binding protein 1"</f>
        <v>Poly(rC)-binding protein 1</v>
      </c>
      <c r="K1270" t="str">
        <f>"PCBP1"</f>
        <v>PCBP1</v>
      </c>
    </row>
    <row r="1271" spans="1:11" x14ac:dyDescent="0.25">
      <c r="A1271" s="1">
        <v>1960</v>
      </c>
      <c r="B1271" s="1">
        <v>3</v>
      </c>
      <c r="C1271" s="1" t="s">
        <v>3</v>
      </c>
      <c r="D1271" s="1">
        <v>18</v>
      </c>
      <c r="E1271" s="1">
        <v>87.352000000000004</v>
      </c>
      <c r="F1271" s="1">
        <v>0.63771699999999998</v>
      </c>
      <c r="G1271" t="s">
        <v>2067</v>
      </c>
      <c r="H1271" t="s">
        <v>499</v>
      </c>
      <c r="I1271" t="s">
        <v>5112</v>
      </c>
      <c r="J1271" t="str">
        <f>"Tyrosine-protein phosphatase non-receptor type 6"</f>
        <v>Tyrosine-protein phosphatase non-receptor type 6</v>
      </c>
      <c r="K1271" t="str">
        <f>"PTPN6"</f>
        <v>PTPN6</v>
      </c>
    </row>
    <row r="1272" spans="1:11" x14ac:dyDescent="0.25">
      <c r="A1272" s="1">
        <v>1381</v>
      </c>
      <c r="B1272" s="1">
        <v>3</v>
      </c>
      <c r="C1272" s="1" t="s">
        <v>3</v>
      </c>
      <c r="D1272" s="1">
        <v>3</v>
      </c>
      <c r="E1272" s="1">
        <v>88.239000000000004</v>
      </c>
      <c r="F1272" s="1">
        <v>0.98079499999999997</v>
      </c>
      <c r="G1272" t="s">
        <v>2068</v>
      </c>
      <c r="H1272" t="s">
        <v>349</v>
      </c>
      <c r="I1272" t="s">
        <v>5113</v>
      </c>
      <c r="J1272" t="str">
        <f>"Tyrosine-protein kinase Yes"</f>
        <v>Tyrosine-protein kinase Yes</v>
      </c>
      <c r="K1272" t="str">
        <f>"YES1"</f>
        <v>YES1</v>
      </c>
    </row>
    <row r="1273" spans="1:11" x14ac:dyDescent="0.25">
      <c r="A1273" s="1">
        <v>2095</v>
      </c>
      <c r="B1273" s="1">
        <v>3</v>
      </c>
      <c r="C1273" s="1" t="s">
        <v>3</v>
      </c>
      <c r="D1273" s="1">
        <v>7</v>
      </c>
      <c r="E1273" s="1">
        <v>102.52</v>
      </c>
      <c r="F1273" s="1">
        <v>1</v>
      </c>
      <c r="G1273" t="s">
        <v>2069</v>
      </c>
      <c r="H1273" t="s">
        <v>2070</v>
      </c>
      <c r="I1273" t="s">
        <v>5114</v>
      </c>
      <c r="J1273" t="str">
        <f>"LIM and senescent cell antigen-like-containing domain protein 1;LIM and senescent cell antigen-like-containing domain protein 2"</f>
        <v>LIM and senescent cell antigen-like-containing domain protein 1;LIM and senescent cell antigen-like-containing domain protein 2</v>
      </c>
      <c r="K1273" t="str">
        <f>"LIMS1;LIMS2"</f>
        <v>LIMS1;LIMS2</v>
      </c>
    </row>
    <row r="1274" spans="1:11" x14ac:dyDescent="0.25">
      <c r="A1274" s="1">
        <v>1417</v>
      </c>
      <c r="B1274" s="1">
        <v>3</v>
      </c>
      <c r="C1274" s="1" t="s">
        <v>3</v>
      </c>
      <c r="D1274" s="1">
        <v>2</v>
      </c>
      <c r="E1274" s="1">
        <v>87.718999999999994</v>
      </c>
      <c r="F1274" s="1">
        <v>1</v>
      </c>
      <c r="G1274" t="s">
        <v>2071</v>
      </c>
      <c r="H1274" t="s">
        <v>60</v>
      </c>
      <c r="I1274">
        <v>175</v>
      </c>
      <c r="J1274" t="str">
        <f>"Neural Wiskott-Aldrich syndrome protein"</f>
        <v>Neural Wiskott-Aldrich syndrome protein</v>
      </c>
      <c r="K1274" t="str">
        <f>"WASL"</f>
        <v>WASL</v>
      </c>
    </row>
    <row r="1275" spans="1:11" x14ac:dyDescent="0.25">
      <c r="A1275" s="1">
        <v>2374</v>
      </c>
      <c r="B1275" s="1">
        <v>3</v>
      </c>
      <c r="C1275" s="1" t="s">
        <v>3</v>
      </c>
      <c r="D1275" s="1">
        <v>13</v>
      </c>
      <c r="E1275" s="1">
        <v>44.238</v>
      </c>
      <c r="F1275" s="1">
        <v>0.96943500000000005</v>
      </c>
      <c r="G1275" t="s">
        <v>2072</v>
      </c>
      <c r="H1275" t="s">
        <v>2073</v>
      </c>
      <c r="I1275">
        <v>108</v>
      </c>
      <c r="J1275" t="str">
        <f>"Cingulin-like protein 1"</f>
        <v>Cingulin-like protein 1</v>
      </c>
      <c r="K1275" t="str">
        <f>"CGNL1"</f>
        <v>CGNL1</v>
      </c>
    </row>
    <row r="1276" spans="1:11" x14ac:dyDescent="0.25">
      <c r="A1276" s="1">
        <v>2856</v>
      </c>
      <c r="B1276" s="1">
        <v>2</v>
      </c>
      <c r="C1276" s="1" t="s">
        <v>3</v>
      </c>
      <c r="D1276" s="1">
        <v>3</v>
      </c>
      <c r="E1276" s="1">
        <v>109.79</v>
      </c>
      <c r="F1276" s="1">
        <v>1</v>
      </c>
      <c r="G1276" t="s">
        <v>2074</v>
      </c>
      <c r="H1276" t="s">
        <v>2075</v>
      </c>
      <c r="I1276" t="s">
        <v>5115</v>
      </c>
      <c r="J1276" t="str">
        <f>"E3 ubiquitin-protein ligase Itchy homolog"</f>
        <v>E3 ubiquitin-protein ligase Itchy homolog</v>
      </c>
      <c r="K1276" t="str">
        <f>"ITCH"</f>
        <v>ITCH</v>
      </c>
    </row>
    <row r="1277" spans="1:11" x14ac:dyDescent="0.25">
      <c r="A1277" s="1">
        <v>573</v>
      </c>
      <c r="B1277" s="1">
        <v>3</v>
      </c>
      <c r="C1277" s="1" t="s">
        <v>4</v>
      </c>
      <c r="D1277" s="1">
        <v>15</v>
      </c>
      <c r="E1277" s="1">
        <v>68.480999999999995</v>
      </c>
      <c r="F1277" s="1">
        <v>0.57921100000000003</v>
      </c>
      <c r="G1277" t="s">
        <v>2076</v>
      </c>
      <c r="H1277" t="s">
        <v>484</v>
      </c>
      <c r="I1277" t="s">
        <v>5116</v>
      </c>
      <c r="J1277" t="str">
        <f>"Transferrin receptor protein 1;Transferrin receptor protein 1, serum form"</f>
        <v>Transferrin receptor protein 1;Transferrin receptor protein 1, serum form</v>
      </c>
      <c r="K1277" t="str">
        <f>"TFRC"</f>
        <v>TFRC</v>
      </c>
    </row>
    <row r="1278" spans="1:11" x14ac:dyDescent="0.25">
      <c r="A1278" s="1">
        <v>2297</v>
      </c>
      <c r="B1278" s="1">
        <v>3</v>
      </c>
      <c r="C1278" s="1" t="s">
        <v>3</v>
      </c>
      <c r="D1278" s="1">
        <v>1</v>
      </c>
      <c r="E1278" s="1">
        <v>68.971999999999994</v>
      </c>
      <c r="F1278" s="1">
        <v>0.87421199999999999</v>
      </c>
      <c r="G1278" t="s">
        <v>2077</v>
      </c>
      <c r="H1278" t="s">
        <v>1205</v>
      </c>
      <c r="I1278">
        <v>117</v>
      </c>
      <c r="J1278" t="str">
        <f>"Putative RNA-binding protein 3"</f>
        <v>Putative RNA-binding protein 3</v>
      </c>
      <c r="K1278" t="str">
        <f>"RBM3"</f>
        <v>RBM3</v>
      </c>
    </row>
    <row r="1279" spans="1:11" x14ac:dyDescent="0.25">
      <c r="A1279" s="1">
        <v>56</v>
      </c>
      <c r="B1279" s="1">
        <v>2</v>
      </c>
      <c r="C1279" s="1" t="s">
        <v>5</v>
      </c>
      <c r="D1279" s="1">
        <v>7</v>
      </c>
      <c r="E1279" s="1">
        <v>52.576000000000001</v>
      </c>
      <c r="F1279" s="1">
        <v>0.54856400000000005</v>
      </c>
      <c r="G1279" t="s">
        <v>2078</v>
      </c>
      <c r="H1279" t="s">
        <v>361</v>
      </c>
      <c r="I1279" t="s">
        <v>5117</v>
      </c>
      <c r="J1279" t="str">
        <f>"40S ribosomal protein S27;40S ribosomal protein S27-like"</f>
        <v>40S ribosomal protein S27;40S ribosomal protein S27-like</v>
      </c>
      <c r="K1279" t="str">
        <f>"RPS27;RPS27L"</f>
        <v>RPS27;RPS27L</v>
      </c>
    </row>
    <row r="1280" spans="1:11" x14ac:dyDescent="0.25">
      <c r="A1280" s="1">
        <v>3140</v>
      </c>
      <c r="B1280" s="1">
        <v>2</v>
      </c>
      <c r="C1280" s="1" t="s">
        <v>3</v>
      </c>
      <c r="D1280" s="1">
        <v>7</v>
      </c>
      <c r="E1280" s="1">
        <v>58.951999999999998</v>
      </c>
      <c r="F1280" s="1">
        <v>0.99390500000000004</v>
      </c>
      <c r="G1280" t="s">
        <v>2079</v>
      </c>
      <c r="H1280" t="s">
        <v>209</v>
      </c>
      <c r="I1280">
        <v>1737</v>
      </c>
      <c r="J1280" t="str">
        <f>"Talin-1"</f>
        <v>Talin-1</v>
      </c>
      <c r="K1280" t="str">
        <f>"TLN1"</f>
        <v>TLN1</v>
      </c>
    </row>
    <row r="1281" spans="1:11" x14ac:dyDescent="0.25">
      <c r="A1281" s="1">
        <v>1588</v>
      </c>
      <c r="B1281" s="1">
        <v>3</v>
      </c>
      <c r="C1281" s="1" t="s">
        <v>3</v>
      </c>
      <c r="D1281" s="1">
        <v>10</v>
      </c>
      <c r="E1281" s="1">
        <v>48.216000000000001</v>
      </c>
      <c r="F1281" s="1">
        <v>0.83479199999999998</v>
      </c>
      <c r="G1281" t="s">
        <v>2080</v>
      </c>
      <c r="H1281" t="s">
        <v>1399</v>
      </c>
      <c r="I1281" t="s">
        <v>5118</v>
      </c>
      <c r="J1281" t="str">
        <f>"Tyrosine-protein kinase ABL1"</f>
        <v>Tyrosine-protein kinase ABL1</v>
      </c>
      <c r="K1281" t="str">
        <f>"ABL1"</f>
        <v>ABL1</v>
      </c>
    </row>
    <row r="1282" spans="1:11" x14ac:dyDescent="0.25">
      <c r="A1282" s="1">
        <v>2850</v>
      </c>
      <c r="B1282" s="1">
        <v>3</v>
      </c>
      <c r="C1282" s="1" t="s">
        <v>3</v>
      </c>
      <c r="D1282" s="1">
        <v>5</v>
      </c>
      <c r="E1282" s="1">
        <v>58.32</v>
      </c>
      <c r="F1282" s="1">
        <v>0.99644699999999997</v>
      </c>
      <c r="G1282" t="s">
        <v>2081</v>
      </c>
      <c r="H1282" t="s">
        <v>2082</v>
      </c>
      <c r="I1282">
        <v>179</v>
      </c>
      <c r="J1282" t="str">
        <f>"Zinc finger CCCH-type antiviral protein 1-like"</f>
        <v>Zinc finger CCCH-type antiviral protein 1-like</v>
      </c>
      <c r="K1282" t="str">
        <f>"ZC3HAV1L"</f>
        <v>ZC3HAV1L</v>
      </c>
    </row>
    <row r="1283" spans="1:11" x14ac:dyDescent="0.25">
      <c r="A1283" s="1">
        <v>2946</v>
      </c>
      <c r="B1283" s="1">
        <v>2</v>
      </c>
      <c r="C1283" s="1" t="s">
        <v>3</v>
      </c>
      <c r="D1283" s="1">
        <v>5</v>
      </c>
      <c r="E1283" s="1">
        <v>48.793999999999997</v>
      </c>
      <c r="F1283" s="1">
        <v>1</v>
      </c>
      <c r="G1283" t="s">
        <v>2083</v>
      </c>
      <c r="H1283" t="s">
        <v>974</v>
      </c>
      <c r="I1283" t="s">
        <v>5119</v>
      </c>
      <c r="J1283" t="str">
        <f>"UBX domain-containing protein 6"</f>
        <v>UBX domain-containing protein 6</v>
      </c>
      <c r="K1283" t="str">
        <f>"UBXN6"</f>
        <v>UBXN6</v>
      </c>
    </row>
    <row r="1284" spans="1:11" x14ac:dyDescent="0.25">
      <c r="A1284" s="1">
        <v>1138</v>
      </c>
      <c r="B1284" s="1">
        <v>3</v>
      </c>
      <c r="C1284" s="1" t="s">
        <v>3</v>
      </c>
      <c r="D1284" s="1">
        <v>5</v>
      </c>
      <c r="E1284" s="1">
        <v>57.174999999999997</v>
      </c>
      <c r="F1284" s="1">
        <v>0.96443000000000001</v>
      </c>
      <c r="G1284" t="s">
        <v>2084</v>
      </c>
      <c r="H1284" t="s">
        <v>2085</v>
      </c>
      <c r="I1284" t="s">
        <v>5120</v>
      </c>
      <c r="J1284" t="str">
        <f>"Serum albumin"</f>
        <v>Serum albumin</v>
      </c>
      <c r="K1284" t="str">
        <f>"ALB"</f>
        <v>ALB</v>
      </c>
    </row>
    <row r="1285" spans="1:11" x14ac:dyDescent="0.25">
      <c r="A1285" s="1">
        <v>2690</v>
      </c>
      <c r="B1285" s="1">
        <v>2</v>
      </c>
      <c r="C1285" s="1" t="s">
        <v>3</v>
      </c>
      <c r="D1285" s="1">
        <v>8</v>
      </c>
      <c r="E1285" s="1">
        <v>132.97</v>
      </c>
      <c r="F1285" s="1">
        <v>0.98750700000000002</v>
      </c>
      <c r="G1285" t="s">
        <v>2086</v>
      </c>
      <c r="H1285" t="s">
        <v>258</v>
      </c>
      <c r="I1285">
        <v>132</v>
      </c>
      <c r="J1285" t="str">
        <f>"Tyrosine-protein kinase SgK223"</f>
        <v>Tyrosine-protein kinase SgK223</v>
      </c>
      <c r="K1285" t="str">
        <f>"SGK223"</f>
        <v>SGK223</v>
      </c>
    </row>
    <row r="1286" spans="1:11" x14ac:dyDescent="0.25">
      <c r="A1286" s="1">
        <v>2624</v>
      </c>
      <c r="B1286" s="1">
        <v>4</v>
      </c>
      <c r="C1286" s="1" t="s">
        <v>3</v>
      </c>
      <c r="D1286" s="1">
        <v>9</v>
      </c>
      <c r="E1286" s="1">
        <v>65.248000000000005</v>
      </c>
      <c r="F1286" s="1">
        <v>0.97453699999999999</v>
      </c>
      <c r="G1286" t="s">
        <v>2087</v>
      </c>
      <c r="H1286" t="s">
        <v>439</v>
      </c>
      <c r="I1286" t="s">
        <v>5121</v>
      </c>
      <c r="J1286" t="str">
        <f>"Tensin-3"</f>
        <v>Tensin-3</v>
      </c>
      <c r="K1286" t="str">
        <f>"TNS3"</f>
        <v>TNS3</v>
      </c>
    </row>
    <row r="1287" spans="1:11" x14ac:dyDescent="0.25">
      <c r="A1287" s="1">
        <v>2109</v>
      </c>
      <c r="B1287" s="1">
        <v>3</v>
      </c>
      <c r="C1287" s="1" t="s">
        <v>3</v>
      </c>
      <c r="D1287" s="1">
        <v>8</v>
      </c>
      <c r="E1287" s="1">
        <v>56.956000000000003</v>
      </c>
      <c r="F1287" s="1">
        <v>0.98801799999999995</v>
      </c>
      <c r="G1287" t="s">
        <v>2088</v>
      </c>
      <c r="H1287" t="s">
        <v>2089</v>
      </c>
      <c r="I1287">
        <v>246</v>
      </c>
      <c r="J1287" t="str">
        <f>"Elongation factor Tu, mitochondrial"</f>
        <v>Elongation factor Tu, mitochondrial</v>
      </c>
      <c r="K1287" t="str">
        <f>"TUFM"</f>
        <v>TUFM</v>
      </c>
    </row>
    <row r="1288" spans="1:11" x14ac:dyDescent="0.25">
      <c r="A1288" s="1">
        <v>1591</v>
      </c>
      <c r="B1288" s="1">
        <v>4</v>
      </c>
      <c r="C1288" s="1" t="s">
        <v>3</v>
      </c>
      <c r="D1288" s="1">
        <v>12</v>
      </c>
      <c r="E1288" s="1">
        <v>68.951999999999998</v>
      </c>
      <c r="F1288" s="1">
        <v>0.996147</v>
      </c>
      <c r="G1288" t="s">
        <v>2090</v>
      </c>
      <c r="H1288" t="s">
        <v>1399</v>
      </c>
      <c r="I1288" t="s">
        <v>5122</v>
      </c>
      <c r="J1288" t="str">
        <f>"Tyrosine-protein kinase ABL1"</f>
        <v>Tyrosine-protein kinase ABL1</v>
      </c>
      <c r="K1288" t="str">
        <f>"ABL1"</f>
        <v>ABL1</v>
      </c>
    </row>
    <row r="1289" spans="1:11" x14ac:dyDescent="0.25">
      <c r="A1289" s="1">
        <v>2686</v>
      </c>
      <c r="B1289" s="1">
        <v>2</v>
      </c>
      <c r="C1289" s="1" t="s">
        <v>3</v>
      </c>
      <c r="D1289" s="1">
        <v>2</v>
      </c>
      <c r="E1289" s="1">
        <v>70.028000000000006</v>
      </c>
      <c r="F1289" s="1">
        <v>0.97694899999999996</v>
      </c>
      <c r="G1289" t="s">
        <v>2091</v>
      </c>
      <c r="H1289" t="s">
        <v>2092</v>
      </c>
      <c r="I1289">
        <v>3</v>
      </c>
      <c r="J1289" t="str">
        <f>"Syntaxin-12"</f>
        <v>Syntaxin-12</v>
      </c>
      <c r="K1289" t="str">
        <f>"STX12"</f>
        <v>STX12</v>
      </c>
    </row>
    <row r="1290" spans="1:11" x14ac:dyDescent="0.25">
      <c r="A1290" s="1">
        <v>2900</v>
      </c>
      <c r="B1290" s="1">
        <v>3</v>
      </c>
      <c r="C1290" s="1" t="s">
        <v>3</v>
      </c>
      <c r="D1290" s="1">
        <v>3</v>
      </c>
      <c r="E1290" s="1">
        <v>65.373999999999995</v>
      </c>
      <c r="F1290" s="1">
        <v>0.95066899999999999</v>
      </c>
      <c r="G1290" t="s">
        <v>2093</v>
      </c>
      <c r="H1290" t="s">
        <v>124</v>
      </c>
      <c r="I1290" t="s">
        <v>5123</v>
      </c>
      <c r="J1290" t="str">
        <f>"Plakophilin-4"</f>
        <v>Plakophilin-4</v>
      </c>
      <c r="K1290" t="str">
        <f>"PKP4"</f>
        <v>PKP4</v>
      </c>
    </row>
    <row r="1291" spans="1:11" x14ac:dyDescent="0.25">
      <c r="A1291" s="1">
        <v>2941</v>
      </c>
      <c r="B1291" s="1">
        <v>2</v>
      </c>
      <c r="C1291" s="1" t="s">
        <v>3</v>
      </c>
      <c r="D1291" s="1">
        <v>6</v>
      </c>
      <c r="E1291" s="1">
        <v>62.286999999999999</v>
      </c>
      <c r="F1291" s="1">
        <v>0.942882</v>
      </c>
      <c r="G1291" t="s">
        <v>2094</v>
      </c>
      <c r="H1291" t="s">
        <v>2095</v>
      </c>
      <c r="I1291">
        <v>781</v>
      </c>
      <c r="J1291" t="str">
        <f>"Angiotensin-converting enzyme 2;Processed angiotensin-converting enzyme 2"</f>
        <v>Angiotensin-converting enzyme 2;Processed angiotensin-converting enzyme 2</v>
      </c>
      <c r="K1291" t="str">
        <f>"ACE2"</f>
        <v>ACE2</v>
      </c>
    </row>
    <row r="1292" spans="1:11" x14ac:dyDescent="0.25">
      <c r="A1292" s="1">
        <v>2554</v>
      </c>
      <c r="B1292" s="1">
        <v>2</v>
      </c>
      <c r="C1292" s="1" t="s">
        <v>3</v>
      </c>
      <c r="D1292" s="1">
        <v>3</v>
      </c>
      <c r="E1292" s="1">
        <v>83.456000000000003</v>
      </c>
      <c r="F1292" s="1">
        <v>0.999915</v>
      </c>
      <c r="G1292" t="s">
        <v>2096</v>
      </c>
      <c r="H1292" t="s">
        <v>645</v>
      </c>
      <c r="I1292">
        <v>736</v>
      </c>
      <c r="J1292" t="str">
        <f>"Discoidin domain-containing receptor 2"</f>
        <v>Discoidin domain-containing receptor 2</v>
      </c>
      <c r="K1292" t="str">
        <f>"DDR2"</f>
        <v>DDR2</v>
      </c>
    </row>
    <row r="1293" spans="1:11" x14ac:dyDescent="0.25">
      <c r="A1293" s="1">
        <v>1851</v>
      </c>
      <c r="B1293" s="1">
        <v>3</v>
      </c>
      <c r="C1293" s="1" t="s">
        <v>3</v>
      </c>
      <c r="D1293" s="1">
        <v>11</v>
      </c>
      <c r="E1293" s="1">
        <v>92.01</v>
      </c>
      <c r="F1293" s="1">
        <v>0.99546400000000002</v>
      </c>
      <c r="G1293" t="s">
        <v>2097</v>
      </c>
      <c r="H1293" t="s">
        <v>2098</v>
      </c>
      <c r="I1293" t="s">
        <v>5124</v>
      </c>
      <c r="J1293" t="str">
        <f>"Nuclear factor NF-kappa-B p105 subunit;Nuclear factor NF-kappa-B p50 subunit"</f>
        <v>Nuclear factor NF-kappa-B p105 subunit;Nuclear factor NF-kappa-B p50 subunit</v>
      </c>
      <c r="K1293" t="str">
        <f>"NFKB1"</f>
        <v>NFKB1</v>
      </c>
    </row>
    <row r="1294" spans="1:11" x14ac:dyDescent="0.25">
      <c r="A1294" s="1">
        <v>1895</v>
      </c>
      <c r="B1294" s="1">
        <v>4</v>
      </c>
      <c r="C1294" s="1" t="s">
        <v>3</v>
      </c>
      <c r="D1294" s="1">
        <v>11</v>
      </c>
      <c r="E1294" s="1">
        <v>82.608999999999995</v>
      </c>
      <c r="F1294" s="1">
        <v>0.99999899999999997</v>
      </c>
      <c r="G1294" t="s">
        <v>2099</v>
      </c>
      <c r="H1294" t="s">
        <v>2042</v>
      </c>
      <c r="I1294" t="s">
        <v>5125</v>
      </c>
      <c r="J1294" t="str">
        <f>"Splicing factor, proline- and glutamine-rich"</f>
        <v>Splicing factor, proline- and glutamine-rich</v>
      </c>
      <c r="K1294" t="str">
        <f>"SFPQ"</f>
        <v>SFPQ</v>
      </c>
    </row>
    <row r="1295" spans="1:11" x14ac:dyDescent="0.25">
      <c r="A1295" s="1">
        <v>2963</v>
      </c>
      <c r="B1295" s="1">
        <v>3</v>
      </c>
      <c r="C1295" s="1" t="s">
        <v>3</v>
      </c>
      <c r="D1295" s="1">
        <v>5</v>
      </c>
      <c r="E1295" s="1">
        <v>74.986999999999995</v>
      </c>
      <c r="F1295" s="1">
        <v>0.99991699999999994</v>
      </c>
      <c r="G1295" t="s">
        <v>2100</v>
      </c>
      <c r="H1295" t="s">
        <v>2101</v>
      </c>
      <c r="I1295" t="s">
        <v>5126</v>
      </c>
      <c r="J1295" t="str">
        <f>"TRIO and F-actin-binding protein"</f>
        <v>TRIO and F-actin-binding protein</v>
      </c>
      <c r="K1295" t="str">
        <f>"TRIOBP"</f>
        <v>TRIOBP</v>
      </c>
    </row>
    <row r="1296" spans="1:11" x14ac:dyDescent="0.25">
      <c r="A1296" s="1">
        <v>1055</v>
      </c>
      <c r="B1296" s="1">
        <v>4</v>
      </c>
      <c r="C1296" s="1" t="s">
        <v>3</v>
      </c>
      <c r="D1296" s="1">
        <v>11</v>
      </c>
      <c r="E1296" s="1">
        <v>47.68</v>
      </c>
      <c r="F1296" s="1">
        <v>0.97653900000000005</v>
      </c>
      <c r="G1296" t="s">
        <v>2102</v>
      </c>
      <c r="H1296" t="s">
        <v>2103</v>
      </c>
      <c r="I1296" t="s">
        <v>5127</v>
      </c>
      <c r="J1296" t="str">
        <f>"Cysteine--tRNA ligase, cytoplasmic"</f>
        <v>Cysteine--tRNA ligase, cytoplasmic</v>
      </c>
      <c r="K1296" t="str">
        <f>"CARS"</f>
        <v>CARS</v>
      </c>
    </row>
    <row r="1297" spans="1:11" x14ac:dyDescent="0.25">
      <c r="A1297" s="1">
        <v>899</v>
      </c>
      <c r="B1297" s="1">
        <v>3</v>
      </c>
      <c r="C1297" s="1" t="s">
        <v>3</v>
      </c>
      <c r="D1297" s="1">
        <v>18</v>
      </c>
      <c r="E1297" s="1">
        <v>46.414999999999999</v>
      </c>
      <c r="F1297" s="1">
        <v>0.73374899999999998</v>
      </c>
      <c r="G1297" t="s">
        <v>2104</v>
      </c>
      <c r="H1297" t="s">
        <v>1563</v>
      </c>
      <c r="I1297" t="s">
        <v>5128</v>
      </c>
      <c r="J1297" t="str">
        <f>"Aldo-keto reductase family 1 member C3"</f>
        <v>Aldo-keto reductase family 1 member C3</v>
      </c>
      <c r="K1297" t="str">
        <f>"AKR1C3"</f>
        <v>AKR1C3</v>
      </c>
    </row>
    <row r="1298" spans="1:11" x14ac:dyDescent="0.25">
      <c r="A1298" s="1">
        <v>1512</v>
      </c>
      <c r="B1298" s="1">
        <v>2</v>
      </c>
      <c r="C1298" s="1" t="s">
        <v>3</v>
      </c>
      <c r="D1298" s="1">
        <v>9</v>
      </c>
      <c r="E1298" s="1">
        <v>130.56</v>
      </c>
      <c r="F1298" s="1">
        <v>0.99963100000000005</v>
      </c>
      <c r="G1298" t="s">
        <v>2105</v>
      </c>
      <c r="H1298" t="s">
        <v>1018</v>
      </c>
      <c r="I1298" t="s">
        <v>5129</v>
      </c>
      <c r="J1298" t="str">
        <f>"Histone H2B;Histone H2B type 1-L;Histone H2B type 1-M;Histone H2B type 1-N;Histone H2B type 1-H;Histone H2B type 2-F;Histone H2B type 1-C/E/F/G/I;Histone H2B type 1-D;Histone H2B type F-S;Histone H2B type 1-K"</f>
        <v>Histone H2B;Histone H2B type 1-L;Histone H2B type 1-M;Histone H2B type 1-N;Histone H2B type 1-H;Histone H2B type 2-F;Histone H2B type 1-C/E/F/G/I;Histone H2B type 1-D;Histone H2B type F-S;Histone H2B type 1-K</v>
      </c>
      <c r="K1298" t="str">
        <f>"HIST1H2BN;HIST1H2BL;HIST1H2BM;HIST1H2BH;HIST2H2BF;HIST1H2BC;HIST1H2BD;H2BFS;HIST1H2BK"</f>
        <v>HIST1H2BN;HIST1H2BL;HIST1H2BM;HIST1H2BH;HIST2H2BF;HIST1H2BC;HIST1H2BD;H2BFS;HIST1H2BK</v>
      </c>
    </row>
    <row r="1299" spans="1:11" x14ac:dyDescent="0.25">
      <c r="A1299" s="1">
        <v>2984</v>
      </c>
      <c r="B1299" s="1">
        <v>4</v>
      </c>
      <c r="C1299" s="1" t="s">
        <v>3</v>
      </c>
      <c r="D1299" s="1">
        <v>19</v>
      </c>
      <c r="E1299" s="1">
        <v>110.17</v>
      </c>
      <c r="F1299" s="1">
        <v>0.95848500000000003</v>
      </c>
      <c r="G1299" t="s">
        <v>2106</v>
      </c>
      <c r="H1299" t="s">
        <v>2107</v>
      </c>
      <c r="I1299" t="s">
        <v>5130</v>
      </c>
      <c r="J1299" t="str">
        <f>"Pleckstrin homology domain-containing family A member 5"</f>
        <v>Pleckstrin homology domain-containing family A member 5</v>
      </c>
      <c r="K1299" t="str">
        <f>"PLEKHA5"</f>
        <v>PLEKHA5</v>
      </c>
    </row>
    <row r="1300" spans="1:11" x14ac:dyDescent="0.25">
      <c r="A1300" s="1">
        <v>2506</v>
      </c>
      <c r="B1300" s="1">
        <v>3</v>
      </c>
      <c r="C1300" s="1" t="s">
        <v>3</v>
      </c>
      <c r="D1300" s="1">
        <v>6</v>
      </c>
      <c r="E1300" s="1">
        <v>65.423000000000002</v>
      </c>
      <c r="F1300" s="1">
        <v>0.77415</v>
      </c>
      <c r="G1300" t="s">
        <v>2108</v>
      </c>
      <c r="H1300" t="s">
        <v>2109</v>
      </c>
      <c r="I1300" t="s">
        <v>4872</v>
      </c>
      <c r="J1300" t="str">
        <f>"Eukaryotic translation initiation factor 4H"</f>
        <v>Eukaryotic translation initiation factor 4H</v>
      </c>
      <c r="K1300" t="str">
        <f>"EIF4H"</f>
        <v>EIF4H</v>
      </c>
    </row>
    <row r="1301" spans="1:11" x14ac:dyDescent="0.25">
      <c r="A1301" s="1">
        <v>815</v>
      </c>
      <c r="B1301" s="1">
        <v>3</v>
      </c>
      <c r="C1301" s="1" t="s">
        <v>3</v>
      </c>
      <c r="D1301" s="1">
        <v>3</v>
      </c>
      <c r="E1301" s="1">
        <v>79.492000000000004</v>
      </c>
      <c r="F1301" s="1">
        <v>1</v>
      </c>
      <c r="G1301" t="s">
        <v>2110</v>
      </c>
      <c r="H1301" t="s">
        <v>2111</v>
      </c>
      <c r="I1301" t="s">
        <v>4403</v>
      </c>
      <c r="J1301" t="str">
        <f>"Protein SREK1IP1"</f>
        <v>Protein SREK1IP1</v>
      </c>
      <c r="K1301" t="str">
        <f>"SREK1IP1"</f>
        <v>SREK1IP1</v>
      </c>
    </row>
    <row r="1302" spans="1:11" x14ac:dyDescent="0.25">
      <c r="A1302" s="1">
        <v>2405</v>
      </c>
      <c r="B1302" s="1">
        <v>3</v>
      </c>
      <c r="C1302" s="1" t="s">
        <v>3</v>
      </c>
      <c r="D1302" s="1">
        <v>6</v>
      </c>
      <c r="E1302" s="1">
        <v>52.171999999999997</v>
      </c>
      <c r="F1302" s="1">
        <v>1</v>
      </c>
      <c r="G1302" t="s">
        <v>2112</v>
      </c>
      <c r="H1302" t="s">
        <v>2113</v>
      </c>
      <c r="I1302">
        <v>145</v>
      </c>
      <c r="J1302" t="str">
        <f>"Heterogeneous nuclear ribonucleoprotein A0"</f>
        <v>Heterogeneous nuclear ribonucleoprotein A0</v>
      </c>
      <c r="K1302" t="str">
        <f>"HNRNPA0"</f>
        <v>HNRNPA0</v>
      </c>
    </row>
    <row r="1303" spans="1:11" x14ac:dyDescent="0.25">
      <c r="A1303" s="1">
        <v>2182</v>
      </c>
      <c r="B1303" s="1">
        <v>3</v>
      </c>
      <c r="C1303" s="1" t="s">
        <v>3</v>
      </c>
      <c r="D1303" s="1">
        <v>6</v>
      </c>
      <c r="E1303" s="1">
        <v>42.241999999999997</v>
      </c>
      <c r="F1303" s="1">
        <v>1</v>
      </c>
      <c r="G1303" t="s">
        <v>2114</v>
      </c>
      <c r="H1303" t="s">
        <v>2115</v>
      </c>
      <c r="I1303" t="s">
        <v>5131</v>
      </c>
      <c r="J1303" t="str">
        <f>"IST1 homolog"</f>
        <v>IST1 homolog</v>
      </c>
      <c r="K1303" t="str">
        <f>"IST1"</f>
        <v>IST1</v>
      </c>
    </row>
    <row r="1304" spans="1:11" x14ac:dyDescent="0.25">
      <c r="A1304" s="1">
        <v>2166</v>
      </c>
      <c r="B1304" s="1">
        <v>3</v>
      </c>
      <c r="C1304" s="1" t="s">
        <v>3</v>
      </c>
      <c r="D1304" s="1">
        <v>18</v>
      </c>
      <c r="E1304" s="1">
        <v>117.65</v>
      </c>
      <c r="F1304" s="1">
        <v>1</v>
      </c>
      <c r="G1304" t="s">
        <v>2116</v>
      </c>
      <c r="H1304" t="s">
        <v>2117</v>
      </c>
      <c r="I1304" t="s">
        <v>5132</v>
      </c>
      <c r="J1304" t="str">
        <f>"Guanine nucleotide exchange factor VAV2"</f>
        <v>Guanine nucleotide exchange factor VAV2</v>
      </c>
      <c r="K1304" t="str">
        <f>"VAV2"</f>
        <v>VAV2</v>
      </c>
    </row>
    <row r="1305" spans="1:11" x14ac:dyDescent="0.25">
      <c r="A1305" s="1">
        <v>1142</v>
      </c>
      <c r="B1305" s="1">
        <v>2</v>
      </c>
      <c r="C1305" s="1" t="s">
        <v>3</v>
      </c>
      <c r="D1305" s="1">
        <v>3</v>
      </c>
      <c r="E1305" s="1">
        <v>60.76</v>
      </c>
      <c r="F1305" s="1">
        <v>0.99993699999999996</v>
      </c>
      <c r="G1305" t="s">
        <v>2118</v>
      </c>
      <c r="H1305" t="s">
        <v>2119</v>
      </c>
      <c r="I1305" t="s">
        <v>5133</v>
      </c>
      <c r="J1305" t="str">
        <f>"Serum albumin"</f>
        <v>Serum albumin</v>
      </c>
      <c r="K1305" t="str">
        <f>"ALB"</f>
        <v>ALB</v>
      </c>
    </row>
    <row r="1306" spans="1:11" x14ac:dyDescent="0.25">
      <c r="A1306" s="1">
        <v>966</v>
      </c>
      <c r="B1306" s="1">
        <v>4</v>
      </c>
      <c r="C1306" s="1" t="s">
        <v>3</v>
      </c>
      <c r="D1306" s="1">
        <v>25</v>
      </c>
      <c r="E1306" s="1">
        <v>50.985999999999997</v>
      </c>
      <c r="F1306" s="1">
        <v>0.761598</v>
      </c>
      <c r="G1306" t="s">
        <v>2120</v>
      </c>
      <c r="H1306" t="s">
        <v>2121</v>
      </c>
      <c r="I1306" t="s">
        <v>5134</v>
      </c>
      <c r="J1306" t="str">
        <f>"Leukocyte immunoglobulin-like receptor subfamily B member 3"</f>
        <v>Leukocyte immunoglobulin-like receptor subfamily B member 3</v>
      </c>
      <c r="K1306" t="str">
        <f>"LILRB3;LILRA6"</f>
        <v>LILRB3;LILRA6</v>
      </c>
    </row>
    <row r="1307" spans="1:11" x14ac:dyDescent="0.25">
      <c r="A1307" s="1">
        <v>1241</v>
      </c>
      <c r="B1307" s="1">
        <v>3</v>
      </c>
      <c r="C1307" s="1" t="s">
        <v>3</v>
      </c>
      <c r="D1307" s="1">
        <v>6</v>
      </c>
      <c r="E1307" s="1">
        <v>49.594999999999999</v>
      </c>
      <c r="F1307" s="1">
        <v>0.941048</v>
      </c>
      <c r="G1307" t="s">
        <v>2122</v>
      </c>
      <c r="H1307" t="s">
        <v>2123</v>
      </c>
      <c r="I1307" t="s">
        <v>5135</v>
      </c>
      <c r="J1307" t="str">
        <f>"Bcl-2-associated transcription factor 1"</f>
        <v>Bcl-2-associated transcription factor 1</v>
      </c>
      <c r="K1307" t="str">
        <f>"BCLAF1"</f>
        <v>BCLAF1</v>
      </c>
    </row>
    <row r="1308" spans="1:11" x14ac:dyDescent="0.25">
      <c r="A1308" s="1">
        <v>1825</v>
      </c>
      <c r="B1308" s="1">
        <v>3</v>
      </c>
      <c r="C1308" s="1" t="s">
        <v>3</v>
      </c>
      <c r="D1308" s="1">
        <v>7</v>
      </c>
      <c r="E1308" s="1">
        <v>56.746000000000002</v>
      </c>
      <c r="F1308" s="1">
        <v>0.79078999999999999</v>
      </c>
      <c r="G1308" t="s">
        <v>2124</v>
      </c>
      <c r="H1308" t="s">
        <v>467</v>
      </c>
      <c r="I1308" t="s">
        <v>5136</v>
      </c>
      <c r="J1308" t="str">
        <f>"T-complex protein 1 subunit alpha"</f>
        <v>T-complex protein 1 subunit alpha</v>
      </c>
      <c r="K1308" t="str">
        <f>"TCP1"</f>
        <v>TCP1</v>
      </c>
    </row>
    <row r="1309" spans="1:11" x14ac:dyDescent="0.25">
      <c r="A1309" s="1">
        <v>379</v>
      </c>
      <c r="B1309" s="1">
        <v>2</v>
      </c>
      <c r="C1309" s="1" t="s">
        <v>5</v>
      </c>
      <c r="D1309" s="1">
        <v>7</v>
      </c>
      <c r="E1309" s="1">
        <v>43.296999999999997</v>
      </c>
      <c r="F1309" s="1">
        <v>1</v>
      </c>
      <c r="G1309" t="s">
        <v>2125</v>
      </c>
      <c r="H1309" t="s">
        <v>2126</v>
      </c>
      <c r="I1309" t="s">
        <v>5137</v>
      </c>
      <c r="J1309" t="str">
        <f>"ATPase family AAA domain-containing protein 1"</f>
        <v>ATPase family AAA domain-containing protein 1</v>
      </c>
      <c r="K1309" t="str">
        <f>"ATAD1"</f>
        <v>ATAD1</v>
      </c>
    </row>
    <row r="1310" spans="1:11" x14ac:dyDescent="0.25">
      <c r="A1310" s="1">
        <v>694</v>
      </c>
      <c r="B1310" s="1">
        <v>3</v>
      </c>
      <c r="C1310" s="1" t="s">
        <v>4</v>
      </c>
      <c r="D1310" s="1">
        <v>15</v>
      </c>
      <c r="E1310" s="1">
        <v>59.585000000000001</v>
      </c>
      <c r="F1310" s="1">
        <v>0.56770200000000004</v>
      </c>
      <c r="G1310" t="s">
        <v>2127</v>
      </c>
      <c r="H1310" t="s">
        <v>1153</v>
      </c>
      <c r="I1310" t="s">
        <v>5138</v>
      </c>
      <c r="J1310" t="str">
        <f>"General receptor for phosphoinositides 1-associated scaffold protein"</f>
        <v>General receptor for phosphoinositides 1-associated scaffold protein</v>
      </c>
      <c r="K1310" t="str">
        <f>"GRASP"</f>
        <v>GRASP</v>
      </c>
    </row>
    <row r="1311" spans="1:11" x14ac:dyDescent="0.25">
      <c r="A1311" s="1">
        <v>2409</v>
      </c>
      <c r="B1311" s="1">
        <v>3</v>
      </c>
      <c r="C1311" s="1" t="s">
        <v>3</v>
      </c>
      <c r="D1311" s="1">
        <v>5</v>
      </c>
      <c r="E1311" s="1">
        <v>55.723999999999997</v>
      </c>
      <c r="F1311" s="1">
        <v>0.99871799999999999</v>
      </c>
      <c r="G1311" t="s">
        <v>2128</v>
      </c>
      <c r="H1311" t="s">
        <v>1960</v>
      </c>
      <c r="I1311">
        <v>214</v>
      </c>
      <c r="J1311" t="str">
        <f>"Serine/arginine-rich splicing factor 9"</f>
        <v>Serine/arginine-rich splicing factor 9</v>
      </c>
      <c r="K1311" t="str">
        <f>"SRSF9"</f>
        <v>SRSF9</v>
      </c>
    </row>
    <row r="1312" spans="1:11" x14ac:dyDescent="0.25">
      <c r="A1312" s="1">
        <v>1498</v>
      </c>
      <c r="B1312" s="1">
        <v>3</v>
      </c>
      <c r="C1312" s="1" t="s">
        <v>3</v>
      </c>
      <c r="D1312" s="1">
        <v>3</v>
      </c>
      <c r="E1312" s="1">
        <v>41.621000000000002</v>
      </c>
      <c r="F1312" s="1">
        <v>0.995286</v>
      </c>
      <c r="G1312" t="s">
        <v>2129</v>
      </c>
      <c r="H1312" t="s">
        <v>930</v>
      </c>
      <c r="I1312" t="s">
        <v>5139</v>
      </c>
      <c r="J1312" t="str">
        <f>"GDP-mannose 4,6 dehydratase"</f>
        <v>GDP-mannose 4,6 dehydratase</v>
      </c>
      <c r="K1312" t="str">
        <f>"GMDS"</f>
        <v>GMDS</v>
      </c>
    </row>
    <row r="1313" spans="1:11" x14ac:dyDescent="0.25">
      <c r="A1313" s="1">
        <v>550</v>
      </c>
      <c r="B1313" s="1">
        <v>3</v>
      </c>
      <c r="C1313" s="1" t="s">
        <v>4</v>
      </c>
      <c r="D1313" s="1">
        <v>3</v>
      </c>
      <c r="E1313" s="1">
        <v>137.26</v>
      </c>
      <c r="F1313" s="1">
        <v>0.65914200000000001</v>
      </c>
      <c r="G1313" t="s">
        <v>2130</v>
      </c>
      <c r="H1313" t="s">
        <v>1874</v>
      </c>
      <c r="I1313">
        <v>141</v>
      </c>
      <c r="J1313" t="str">
        <f>"PDZ and LIM domain protein 1"</f>
        <v>PDZ and LIM domain protein 1</v>
      </c>
      <c r="K1313" t="str">
        <f>"PDLIM1"</f>
        <v>PDLIM1</v>
      </c>
    </row>
    <row r="1314" spans="1:11" x14ac:dyDescent="0.25">
      <c r="A1314" s="1">
        <v>2271</v>
      </c>
      <c r="B1314" s="1">
        <v>3</v>
      </c>
      <c r="C1314" s="1" t="s">
        <v>3</v>
      </c>
      <c r="D1314" s="1">
        <v>1</v>
      </c>
      <c r="E1314" s="1">
        <v>78.325999999999993</v>
      </c>
      <c r="F1314" s="1">
        <v>1</v>
      </c>
      <c r="G1314" t="s">
        <v>2131</v>
      </c>
      <c r="H1314" t="s">
        <v>2132</v>
      </c>
      <c r="I1314" t="s">
        <v>5140</v>
      </c>
      <c r="J1314" t="str">
        <f>"Eukaryotic translation initiation factor 5A-1;Eukaryotic translation initiation factor 5A-1-like;Eukaryotic translation initiation factor 5A-2"</f>
        <v>Eukaryotic translation initiation factor 5A-1;Eukaryotic translation initiation factor 5A-1-like;Eukaryotic translation initiation factor 5A-2</v>
      </c>
      <c r="K1314" t="str">
        <f>"EIF5A;EIF5AL1;EIF5A2"</f>
        <v>EIF5A;EIF5AL1;EIF5A2</v>
      </c>
    </row>
    <row r="1315" spans="1:11" x14ac:dyDescent="0.25">
      <c r="A1315" s="1">
        <v>2775</v>
      </c>
      <c r="B1315" s="1">
        <v>4</v>
      </c>
      <c r="C1315" s="1" t="s">
        <v>3</v>
      </c>
      <c r="D1315" s="1">
        <v>5</v>
      </c>
      <c r="E1315" s="1">
        <v>56.527000000000001</v>
      </c>
      <c r="F1315" s="1">
        <v>0.99470700000000001</v>
      </c>
      <c r="G1315" t="s">
        <v>2133</v>
      </c>
      <c r="H1315" t="s">
        <v>2134</v>
      </c>
      <c r="I1315" t="s">
        <v>5141</v>
      </c>
      <c r="J1315" t="str">
        <f>"Actin filament-associated protein 1-like 1"</f>
        <v>Actin filament-associated protein 1-like 1</v>
      </c>
      <c r="K1315" t="str">
        <f>"AFAP1L1"</f>
        <v>AFAP1L1</v>
      </c>
    </row>
    <row r="1316" spans="1:11" x14ac:dyDescent="0.25">
      <c r="A1316" s="1">
        <v>1645</v>
      </c>
      <c r="B1316" s="1">
        <v>2</v>
      </c>
      <c r="C1316" s="1" t="s">
        <v>3</v>
      </c>
      <c r="D1316" s="1">
        <v>6</v>
      </c>
      <c r="E1316" s="1">
        <v>72.927999999999997</v>
      </c>
      <c r="F1316" s="1">
        <v>0.96730499999999997</v>
      </c>
      <c r="G1316" t="s">
        <v>2135</v>
      </c>
      <c r="H1316" t="s">
        <v>2136</v>
      </c>
      <c r="I1316" t="s">
        <v>5142</v>
      </c>
      <c r="J1316" t="str">
        <f>"Histone H2B type 3-B;Histone H2B type 2-E;Histone H2B type 1-B;Histone H2B type 1-O;Histone H2B type 1-J;Putative histone H2B type 2-D;Putative histone H2B type 2-C"</f>
        <v>Histone H2B type 3-B;Histone H2B type 2-E;Histone H2B type 1-B;Histone H2B type 1-O;Histone H2B type 1-J;Putative histone H2B type 2-D;Putative histone H2B type 2-C</v>
      </c>
      <c r="K1316" t="str">
        <f>"HIST3H2BB;HIST2H2BE;HIST1H2BB;HIST1H2BO;HIST1H2BJ;HIST2H2BD;HIST2H2BC"</f>
        <v>HIST3H2BB;HIST2H2BE;HIST1H2BB;HIST1H2BO;HIST1H2BJ;HIST2H2BD;HIST2H2BC</v>
      </c>
    </row>
    <row r="1317" spans="1:11" x14ac:dyDescent="0.25">
      <c r="A1317" s="1">
        <v>182</v>
      </c>
      <c r="B1317" s="1">
        <v>3</v>
      </c>
      <c r="C1317" s="1" t="s">
        <v>5</v>
      </c>
      <c r="D1317" s="1">
        <v>16</v>
      </c>
      <c r="E1317" s="1">
        <v>48.997</v>
      </c>
      <c r="F1317" s="1">
        <v>0.94376099999999996</v>
      </c>
      <c r="G1317" t="s">
        <v>2137</v>
      </c>
      <c r="H1317" t="s">
        <v>20</v>
      </c>
      <c r="I1317" t="s">
        <v>5143</v>
      </c>
      <c r="J1317" t="str">
        <f>"Annexin A2;Putative annexin A2-like protein;Annexin"</f>
        <v>Annexin A2;Putative annexin A2-like protein;Annexin</v>
      </c>
      <c r="K1317" t="str">
        <f>"ANXA2;ANXA2P2"</f>
        <v>ANXA2;ANXA2P2</v>
      </c>
    </row>
    <row r="1318" spans="1:11" x14ac:dyDescent="0.25">
      <c r="A1318" s="1">
        <v>683</v>
      </c>
      <c r="B1318" s="1">
        <v>4</v>
      </c>
      <c r="C1318" s="1" t="s">
        <v>4</v>
      </c>
      <c r="D1318" s="1">
        <v>2</v>
      </c>
      <c r="E1318" s="1">
        <v>55.575000000000003</v>
      </c>
      <c r="F1318" s="1">
        <v>0.50502199999999997</v>
      </c>
      <c r="G1318" t="s">
        <v>2138</v>
      </c>
      <c r="H1318" t="s">
        <v>145</v>
      </c>
      <c r="I1318" t="s">
        <v>5144</v>
      </c>
      <c r="J1318" t="str">
        <f>"Rho GTPase-activating protein 12"</f>
        <v>Rho GTPase-activating protein 12</v>
      </c>
      <c r="K1318" t="str">
        <f>"ARHGAP12"</f>
        <v>ARHGAP12</v>
      </c>
    </row>
    <row r="1319" spans="1:11" x14ac:dyDescent="0.25">
      <c r="A1319" s="1">
        <v>1067</v>
      </c>
      <c r="B1319" s="1">
        <v>3</v>
      </c>
      <c r="C1319" s="1" t="s">
        <v>3</v>
      </c>
      <c r="D1319" s="1">
        <v>6</v>
      </c>
      <c r="E1319" s="1">
        <v>54.764000000000003</v>
      </c>
      <c r="F1319" s="1">
        <v>0.71208400000000005</v>
      </c>
      <c r="G1319" t="s">
        <v>2139</v>
      </c>
      <c r="H1319" t="s">
        <v>2140</v>
      </c>
      <c r="I1319" t="s">
        <v>5145</v>
      </c>
      <c r="J1319" t="str">
        <f>"T-complex protein 1 subunit gamma"</f>
        <v>T-complex protein 1 subunit gamma</v>
      </c>
      <c r="K1319" t="str">
        <f>"CCT3"</f>
        <v>CCT3</v>
      </c>
    </row>
    <row r="1320" spans="1:11" x14ac:dyDescent="0.25">
      <c r="A1320" s="1">
        <v>1862</v>
      </c>
      <c r="B1320" s="1">
        <v>3</v>
      </c>
      <c r="C1320" s="1" t="s">
        <v>3</v>
      </c>
      <c r="D1320" s="1">
        <v>3</v>
      </c>
      <c r="E1320" s="1">
        <v>62.860999999999997</v>
      </c>
      <c r="F1320" s="1">
        <v>0.99241100000000004</v>
      </c>
      <c r="G1320" t="s">
        <v>2141</v>
      </c>
      <c r="H1320" t="s">
        <v>2142</v>
      </c>
      <c r="I1320" t="s">
        <v>4554</v>
      </c>
      <c r="J1320" t="str">
        <f>"Cysteine and glycine-rich protein 1"</f>
        <v>Cysteine and glycine-rich protein 1</v>
      </c>
      <c r="K1320" t="str">
        <f>"CSRP1"</f>
        <v>CSRP1</v>
      </c>
    </row>
    <row r="1321" spans="1:11" x14ac:dyDescent="0.25">
      <c r="A1321" s="1">
        <v>2075</v>
      </c>
      <c r="B1321" s="1">
        <v>2</v>
      </c>
      <c r="C1321" s="1" t="s">
        <v>3</v>
      </c>
      <c r="D1321" s="1">
        <v>1</v>
      </c>
      <c r="E1321" s="1">
        <v>66.245999999999995</v>
      </c>
      <c r="F1321" s="1">
        <v>0.99999400000000005</v>
      </c>
      <c r="G1321" t="s">
        <v>2143</v>
      </c>
      <c r="H1321" t="s">
        <v>1133</v>
      </c>
      <c r="I1321" t="s">
        <v>5146</v>
      </c>
      <c r="J1321" t="str">
        <f>"Nicotinamide phosphoribosyltransferase"</f>
        <v>Nicotinamide phosphoribosyltransferase</v>
      </c>
      <c r="K1321" t="str">
        <f>"NAMPT"</f>
        <v>NAMPT</v>
      </c>
    </row>
    <row r="1322" spans="1:11" x14ac:dyDescent="0.25">
      <c r="A1322" s="1">
        <v>583</v>
      </c>
      <c r="B1322" s="1">
        <v>3</v>
      </c>
      <c r="C1322" s="1" t="s">
        <v>4</v>
      </c>
      <c r="D1322" s="1">
        <v>7</v>
      </c>
      <c r="E1322" s="1">
        <v>51.03</v>
      </c>
      <c r="F1322" s="1">
        <v>0.60201499999999997</v>
      </c>
      <c r="G1322" t="s">
        <v>2144</v>
      </c>
      <c r="H1322" t="s">
        <v>330</v>
      </c>
      <c r="I1322" t="s">
        <v>5147</v>
      </c>
      <c r="J1322" t="str">
        <f>"Pyruvate kinase PKM;Pyruvate kinase"</f>
        <v>Pyruvate kinase PKM;Pyruvate kinase</v>
      </c>
      <c r="K1322" t="str">
        <f>"PKM"</f>
        <v>PKM</v>
      </c>
    </row>
    <row r="1323" spans="1:11" x14ac:dyDescent="0.25">
      <c r="A1323" s="1">
        <v>2036</v>
      </c>
      <c r="B1323" s="1">
        <v>2</v>
      </c>
      <c r="C1323" s="1" t="s">
        <v>3</v>
      </c>
      <c r="D1323" s="1">
        <v>2</v>
      </c>
      <c r="E1323" s="1">
        <v>86.897999999999996</v>
      </c>
      <c r="F1323" s="1">
        <v>1</v>
      </c>
      <c r="G1323" t="s">
        <v>2145</v>
      </c>
      <c r="H1323" t="s">
        <v>2146</v>
      </c>
      <c r="I1323" t="s">
        <v>4361</v>
      </c>
      <c r="J1323" t="str">
        <f>"Signal transducer and activator of transcription 6"</f>
        <v>Signal transducer and activator of transcription 6</v>
      </c>
      <c r="K1323" t="str">
        <f>"STAT6"</f>
        <v>STAT6</v>
      </c>
    </row>
    <row r="1324" spans="1:11" x14ac:dyDescent="0.25">
      <c r="A1324" s="1">
        <v>3095</v>
      </c>
      <c r="B1324" s="1">
        <v>3</v>
      </c>
      <c r="C1324" s="1" t="s">
        <v>3</v>
      </c>
      <c r="D1324" s="1">
        <v>7</v>
      </c>
      <c r="E1324" s="1">
        <v>113.99</v>
      </c>
      <c r="F1324" s="1">
        <v>0.97822299999999995</v>
      </c>
      <c r="G1324" t="s">
        <v>2147</v>
      </c>
      <c r="H1324" t="s">
        <v>2148</v>
      </c>
      <c r="I1324" t="s">
        <v>5148</v>
      </c>
      <c r="J1324" t="str">
        <f>"Microtubule-associated tumor suppressor 1"</f>
        <v>Microtubule-associated tumor suppressor 1</v>
      </c>
      <c r="K1324" t="str">
        <f>"MTUS1"</f>
        <v>MTUS1</v>
      </c>
    </row>
    <row r="1325" spans="1:11" x14ac:dyDescent="0.25">
      <c r="A1325" s="1">
        <v>980</v>
      </c>
      <c r="B1325" s="1">
        <v>3</v>
      </c>
      <c r="C1325" s="1" t="s">
        <v>3</v>
      </c>
      <c r="D1325" s="1">
        <v>10</v>
      </c>
      <c r="E1325" s="1">
        <v>80.236000000000004</v>
      </c>
      <c r="F1325" s="1">
        <v>0.99570800000000004</v>
      </c>
      <c r="G1325" t="s">
        <v>2149</v>
      </c>
      <c r="H1325" t="s">
        <v>1536</v>
      </c>
      <c r="I1325" t="s">
        <v>5149</v>
      </c>
      <c r="J1325" t="str">
        <f>"MARVEL domain-containing protein 2"</f>
        <v>MARVEL domain-containing protein 2</v>
      </c>
      <c r="K1325" t="str">
        <f>"MARVELD2"</f>
        <v>MARVELD2</v>
      </c>
    </row>
    <row r="1326" spans="1:11" x14ac:dyDescent="0.25">
      <c r="A1326" s="1">
        <v>957</v>
      </c>
      <c r="B1326" s="1">
        <v>3</v>
      </c>
      <c r="C1326" s="1" t="s">
        <v>3</v>
      </c>
      <c r="D1326" s="1">
        <v>9</v>
      </c>
      <c r="E1326" s="1">
        <v>97.271000000000001</v>
      </c>
      <c r="F1326" s="1">
        <v>0.959449</v>
      </c>
      <c r="G1326" t="s">
        <v>2150</v>
      </c>
      <c r="H1326" t="s">
        <v>478</v>
      </c>
      <c r="I1326" t="s">
        <v>5150</v>
      </c>
      <c r="J1326" t="str">
        <f>"Spectrin alpha chain, non-erythrocytic 1"</f>
        <v>Spectrin alpha chain, non-erythrocytic 1</v>
      </c>
      <c r="K1326" t="str">
        <f>"SPTAN1"</f>
        <v>SPTAN1</v>
      </c>
    </row>
    <row r="1327" spans="1:11" x14ac:dyDescent="0.25">
      <c r="A1327" s="1">
        <v>2741</v>
      </c>
      <c r="B1327" s="1">
        <v>2</v>
      </c>
      <c r="C1327" s="1" t="s">
        <v>3</v>
      </c>
      <c r="D1327" s="1">
        <v>6</v>
      </c>
      <c r="E1327" s="1">
        <v>68.846000000000004</v>
      </c>
      <c r="F1327" s="1">
        <v>1</v>
      </c>
      <c r="G1327" t="s">
        <v>2151</v>
      </c>
      <c r="H1327" t="s">
        <v>2152</v>
      </c>
      <c r="I1327" t="s">
        <v>5151</v>
      </c>
      <c r="J1327" t="str">
        <f>"Probable aminopeptidase NPEPL1"</f>
        <v>Probable aminopeptidase NPEPL1</v>
      </c>
      <c r="K1327" t="str">
        <f>"NPEPL1"</f>
        <v>NPEPL1</v>
      </c>
    </row>
    <row r="1328" spans="1:11" x14ac:dyDescent="0.25">
      <c r="A1328" s="1">
        <v>863</v>
      </c>
      <c r="B1328" s="1">
        <v>2</v>
      </c>
      <c r="C1328" s="1" t="s">
        <v>3</v>
      </c>
      <c r="D1328" s="1">
        <v>7</v>
      </c>
      <c r="E1328" s="1">
        <v>64.52</v>
      </c>
      <c r="F1328" s="1">
        <v>1</v>
      </c>
      <c r="G1328" t="s">
        <v>2153</v>
      </c>
      <c r="H1328" t="s">
        <v>2154</v>
      </c>
      <c r="I1328" t="s">
        <v>5152</v>
      </c>
      <c r="J1328" t="str">
        <f>"Uncharacterized protein C9orf78"</f>
        <v>Uncharacterized protein C9orf78</v>
      </c>
      <c r="K1328" t="str">
        <f>"C9orf78"</f>
        <v>C9orf78</v>
      </c>
    </row>
    <row r="1329" spans="1:11" x14ac:dyDescent="0.25">
      <c r="A1329" s="1">
        <v>2580</v>
      </c>
      <c r="B1329" s="1">
        <v>3</v>
      </c>
      <c r="C1329" s="1" t="s">
        <v>3</v>
      </c>
      <c r="D1329" s="1">
        <v>6</v>
      </c>
      <c r="E1329" s="1">
        <v>71.558000000000007</v>
      </c>
      <c r="F1329" s="1">
        <v>0.99952799999999997</v>
      </c>
      <c r="G1329" t="s">
        <v>2155</v>
      </c>
      <c r="H1329" t="s">
        <v>2156</v>
      </c>
      <c r="I1329" t="s">
        <v>5153</v>
      </c>
      <c r="J1329" t="str">
        <f>"RRP12-like protein"</f>
        <v>RRP12-like protein</v>
      </c>
      <c r="K1329" t="str">
        <f>"RRP12"</f>
        <v>RRP12</v>
      </c>
    </row>
    <row r="1330" spans="1:11" x14ac:dyDescent="0.25">
      <c r="A1330" s="1">
        <v>619</v>
      </c>
      <c r="B1330" s="1">
        <v>3</v>
      </c>
      <c r="C1330" s="1" t="s">
        <v>4</v>
      </c>
      <c r="D1330" s="1">
        <v>4</v>
      </c>
      <c r="E1330" s="1">
        <v>85.563000000000002</v>
      </c>
      <c r="F1330" s="1">
        <v>0.55218599999999995</v>
      </c>
      <c r="G1330" t="s">
        <v>2157</v>
      </c>
      <c r="H1330" t="s">
        <v>2158</v>
      </c>
      <c r="I1330" t="s">
        <v>5154</v>
      </c>
      <c r="J1330" t="str">
        <f>"Dual specificity protein kinase TTK"</f>
        <v>Dual specificity protein kinase TTK</v>
      </c>
      <c r="K1330" t="str">
        <f>"TTK"</f>
        <v>TTK</v>
      </c>
    </row>
    <row r="1331" spans="1:11" x14ac:dyDescent="0.25">
      <c r="A1331" s="1">
        <v>111</v>
      </c>
      <c r="B1331" s="1">
        <v>3</v>
      </c>
      <c r="C1331" s="1" t="s">
        <v>5</v>
      </c>
      <c r="D1331" s="1">
        <v>8</v>
      </c>
      <c r="E1331" s="1">
        <v>49.298000000000002</v>
      </c>
      <c r="F1331" s="1">
        <v>0.544234</v>
      </c>
      <c r="G1331" t="s">
        <v>2159</v>
      </c>
      <c r="H1331" t="s">
        <v>2160</v>
      </c>
      <c r="I1331">
        <v>90</v>
      </c>
      <c r="J1331" t="str">
        <f>""</f>
        <v/>
      </c>
      <c r="K1331" t="str">
        <f>"RNMTL1"</f>
        <v>RNMTL1</v>
      </c>
    </row>
    <row r="1332" spans="1:11" x14ac:dyDescent="0.25">
      <c r="A1332" s="1">
        <v>3097</v>
      </c>
      <c r="B1332" s="1">
        <v>4</v>
      </c>
      <c r="C1332" s="1" t="s">
        <v>3</v>
      </c>
      <c r="D1332" s="1">
        <v>19</v>
      </c>
      <c r="E1332" s="1">
        <v>53.997999999999998</v>
      </c>
      <c r="F1332" s="1">
        <v>0.75309499999999996</v>
      </c>
      <c r="G1332" t="s">
        <v>2161</v>
      </c>
      <c r="H1332" t="s">
        <v>2162</v>
      </c>
      <c r="I1332">
        <v>1163</v>
      </c>
      <c r="J1332" t="str">
        <f>"Pleckstrin homology domain-containing family G member 1"</f>
        <v>Pleckstrin homology domain-containing family G member 1</v>
      </c>
      <c r="K1332" t="str">
        <f>"PLEKHG1"</f>
        <v>PLEKHG1</v>
      </c>
    </row>
    <row r="1333" spans="1:11" x14ac:dyDescent="0.25">
      <c r="A1333" s="1">
        <v>856</v>
      </c>
      <c r="B1333" s="1">
        <v>3</v>
      </c>
      <c r="C1333" s="1" t="s">
        <v>3</v>
      </c>
      <c r="D1333" s="1">
        <v>6</v>
      </c>
      <c r="E1333" s="1">
        <v>97.501999999999995</v>
      </c>
      <c r="F1333" s="1">
        <v>0.99972700000000003</v>
      </c>
      <c r="G1333" t="s">
        <v>2163</v>
      </c>
      <c r="H1333" t="s">
        <v>2164</v>
      </c>
      <c r="I1333" t="s">
        <v>5155</v>
      </c>
      <c r="J1333" t="str">
        <f>"Arf-GAP with coiled-coil, ANK repeat and PH domain-containing protein 2"</f>
        <v>Arf-GAP with coiled-coil, ANK repeat and PH domain-containing protein 2</v>
      </c>
      <c r="K1333" t="str">
        <f>"ACAP2"</f>
        <v>ACAP2</v>
      </c>
    </row>
    <row r="1334" spans="1:11" x14ac:dyDescent="0.25">
      <c r="A1334" s="1">
        <v>1628</v>
      </c>
      <c r="B1334" s="1">
        <v>2</v>
      </c>
      <c r="C1334" s="1" t="s">
        <v>3</v>
      </c>
      <c r="D1334" s="1">
        <v>7</v>
      </c>
      <c r="E1334" s="1">
        <v>49.448</v>
      </c>
      <c r="F1334" s="1">
        <v>0.96269800000000005</v>
      </c>
      <c r="G1334" t="s">
        <v>2165</v>
      </c>
      <c r="H1334" t="s">
        <v>1466</v>
      </c>
      <c r="I1334">
        <v>195</v>
      </c>
      <c r="J1334" t="str">
        <f>"ADP/ATP translocase 2;ADP/ATP translocase 2, N-terminally processed"</f>
        <v>ADP/ATP translocase 2;ADP/ATP translocase 2, N-terminally processed</v>
      </c>
      <c r="K1334" t="str">
        <f>"SLC25A5"</f>
        <v>SLC25A5</v>
      </c>
    </row>
    <row r="1335" spans="1:11" x14ac:dyDescent="0.25">
      <c r="A1335" s="1">
        <v>3068</v>
      </c>
      <c r="B1335" s="1">
        <v>3</v>
      </c>
      <c r="C1335" s="1" t="s">
        <v>3</v>
      </c>
      <c r="D1335" s="1">
        <v>2</v>
      </c>
      <c r="E1335" s="1">
        <v>55.314</v>
      </c>
      <c r="F1335" s="1">
        <v>1</v>
      </c>
      <c r="G1335" t="s">
        <v>2166</v>
      </c>
      <c r="H1335" t="s">
        <v>2167</v>
      </c>
      <c r="I1335" t="s">
        <v>5156</v>
      </c>
      <c r="J1335" t="str">
        <f>"LIM domain and actin-binding protein 1"</f>
        <v>LIM domain and actin-binding protein 1</v>
      </c>
      <c r="K1335" t="str">
        <f>"LIMA1;TRMT1"</f>
        <v>LIMA1;TRMT1</v>
      </c>
    </row>
    <row r="1336" spans="1:11" x14ac:dyDescent="0.25">
      <c r="A1336" s="1">
        <v>1467</v>
      </c>
      <c r="B1336" s="1">
        <v>3</v>
      </c>
      <c r="C1336" s="1" t="s">
        <v>3</v>
      </c>
      <c r="D1336" s="1">
        <v>3</v>
      </c>
      <c r="E1336" s="1">
        <v>57.174999999999997</v>
      </c>
      <c r="F1336" s="1">
        <v>0.997506</v>
      </c>
      <c r="G1336" t="s">
        <v>2168</v>
      </c>
      <c r="H1336" t="s">
        <v>2169</v>
      </c>
      <c r="I1336" t="s">
        <v>5157</v>
      </c>
      <c r="J1336" t="str">
        <f>"E3 ubiquitin-protein ligase Praja-2"</f>
        <v>E3 ubiquitin-protein ligase Praja-2</v>
      </c>
      <c r="K1336" t="str">
        <f>"PJA2"</f>
        <v>PJA2</v>
      </c>
    </row>
    <row r="1337" spans="1:11" x14ac:dyDescent="0.25">
      <c r="A1337" s="1">
        <v>2274</v>
      </c>
      <c r="B1337" s="1">
        <v>3</v>
      </c>
      <c r="C1337" s="1" t="s">
        <v>3</v>
      </c>
      <c r="D1337" s="1">
        <v>1</v>
      </c>
      <c r="E1337" s="1">
        <v>58.884999999999998</v>
      </c>
      <c r="F1337" s="1">
        <v>0.83726999999999996</v>
      </c>
      <c r="G1337" t="s">
        <v>2170</v>
      </c>
      <c r="H1337" t="s">
        <v>2171</v>
      </c>
      <c r="I1337" t="s">
        <v>5158</v>
      </c>
      <c r="J1337" t="str">
        <f>"Guanine nucleotide-binding protein subunit beta-2-like 1;Guanine nucleotide-binding protein subunit beta-2-like 1, N-terminally processed"</f>
        <v>Guanine nucleotide-binding protein subunit beta-2-like 1;Guanine nucleotide-binding protein subunit beta-2-like 1, N-terminally processed</v>
      </c>
      <c r="K1337" t="str">
        <f>"GNB2L1"</f>
        <v>GNB2L1</v>
      </c>
    </row>
    <row r="1338" spans="1:11" x14ac:dyDescent="0.25">
      <c r="A1338" s="1">
        <v>616</v>
      </c>
      <c r="B1338" s="1">
        <v>3</v>
      </c>
      <c r="C1338" s="1" t="s">
        <v>4</v>
      </c>
      <c r="D1338" s="1">
        <v>7</v>
      </c>
      <c r="E1338" s="1">
        <v>69.188000000000002</v>
      </c>
      <c r="F1338" s="1">
        <v>0.99043700000000001</v>
      </c>
      <c r="G1338" t="s">
        <v>2172</v>
      </c>
      <c r="H1338" t="s">
        <v>226</v>
      </c>
      <c r="I1338">
        <v>78</v>
      </c>
      <c r="J1338" t="str">
        <f>"High affinity immunoglobulin epsilon receptor subunit gamma"</f>
        <v>High affinity immunoglobulin epsilon receptor subunit gamma</v>
      </c>
      <c r="K1338" t="str">
        <f>"FCER1G"</f>
        <v>FCER1G</v>
      </c>
    </row>
    <row r="1339" spans="1:11" x14ac:dyDescent="0.25">
      <c r="A1339" s="1">
        <v>2427</v>
      </c>
      <c r="B1339" s="1">
        <v>3</v>
      </c>
      <c r="C1339" s="1" t="s">
        <v>3</v>
      </c>
      <c r="D1339" s="1">
        <v>1</v>
      </c>
      <c r="E1339" s="1">
        <v>46.209000000000003</v>
      </c>
      <c r="F1339" s="1">
        <v>0.86882899999999996</v>
      </c>
      <c r="G1339" t="s">
        <v>2173</v>
      </c>
      <c r="H1339" t="s">
        <v>2174</v>
      </c>
      <c r="I1339" t="s">
        <v>5159</v>
      </c>
      <c r="J1339" t="str">
        <f>"Sequestosome-1"</f>
        <v>Sequestosome-1</v>
      </c>
      <c r="K1339" t="str">
        <f>"SQSTM1"</f>
        <v>SQSTM1</v>
      </c>
    </row>
    <row r="1340" spans="1:11" x14ac:dyDescent="0.25">
      <c r="A1340" s="1">
        <v>1334</v>
      </c>
      <c r="B1340" s="1">
        <v>2</v>
      </c>
      <c r="C1340" s="1" t="s">
        <v>3</v>
      </c>
      <c r="D1340" s="1">
        <v>7</v>
      </c>
      <c r="E1340" s="1">
        <v>74.986999999999995</v>
      </c>
      <c r="F1340" s="1">
        <v>0.76112400000000002</v>
      </c>
      <c r="G1340" t="s">
        <v>2175</v>
      </c>
      <c r="H1340" t="s">
        <v>2176</v>
      </c>
      <c r="I1340" t="s">
        <v>5160</v>
      </c>
      <c r="J1340" t="str">
        <f>"Pleckstrin homology-like domain family B member 2"</f>
        <v>Pleckstrin homology-like domain family B member 2</v>
      </c>
      <c r="K1340" t="str">
        <f>"PHLDB2"</f>
        <v>PHLDB2</v>
      </c>
    </row>
    <row r="1341" spans="1:11" x14ac:dyDescent="0.25">
      <c r="A1341" s="1">
        <v>1823</v>
      </c>
      <c r="B1341" s="1">
        <v>3</v>
      </c>
      <c r="C1341" s="1" t="s">
        <v>3</v>
      </c>
      <c r="D1341" s="1">
        <v>4</v>
      </c>
      <c r="E1341" s="1">
        <v>82.01</v>
      </c>
      <c r="F1341" s="1">
        <v>0.78464699999999998</v>
      </c>
      <c r="G1341" t="s">
        <v>2177</v>
      </c>
      <c r="H1341" t="s">
        <v>1151</v>
      </c>
      <c r="I1341" t="s">
        <v>5161</v>
      </c>
      <c r="J1341" t="str">
        <f>"ATP-dependent 6-phosphofructokinase, liver type"</f>
        <v>ATP-dependent 6-phosphofructokinase, liver type</v>
      </c>
      <c r="K1341" t="str">
        <f>"PFKL"</f>
        <v>PFKL</v>
      </c>
    </row>
    <row r="1342" spans="1:11" x14ac:dyDescent="0.25">
      <c r="A1342" s="1">
        <v>2160</v>
      </c>
      <c r="B1342" s="1">
        <v>2</v>
      </c>
      <c r="C1342" s="1" t="s">
        <v>3</v>
      </c>
      <c r="D1342" s="1">
        <v>4</v>
      </c>
      <c r="E1342" s="1">
        <v>48.527000000000001</v>
      </c>
      <c r="F1342" s="1">
        <v>0.82721100000000003</v>
      </c>
      <c r="G1342" t="s">
        <v>2178</v>
      </c>
      <c r="H1342" t="s">
        <v>1629</v>
      </c>
      <c r="I1342">
        <v>266</v>
      </c>
      <c r="J1342" t="str">
        <f>"Heterogeneous nuclear ribonucleoprotein F;Heterogeneous nuclear ribonucleoprotein F, N-terminally processed"</f>
        <v>Heterogeneous nuclear ribonucleoprotein F;Heterogeneous nuclear ribonucleoprotein F, N-terminally processed</v>
      </c>
      <c r="K1342" t="str">
        <f>"HNRNPF"</f>
        <v>HNRNPF</v>
      </c>
    </row>
    <row r="1343" spans="1:11" x14ac:dyDescent="0.25">
      <c r="A1343" s="1">
        <v>2943</v>
      </c>
      <c r="B1343" s="1">
        <v>2</v>
      </c>
      <c r="C1343" s="1" t="s">
        <v>3</v>
      </c>
      <c r="D1343" s="1">
        <v>3</v>
      </c>
      <c r="E1343" s="1">
        <v>87.695999999999998</v>
      </c>
      <c r="F1343" s="1">
        <v>0.99258599999999997</v>
      </c>
      <c r="G1343" t="s">
        <v>2179</v>
      </c>
      <c r="H1343" t="s">
        <v>2180</v>
      </c>
      <c r="I1343">
        <v>48</v>
      </c>
      <c r="J1343" t="str">
        <f>"Ubiquitin-like protein 5"</f>
        <v>Ubiquitin-like protein 5</v>
      </c>
      <c r="K1343" t="str">
        <f>"UBL5"</f>
        <v>UBL5</v>
      </c>
    </row>
    <row r="1344" spans="1:11" x14ac:dyDescent="0.25">
      <c r="A1344" s="1">
        <v>2203</v>
      </c>
      <c r="B1344" s="1">
        <v>2</v>
      </c>
      <c r="C1344" s="1" t="s">
        <v>3</v>
      </c>
      <c r="D1344" s="1">
        <v>4</v>
      </c>
      <c r="E1344" s="1">
        <v>42.843000000000004</v>
      </c>
      <c r="F1344" s="1">
        <v>0.95530800000000005</v>
      </c>
      <c r="G1344" t="s">
        <v>2181</v>
      </c>
      <c r="H1344" t="s">
        <v>187</v>
      </c>
      <c r="I1344" t="s">
        <v>5162</v>
      </c>
      <c r="J1344" t="str">
        <f>"Breast cancer anti-estrogen resistance protein 1"</f>
        <v>Breast cancer anti-estrogen resistance protein 1</v>
      </c>
      <c r="K1344" t="str">
        <f>"BCAR1"</f>
        <v>BCAR1</v>
      </c>
    </row>
    <row r="1345" spans="1:11" x14ac:dyDescent="0.25">
      <c r="A1345" s="1">
        <v>1677</v>
      </c>
      <c r="B1345" s="1">
        <v>3</v>
      </c>
      <c r="C1345" s="1" t="s">
        <v>3</v>
      </c>
      <c r="D1345" s="1">
        <v>11</v>
      </c>
      <c r="E1345" s="1">
        <v>46.317999999999998</v>
      </c>
      <c r="F1345" s="1">
        <v>1</v>
      </c>
      <c r="G1345" t="s">
        <v>2182</v>
      </c>
      <c r="H1345" t="s">
        <v>2183</v>
      </c>
      <c r="I1345" t="s">
        <v>5163</v>
      </c>
      <c r="J1345" t="str">
        <f>"Annexin A6;Annexin"</f>
        <v>Annexin A6;Annexin</v>
      </c>
      <c r="K1345" t="str">
        <f>"ANXA6"</f>
        <v>ANXA6</v>
      </c>
    </row>
    <row r="1346" spans="1:11" x14ac:dyDescent="0.25">
      <c r="A1346" s="1">
        <v>2064</v>
      </c>
      <c r="B1346" s="1">
        <v>2</v>
      </c>
      <c r="C1346" s="1" t="s">
        <v>3</v>
      </c>
      <c r="D1346" s="1">
        <v>6</v>
      </c>
      <c r="E1346" s="1">
        <v>49.3</v>
      </c>
      <c r="F1346" s="1">
        <v>0.83975699999999998</v>
      </c>
      <c r="G1346" t="s">
        <v>2184</v>
      </c>
      <c r="H1346" t="s">
        <v>237</v>
      </c>
      <c r="I1346" t="s">
        <v>5164</v>
      </c>
      <c r="J1346" t="str">
        <f>"Tyrosine-protein kinase SYK"</f>
        <v>Tyrosine-protein kinase SYK</v>
      </c>
      <c r="K1346" t="str">
        <f>"SYK"</f>
        <v>SYK</v>
      </c>
    </row>
    <row r="1347" spans="1:11" x14ac:dyDescent="0.25">
      <c r="A1347" s="1">
        <v>1003</v>
      </c>
      <c r="B1347" s="1">
        <v>4</v>
      </c>
      <c r="C1347" s="1" t="s">
        <v>3</v>
      </c>
      <c r="D1347" s="1">
        <v>10</v>
      </c>
      <c r="E1347" s="1">
        <v>53.280999999999999</v>
      </c>
      <c r="F1347" s="1">
        <v>0.95731900000000003</v>
      </c>
      <c r="G1347" t="s">
        <v>2185</v>
      </c>
      <c r="H1347" t="s">
        <v>2186</v>
      </c>
      <c r="I1347" t="s">
        <v>5165</v>
      </c>
      <c r="J1347" t="str">
        <f>"Rho GTPase-activating protein 32"</f>
        <v>Rho GTPase-activating protein 32</v>
      </c>
      <c r="K1347" t="str">
        <f>"ARHGAP32"</f>
        <v>ARHGAP32</v>
      </c>
    </row>
    <row r="1348" spans="1:11" x14ac:dyDescent="0.25">
      <c r="A1348" s="1">
        <v>2480</v>
      </c>
      <c r="B1348" s="1">
        <v>4</v>
      </c>
      <c r="C1348" s="1" t="s">
        <v>3</v>
      </c>
      <c r="D1348" s="1">
        <v>5</v>
      </c>
      <c r="E1348" s="1">
        <v>45.679000000000002</v>
      </c>
      <c r="F1348" s="1">
        <v>0.95343299999999997</v>
      </c>
      <c r="G1348" t="s">
        <v>2187</v>
      </c>
      <c r="H1348" t="s">
        <v>2188</v>
      </c>
      <c r="I1348" t="s">
        <v>5166</v>
      </c>
      <c r="J1348" t="str">
        <f>"Filamin-C"</f>
        <v>Filamin-C</v>
      </c>
      <c r="K1348" t="str">
        <f>"FLNC"</f>
        <v>FLNC</v>
      </c>
    </row>
    <row r="1349" spans="1:11" x14ac:dyDescent="0.25">
      <c r="A1349" s="1">
        <v>2716</v>
      </c>
      <c r="B1349" s="1">
        <v>2</v>
      </c>
      <c r="C1349" s="1" t="s">
        <v>3</v>
      </c>
      <c r="D1349" s="1">
        <v>8</v>
      </c>
      <c r="E1349" s="1">
        <v>72.34</v>
      </c>
      <c r="F1349" s="1">
        <v>0.99999800000000005</v>
      </c>
      <c r="G1349" t="s">
        <v>2189</v>
      </c>
      <c r="H1349" t="s">
        <v>2190</v>
      </c>
      <c r="I1349" t="s">
        <v>5167</v>
      </c>
      <c r="J1349" t="str">
        <f>"Misshapen-like kinase 1"</f>
        <v>Misshapen-like kinase 1</v>
      </c>
      <c r="K1349" t="str">
        <f>"MINK1"</f>
        <v>MINK1</v>
      </c>
    </row>
    <row r="1350" spans="1:11" x14ac:dyDescent="0.25">
      <c r="A1350" s="1">
        <v>2053</v>
      </c>
      <c r="B1350" s="1">
        <v>2</v>
      </c>
      <c r="C1350" s="1" t="s">
        <v>3</v>
      </c>
      <c r="D1350" s="1">
        <v>5</v>
      </c>
      <c r="E1350" s="1">
        <v>50.305</v>
      </c>
      <c r="F1350" s="1">
        <v>0.94676099999999996</v>
      </c>
      <c r="G1350" t="s">
        <v>2191</v>
      </c>
      <c r="H1350" t="s">
        <v>2192</v>
      </c>
      <c r="I1350" t="s">
        <v>5168</v>
      </c>
      <c r="J1350" t="str">
        <f>"Leucine-rich PPR motif-containing protein, mitochondrial"</f>
        <v>Leucine-rich PPR motif-containing protein, mitochondrial</v>
      </c>
      <c r="K1350" t="str">
        <f>"LRPPRC"</f>
        <v>LRPPRC</v>
      </c>
    </row>
    <row r="1351" spans="1:11" x14ac:dyDescent="0.25">
      <c r="A1351" s="1">
        <v>2491</v>
      </c>
      <c r="B1351" s="1">
        <v>4</v>
      </c>
      <c r="C1351" s="1" t="s">
        <v>3</v>
      </c>
      <c r="D1351" s="1">
        <v>4</v>
      </c>
      <c r="E1351" s="1">
        <v>41.218000000000004</v>
      </c>
      <c r="F1351" s="1">
        <v>0.89974299999999996</v>
      </c>
      <c r="G1351" t="s">
        <v>2193</v>
      </c>
      <c r="H1351" t="s">
        <v>1431</v>
      </c>
      <c r="I1351" t="s">
        <v>5169</v>
      </c>
      <c r="J1351" t="str">
        <f>"Enhancer of filamentation 1;Enhancer of filamentation 1 p55"</f>
        <v>Enhancer of filamentation 1;Enhancer of filamentation 1 p55</v>
      </c>
      <c r="K1351" t="str">
        <f>"NEDD9"</f>
        <v>NEDD9</v>
      </c>
    </row>
    <row r="1352" spans="1:11" x14ac:dyDescent="0.25">
      <c r="A1352" s="1">
        <v>1065</v>
      </c>
      <c r="B1352" s="1">
        <v>2</v>
      </c>
      <c r="C1352" s="1" t="s">
        <v>3</v>
      </c>
      <c r="D1352" s="1">
        <v>11</v>
      </c>
      <c r="E1352" s="1">
        <v>48.567999999999998</v>
      </c>
      <c r="F1352" s="1">
        <v>0.95750000000000002</v>
      </c>
      <c r="G1352" t="s">
        <v>2194</v>
      </c>
      <c r="H1352" t="s">
        <v>2195</v>
      </c>
      <c r="I1352" t="s">
        <v>5170</v>
      </c>
      <c r="J1352" t="str">
        <f>"Receptor tyrosine-protein kinase erbB-2;Epidermal growth factor receptor"</f>
        <v>Receptor tyrosine-protein kinase erbB-2;Epidermal growth factor receptor</v>
      </c>
      <c r="K1352" t="str">
        <f>"ERBB2;EGFR"</f>
        <v>ERBB2;EGFR</v>
      </c>
    </row>
    <row r="1353" spans="1:11" x14ac:dyDescent="0.25">
      <c r="A1353" s="1">
        <v>1364</v>
      </c>
      <c r="B1353" s="1">
        <v>3</v>
      </c>
      <c r="C1353" s="1" t="s">
        <v>3</v>
      </c>
      <c r="D1353" s="1">
        <v>7</v>
      </c>
      <c r="E1353" s="1">
        <v>60.195999999999998</v>
      </c>
      <c r="F1353" s="1">
        <v>0.99357899999999999</v>
      </c>
      <c r="G1353" t="s">
        <v>2196</v>
      </c>
      <c r="H1353" t="s">
        <v>2197</v>
      </c>
      <c r="I1353" t="s">
        <v>5171</v>
      </c>
      <c r="J1353" t="str">
        <f>"Obg-like ATPase 1"</f>
        <v>Obg-like ATPase 1</v>
      </c>
      <c r="K1353" t="str">
        <f>"OLA1"</f>
        <v>OLA1</v>
      </c>
    </row>
    <row r="1354" spans="1:11" x14ac:dyDescent="0.25">
      <c r="A1354" s="1">
        <v>1923</v>
      </c>
      <c r="B1354" s="1">
        <v>2</v>
      </c>
      <c r="C1354" s="1" t="s">
        <v>3</v>
      </c>
      <c r="D1354" s="1">
        <v>2</v>
      </c>
      <c r="E1354" s="1">
        <v>84.753</v>
      </c>
      <c r="F1354" s="1">
        <v>0.99928399999999995</v>
      </c>
      <c r="G1354" t="s">
        <v>2198</v>
      </c>
      <c r="H1354" t="s">
        <v>2199</v>
      </c>
      <c r="I1354" t="s">
        <v>5172</v>
      </c>
      <c r="J1354" t="str">
        <f>"Proteasome subunit alpha type-2"</f>
        <v>Proteasome subunit alpha type-2</v>
      </c>
      <c r="K1354" t="str">
        <f>"PSMA2"</f>
        <v>PSMA2</v>
      </c>
    </row>
    <row r="1355" spans="1:11" x14ac:dyDescent="0.25">
      <c r="A1355" s="1">
        <v>2052</v>
      </c>
      <c r="B1355" s="1">
        <v>4</v>
      </c>
      <c r="C1355" s="1" t="s">
        <v>3</v>
      </c>
      <c r="D1355" s="1">
        <v>15</v>
      </c>
      <c r="E1355" s="1">
        <v>76.519000000000005</v>
      </c>
      <c r="F1355" s="1">
        <v>0.948878</v>
      </c>
      <c r="G1355" t="s">
        <v>2200</v>
      </c>
      <c r="H1355" t="s">
        <v>2201</v>
      </c>
      <c r="I1355">
        <v>1016</v>
      </c>
      <c r="J1355" t="str">
        <f>"Leucine-rich PPR motif-containing protein, mitochondrial"</f>
        <v>Leucine-rich PPR motif-containing protein, mitochondrial</v>
      </c>
      <c r="K1355" t="str">
        <f>"LRPPRC"</f>
        <v>LRPPRC</v>
      </c>
    </row>
    <row r="1356" spans="1:11" x14ac:dyDescent="0.25">
      <c r="A1356" s="1">
        <v>1813</v>
      </c>
      <c r="B1356" s="1">
        <v>3</v>
      </c>
      <c r="C1356" s="1" t="s">
        <v>3</v>
      </c>
      <c r="D1356" s="1">
        <v>14</v>
      </c>
      <c r="E1356" s="1">
        <v>60.764000000000003</v>
      </c>
      <c r="F1356" s="1">
        <v>0.94554499999999997</v>
      </c>
      <c r="G1356" t="s">
        <v>2202</v>
      </c>
      <c r="H1356" t="s">
        <v>2203</v>
      </c>
      <c r="I1356" t="s">
        <v>5173</v>
      </c>
      <c r="J1356" t="str">
        <f>"Tyrosine-protein kinase Fer"</f>
        <v>Tyrosine-protein kinase Fer</v>
      </c>
      <c r="K1356" t="str">
        <f>"FER;Pe1Fe10"</f>
        <v>FER;Pe1Fe10</v>
      </c>
    </row>
    <row r="1357" spans="1:11" x14ac:dyDescent="0.25">
      <c r="A1357" s="1">
        <v>1225</v>
      </c>
      <c r="B1357" s="1">
        <v>3</v>
      </c>
      <c r="C1357" s="1" t="s">
        <v>3</v>
      </c>
      <c r="D1357" s="1">
        <v>1</v>
      </c>
      <c r="E1357" s="1">
        <v>61.78</v>
      </c>
      <c r="F1357" s="1">
        <v>0.99936999999999998</v>
      </c>
      <c r="G1357" t="s">
        <v>2204</v>
      </c>
      <c r="H1357" t="s">
        <v>270</v>
      </c>
      <c r="I1357" t="s">
        <v>5174</v>
      </c>
      <c r="J1357" t="str">
        <f>"Tensin-1"</f>
        <v>Tensin-1</v>
      </c>
      <c r="K1357" t="str">
        <f>"TNS1"</f>
        <v>TNS1</v>
      </c>
    </row>
    <row r="1358" spans="1:11" x14ac:dyDescent="0.25">
      <c r="A1358" s="1">
        <v>810</v>
      </c>
      <c r="B1358" s="1">
        <v>3</v>
      </c>
      <c r="C1358" s="1" t="s">
        <v>3</v>
      </c>
      <c r="D1358" s="1">
        <v>9</v>
      </c>
      <c r="E1358" s="1">
        <v>118.31</v>
      </c>
      <c r="F1358" s="1">
        <v>0.99939800000000001</v>
      </c>
      <c r="G1358" t="s">
        <v>2205</v>
      </c>
      <c r="H1358" t="s">
        <v>2206</v>
      </c>
      <c r="I1358" t="s">
        <v>5175</v>
      </c>
      <c r="J1358" t="str">
        <f>"Dual specificity protein kinase CLK4"</f>
        <v>Dual specificity protein kinase CLK4</v>
      </c>
      <c r="K1358" t="str">
        <f>"CLK4"</f>
        <v>CLK4</v>
      </c>
    </row>
    <row r="1359" spans="1:11" x14ac:dyDescent="0.25">
      <c r="A1359" s="1">
        <v>1942</v>
      </c>
      <c r="B1359" s="1">
        <v>3</v>
      </c>
      <c r="C1359" s="1" t="s">
        <v>3</v>
      </c>
      <c r="D1359" s="1">
        <v>13</v>
      </c>
      <c r="E1359" s="1">
        <v>45.915999999999997</v>
      </c>
      <c r="F1359" s="1">
        <v>0.996224</v>
      </c>
      <c r="G1359" t="s">
        <v>2207</v>
      </c>
      <c r="H1359" t="s">
        <v>2208</v>
      </c>
      <c r="I1359">
        <v>102</v>
      </c>
      <c r="J1359" t="str">
        <f>"Proteasome subunit beta type-4"</f>
        <v>Proteasome subunit beta type-4</v>
      </c>
      <c r="K1359" t="str">
        <f>"PSMB4"</f>
        <v>PSMB4</v>
      </c>
    </row>
    <row r="1360" spans="1:11" x14ac:dyDescent="0.25">
      <c r="A1360" s="1">
        <v>2108</v>
      </c>
      <c r="B1360" s="1">
        <v>3</v>
      </c>
      <c r="C1360" s="1" t="s">
        <v>3</v>
      </c>
      <c r="D1360" s="1">
        <v>13</v>
      </c>
      <c r="E1360" s="1">
        <v>102.73</v>
      </c>
      <c r="F1360" s="1">
        <v>1</v>
      </c>
      <c r="G1360" t="s">
        <v>2209</v>
      </c>
      <c r="H1360" t="s">
        <v>2089</v>
      </c>
      <c r="I1360">
        <v>133</v>
      </c>
      <c r="J1360" t="str">
        <f>"Elongation factor Tu, mitochondrial"</f>
        <v>Elongation factor Tu, mitochondrial</v>
      </c>
      <c r="K1360" t="str">
        <f>"TUFM"</f>
        <v>TUFM</v>
      </c>
    </row>
    <row r="1361" spans="1:11" x14ac:dyDescent="0.25">
      <c r="A1361" s="1">
        <v>2950</v>
      </c>
      <c r="B1361" s="1">
        <v>3</v>
      </c>
      <c r="C1361" s="1" t="s">
        <v>3</v>
      </c>
      <c r="D1361" s="1">
        <v>5</v>
      </c>
      <c r="E1361" s="1">
        <v>105.9</v>
      </c>
      <c r="F1361" s="1">
        <v>0.81934600000000002</v>
      </c>
      <c r="G1361" t="s">
        <v>2210</v>
      </c>
      <c r="H1361" t="s">
        <v>1872</v>
      </c>
      <c r="I1361" t="s">
        <v>5176</v>
      </c>
      <c r="J1361" t="str">
        <f>"Rho GTPase-activating protein 39"</f>
        <v>Rho GTPase-activating protein 39</v>
      </c>
      <c r="K1361" t="str">
        <f>"ARHGAP39"</f>
        <v>ARHGAP39</v>
      </c>
    </row>
    <row r="1362" spans="1:11" x14ac:dyDescent="0.25">
      <c r="A1362" s="1">
        <v>1521</v>
      </c>
      <c r="B1362" s="1">
        <v>2</v>
      </c>
      <c r="C1362" s="1" t="s">
        <v>3</v>
      </c>
      <c r="D1362" s="1">
        <v>7</v>
      </c>
      <c r="E1362" s="1">
        <v>57.524999999999999</v>
      </c>
      <c r="F1362" s="1">
        <v>0.96131999999999995</v>
      </c>
      <c r="G1362" t="s">
        <v>2211</v>
      </c>
      <c r="H1362" t="s">
        <v>1457</v>
      </c>
      <c r="I1362">
        <v>72</v>
      </c>
      <c r="J1362" t="str">
        <f>"WD repeat-containing protein 1"</f>
        <v>WD repeat-containing protein 1</v>
      </c>
      <c r="K1362" t="str">
        <f>"WDR1"</f>
        <v>WDR1</v>
      </c>
    </row>
    <row r="1363" spans="1:11" x14ac:dyDescent="0.25">
      <c r="A1363" s="1">
        <v>1441</v>
      </c>
      <c r="B1363" s="1">
        <v>2</v>
      </c>
      <c r="C1363" s="1" t="s">
        <v>3</v>
      </c>
      <c r="D1363" s="1">
        <v>3</v>
      </c>
      <c r="E1363" s="1">
        <v>74.840999999999994</v>
      </c>
      <c r="F1363" s="1">
        <v>0.999996</v>
      </c>
      <c r="G1363" t="s">
        <v>2212</v>
      </c>
      <c r="H1363" t="s">
        <v>2213</v>
      </c>
      <c r="I1363" t="s">
        <v>5177</v>
      </c>
      <c r="J1363" t="str">
        <f>"Protein phosphatase 1 regulatory subunit 12A"</f>
        <v>Protein phosphatase 1 regulatory subunit 12A</v>
      </c>
      <c r="K1363" t="str">
        <f>"PPP1R12A"</f>
        <v>PPP1R12A</v>
      </c>
    </row>
    <row r="1364" spans="1:11" x14ac:dyDescent="0.25">
      <c r="A1364" s="1">
        <v>2329</v>
      </c>
      <c r="B1364" s="1">
        <v>3</v>
      </c>
      <c r="C1364" s="1" t="s">
        <v>3</v>
      </c>
      <c r="D1364" s="1">
        <v>16</v>
      </c>
      <c r="E1364" s="1">
        <v>70.451999999999998</v>
      </c>
      <c r="F1364" s="1">
        <v>0.75612699999999999</v>
      </c>
      <c r="G1364" t="s">
        <v>2214</v>
      </c>
      <c r="H1364" t="s">
        <v>442</v>
      </c>
      <c r="I1364" t="s">
        <v>5178</v>
      </c>
      <c r="J1364" t="str">
        <f>"1,4-alpha-glucan-branching enzyme"</f>
        <v>1,4-alpha-glucan-branching enzyme</v>
      </c>
      <c r="K1364" t="str">
        <f>"GBE1"</f>
        <v>GBE1</v>
      </c>
    </row>
    <row r="1365" spans="1:11" x14ac:dyDescent="0.25">
      <c r="A1365" s="1">
        <v>761</v>
      </c>
      <c r="B1365" s="1">
        <v>3</v>
      </c>
      <c r="C1365" s="1" t="s">
        <v>3</v>
      </c>
      <c r="D1365" s="1">
        <v>13</v>
      </c>
      <c r="E1365" s="1">
        <v>60.948999999999998</v>
      </c>
      <c r="F1365" s="1">
        <v>0.92255900000000002</v>
      </c>
      <c r="G1365" t="s">
        <v>2215</v>
      </c>
      <c r="H1365" t="s">
        <v>2216</v>
      </c>
      <c r="I1365" t="s">
        <v>5179</v>
      </c>
      <c r="J1365" t="str">
        <f>"Leukocyte immunoglobulin-like receptor subfamily B member 1"</f>
        <v>Leukocyte immunoglobulin-like receptor subfamily B member 1</v>
      </c>
      <c r="K1365" t="str">
        <f>"LILRB1;PODNL1"</f>
        <v>LILRB1;PODNL1</v>
      </c>
    </row>
    <row r="1366" spans="1:11" x14ac:dyDescent="0.25">
      <c r="A1366" s="1">
        <v>1577</v>
      </c>
      <c r="B1366" s="1">
        <v>3</v>
      </c>
      <c r="C1366" s="1" t="s">
        <v>3</v>
      </c>
      <c r="D1366" s="1">
        <v>11</v>
      </c>
      <c r="E1366" s="1">
        <v>121.44</v>
      </c>
      <c r="F1366" s="1">
        <v>0.80727700000000002</v>
      </c>
      <c r="G1366" t="s">
        <v>2217</v>
      </c>
      <c r="H1366" t="s">
        <v>1379</v>
      </c>
      <c r="I1366" t="s">
        <v>5180</v>
      </c>
      <c r="J1366" t="str">
        <f>"Cytochrome b5"</f>
        <v>Cytochrome b5</v>
      </c>
      <c r="K1366" t="str">
        <f>"CYB5A"</f>
        <v>CYB5A</v>
      </c>
    </row>
    <row r="1367" spans="1:11" x14ac:dyDescent="0.25">
      <c r="A1367" s="1">
        <v>2446</v>
      </c>
      <c r="B1367" s="1">
        <v>2</v>
      </c>
      <c r="C1367" s="1" t="s">
        <v>3</v>
      </c>
      <c r="D1367" s="1">
        <v>6</v>
      </c>
      <c r="E1367" s="1">
        <v>96.143000000000001</v>
      </c>
      <c r="F1367" s="1">
        <v>0.99509000000000003</v>
      </c>
      <c r="G1367" t="s">
        <v>2218</v>
      </c>
      <c r="H1367" t="s">
        <v>2219</v>
      </c>
      <c r="I1367" t="s">
        <v>5181</v>
      </c>
      <c r="J1367" t="str">
        <f>"Ras and Rab interactor 1"</f>
        <v>Ras and Rab interactor 1</v>
      </c>
      <c r="K1367" t="str">
        <f>"RIN1"</f>
        <v>RIN1</v>
      </c>
    </row>
    <row r="1368" spans="1:11" x14ac:dyDescent="0.25">
      <c r="A1368" s="1">
        <v>2855</v>
      </c>
      <c r="B1368" s="1">
        <v>3</v>
      </c>
      <c r="C1368" s="1" t="s">
        <v>3</v>
      </c>
      <c r="D1368" s="1">
        <v>21</v>
      </c>
      <c r="E1368" s="1">
        <v>68.444999999999993</v>
      </c>
      <c r="F1368" s="1">
        <v>0.79735100000000003</v>
      </c>
      <c r="G1368" t="s">
        <v>2220</v>
      </c>
      <c r="H1368" t="s">
        <v>1373</v>
      </c>
      <c r="I1368">
        <v>53</v>
      </c>
      <c r="J1368" t="str">
        <f>"Far upstream element-binding protein 3"</f>
        <v>Far upstream element-binding protein 3</v>
      </c>
      <c r="K1368" t="str">
        <f>"FUBP3"</f>
        <v>FUBP3</v>
      </c>
    </row>
    <row r="1369" spans="1:11" x14ac:dyDescent="0.25">
      <c r="A1369" s="1">
        <v>1543</v>
      </c>
      <c r="B1369" s="1">
        <v>4</v>
      </c>
      <c r="C1369" s="1" t="s">
        <v>3</v>
      </c>
      <c r="D1369" s="1">
        <v>11</v>
      </c>
      <c r="E1369" s="1">
        <v>92.01</v>
      </c>
      <c r="F1369" s="1">
        <v>0.99564200000000003</v>
      </c>
      <c r="G1369" t="s">
        <v>2221</v>
      </c>
      <c r="H1369" t="s">
        <v>712</v>
      </c>
      <c r="I1369">
        <v>42</v>
      </c>
      <c r="J1369" t="str">
        <f>"Breast cancer anti-estrogen resistance protein 3"</f>
        <v>Breast cancer anti-estrogen resistance protein 3</v>
      </c>
      <c r="K1369" t="str">
        <f>"BCAR3"</f>
        <v>BCAR3</v>
      </c>
    </row>
    <row r="1370" spans="1:11" x14ac:dyDescent="0.25">
      <c r="A1370" s="1">
        <v>904</v>
      </c>
      <c r="B1370" s="1">
        <v>2</v>
      </c>
      <c r="C1370" s="1" t="s">
        <v>3</v>
      </c>
      <c r="D1370" s="1">
        <v>8</v>
      </c>
      <c r="E1370" s="1">
        <v>90.15</v>
      </c>
      <c r="F1370" s="1">
        <v>0.59412699999999996</v>
      </c>
      <c r="G1370" t="s">
        <v>2222</v>
      </c>
      <c r="H1370" t="s">
        <v>396</v>
      </c>
      <c r="I1370" t="s">
        <v>5182</v>
      </c>
      <c r="J1370" t="str">
        <f>""</f>
        <v/>
      </c>
      <c r="K1370" t="str">
        <f>""</f>
        <v/>
      </c>
    </row>
    <row r="1371" spans="1:11" x14ac:dyDescent="0.25">
      <c r="A1371" s="1">
        <v>1706</v>
      </c>
      <c r="B1371" s="1">
        <v>2</v>
      </c>
      <c r="C1371" s="1" t="s">
        <v>3</v>
      </c>
      <c r="D1371" s="1">
        <v>7</v>
      </c>
      <c r="E1371" s="1">
        <v>59.198</v>
      </c>
      <c r="F1371" s="1">
        <v>0.75964200000000004</v>
      </c>
      <c r="G1371" t="s">
        <v>2223</v>
      </c>
      <c r="H1371" t="s">
        <v>2224</v>
      </c>
      <c r="I1371" t="s">
        <v>5183</v>
      </c>
      <c r="J1371" t="str">
        <f>"Annexin A5;Annexin"</f>
        <v>Annexin A5;Annexin</v>
      </c>
      <c r="K1371" t="str">
        <f>"ANXA5"</f>
        <v>ANXA5</v>
      </c>
    </row>
    <row r="1372" spans="1:11" x14ac:dyDescent="0.25">
      <c r="A1372" s="1">
        <v>2324</v>
      </c>
      <c r="B1372" s="1">
        <v>3</v>
      </c>
      <c r="C1372" s="1" t="s">
        <v>3</v>
      </c>
      <c r="D1372" s="1">
        <v>10</v>
      </c>
      <c r="E1372" s="1">
        <v>62.860999999999997</v>
      </c>
      <c r="F1372" s="1">
        <v>0.97440099999999996</v>
      </c>
      <c r="G1372" t="s">
        <v>2225</v>
      </c>
      <c r="H1372" t="s">
        <v>2226</v>
      </c>
      <c r="I1372">
        <v>11</v>
      </c>
      <c r="J1372" t="str">
        <f>"Caveolin-1"</f>
        <v>Caveolin-1</v>
      </c>
      <c r="K1372" t="str">
        <f>"CAV1"</f>
        <v>CAV1</v>
      </c>
    </row>
    <row r="1373" spans="1:11" x14ac:dyDescent="0.25">
      <c r="A1373" s="1">
        <v>2094</v>
      </c>
      <c r="B1373" s="1">
        <v>3</v>
      </c>
      <c r="C1373" s="1" t="s">
        <v>3</v>
      </c>
      <c r="D1373" s="1">
        <v>9</v>
      </c>
      <c r="E1373" s="1">
        <v>56.569000000000003</v>
      </c>
      <c r="F1373" s="1">
        <v>1</v>
      </c>
      <c r="G1373" t="s">
        <v>2227</v>
      </c>
      <c r="H1373" t="s">
        <v>2228</v>
      </c>
      <c r="I1373">
        <v>35</v>
      </c>
      <c r="J1373" t="str">
        <f>"ATP synthase subunit O, mitochondrial"</f>
        <v>ATP synthase subunit O, mitochondrial</v>
      </c>
      <c r="K1373" t="str">
        <f>"ATP5O"</f>
        <v>ATP5O</v>
      </c>
    </row>
    <row r="1374" spans="1:11" x14ac:dyDescent="0.25">
      <c r="A1374" s="1">
        <v>807</v>
      </c>
      <c r="B1374" s="1">
        <v>3</v>
      </c>
      <c r="C1374" s="1" t="s">
        <v>3</v>
      </c>
      <c r="D1374" s="1">
        <v>7</v>
      </c>
      <c r="E1374" s="1">
        <v>48.997999999999998</v>
      </c>
      <c r="F1374" s="1">
        <v>0.99954399999999999</v>
      </c>
      <c r="G1374" t="s">
        <v>2229</v>
      </c>
      <c r="H1374" t="s">
        <v>2230</v>
      </c>
      <c r="I1374" t="s">
        <v>5184</v>
      </c>
      <c r="J1374" t="str">
        <f>"Putative RNA-binding protein 15"</f>
        <v>Putative RNA-binding protein 15</v>
      </c>
      <c r="K1374" t="str">
        <f>"RBM15"</f>
        <v>RBM15</v>
      </c>
    </row>
    <row r="1375" spans="1:11" x14ac:dyDescent="0.25">
      <c r="A1375" s="1">
        <v>3039</v>
      </c>
      <c r="B1375" s="1">
        <v>3</v>
      </c>
      <c r="C1375" s="1" t="s">
        <v>3</v>
      </c>
      <c r="D1375" s="1">
        <v>10</v>
      </c>
      <c r="E1375" s="1">
        <v>84.159000000000006</v>
      </c>
      <c r="F1375" s="1">
        <v>0.99991099999999999</v>
      </c>
      <c r="G1375" t="s">
        <v>2231</v>
      </c>
      <c r="H1375" t="s">
        <v>2232</v>
      </c>
      <c r="I1375" t="s">
        <v>5185</v>
      </c>
      <c r="J1375" t="str">
        <f>"H/ACA ribonucleoprotein complex subunit 1"</f>
        <v>H/ACA ribonucleoprotein complex subunit 1</v>
      </c>
      <c r="K1375" t="str">
        <f>"GAR1"</f>
        <v>GAR1</v>
      </c>
    </row>
    <row r="1376" spans="1:11" x14ac:dyDescent="0.25">
      <c r="A1376" s="1">
        <v>1479</v>
      </c>
      <c r="B1376" s="1">
        <v>2</v>
      </c>
      <c r="C1376" s="1" t="s">
        <v>3</v>
      </c>
      <c r="D1376" s="1">
        <v>5</v>
      </c>
      <c r="E1376" s="1">
        <v>57.433999999999997</v>
      </c>
      <c r="F1376" s="1">
        <v>0.98923099999999997</v>
      </c>
      <c r="G1376" t="s">
        <v>2233</v>
      </c>
      <c r="H1376" t="s">
        <v>2234</v>
      </c>
      <c r="I1376" t="s">
        <v>5186</v>
      </c>
      <c r="J1376" t="str">
        <f>"Regulator of G-protein signaling 10"</f>
        <v>Regulator of G-protein signaling 10</v>
      </c>
      <c r="K1376" t="str">
        <f>"RGS10"</f>
        <v>RGS10</v>
      </c>
    </row>
    <row r="1377" spans="1:11" x14ac:dyDescent="0.25">
      <c r="A1377" s="1">
        <v>1688</v>
      </c>
      <c r="B1377" s="1">
        <v>2</v>
      </c>
      <c r="C1377" s="1" t="s">
        <v>3</v>
      </c>
      <c r="D1377" s="1">
        <v>1</v>
      </c>
      <c r="E1377" s="1">
        <v>74.611000000000004</v>
      </c>
      <c r="F1377" s="1">
        <v>0.99953499999999995</v>
      </c>
      <c r="G1377" t="s">
        <v>2235</v>
      </c>
      <c r="H1377" t="s">
        <v>2236</v>
      </c>
      <c r="I1377" t="s">
        <v>5187</v>
      </c>
      <c r="J1377" t="str">
        <f>"Matrix Gla protein"</f>
        <v>Matrix Gla protein</v>
      </c>
      <c r="K1377" t="str">
        <f>"MGP"</f>
        <v>MGP</v>
      </c>
    </row>
    <row r="1378" spans="1:11" x14ac:dyDescent="0.25">
      <c r="A1378" s="1">
        <v>2685</v>
      </c>
      <c r="B1378" s="1">
        <v>3</v>
      </c>
      <c r="C1378" s="1" t="s">
        <v>3</v>
      </c>
      <c r="D1378" s="1">
        <v>9</v>
      </c>
      <c r="E1378" s="1">
        <v>55.128</v>
      </c>
      <c r="F1378" s="1">
        <v>0.83391700000000002</v>
      </c>
      <c r="G1378" t="s">
        <v>2237</v>
      </c>
      <c r="H1378" t="s">
        <v>2238</v>
      </c>
      <c r="I1378" t="s">
        <v>5188</v>
      </c>
      <c r="J1378" t="str">
        <f>"ATP-dependent RNA helicase DDX42"</f>
        <v>ATP-dependent RNA helicase DDX42</v>
      </c>
      <c r="K1378" t="str">
        <f>"DDX42"</f>
        <v>DDX42</v>
      </c>
    </row>
    <row r="1379" spans="1:11" x14ac:dyDescent="0.25">
      <c r="A1379" s="1">
        <v>2771</v>
      </c>
      <c r="B1379" s="1">
        <v>4</v>
      </c>
      <c r="C1379" s="1" t="s">
        <v>3</v>
      </c>
      <c r="D1379" s="1">
        <v>6</v>
      </c>
      <c r="E1379" s="1">
        <v>70.614999999999995</v>
      </c>
      <c r="F1379" s="1">
        <v>0.99999700000000002</v>
      </c>
      <c r="G1379" t="s">
        <v>2239</v>
      </c>
      <c r="H1379" t="s">
        <v>2240</v>
      </c>
      <c r="I1379">
        <v>127</v>
      </c>
      <c r="J1379" t="str">
        <f>"Ribosome biogenesis protein BRX1 homolog"</f>
        <v>Ribosome biogenesis protein BRX1 homolog</v>
      </c>
      <c r="K1379" t="str">
        <f>"BRIX1"</f>
        <v>BRIX1</v>
      </c>
    </row>
    <row r="1380" spans="1:11" x14ac:dyDescent="0.25">
      <c r="A1380" s="1">
        <v>2889</v>
      </c>
      <c r="B1380" s="1">
        <v>2</v>
      </c>
      <c r="C1380" s="1" t="s">
        <v>3</v>
      </c>
      <c r="D1380" s="1">
        <v>6</v>
      </c>
      <c r="E1380" s="1">
        <v>69.978999999999999</v>
      </c>
      <c r="F1380" s="1">
        <v>0.775204</v>
      </c>
      <c r="G1380" t="s">
        <v>2241</v>
      </c>
      <c r="H1380" t="s">
        <v>124</v>
      </c>
      <c r="I1380" t="s">
        <v>5189</v>
      </c>
      <c r="J1380" t="str">
        <f>"Plakophilin-4"</f>
        <v>Plakophilin-4</v>
      </c>
      <c r="K1380" t="str">
        <f>"PKP4"</f>
        <v>PKP4</v>
      </c>
    </row>
    <row r="1381" spans="1:11" x14ac:dyDescent="0.25">
      <c r="A1381" s="1">
        <v>1804</v>
      </c>
      <c r="B1381" s="1">
        <v>4</v>
      </c>
      <c r="C1381" s="1" t="s">
        <v>3</v>
      </c>
      <c r="D1381" s="1">
        <v>9</v>
      </c>
      <c r="E1381" s="1">
        <v>45.915999999999997</v>
      </c>
      <c r="F1381" s="1">
        <v>0.90940100000000001</v>
      </c>
      <c r="G1381" t="s">
        <v>2242</v>
      </c>
      <c r="H1381" t="s">
        <v>555</v>
      </c>
      <c r="I1381" t="s">
        <v>5190</v>
      </c>
      <c r="J1381" t="str">
        <f>"Integrin beta-4"</f>
        <v>Integrin beta-4</v>
      </c>
      <c r="K1381" t="str">
        <f>"ITGB4"</f>
        <v>ITGB4</v>
      </c>
    </row>
    <row r="1382" spans="1:11" x14ac:dyDescent="0.25">
      <c r="A1382" s="1">
        <v>2761</v>
      </c>
      <c r="B1382" s="1">
        <v>3</v>
      </c>
      <c r="C1382" s="1" t="s">
        <v>3</v>
      </c>
      <c r="D1382" s="1">
        <v>2</v>
      </c>
      <c r="E1382" s="1">
        <v>67.11</v>
      </c>
      <c r="F1382" s="1">
        <v>0.93933</v>
      </c>
      <c r="G1382" t="s">
        <v>2243</v>
      </c>
      <c r="H1382" t="s">
        <v>1934</v>
      </c>
      <c r="I1382">
        <v>38</v>
      </c>
      <c r="J1382" t="str">
        <f>"Overexpressed in colon carcinoma 1 protein"</f>
        <v>Overexpressed in colon carcinoma 1 protein</v>
      </c>
      <c r="K1382" t="str">
        <f>"OCC1"</f>
        <v>OCC1</v>
      </c>
    </row>
    <row r="1383" spans="1:11" x14ac:dyDescent="0.25">
      <c r="A1383" s="1">
        <v>1356</v>
      </c>
      <c r="B1383" s="1">
        <v>2</v>
      </c>
      <c r="C1383" s="1" t="s">
        <v>3</v>
      </c>
      <c r="D1383" s="1">
        <v>1</v>
      </c>
      <c r="E1383" s="1">
        <v>66.055999999999997</v>
      </c>
      <c r="F1383" s="1">
        <v>1</v>
      </c>
      <c r="G1383" t="s">
        <v>2244</v>
      </c>
      <c r="H1383" t="s">
        <v>2245</v>
      </c>
      <c r="I1383" t="s">
        <v>5191</v>
      </c>
      <c r="J1383" t="str">
        <f>"TOM1-like protein 1"</f>
        <v>TOM1-like protein 1</v>
      </c>
      <c r="K1383" t="str">
        <f>"TOM1L1"</f>
        <v>TOM1L1</v>
      </c>
    </row>
    <row r="1384" spans="1:11" x14ac:dyDescent="0.25">
      <c r="A1384" s="1">
        <v>483</v>
      </c>
      <c r="B1384" s="1">
        <v>3</v>
      </c>
      <c r="C1384" s="1" t="s">
        <v>5</v>
      </c>
      <c r="D1384" s="1">
        <v>7</v>
      </c>
      <c r="E1384" s="1">
        <v>41.512999999999998</v>
      </c>
      <c r="F1384" s="1">
        <v>0.53135500000000002</v>
      </c>
      <c r="G1384" t="s">
        <v>2246</v>
      </c>
      <c r="H1384" t="s">
        <v>1769</v>
      </c>
      <c r="I1384" t="s">
        <v>5192</v>
      </c>
      <c r="J1384" t="str">
        <f>"RNA-binding protein 8A"</f>
        <v>RNA-binding protein 8A</v>
      </c>
      <c r="K1384" t="str">
        <f>"RBM8A"</f>
        <v>RBM8A</v>
      </c>
    </row>
    <row r="1385" spans="1:11" x14ac:dyDescent="0.25">
      <c r="A1385" s="1">
        <v>1287</v>
      </c>
      <c r="B1385" s="1">
        <v>3</v>
      </c>
      <c r="C1385" s="1" t="s">
        <v>3</v>
      </c>
      <c r="D1385" s="1">
        <v>2</v>
      </c>
      <c r="E1385" s="1">
        <v>51.436</v>
      </c>
      <c r="F1385" s="1">
        <v>1</v>
      </c>
      <c r="G1385" t="s">
        <v>2247</v>
      </c>
      <c r="H1385" t="s">
        <v>2248</v>
      </c>
      <c r="I1385" t="s">
        <v>5193</v>
      </c>
      <c r="J1385" t="str">
        <f>"Nucleosome assembly protein 1-like 1;Nucleosome assembly protein 1-like 4"</f>
        <v>Nucleosome assembly protein 1-like 1;Nucleosome assembly protein 1-like 4</v>
      </c>
      <c r="K1385" t="str">
        <f>"NAP1L1;NAP1L4"</f>
        <v>NAP1L1;NAP1L4</v>
      </c>
    </row>
    <row r="1386" spans="1:11" x14ac:dyDescent="0.25">
      <c r="A1386" s="1">
        <v>2621</v>
      </c>
      <c r="B1386" s="1">
        <v>3</v>
      </c>
      <c r="C1386" s="1" t="s">
        <v>3</v>
      </c>
      <c r="D1386" s="1">
        <v>25</v>
      </c>
      <c r="E1386" s="1">
        <v>112.85</v>
      </c>
      <c r="F1386" s="1">
        <v>0.99150899999999997</v>
      </c>
      <c r="G1386" t="s">
        <v>2249</v>
      </c>
      <c r="H1386" t="s">
        <v>2250</v>
      </c>
      <c r="I1386" t="s">
        <v>5194</v>
      </c>
      <c r="J1386" t="str">
        <f>"Tensin-like C1 domain-containing phosphatase"</f>
        <v>Tensin-like C1 domain-containing phosphatase</v>
      </c>
      <c r="K1386" t="str">
        <f>"TENC1"</f>
        <v>TENC1</v>
      </c>
    </row>
    <row r="1387" spans="1:11" x14ac:dyDescent="0.25">
      <c r="A1387" s="1">
        <v>167</v>
      </c>
      <c r="B1387" s="1">
        <v>3</v>
      </c>
      <c r="C1387" s="1" t="s">
        <v>5</v>
      </c>
      <c r="D1387" s="1">
        <v>6</v>
      </c>
      <c r="E1387" s="1">
        <v>102.21</v>
      </c>
      <c r="F1387" s="1">
        <v>0.94666099999999997</v>
      </c>
      <c r="G1387" t="s">
        <v>113</v>
      </c>
      <c r="H1387" t="s">
        <v>114</v>
      </c>
      <c r="I1387" t="s">
        <v>5195</v>
      </c>
      <c r="J1387" t="str">
        <f>"Epidermal growth factor receptor"</f>
        <v>Epidermal growth factor receptor</v>
      </c>
      <c r="K1387" t="str">
        <f>"EGFR"</f>
        <v>EGFR</v>
      </c>
    </row>
    <row r="1388" spans="1:11" x14ac:dyDescent="0.25">
      <c r="A1388" s="1">
        <v>2197</v>
      </c>
      <c r="B1388" s="1">
        <v>2</v>
      </c>
      <c r="C1388" s="1" t="s">
        <v>3</v>
      </c>
      <c r="D1388" s="1">
        <v>9</v>
      </c>
      <c r="E1388" s="1">
        <v>127.27</v>
      </c>
      <c r="F1388" s="1">
        <v>0.64685899999999996</v>
      </c>
      <c r="G1388" t="s">
        <v>2251</v>
      </c>
      <c r="H1388" t="s">
        <v>2252</v>
      </c>
      <c r="I1388" t="s">
        <v>5196</v>
      </c>
      <c r="J1388" t="str">
        <f>"Trifunctional enzyme subunit beta, mitochondrial;3-ketoacyl-CoA thiolase"</f>
        <v>Trifunctional enzyme subunit beta, mitochondrial;3-ketoacyl-CoA thiolase</v>
      </c>
      <c r="K1388" t="str">
        <f>"HADHB"</f>
        <v>HADHB</v>
      </c>
    </row>
    <row r="1389" spans="1:11" x14ac:dyDescent="0.25">
      <c r="A1389" s="1">
        <v>2369</v>
      </c>
      <c r="B1389" s="1">
        <v>2</v>
      </c>
      <c r="C1389" s="1" t="s">
        <v>3</v>
      </c>
      <c r="D1389" s="1">
        <v>1</v>
      </c>
      <c r="E1389" s="1">
        <v>84.478999999999999</v>
      </c>
      <c r="F1389" s="1">
        <v>0.5</v>
      </c>
      <c r="G1389" t="s">
        <v>2253</v>
      </c>
      <c r="H1389" t="s">
        <v>1553</v>
      </c>
      <c r="I1389" t="s">
        <v>5197</v>
      </c>
      <c r="J1389" t="str">
        <f>"Protein VAC14 homolog"</f>
        <v>Protein VAC14 homolog</v>
      </c>
      <c r="K1389" t="str">
        <f>"VAC14"</f>
        <v>VAC14</v>
      </c>
    </row>
    <row r="1390" spans="1:11" x14ac:dyDescent="0.25">
      <c r="A1390" s="1">
        <v>85</v>
      </c>
      <c r="B1390" s="1">
        <v>4</v>
      </c>
      <c r="C1390" s="1" t="s">
        <v>5</v>
      </c>
      <c r="D1390" s="1">
        <v>23</v>
      </c>
      <c r="E1390" s="1">
        <v>71.603999999999999</v>
      </c>
      <c r="F1390" s="1">
        <v>0.88893</v>
      </c>
      <c r="G1390" t="s">
        <v>2254</v>
      </c>
      <c r="H1390" t="s">
        <v>270</v>
      </c>
      <c r="I1390" t="s">
        <v>5198</v>
      </c>
      <c r="J1390" t="str">
        <f>"Tensin-1"</f>
        <v>Tensin-1</v>
      </c>
      <c r="K1390" t="str">
        <f>"TNS1"</f>
        <v>TNS1</v>
      </c>
    </row>
    <row r="1391" spans="1:11" x14ac:dyDescent="0.25">
      <c r="A1391" s="1">
        <v>1583</v>
      </c>
      <c r="B1391" s="1">
        <v>2</v>
      </c>
      <c r="C1391" s="1" t="s">
        <v>3</v>
      </c>
      <c r="D1391" s="1">
        <v>6</v>
      </c>
      <c r="E1391" s="1">
        <v>81.632000000000005</v>
      </c>
      <c r="F1391" s="1">
        <v>0.99965000000000004</v>
      </c>
      <c r="G1391" t="s">
        <v>2255</v>
      </c>
      <c r="H1391" t="s">
        <v>2256</v>
      </c>
      <c r="I1391" t="s">
        <v>5065</v>
      </c>
      <c r="J1391" t="str">
        <f>"Retinal dehydrogenase 1"</f>
        <v>Retinal dehydrogenase 1</v>
      </c>
      <c r="K1391" t="str">
        <f>"ALDH1A1"</f>
        <v>ALDH1A1</v>
      </c>
    </row>
    <row r="1392" spans="1:11" x14ac:dyDescent="0.25">
      <c r="A1392" s="1">
        <v>1567</v>
      </c>
      <c r="B1392" s="1">
        <v>3</v>
      </c>
      <c r="C1392" s="1" t="s">
        <v>3</v>
      </c>
      <c r="D1392" s="1">
        <v>4</v>
      </c>
      <c r="E1392" s="1">
        <v>49.076000000000001</v>
      </c>
      <c r="F1392" s="1">
        <v>0.99859900000000001</v>
      </c>
      <c r="G1392" t="s">
        <v>2257</v>
      </c>
      <c r="H1392" t="s">
        <v>2258</v>
      </c>
      <c r="I1392">
        <v>297</v>
      </c>
      <c r="J1392" t="str">
        <f>"Pre-mRNA-splicing factor SLU7"</f>
        <v>Pre-mRNA-splicing factor SLU7</v>
      </c>
      <c r="K1392" t="str">
        <f>"SLU7"</f>
        <v>SLU7</v>
      </c>
    </row>
    <row r="1393" spans="1:11" x14ac:dyDescent="0.25">
      <c r="A1393" s="1">
        <v>1734</v>
      </c>
      <c r="B1393" s="1">
        <v>2</v>
      </c>
      <c r="C1393" s="1" t="s">
        <v>3</v>
      </c>
      <c r="D1393" s="1">
        <v>1</v>
      </c>
      <c r="E1393" s="1">
        <v>46.249000000000002</v>
      </c>
      <c r="F1393" s="1">
        <v>0.99934199999999995</v>
      </c>
      <c r="G1393" t="s">
        <v>2259</v>
      </c>
      <c r="H1393" t="s">
        <v>1950</v>
      </c>
      <c r="I1393" t="s">
        <v>5199</v>
      </c>
      <c r="J1393" t="str">
        <f>"Osteopontin"</f>
        <v>Osteopontin</v>
      </c>
      <c r="K1393" t="str">
        <f>"SPP1"</f>
        <v>SPP1</v>
      </c>
    </row>
    <row r="1394" spans="1:11" x14ac:dyDescent="0.25">
      <c r="A1394" s="1">
        <v>1422</v>
      </c>
      <c r="B1394" s="1">
        <v>4</v>
      </c>
      <c r="C1394" s="1" t="s">
        <v>3</v>
      </c>
      <c r="D1394" s="1">
        <v>15</v>
      </c>
      <c r="E1394" s="1">
        <v>99.319000000000003</v>
      </c>
      <c r="F1394" s="1">
        <v>0.98362799999999995</v>
      </c>
      <c r="G1394" t="s">
        <v>2260</v>
      </c>
      <c r="H1394" t="s">
        <v>1684</v>
      </c>
      <c r="I1394">
        <v>605</v>
      </c>
      <c r="J1394" t="str">
        <f>"Phosphatidylinositol 3-kinase regulatory subunit beta"</f>
        <v>Phosphatidylinositol 3-kinase regulatory subunit beta</v>
      </c>
      <c r="K1394" t="str">
        <f>"PIK3R2"</f>
        <v>PIK3R2</v>
      </c>
    </row>
    <row r="1395" spans="1:11" x14ac:dyDescent="0.25">
      <c r="A1395" s="1">
        <v>2564</v>
      </c>
      <c r="B1395" s="1">
        <v>2</v>
      </c>
      <c r="C1395" s="1" t="s">
        <v>3</v>
      </c>
      <c r="D1395" s="1">
        <v>10</v>
      </c>
      <c r="E1395" s="1">
        <v>105.99</v>
      </c>
      <c r="F1395" s="1">
        <v>0.97825799999999996</v>
      </c>
      <c r="G1395" t="s">
        <v>2261</v>
      </c>
      <c r="H1395" t="s">
        <v>1077</v>
      </c>
      <c r="I1395" t="s">
        <v>5200</v>
      </c>
      <c r="J1395" t="str">
        <f>"Pleckstrin homology domain-containing family N member 1"</f>
        <v>Pleckstrin homology domain-containing family N member 1</v>
      </c>
      <c r="K1395" t="str">
        <f>"PLEKHN1"</f>
        <v>PLEKHN1</v>
      </c>
    </row>
    <row r="1396" spans="1:11" x14ac:dyDescent="0.25">
      <c r="A1396" s="1">
        <v>604</v>
      </c>
      <c r="B1396" s="1">
        <v>2</v>
      </c>
      <c r="C1396" s="1" t="s">
        <v>4</v>
      </c>
      <c r="D1396" s="1">
        <v>1</v>
      </c>
      <c r="E1396" s="1">
        <v>78.323999999999998</v>
      </c>
      <c r="F1396" s="1">
        <v>0.68314600000000003</v>
      </c>
      <c r="G1396" t="s">
        <v>2262</v>
      </c>
      <c r="H1396" t="s">
        <v>45</v>
      </c>
      <c r="I1396" t="s">
        <v>5201</v>
      </c>
      <c r="J1396" t="str">
        <f>"Phosphatidylinositol 3-kinase regulatory subunit alpha"</f>
        <v>Phosphatidylinositol 3-kinase regulatory subunit alpha</v>
      </c>
      <c r="K1396" t="str">
        <f>"PIK3R1"</f>
        <v>PIK3R1</v>
      </c>
    </row>
    <row r="1397" spans="1:11" x14ac:dyDescent="0.25">
      <c r="A1397" s="1">
        <v>2287</v>
      </c>
      <c r="B1397" s="1">
        <v>2</v>
      </c>
      <c r="C1397" s="1" t="s">
        <v>3</v>
      </c>
      <c r="D1397" s="1">
        <v>10</v>
      </c>
      <c r="E1397" s="1">
        <v>92.611000000000004</v>
      </c>
      <c r="F1397" s="1">
        <v>1</v>
      </c>
      <c r="G1397" t="s">
        <v>2263</v>
      </c>
      <c r="H1397" t="s">
        <v>2264</v>
      </c>
      <c r="I1397">
        <v>131</v>
      </c>
      <c r="J1397" t="str">
        <f>"Hemoglobin subunit beta;LVV-hemorphin-7;Spinorphin"</f>
        <v>Hemoglobin subunit beta;LVV-hemorphin-7;Spinorphin</v>
      </c>
      <c r="K1397" t="str">
        <f>"HBB"</f>
        <v>HBB</v>
      </c>
    </row>
    <row r="1398" spans="1:11" x14ac:dyDescent="0.25">
      <c r="A1398" s="1">
        <v>1535</v>
      </c>
      <c r="B1398" s="1">
        <v>2</v>
      </c>
      <c r="C1398" s="1" t="s">
        <v>3</v>
      </c>
      <c r="D1398" s="1">
        <v>6</v>
      </c>
      <c r="E1398" s="1">
        <v>66.266999999999996</v>
      </c>
      <c r="F1398" s="1">
        <v>0.99990599999999996</v>
      </c>
      <c r="G1398" t="s">
        <v>2265</v>
      </c>
      <c r="H1398" t="s">
        <v>709</v>
      </c>
      <c r="I1398">
        <v>325</v>
      </c>
      <c r="J1398" t="str">
        <f>"Src kinase-associated phosphoprotein 2"</f>
        <v>Src kinase-associated phosphoprotein 2</v>
      </c>
      <c r="K1398" t="str">
        <f>"SKAP2"</f>
        <v>SKAP2</v>
      </c>
    </row>
    <row r="1399" spans="1:11" x14ac:dyDescent="0.25">
      <c r="A1399" s="1">
        <v>2303</v>
      </c>
      <c r="B1399" s="1">
        <v>2</v>
      </c>
      <c r="C1399" s="1" t="s">
        <v>3</v>
      </c>
      <c r="D1399" s="1">
        <v>5</v>
      </c>
      <c r="E1399" s="1">
        <v>40.726999999999997</v>
      </c>
      <c r="F1399" s="1">
        <v>0.99960499999999997</v>
      </c>
      <c r="G1399" t="s">
        <v>2266</v>
      </c>
      <c r="H1399" t="s">
        <v>1594</v>
      </c>
      <c r="I1399" t="s">
        <v>5202</v>
      </c>
      <c r="J1399" t="str">
        <f>"Heterogeneous nuclear ribonucleoprotein U"</f>
        <v>Heterogeneous nuclear ribonucleoprotein U</v>
      </c>
      <c r="K1399" t="str">
        <f>"HNRNPU"</f>
        <v>HNRNPU</v>
      </c>
    </row>
    <row r="1400" spans="1:11" x14ac:dyDescent="0.25">
      <c r="A1400" s="1">
        <v>2280</v>
      </c>
      <c r="B1400" s="1">
        <v>3</v>
      </c>
      <c r="C1400" s="1" t="s">
        <v>3</v>
      </c>
      <c r="D1400" s="1">
        <v>7</v>
      </c>
      <c r="E1400" s="1">
        <v>143.57</v>
      </c>
      <c r="F1400" s="1">
        <v>1</v>
      </c>
      <c r="G1400" t="s">
        <v>2267</v>
      </c>
      <c r="H1400" t="s">
        <v>2268</v>
      </c>
      <c r="I1400" t="s">
        <v>5203</v>
      </c>
      <c r="J1400" t="str">
        <f>"Elongation factor 1-alpha 1;Putative elongation factor 1-alpha-like 3;Elongation factor 1-alpha 2"</f>
        <v>Elongation factor 1-alpha 1;Putative elongation factor 1-alpha-like 3;Elongation factor 1-alpha 2</v>
      </c>
      <c r="K1400" t="str">
        <f>"EEF1A1;EEF1A1P5;EEF1A2"</f>
        <v>EEF1A1;EEF1A1P5;EEF1A2</v>
      </c>
    </row>
    <row r="1401" spans="1:11" x14ac:dyDescent="0.25">
      <c r="A1401" s="1">
        <v>2130</v>
      </c>
      <c r="B1401" s="1">
        <v>3</v>
      </c>
      <c r="C1401" s="1" t="s">
        <v>3</v>
      </c>
      <c r="D1401" s="1">
        <v>7</v>
      </c>
      <c r="E1401" s="1">
        <v>47.774000000000001</v>
      </c>
      <c r="F1401" s="1">
        <v>0.95479000000000003</v>
      </c>
      <c r="G1401" t="s">
        <v>2269</v>
      </c>
      <c r="H1401" t="s">
        <v>2270</v>
      </c>
      <c r="I1401" t="s">
        <v>5204</v>
      </c>
      <c r="J1401" t="str">
        <f>"Serpin H1"</f>
        <v>Serpin H1</v>
      </c>
      <c r="K1401" t="str">
        <f>"SERPINH1"</f>
        <v>SERPINH1</v>
      </c>
    </row>
    <row r="1402" spans="1:11" x14ac:dyDescent="0.25">
      <c r="A1402" s="1">
        <v>990</v>
      </c>
      <c r="B1402" s="1">
        <v>3</v>
      </c>
      <c r="C1402" s="1" t="s">
        <v>3</v>
      </c>
      <c r="D1402" s="1">
        <v>7</v>
      </c>
      <c r="E1402" s="1">
        <v>63.691000000000003</v>
      </c>
      <c r="F1402" s="1">
        <v>0.77793599999999996</v>
      </c>
      <c r="G1402" t="s">
        <v>2271</v>
      </c>
      <c r="H1402" t="s">
        <v>2272</v>
      </c>
      <c r="I1402">
        <v>205</v>
      </c>
      <c r="J1402" t="str">
        <f>"Protein unc-119 homolog B"</f>
        <v>Protein unc-119 homolog B</v>
      </c>
      <c r="K1402" t="str">
        <f>"UNC119B"</f>
        <v>UNC119B</v>
      </c>
    </row>
    <row r="1403" spans="1:11" x14ac:dyDescent="0.25">
      <c r="A1403" s="1">
        <v>1799</v>
      </c>
      <c r="B1403" s="1">
        <v>3</v>
      </c>
      <c r="C1403" s="1" t="s">
        <v>3</v>
      </c>
      <c r="D1403" s="1">
        <v>8</v>
      </c>
      <c r="E1403" s="1">
        <v>45.613999999999997</v>
      </c>
      <c r="F1403" s="1">
        <v>0.91586500000000004</v>
      </c>
      <c r="G1403" t="s">
        <v>2273</v>
      </c>
      <c r="H1403" t="s">
        <v>1061</v>
      </c>
      <c r="I1403">
        <v>311</v>
      </c>
      <c r="J1403" t="str">
        <f>"Interferon gamma receptor 1"</f>
        <v>Interferon gamma receptor 1</v>
      </c>
      <c r="K1403" t="str">
        <f>"IFNGR1"</f>
        <v>IFNGR1</v>
      </c>
    </row>
    <row r="1404" spans="1:11" x14ac:dyDescent="0.25">
      <c r="A1404" s="1">
        <v>1570</v>
      </c>
      <c r="B1404" s="1">
        <v>4</v>
      </c>
      <c r="C1404" s="1" t="s">
        <v>3</v>
      </c>
      <c r="D1404" s="1">
        <v>13</v>
      </c>
      <c r="E1404" s="1">
        <v>90.906999999999996</v>
      </c>
      <c r="F1404" s="1">
        <v>0.95878200000000002</v>
      </c>
      <c r="G1404" t="s">
        <v>2274</v>
      </c>
      <c r="H1404" t="s">
        <v>462</v>
      </c>
      <c r="I1404">
        <v>93</v>
      </c>
      <c r="J1404" t="str">
        <f>"BAG family molecular chaperone regulator 3"</f>
        <v>BAG family molecular chaperone regulator 3</v>
      </c>
      <c r="K1404" t="str">
        <f>"BAG3"</f>
        <v>BAG3</v>
      </c>
    </row>
    <row r="1405" spans="1:11" x14ac:dyDescent="0.25">
      <c r="A1405" s="1">
        <v>2542</v>
      </c>
      <c r="B1405" s="1">
        <v>3</v>
      </c>
      <c r="C1405" s="1" t="s">
        <v>3</v>
      </c>
      <c r="D1405" s="1">
        <v>12</v>
      </c>
      <c r="E1405" s="1">
        <v>47.499000000000002</v>
      </c>
      <c r="F1405" s="1">
        <v>0.927118</v>
      </c>
      <c r="G1405" t="s">
        <v>2275</v>
      </c>
      <c r="H1405" t="s">
        <v>2276</v>
      </c>
      <c r="I1405">
        <v>55</v>
      </c>
      <c r="J1405" t="str">
        <f>"Thyroid receptor-interacting protein 6"</f>
        <v>Thyroid receptor-interacting protein 6</v>
      </c>
      <c r="K1405" t="str">
        <f>"TRIP6"</f>
        <v>TRIP6</v>
      </c>
    </row>
    <row r="1406" spans="1:11" x14ac:dyDescent="0.25">
      <c r="A1406" s="1">
        <v>1737</v>
      </c>
      <c r="B1406" s="1">
        <v>3</v>
      </c>
      <c r="C1406" s="1" t="s">
        <v>3</v>
      </c>
      <c r="D1406" s="1">
        <v>7</v>
      </c>
      <c r="E1406" s="1">
        <v>86.539000000000001</v>
      </c>
      <c r="F1406" s="1">
        <v>0.99998500000000001</v>
      </c>
      <c r="G1406" t="s">
        <v>2277</v>
      </c>
      <c r="H1406" t="s">
        <v>1137</v>
      </c>
      <c r="I1406">
        <v>243</v>
      </c>
      <c r="J1406" t="str">
        <f>"60 kDa heat shock protein, mitochondrial"</f>
        <v>60 kDa heat shock protein, mitochondrial</v>
      </c>
      <c r="K1406" t="str">
        <f>"HSPD1"</f>
        <v>HSPD1</v>
      </c>
    </row>
    <row r="1407" spans="1:11" x14ac:dyDescent="0.25">
      <c r="A1407" s="1">
        <v>2797</v>
      </c>
      <c r="B1407" s="1">
        <v>3</v>
      </c>
      <c r="C1407" s="1" t="s">
        <v>3</v>
      </c>
      <c r="D1407" s="1">
        <v>7</v>
      </c>
      <c r="E1407" s="1">
        <v>47.155000000000001</v>
      </c>
      <c r="F1407" s="1">
        <v>0.93600000000000005</v>
      </c>
      <c r="G1407" t="s">
        <v>2278</v>
      </c>
      <c r="H1407" t="s">
        <v>2279</v>
      </c>
      <c r="I1407">
        <v>317</v>
      </c>
      <c r="J1407" t="str">
        <f>"Transcriptional repressor p66-beta"</f>
        <v>Transcriptional repressor p66-beta</v>
      </c>
      <c r="K1407" t="str">
        <f>"GATAD2B"</f>
        <v>GATAD2B</v>
      </c>
    </row>
    <row r="1408" spans="1:11" x14ac:dyDescent="0.25">
      <c r="A1408" s="1">
        <v>1808</v>
      </c>
      <c r="B1408" s="1">
        <v>3</v>
      </c>
      <c r="C1408" s="1" t="s">
        <v>3</v>
      </c>
      <c r="D1408" s="1">
        <v>11</v>
      </c>
      <c r="E1408" s="1">
        <v>91.655000000000001</v>
      </c>
      <c r="F1408" s="1">
        <v>0.99873000000000001</v>
      </c>
      <c r="G1408" t="s">
        <v>2280</v>
      </c>
      <c r="H1408" t="s">
        <v>2281</v>
      </c>
      <c r="I1408">
        <v>253</v>
      </c>
      <c r="J1408" t="str">
        <f>"Carbonyl reductase [NADPH] 1"</f>
        <v>Carbonyl reductase [NADPH] 1</v>
      </c>
      <c r="K1408" t="str">
        <f>"CBR1"</f>
        <v>CBR1</v>
      </c>
    </row>
    <row r="1409" spans="1:11" x14ac:dyDescent="0.25">
      <c r="A1409" s="1">
        <v>1039</v>
      </c>
      <c r="B1409" s="1">
        <v>3</v>
      </c>
      <c r="C1409" s="1" t="s">
        <v>3</v>
      </c>
      <c r="D1409" s="1">
        <v>8</v>
      </c>
      <c r="E1409" s="1">
        <v>64.103999999999999</v>
      </c>
      <c r="F1409" s="1">
        <v>0.99224999999999997</v>
      </c>
      <c r="G1409" t="s">
        <v>2282</v>
      </c>
      <c r="H1409" t="s">
        <v>2283</v>
      </c>
      <c r="I1409" t="s">
        <v>5205</v>
      </c>
      <c r="J1409" t="str">
        <f>"Polyadenylate-binding protein 4"</f>
        <v>Polyadenylate-binding protein 4</v>
      </c>
      <c r="K1409" t="str">
        <f>"PABPC4"</f>
        <v>PABPC4</v>
      </c>
    </row>
    <row r="1410" spans="1:11" x14ac:dyDescent="0.25">
      <c r="A1410" s="1">
        <v>997</v>
      </c>
      <c r="B1410" s="1">
        <v>3</v>
      </c>
      <c r="C1410" s="1" t="s">
        <v>3</v>
      </c>
      <c r="D1410" s="1">
        <v>11</v>
      </c>
      <c r="E1410" s="1">
        <v>72.314999999999998</v>
      </c>
      <c r="F1410" s="1">
        <v>0.99969399999999997</v>
      </c>
      <c r="G1410" t="s">
        <v>2284</v>
      </c>
      <c r="H1410" t="s">
        <v>692</v>
      </c>
      <c r="I1410" t="s">
        <v>5206</v>
      </c>
      <c r="J1410" t="str">
        <f>"Pericentriolar material 1 protein"</f>
        <v>Pericentriolar material 1 protein</v>
      </c>
      <c r="K1410" t="str">
        <f>"PCM1"</f>
        <v>PCM1</v>
      </c>
    </row>
    <row r="1411" spans="1:11" x14ac:dyDescent="0.25">
      <c r="A1411" s="1">
        <v>2408</v>
      </c>
      <c r="B1411" s="1">
        <v>3</v>
      </c>
      <c r="C1411" s="1" t="s">
        <v>3</v>
      </c>
      <c r="D1411" s="1">
        <v>13</v>
      </c>
      <c r="E1411" s="1">
        <v>57.524999999999999</v>
      </c>
      <c r="F1411" s="1">
        <v>0.96632700000000005</v>
      </c>
      <c r="G1411" t="s">
        <v>2285</v>
      </c>
      <c r="H1411" t="s">
        <v>2286</v>
      </c>
      <c r="I1411">
        <v>69</v>
      </c>
      <c r="J1411" t="str">
        <f>"Nucleoside diphosphate kinase 3"</f>
        <v>Nucleoside diphosphate kinase 3</v>
      </c>
      <c r="K1411" t="str">
        <f>"NME3"</f>
        <v>NME3</v>
      </c>
    </row>
    <row r="1412" spans="1:11" x14ac:dyDescent="0.25">
      <c r="A1412" s="1">
        <v>274</v>
      </c>
      <c r="B1412" s="1">
        <v>3</v>
      </c>
      <c r="C1412" s="1" t="s">
        <v>5</v>
      </c>
      <c r="D1412" s="1">
        <v>5</v>
      </c>
      <c r="E1412" s="1">
        <v>74.649000000000001</v>
      </c>
      <c r="F1412" s="1">
        <v>0.57053600000000004</v>
      </c>
      <c r="G1412" t="s">
        <v>2287</v>
      </c>
      <c r="H1412" t="s">
        <v>2288</v>
      </c>
      <c r="I1412">
        <v>907</v>
      </c>
      <c r="J1412" t="str">
        <f>"Ephrin type-B receptor 4"</f>
        <v>Ephrin type-B receptor 4</v>
      </c>
      <c r="K1412" t="str">
        <f>"EPHB4"</f>
        <v>EPHB4</v>
      </c>
    </row>
    <row r="1413" spans="1:11" x14ac:dyDescent="0.25">
      <c r="A1413" s="1">
        <v>1708</v>
      </c>
      <c r="B1413" s="1">
        <v>2</v>
      </c>
      <c r="C1413" s="1" t="s">
        <v>3</v>
      </c>
      <c r="D1413" s="1">
        <v>7</v>
      </c>
      <c r="E1413" s="1">
        <v>94.465000000000003</v>
      </c>
      <c r="F1413" s="1">
        <v>0.999996</v>
      </c>
      <c r="G1413" t="s">
        <v>2289</v>
      </c>
      <c r="H1413" t="s">
        <v>2290</v>
      </c>
      <c r="I1413" t="s">
        <v>5207</v>
      </c>
      <c r="J1413" t="str">
        <f>"Glutathione S-transferase P"</f>
        <v>Glutathione S-transferase P</v>
      </c>
      <c r="K1413" t="str">
        <f>"GSTP1"</f>
        <v>GSTP1</v>
      </c>
    </row>
    <row r="1414" spans="1:11" x14ac:dyDescent="0.25">
      <c r="A1414" s="1">
        <v>987</v>
      </c>
      <c r="B1414" s="1">
        <v>2</v>
      </c>
      <c r="C1414" s="1" t="s">
        <v>3</v>
      </c>
      <c r="D1414" s="1">
        <v>1</v>
      </c>
      <c r="E1414" s="1">
        <v>82.278999999999996</v>
      </c>
      <c r="F1414" s="1">
        <v>1</v>
      </c>
      <c r="G1414" t="s">
        <v>2291</v>
      </c>
      <c r="H1414" t="s">
        <v>2292</v>
      </c>
      <c r="I1414" t="s">
        <v>5208</v>
      </c>
      <c r="J1414" t="str">
        <f>"Tubulin alpha chain-like 3;Tubulin alpha-1B chain;Tubulin alpha-4A chain;Tubulin alpha-1A chain;Tubulin alpha-1C chain"</f>
        <v>Tubulin alpha chain-like 3;Tubulin alpha-1B chain;Tubulin alpha-4A chain;Tubulin alpha-1A chain;Tubulin alpha-1C chain</v>
      </c>
      <c r="K1414" t="str">
        <f>"TUBAL3;TUBA1B;TUBA4A;TUBA1A;TUBA1C"</f>
        <v>TUBAL3;TUBA1B;TUBA4A;TUBA1A;TUBA1C</v>
      </c>
    </row>
    <row r="1415" spans="1:11" x14ac:dyDescent="0.25">
      <c r="A1415" s="1">
        <v>2137</v>
      </c>
      <c r="B1415" s="1">
        <v>3</v>
      </c>
      <c r="C1415" s="1" t="s">
        <v>3</v>
      </c>
      <c r="D1415" s="1">
        <v>4</v>
      </c>
      <c r="E1415" s="1">
        <v>93.775999999999996</v>
      </c>
      <c r="F1415" s="1">
        <v>0.99245300000000003</v>
      </c>
      <c r="G1415" t="s">
        <v>2293</v>
      </c>
      <c r="H1415" t="s">
        <v>2294</v>
      </c>
      <c r="I1415" t="s">
        <v>5209</v>
      </c>
      <c r="J1415" t="str">
        <f>"Ras-related protein Rab-9A;Ras-related protein Rab-9B"</f>
        <v>Ras-related protein Rab-9A;Ras-related protein Rab-9B</v>
      </c>
      <c r="K1415" t="str">
        <f>"RAB9A;RAB9B"</f>
        <v>RAB9A;RAB9B</v>
      </c>
    </row>
    <row r="1416" spans="1:11" x14ac:dyDescent="0.25">
      <c r="A1416" s="1">
        <v>1701</v>
      </c>
      <c r="B1416" s="1">
        <v>2</v>
      </c>
      <c r="C1416" s="1" t="s">
        <v>3</v>
      </c>
      <c r="D1416" s="1">
        <v>4</v>
      </c>
      <c r="E1416" s="1">
        <v>119.53</v>
      </c>
      <c r="F1416" s="1">
        <v>0.99957600000000002</v>
      </c>
      <c r="G1416" t="s">
        <v>2295</v>
      </c>
      <c r="H1416" t="s">
        <v>2296</v>
      </c>
      <c r="I1416" t="s">
        <v>5210</v>
      </c>
      <c r="J1416" t="str">
        <f>"40S ribosomal protein S17-like;40S ribosomal protein S17"</f>
        <v>40S ribosomal protein S17-like;40S ribosomal protein S17</v>
      </c>
      <c r="K1416" t="str">
        <f>"RPS17L;RPS17"</f>
        <v>RPS17L;RPS17</v>
      </c>
    </row>
    <row r="1417" spans="1:11" x14ac:dyDescent="0.25">
      <c r="A1417" s="1">
        <v>1106</v>
      </c>
      <c r="B1417" s="1">
        <v>2</v>
      </c>
      <c r="C1417" s="1" t="s">
        <v>3</v>
      </c>
      <c r="D1417" s="1">
        <v>3</v>
      </c>
      <c r="E1417" s="1">
        <v>82.287000000000006</v>
      </c>
      <c r="F1417" s="1">
        <v>0.99945799999999996</v>
      </c>
      <c r="G1417" t="s">
        <v>2297</v>
      </c>
      <c r="H1417" t="s">
        <v>621</v>
      </c>
      <c r="I1417" t="s">
        <v>5211</v>
      </c>
      <c r="J1417" t="str">
        <f>"Tyrosine-protein kinase receptor;Insulin receptor;Insulin receptor subunit alpha;Insulin receptor subunit beta"</f>
        <v>Tyrosine-protein kinase receptor;Insulin receptor;Insulin receptor subunit alpha;Insulin receptor subunit beta</v>
      </c>
      <c r="K1417" t="str">
        <f>"IGF1R;INSR"</f>
        <v>IGF1R;INSR</v>
      </c>
    </row>
    <row r="1418" spans="1:11" x14ac:dyDescent="0.25">
      <c r="A1418" s="1">
        <v>2035</v>
      </c>
      <c r="B1418" s="1">
        <v>3</v>
      </c>
      <c r="C1418" s="1" t="s">
        <v>3</v>
      </c>
      <c r="D1418" s="1">
        <v>3</v>
      </c>
      <c r="E1418" s="1">
        <v>102.73</v>
      </c>
      <c r="F1418" s="1">
        <v>0.99954200000000004</v>
      </c>
      <c r="G1418" t="s">
        <v>2298</v>
      </c>
      <c r="H1418" t="s">
        <v>435</v>
      </c>
      <c r="I1418" t="s">
        <v>5212</v>
      </c>
      <c r="J1418" t="str">
        <f>"Signal transducer and activator of transcription 1-alpha/beta;Signal transducer and activator of transcription"</f>
        <v>Signal transducer and activator of transcription 1-alpha/beta;Signal transducer and activator of transcription</v>
      </c>
      <c r="K1418" t="str">
        <f>"STAT1"</f>
        <v>STAT1</v>
      </c>
    </row>
    <row r="1419" spans="1:11" x14ac:dyDescent="0.25">
      <c r="A1419" s="1">
        <v>1807</v>
      </c>
      <c r="B1419" s="1">
        <v>2</v>
      </c>
      <c r="C1419" s="1" t="s">
        <v>3</v>
      </c>
      <c r="D1419" s="1">
        <v>8</v>
      </c>
      <c r="E1419" s="1">
        <v>52.070999999999998</v>
      </c>
      <c r="F1419" s="1">
        <v>0.84285500000000002</v>
      </c>
      <c r="G1419" t="s">
        <v>2299</v>
      </c>
      <c r="H1419" t="s">
        <v>2281</v>
      </c>
      <c r="I1419">
        <v>194</v>
      </c>
      <c r="J1419" t="str">
        <f>"Carbonyl reductase [NADPH] 1"</f>
        <v>Carbonyl reductase [NADPH] 1</v>
      </c>
      <c r="K1419" t="str">
        <f>"CBR1"</f>
        <v>CBR1</v>
      </c>
    </row>
    <row r="1420" spans="1:11" x14ac:dyDescent="0.25">
      <c r="A1420" s="1">
        <v>2478</v>
      </c>
      <c r="B1420" s="1">
        <v>3</v>
      </c>
      <c r="C1420" s="1" t="s">
        <v>3</v>
      </c>
      <c r="D1420" s="1">
        <v>15</v>
      </c>
      <c r="E1420" s="1">
        <v>98.543000000000006</v>
      </c>
      <c r="F1420" s="1">
        <v>0.66489100000000001</v>
      </c>
      <c r="G1420" t="s">
        <v>2300</v>
      </c>
      <c r="H1420" t="s">
        <v>2188</v>
      </c>
      <c r="I1420" t="s">
        <v>5213</v>
      </c>
      <c r="J1420" t="str">
        <f>"Filamin-C"</f>
        <v>Filamin-C</v>
      </c>
      <c r="K1420" t="str">
        <f>"FLNC"</f>
        <v>FLNC</v>
      </c>
    </row>
    <row r="1421" spans="1:11" x14ac:dyDescent="0.25">
      <c r="A1421" s="1">
        <v>2768</v>
      </c>
      <c r="B1421" s="1">
        <v>3</v>
      </c>
      <c r="C1421" s="1" t="s">
        <v>3</v>
      </c>
      <c r="D1421" s="1">
        <v>1</v>
      </c>
      <c r="E1421" s="1">
        <v>61.476999999999997</v>
      </c>
      <c r="F1421" s="1">
        <v>0.672346</v>
      </c>
      <c r="G1421" t="s">
        <v>2301</v>
      </c>
      <c r="H1421" t="s">
        <v>2302</v>
      </c>
      <c r="I1421" t="s">
        <v>5214</v>
      </c>
      <c r="J1421" t="str">
        <f>"CD99 antigen-like protein 2"</f>
        <v>CD99 antigen-like protein 2</v>
      </c>
      <c r="K1421" t="str">
        <f>"CD99L2"</f>
        <v>CD99L2</v>
      </c>
    </row>
    <row r="1422" spans="1:11" x14ac:dyDescent="0.25">
      <c r="A1422" s="1">
        <v>1826</v>
      </c>
      <c r="B1422" s="1">
        <v>3</v>
      </c>
      <c r="C1422" s="1" t="s">
        <v>3</v>
      </c>
      <c r="D1422" s="1">
        <v>20</v>
      </c>
      <c r="E1422" s="1">
        <v>113.31</v>
      </c>
      <c r="F1422" s="1">
        <v>0.93513900000000005</v>
      </c>
      <c r="G1422" t="s">
        <v>2303</v>
      </c>
      <c r="H1422" t="s">
        <v>2304</v>
      </c>
      <c r="I1422" t="s">
        <v>5215</v>
      </c>
      <c r="J1422" t="str">
        <f>"Vinculin"</f>
        <v>Vinculin</v>
      </c>
      <c r="K1422" t="str">
        <f>"VCL"</f>
        <v>VCL</v>
      </c>
    </row>
    <row r="1423" spans="1:11" x14ac:dyDescent="0.25">
      <c r="A1423" s="1">
        <v>110</v>
      </c>
      <c r="B1423" s="1">
        <v>3</v>
      </c>
      <c r="C1423" s="1" t="s">
        <v>5</v>
      </c>
      <c r="D1423" s="1">
        <v>5</v>
      </c>
      <c r="E1423" s="1">
        <v>63.398000000000003</v>
      </c>
      <c r="F1423" s="1">
        <v>0.50699899999999998</v>
      </c>
      <c r="G1423" t="s">
        <v>2305</v>
      </c>
      <c r="H1423" t="s">
        <v>469</v>
      </c>
      <c r="I1423" t="s">
        <v>5216</v>
      </c>
      <c r="J1423" t="str">
        <f>"Tyrosine-protein kinase receptor TYRO3"</f>
        <v>Tyrosine-protein kinase receptor TYRO3</v>
      </c>
      <c r="K1423" t="str">
        <f>"TYRO3"</f>
        <v>TYRO3</v>
      </c>
    </row>
    <row r="1424" spans="1:11" x14ac:dyDescent="0.25">
      <c r="A1424" s="1">
        <v>2415</v>
      </c>
      <c r="B1424" s="1">
        <v>3</v>
      </c>
      <c r="C1424" s="1" t="s">
        <v>3</v>
      </c>
      <c r="D1424" s="1">
        <v>20</v>
      </c>
      <c r="E1424" s="1">
        <v>52.898000000000003</v>
      </c>
      <c r="F1424" s="1">
        <v>0.99953700000000001</v>
      </c>
      <c r="G1424" t="s">
        <v>2306</v>
      </c>
      <c r="H1424" t="s">
        <v>2307</v>
      </c>
      <c r="I1424" t="s">
        <v>5217</v>
      </c>
      <c r="J1424" t="str">
        <f>"Ras GTPase-activating protein-binding protein 1"</f>
        <v>Ras GTPase-activating protein-binding protein 1</v>
      </c>
      <c r="K1424" t="str">
        <f>"G3BP1"</f>
        <v>G3BP1</v>
      </c>
    </row>
    <row r="1425" spans="1:11" x14ac:dyDescent="0.25">
      <c r="A1425" s="1">
        <v>1218</v>
      </c>
      <c r="B1425" s="1">
        <v>3</v>
      </c>
      <c r="C1425" s="1" t="s">
        <v>3</v>
      </c>
      <c r="D1425" s="1">
        <v>4</v>
      </c>
      <c r="E1425" s="1">
        <v>91.960999999999999</v>
      </c>
      <c r="F1425" s="1">
        <v>0.99865800000000005</v>
      </c>
      <c r="G1425" t="s">
        <v>2308</v>
      </c>
      <c r="H1425" t="s">
        <v>270</v>
      </c>
      <c r="I1425" t="s">
        <v>5218</v>
      </c>
      <c r="J1425" t="str">
        <f>"Tensin-1"</f>
        <v>Tensin-1</v>
      </c>
      <c r="K1425" t="str">
        <f>"TNS1"</f>
        <v>TNS1</v>
      </c>
    </row>
    <row r="1426" spans="1:11" x14ac:dyDescent="0.25">
      <c r="A1426" s="1">
        <v>2663</v>
      </c>
      <c r="B1426" s="1">
        <v>3</v>
      </c>
      <c r="C1426" s="1" t="s">
        <v>3</v>
      </c>
      <c r="D1426" s="1">
        <v>14</v>
      </c>
      <c r="E1426" s="1">
        <v>84.507999999999996</v>
      </c>
      <c r="F1426" s="1">
        <v>0.96382900000000005</v>
      </c>
      <c r="G1426" t="s">
        <v>2309</v>
      </c>
      <c r="H1426" t="s">
        <v>2310</v>
      </c>
      <c r="I1426" t="s">
        <v>5219</v>
      </c>
      <c r="J1426" t="str">
        <f>"Sprouty-related, EVH1 domain-containing protein 2"</f>
        <v>Sprouty-related, EVH1 domain-containing protein 2</v>
      </c>
      <c r="K1426" t="str">
        <f>"SPRED2"</f>
        <v>SPRED2</v>
      </c>
    </row>
    <row r="1427" spans="1:11" x14ac:dyDescent="0.25">
      <c r="A1427" s="1">
        <v>2504</v>
      </c>
      <c r="B1427" s="1">
        <v>2</v>
      </c>
      <c r="C1427" s="1" t="s">
        <v>3</v>
      </c>
      <c r="D1427" s="1">
        <v>10</v>
      </c>
      <c r="E1427" s="1">
        <v>48.567999999999998</v>
      </c>
      <c r="F1427" s="1">
        <v>1</v>
      </c>
      <c r="G1427" t="s">
        <v>2311</v>
      </c>
      <c r="H1427" t="s">
        <v>2312</v>
      </c>
      <c r="I1427">
        <v>230</v>
      </c>
      <c r="J1427" t="str">
        <f>"Lysosomal-associated transmembrane protein 4A"</f>
        <v>Lysosomal-associated transmembrane protein 4A</v>
      </c>
      <c r="K1427" t="str">
        <f>"LAPTM4A"</f>
        <v>LAPTM4A</v>
      </c>
    </row>
    <row r="1428" spans="1:11" x14ac:dyDescent="0.25">
      <c r="A1428" s="1">
        <v>831</v>
      </c>
      <c r="B1428" s="1">
        <v>2</v>
      </c>
      <c r="C1428" s="1" t="s">
        <v>3</v>
      </c>
      <c r="D1428" s="1">
        <v>1</v>
      </c>
      <c r="E1428" s="1">
        <v>89.230999999999995</v>
      </c>
      <c r="F1428" s="1">
        <v>0.49999900000000003</v>
      </c>
      <c r="G1428" t="s">
        <v>2313</v>
      </c>
      <c r="H1428" t="s">
        <v>520</v>
      </c>
      <c r="I1428" t="s">
        <v>5220</v>
      </c>
      <c r="J1428" t="str">
        <f>"Lipoma-preferred partner"</f>
        <v>Lipoma-preferred partner</v>
      </c>
      <c r="K1428" t="str">
        <f>"LPP"</f>
        <v>LPP</v>
      </c>
    </row>
    <row r="1429" spans="1:11" x14ac:dyDescent="0.25">
      <c r="A1429" s="1">
        <v>832</v>
      </c>
      <c r="B1429" s="1">
        <v>2</v>
      </c>
      <c r="C1429" s="1" t="s">
        <v>3</v>
      </c>
      <c r="D1429" s="1">
        <v>2</v>
      </c>
      <c r="E1429" s="1">
        <v>89.230999999999995</v>
      </c>
      <c r="F1429" s="1">
        <v>0.49999900000000003</v>
      </c>
      <c r="G1429" t="s">
        <v>2313</v>
      </c>
      <c r="H1429" t="s">
        <v>520</v>
      </c>
      <c r="I1429" t="s">
        <v>5221</v>
      </c>
      <c r="J1429" t="str">
        <f>"Lipoma-preferred partner"</f>
        <v>Lipoma-preferred partner</v>
      </c>
      <c r="K1429" t="str">
        <f>"LPP"</f>
        <v>LPP</v>
      </c>
    </row>
    <row r="1430" spans="1:11" x14ac:dyDescent="0.25">
      <c r="A1430" s="1">
        <v>1973</v>
      </c>
      <c r="B1430" s="1">
        <v>3</v>
      </c>
      <c r="C1430" s="1" t="s">
        <v>3</v>
      </c>
      <c r="D1430" s="1">
        <v>18</v>
      </c>
      <c r="E1430" s="1">
        <v>60.764000000000003</v>
      </c>
      <c r="F1430" s="1">
        <v>0.91225599999999996</v>
      </c>
      <c r="G1430" t="s">
        <v>2314</v>
      </c>
      <c r="H1430" t="s">
        <v>2315</v>
      </c>
      <c r="I1430" t="s">
        <v>5222</v>
      </c>
      <c r="J1430" t="str">
        <f>"Flavin reductase (NADPH)"</f>
        <v>Flavin reductase (NADPH)</v>
      </c>
      <c r="K1430" t="str">
        <f>"BLVRB"</f>
        <v>BLVRB</v>
      </c>
    </row>
    <row r="1431" spans="1:11" x14ac:dyDescent="0.25">
      <c r="A1431" s="1">
        <v>1845</v>
      </c>
      <c r="B1431" s="1">
        <v>2</v>
      </c>
      <c r="C1431" s="1" t="s">
        <v>3</v>
      </c>
      <c r="D1431" s="1">
        <v>1</v>
      </c>
      <c r="E1431" s="1">
        <v>60.398000000000003</v>
      </c>
      <c r="F1431" s="1">
        <v>1</v>
      </c>
      <c r="G1431" t="s">
        <v>2316</v>
      </c>
      <c r="H1431" t="s">
        <v>797</v>
      </c>
      <c r="I1431" t="s">
        <v>5223</v>
      </c>
      <c r="J1431" t="str">
        <f>"1-phosphatidylinositol 4,5-bisphosphate phosphodiesterase gamma-1"</f>
        <v>1-phosphatidylinositol 4,5-bisphosphate phosphodiesterase gamma-1</v>
      </c>
      <c r="K1431" t="str">
        <f>"PLCG1"</f>
        <v>PLCG1</v>
      </c>
    </row>
    <row r="1432" spans="1:11" x14ac:dyDescent="0.25">
      <c r="A1432" s="1">
        <v>2309</v>
      </c>
      <c r="B1432" s="1">
        <v>4</v>
      </c>
      <c r="C1432" s="1" t="s">
        <v>3</v>
      </c>
      <c r="D1432" s="1">
        <v>14</v>
      </c>
      <c r="E1432" s="1">
        <v>43.207999999999998</v>
      </c>
      <c r="F1432" s="1">
        <v>0.99202500000000005</v>
      </c>
      <c r="G1432" t="s">
        <v>2317</v>
      </c>
      <c r="H1432" t="s">
        <v>509</v>
      </c>
      <c r="I1432" t="s">
        <v>5224</v>
      </c>
      <c r="J1432" t="str">
        <f>"Spectrin beta chain, non-erythrocytic 1"</f>
        <v>Spectrin beta chain, non-erythrocytic 1</v>
      </c>
      <c r="K1432" t="str">
        <f>"SPTBN1"</f>
        <v>SPTBN1</v>
      </c>
    </row>
    <row r="1433" spans="1:11" x14ac:dyDescent="0.25">
      <c r="A1433" s="1">
        <v>261</v>
      </c>
      <c r="B1433" s="1">
        <v>4</v>
      </c>
      <c r="C1433" s="1" t="s">
        <v>5</v>
      </c>
      <c r="D1433" s="1">
        <v>21</v>
      </c>
      <c r="E1433" s="1">
        <v>83.870999999999995</v>
      </c>
      <c r="F1433" s="1">
        <v>0.63428899999999999</v>
      </c>
      <c r="G1433" t="s">
        <v>2318</v>
      </c>
      <c r="H1433" t="s">
        <v>2319</v>
      </c>
      <c r="I1433">
        <v>680</v>
      </c>
      <c r="J1433" t="str">
        <f>"Signal transducer and activator of transcription 5B"</f>
        <v>Signal transducer and activator of transcription 5B</v>
      </c>
      <c r="K1433" t="str">
        <f>"STAT5B"</f>
        <v>STAT5B</v>
      </c>
    </row>
    <row r="1434" spans="1:11" x14ac:dyDescent="0.25">
      <c r="A1434" s="1">
        <v>2805</v>
      </c>
      <c r="B1434" s="1">
        <v>3</v>
      </c>
      <c r="C1434" s="1" t="s">
        <v>3</v>
      </c>
      <c r="D1434" s="1">
        <v>16</v>
      </c>
      <c r="E1434" s="1">
        <v>63.680999999999997</v>
      </c>
      <c r="F1434" s="1">
        <v>0.99995400000000001</v>
      </c>
      <c r="G1434" t="s">
        <v>2320</v>
      </c>
      <c r="H1434" t="s">
        <v>2321</v>
      </c>
      <c r="I1434" t="s">
        <v>5225</v>
      </c>
      <c r="J1434" t="str">
        <f>"Protein TFG"</f>
        <v>Protein TFG</v>
      </c>
      <c r="K1434" t="str">
        <f>"TFG"</f>
        <v>TFG</v>
      </c>
    </row>
    <row r="1435" spans="1:11" x14ac:dyDescent="0.25">
      <c r="A1435" s="1">
        <v>600</v>
      </c>
      <c r="B1435" s="1">
        <v>2</v>
      </c>
      <c r="C1435" s="1" t="s">
        <v>4</v>
      </c>
      <c r="D1435" s="1">
        <v>10</v>
      </c>
      <c r="E1435" s="1">
        <v>88.596000000000004</v>
      </c>
      <c r="F1435" s="1">
        <v>0.96335099999999996</v>
      </c>
      <c r="G1435" t="s">
        <v>2322</v>
      </c>
      <c r="H1435" t="s">
        <v>503</v>
      </c>
      <c r="I1435" t="s">
        <v>5226</v>
      </c>
      <c r="J1435" t="str">
        <f>"Cofilin-1;Cofilin-2"</f>
        <v>Cofilin-1;Cofilin-2</v>
      </c>
      <c r="K1435" t="str">
        <f>"CFL1;CFL2"</f>
        <v>CFL1;CFL2</v>
      </c>
    </row>
    <row r="1436" spans="1:11" x14ac:dyDescent="0.25">
      <c r="A1436" s="1">
        <v>2857</v>
      </c>
      <c r="B1436" s="1">
        <v>3</v>
      </c>
      <c r="C1436" s="1" t="s">
        <v>3</v>
      </c>
      <c r="D1436" s="1">
        <v>6</v>
      </c>
      <c r="E1436" s="1">
        <v>101.05</v>
      </c>
      <c r="F1436" s="1">
        <v>0.793933</v>
      </c>
      <c r="G1436" t="s">
        <v>2323</v>
      </c>
      <c r="H1436" t="s">
        <v>2324</v>
      </c>
      <c r="I1436">
        <v>663</v>
      </c>
      <c r="J1436" t="str">
        <f>"Deubiquitinating protein VCIP135"</f>
        <v>Deubiquitinating protein VCIP135</v>
      </c>
      <c r="K1436" t="str">
        <f>"VCPIP1"</f>
        <v>VCPIP1</v>
      </c>
    </row>
    <row r="1437" spans="1:11" x14ac:dyDescent="0.25">
      <c r="A1437" s="1">
        <v>1139</v>
      </c>
      <c r="B1437" s="1">
        <v>3</v>
      </c>
      <c r="C1437" s="1" t="s">
        <v>3</v>
      </c>
      <c r="D1437" s="1">
        <v>4</v>
      </c>
      <c r="E1437" s="1">
        <v>49.188000000000002</v>
      </c>
      <c r="F1437" s="1">
        <v>0.94309699999999996</v>
      </c>
      <c r="G1437" t="s">
        <v>2325</v>
      </c>
      <c r="H1437" t="s">
        <v>2326</v>
      </c>
      <c r="I1437" t="s">
        <v>5227</v>
      </c>
      <c r="J1437" t="str">
        <f>"Serum albumin"</f>
        <v>Serum albumin</v>
      </c>
      <c r="K1437" t="str">
        <f>"ALB"</f>
        <v>ALB</v>
      </c>
    </row>
    <row r="1438" spans="1:11" x14ac:dyDescent="0.25">
      <c r="A1438" s="1">
        <v>3126</v>
      </c>
      <c r="B1438" s="1">
        <v>2</v>
      </c>
      <c r="C1438" s="1" t="s">
        <v>3</v>
      </c>
      <c r="D1438" s="1">
        <v>1</v>
      </c>
      <c r="E1438" s="1">
        <v>124.42</v>
      </c>
      <c r="F1438" s="1">
        <v>0.98199599999999998</v>
      </c>
      <c r="G1438" t="s">
        <v>2327</v>
      </c>
      <c r="H1438" t="s">
        <v>812</v>
      </c>
      <c r="I1438" t="s">
        <v>5228</v>
      </c>
      <c r="J1438" t="str">
        <f>"Signaling threshold-regulating transmembrane adapter 1"</f>
        <v>Signaling threshold-regulating transmembrane adapter 1</v>
      </c>
      <c r="K1438" t="str">
        <f>"SIT1"</f>
        <v>SIT1</v>
      </c>
    </row>
    <row r="1439" spans="1:11" x14ac:dyDescent="0.25">
      <c r="A1439" s="1">
        <v>2379</v>
      </c>
      <c r="B1439" s="1">
        <v>4</v>
      </c>
      <c r="C1439" s="1" t="s">
        <v>3</v>
      </c>
      <c r="D1439" s="1">
        <v>5</v>
      </c>
      <c r="E1439" s="1">
        <v>89.721000000000004</v>
      </c>
      <c r="F1439" s="1">
        <v>0.94769800000000004</v>
      </c>
      <c r="G1439" t="s">
        <v>2328</v>
      </c>
      <c r="H1439" t="s">
        <v>2329</v>
      </c>
      <c r="I1439" t="s">
        <v>5229</v>
      </c>
      <c r="J1439" t="str">
        <f>"Interleukin enhancer-binding factor 3"</f>
        <v>Interleukin enhancer-binding factor 3</v>
      </c>
      <c r="K1439" t="str">
        <f>"ILF3"</f>
        <v>ILF3</v>
      </c>
    </row>
    <row r="1440" spans="1:11" x14ac:dyDescent="0.25">
      <c r="A1440" s="1">
        <v>2926</v>
      </c>
      <c r="B1440" s="1">
        <v>2</v>
      </c>
      <c r="C1440" s="1" t="s">
        <v>3</v>
      </c>
      <c r="D1440" s="1">
        <v>12</v>
      </c>
      <c r="E1440" s="1">
        <v>59.709000000000003</v>
      </c>
      <c r="F1440" s="1">
        <v>0.99997800000000003</v>
      </c>
      <c r="G1440" t="s">
        <v>2330</v>
      </c>
      <c r="H1440" t="s">
        <v>2331</v>
      </c>
      <c r="I1440" t="s">
        <v>5230</v>
      </c>
      <c r="J1440" t="str">
        <f>"Partner of Y14 and mago"</f>
        <v>Partner of Y14 and mago</v>
      </c>
      <c r="K1440" t="str">
        <f>"WIBG"</f>
        <v>WIBG</v>
      </c>
    </row>
    <row r="1441" spans="1:11" x14ac:dyDescent="0.25">
      <c r="A1441" s="1">
        <v>236</v>
      </c>
      <c r="B1441" s="1">
        <v>2</v>
      </c>
      <c r="C1441" s="1" t="s">
        <v>5</v>
      </c>
      <c r="D1441" s="1">
        <v>4</v>
      </c>
      <c r="E1441" s="1">
        <v>62.055</v>
      </c>
      <c r="F1441" s="1">
        <v>0.62948300000000001</v>
      </c>
      <c r="G1441" t="s">
        <v>2332</v>
      </c>
      <c r="H1441" t="s">
        <v>499</v>
      </c>
      <c r="I1441" t="s">
        <v>5231</v>
      </c>
      <c r="J1441" t="str">
        <f>"Tyrosine-protein phosphatase non-receptor type 6"</f>
        <v>Tyrosine-protein phosphatase non-receptor type 6</v>
      </c>
      <c r="K1441" t="str">
        <f>"PTPN6"</f>
        <v>PTPN6</v>
      </c>
    </row>
    <row r="1442" spans="1:11" x14ac:dyDescent="0.25">
      <c r="A1442" s="1">
        <v>2458</v>
      </c>
      <c r="B1442" s="1">
        <v>2</v>
      </c>
      <c r="C1442" s="1" t="s">
        <v>3</v>
      </c>
      <c r="D1442" s="1">
        <v>9</v>
      </c>
      <c r="E1442" s="1">
        <v>95.57</v>
      </c>
      <c r="F1442" s="1">
        <v>0.78044500000000006</v>
      </c>
      <c r="G1442" t="s">
        <v>2333</v>
      </c>
      <c r="H1442" t="s">
        <v>2334</v>
      </c>
      <c r="I1442" t="s">
        <v>5232</v>
      </c>
      <c r="J1442" t="str">
        <f>"Ubiquitin-associated protein 2-like"</f>
        <v>Ubiquitin-associated protein 2-like</v>
      </c>
      <c r="K1442" t="str">
        <f>"UBAP2L"</f>
        <v>UBAP2L</v>
      </c>
    </row>
    <row r="1443" spans="1:11" x14ac:dyDescent="0.25">
      <c r="A1443" s="1">
        <v>1</v>
      </c>
      <c r="B1443" s="1">
        <v>3</v>
      </c>
      <c r="C1443" s="1" t="s">
        <v>5</v>
      </c>
      <c r="D1443" s="1">
        <v>4</v>
      </c>
      <c r="E1443" s="1">
        <v>76.072999999999993</v>
      </c>
      <c r="F1443" s="1">
        <v>0.67536799999999997</v>
      </c>
      <c r="G1443" t="s">
        <v>2335</v>
      </c>
      <c r="H1443" t="s">
        <v>2336</v>
      </c>
      <c r="I1443" t="s">
        <v>5233</v>
      </c>
      <c r="J1443" t="str">
        <f>"Partitioning defective 3 homolog B"</f>
        <v>Partitioning defective 3 homolog B</v>
      </c>
      <c r="K1443" t="str">
        <f>"PARD3B"</f>
        <v>PARD3B</v>
      </c>
    </row>
    <row r="1444" spans="1:11" x14ac:dyDescent="0.25">
      <c r="A1444" s="1">
        <v>2831</v>
      </c>
      <c r="B1444" s="1">
        <v>3</v>
      </c>
      <c r="C1444" s="1" t="s">
        <v>3</v>
      </c>
      <c r="D1444" s="1">
        <v>11</v>
      </c>
      <c r="E1444" s="1">
        <v>84.296999999999997</v>
      </c>
      <c r="F1444" s="1">
        <v>1</v>
      </c>
      <c r="G1444" t="s">
        <v>2337</v>
      </c>
      <c r="H1444" t="s">
        <v>2338</v>
      </c>
      <c r="I1444">
        <v>65</v>
      </c>
      <c r="J1444" t="str">
        <f>"Protein FAM3D"</f>
        <v>Protein FAM3D</v>
      </c>
      <c r="K1444" t="str">
        <f>"FAM3D"</f>
        <v>FAM3D</v>
      </c>
    </row>
    <row r="1445" spans="1:11" x14ac:dyDescent="0.25">
      <c r="A1445" s="1">
        <v>279</v>
      </c>
      <c r="B1445" s="1">
        <v>3</v>
      </c>
      <c r="C1445" s="1" t="s">
        <v>5</v>
      </c>
      <c r="D1445" s="1">
        <v>2</v>
      </c>
      <c r="E1445" s="1">
        <v>88.564999999999998</v>
      </c>
      <c r="F1445" s="1">
        <v>0.55101900000000004</v>
      </c>
      <c r="G1445" t="s">
        <v>2339</v>
      </c>
      <c r="H1445" t="s">
        <v>1381</v>
      </c>
      <c r="I1445" t="s">
        <v>5234</v>
      </c>
      <c r="J1445" t="str">
        <f>"Heterogeneous nuclear ribonucleoprotein K"</f>
        <v>Heterogeneous nuclear ribonucleoprotein K</v>
      </c>
      <c r="K1445" t="str">
        <f>"HNRNPK"</f>
        <v>HNRNPK</v>
      </c>
    </row>
    <row r="1446" spans="1:11" x14ac:dyDescent="0.25">
      <c r="A1446" s="1">
        <v>27</v>
      </c>
      <c r="B1446" s="1">
        <v>4</v>
      </c>
      <c r="C1446" s="1" t="s">
        <v>5</v>
      </c>
      <c r="D1446" s="1">
        <v>7</v>
      </c>
      <c r="E1446" s="1">
        <v>58.811999999999998</v>
      </c>
      <c r="F1446" s="1">
        <v>0.55257500000000004</v>
      </c>
      <c r="G1446" t="s">
        <v>2340</v>
      </c>
      <c r="H1446" t="s">
        <v>155</v>
      </c>
      <c r="I1446" t="s">
        <v>5235</v>
      </c>
      <c r="J1446" t="str">
        <f>"G-protein coupled receptor family C group 5 member C"</f>
        <v>G-protein coupled receptor family C group 5 member C</v>
      </c>
      <c r="K1446" t="str">
        <f>"GPRC5C"</f>
        <v>GPRC5C</v>
      </c>
    </row>
    <row r="1447" spans="1:11" x14ac:dyDescent="0.25">
      <c r="A1447" s="1">
        <v>476</v>
      </c>
      <c r="B1447" s="1">
        <v>3</v>
      </c>
      <c r="C1447" s="1" t="s">
        <v>5</v>
      </c>
      <c r="D1447" s="1">
        <v>11</v>
      </c>
      <c r="E1447" s="1">
        <v>67.216999999999999</v>
      </c>
      <c r="F1447" s="1">
        <v>0.53404499999999999</v>
      </c>
      <c r="G1447" t="s">
        <v>2341</v>
      </c>
      <c r="H1447" t="s">
        <v>999</v>
      </c>
      <c r="I1447" t="s">
        <v>5236</v>
      </c>
      <c r="J1447" t="str">
        <f>"Plakophilin-3"</f>
        <v>Plakophilin-3</v>
      </c>
      <c r="K1447" t="str">
        <f>"PKP3"</f>
        <v>PKP3</v>
      </c>
    </row>
    <row r="1448" spans="1:11" x14ac:dyDescent="0.25">
      <c r="A1448" s="1">
        <v>2822</v>
      </c>
      <c r="B1448" s="1">
        <v>3</v>
      </c>
      <c r="C1448" s="1" t="s">
        <v>3</v>
      </c>
      <c r="D1448" s="1">
        <v>4</v>
      </c>
      <c r="E1448" s="1">
        <v>67.902000000000001</v>
      </c>
      <c r="F1448" s="1">
        <v>0.99999899999999997</v>
      </c>
      <c r="G1448" t="s">
        <v>2342</v>
      </c>
      <c r="H1448" t="s">
        <v>2343</v>
      </c>
      <c r="I1448" t="s">
        <v>5009</v>
      </c>
      <c r="J1448" t="str">
        <f>"Protein naked cuticle homolog 2"</f>
        <v>Protein naked cuticle homolog 2</v>
      </c>
      <c r="K1448" t="str">
        <f>"NKD2"</f>
        <v>NKD2</v>
      </c>
    </row>
    <row r="1449" spans="1:11" x14ac:dyDescent="0.25">
      <c r="A1449" s="1">
        <v>2835</v>
      </c>
      <c r="B1449" s="1">
        <v>3</v>
      </c>
      <c r="C1449" s="1" t="s">
        <v>3</v>
      </c>
      <c r="D1449" s="1">
        <v>2</v>
      </c>
      <c r="E1449" s="1">
        <v>75.772999999999996</v>
      </c>
      <c r="F1449" s="1">
        <v>0.99999499999999997</v>
      </c>
      <c r="G1449" t="s">
        <v>2344</v>
      </c>
      <c r="H1449" t="s">
        <v>2345</v>
      </c>
      <c r="I1449">
        <v>29</v>
      </c>
      <c r="J1449" t="str">
        <f>"Protein phosphatase 1 regulatory subunit 14B"</f>
        <v>Protein phosphatase 1 regulatory subunit 14B</v>
      </c>
      <c r="K1449" t="str">
        <f>"PPP1R14B"</f>
        <v>PPP1R14B</v>
      </c>
    </row>
    <row r="1450" spans="1:11" x14ac:dyDescent="0.25">
      <c r="A1450" s="1">
        <v>823</v>
      </c>
      <c r="B1450" s="1">
        <v>3</v>
      </c>
      <c r="C1450" s="1" t="s">
        <v>3</v>
      </c>
      <c r="D1450" s="1">
        <v>3</v>
      </c>
      <c r="E1450" s="1">
        <v>44.341000000000001</v>
      </c>
      <c r="F1450" s="1">
        <v>0.67088899999999996</v>
      </c>
      <c r="G1450" t="s">
        <v>2346</v>
      </c>
      <c r="H1450" t="s">
        <v>2347</v>
      </c>
      <c r="I1450">
        <v>2333</v>
      </c>
      <c r="J1450" t="str">
        <f>""</f>
        <v/>
      </c>
      <c r="K1450" t="str">
        <f>""</f>
        <v/>
      </c>
    </row>
    <row r="1451" spans="1:11" x14ac:dyDescent="0.25">
      <c r="A1451" s="1">
        <v>2244</v>
      </c>
      <c r="B1451" s="1">
        <v>3</v>
      </c>
      <c r="C1451" s="1" t="s">
        <v>3</v>
      </c>
      <c r="D1451" s="1">
        <v>3</v>
      </c>
      <c r="E1451" s="1">
        <v>61.649000000000001</v>
      </c>
      <c r="F1451" s="1">
        <v>0.99253000000000002</v>
      </c>
      <c r="G1451" t="s">
        <v>2348</v>
      </c>
      <c r="H1451" t="s">
        <v>2349</v>
      </c>
      <c r="I1451">
        <v>306</v>
      </c>
      <c r="J1451" t="str">
        <f>"Serine/threonine-protein phosphatase PP1-beta catalytic subunit"</f>
        <v>Serine/threonine-protein phosphatase PP1-beta catalytic subunit</v>
      </c>
      <c r="K1451" t="str">
        <f>"PPP1CB"</f>
        <v>PPP1CB</v>
      </c>
    </row>
    <row r="1452" spans="1:11" x14ac:dyDescent="0.25">
      <c r="A1452" s="1">
        <v>58</v>
      </c>
      <c r="B1452" s="1">
        <v>3</v>
      </c>
      <c r="C1452" s="1" t="s">
        <v>5</v>
      </c>
      <c r="D1452" s="1">
        <v>3</v>
      </c>
      <c r="E1452" s="1">
        <v>82.876999999999995</v>
      </c>
      <c r="F1452" s="1">
        <v>1</v>
      </c>
      <c r="G1452" t="s">
        <v>2350</v>
      </c>
      <c r="H1452" t="s">
        <v>143</v>
      </c>
      <c r="I1452">
        <v>252</v>
      </c>
      <c r="J1452" t="str">
        <f>""</f>
        <v/>
      </c>
      <c r="K1452" t="str">
        <f>"CTNND1"</f>
        <v>CTNND1</v>
      </c>
    </row>
    <row r="1453" spans="1:11" x14ac:dyDescent="0.25">
      <c r="A1453" s="1">
        <v>1122</v>
      </c>
      <c r="B1453" s="1">
        <v>3</v>
      </c>
      <c r="C1453" s="1" t="s">
        <v>3</v>
      </c>
      <c r="D1453" s="1">
        <v>8</v>
      </c>
      <c r="E1453" s="1">
        <v>82.876999999999995</v>
      </c>
      <c r="F1453" s="1">
        <v>1</v>
      </c>
      <c r="G1453" t="s">
        <v>2350</v>
      </c>
      <c r="H1453" t="s">
        <v>143</v>
      </c>
      <c r="I1453">
        <v>257</v>
      </c>
      <c r="J1453" t="str">
        <f>""</f>
        <v/>
      </c>
      <c r="K1453" t="str">
        <f>"CTNND1"</f>
        <v>CTNND1</v>
      </c>
    </row>
    <row r="1454" spans="1:11" x14ac:dyDescent="0.25">
      <c r="A1454" s="1">
        <v>3032</v>
      </c>
      <c r="B1454" s="1">
        <v>2</v>
      </c>
      <c r="C1454" s="1" t="s">
        <v>3</v>
      </c>
      <c r="D1454" s="1">
        <v>14</v>
      </c>
      <c r="E1454" s="1">
        <v>75.548000000000002</v>
      </c>
      <c r="F1454" s="1">
        <v>1</v>
      </c>
      <c r="G1454" t="s">
        <v>2351</v>
      </c>
      <c r="H1454" t="s">
        <v>232</v>
      </c>
      <c r="I1454">
        <v>163</v>
      </c>
      <c r="J1454" t="str">
        <f>"Phosphoprotein associated with glycosphingolipid-enriched microdomains 1"</f>
        <v>Phosphoprotein associated with glycosphingolipid-enriched microdomains 1</v>
      </c>
      <c r="K1454" t="str">
        <f>"PAG1"</f>
        <v>PAG1</v>
      </c>
    </row>
    <row r="1455" spans="1:11" x14ac:dyDescent="0.25">
      <c r="A1455" s="1">
        <v>540</v>
      </c>
      <c r="B1455" s="1">
        <v>2</v>
      </c>
      <c r="C1455" s="1" t="s">
        <v>4</v>
      </c>
      <c r="D1455" s="1">
        <v>12</v>
      </c>
      <c r="E1455" s="1">
        <v>94.09</v>
      </c>
      <c r="F1455" s="1">
        <v>0.63475400000000004</v>
      </c>
      <c r="G1455" t="s">
        <v>2352</v>
      </c>
      <c r="H1455" t="s">
        <v>734</v>
      </c>
      <c r="I1455" t="s">
        <v>5237</v>
      </c>
      <c r="J1455" t="str">
        <f>"Protein arginine N-methyltransferase 1"</f>
        <v>Protein arginine N-methyltransferase 1</v>
      </c>
      <c r="K1455" t="str">
        <f>"PRMT1"</f>
        <v>PRMT1</v>
      </c>
    </row>
    <row r="1456" spans="1:11" x14ac:dyDescent="0.25">
      <c r="A1456" s="1">
        <v>1877</v>
      </c>
      <c r="B1456" s="1">
        <v>2</v>
      </c>
      <c r="C1456" s="1" t="s">
        <v>3</v>
      </c>
      <c r="D1456" s="1">
        <v>4</v>
      </c>
      <c r="E1456" s="1">
        <v>81.92</v>
      </c>
      <c r="F1456" s="1">
        <v>0.99883900000000003</v>
      </c>
      <c r="G1456" t="s">
        <v>2353</v>
      </c>
      <c r="H1456" t="s">
        <v>2354</v>
      </c>
      <c r="I1456">
        <v>67</v>
      </c>
      <c r="J1456" t="str">
        <f>"Voltage-dependent anion-selective channel protein 1"</f>
        <v>Voltage-dependent anion-selective channel protein 1</v>
      </c>
      <c r="K1456" t="str">
        <f>"VDAC1"</f>
        <v>VDAC1</v>
      </c>
    </row>
    <row r="1457" spans="1:11" x14ac:dyDescent="0.25">
      <c r="A1457" s="1">
        <v>1962</v>
      </c>
      <c r="B1457" s="1">
        <v>2</v>
      </c>
      <c r="C1457" s="1" t="s">
        <v>3</v>
      </c>
      <c r="D1457" s="1">
        <v>14</v>
      </c>
      <c r="E1457" s="1">
        <v>64.52</v>
      </c>
      <c r="F1457" s="1">
        <v>0.99988900000000003</v>
      </c>
      <c r="G1457" t="s">
        <v>2355</v>
      </c>
      <c r="H1457" t="s">
        <v>499</v>
      </c>
      <c r="I1457" t="s">
        <v>5238</v>
      </c>
      <c r="J1457" t="str">
        <f>"Tyrosine-protein phosphatase non-receptor type 6"</f>
        <v>Tyrosine-protein phosphatase non-receptor type 6</v>
      </c>
      <c r="K1457" t="str">
        <f>"PTPN6"</f>
        <v>PTPN6</v>
      </c>
    </row>
    <row r="1458" spans="1:11" x14ac:dyDescent="0.25">
      <c r="A1458" s="1">
        <v>1033</v>
      </c>
      <c r="B1458" s="1">
        <v>4</v>
      </c>
      <c r="C1458" s="1" t="s">
        <v>3</v>
      </c>
      <c r="D1458" s="1">
        <v>12</v>
      </c>
      <c r="E1458" s="1">
        <v>65.887</v>
      </c>
      <c r="F1458" s="1">
        <v>0.59316100000000005</v>
      </c>
      <c r="G1458" t="s">
        <v>2356</v>
      </c>
      <c r="H1458" t="s">
        <v>1027</v>
      </c>
      <c r="I1458" t="s">
        <v>5239</v>
      </c>
      <c r="J1458" t="str">
        <f>"Ephrin type-B receptor 2"</f>
        <v>Ephrin type-B receptor 2</v>
      </c>
      <c r="K1458" t="str">
        <f>"EPHB2"</f>
        <v>EPHB2</v>
      </c>
    </row>
    <row r="1459" spans="1:11" x14ac:dyDescent="0.25">
      <c r="A1459" s="1">
        <v>1516</v>
      </c>
      <c r="B1459" s="1">
        <v>2</v>
      </c>
      <c r="C1459" s="1" t="s">
        <v>3</v>
      </c>
      <c r="D1459" s="1">
        <v>12</v>
      </c>
      <c r="E1459" s="1">
        <v>64.103999999999999</v>
      </c>
      <c r="F1459" s="1">
        <v>0.5</v>
      </c>
      <c r="G1459" t="s">
        <v>2357</v>
      </c>
      <c r="H1459" t="s">
        <v>649</v>
      </c>
      <c r="I1459">
        <v>141</v>
      </c>
      <c r="J1459" t="str">
        <f>"Glycosaminoglycan xylosylkinase"</f>
        <v>Glycosaminoglycan xylosylkinase</v>
      </c>
      <c r="K1459" t="str">
        <f>"FAM20B"</f>
        <v>FAM20B</v>
      </c>
    </row>
    <row r="1460" spans="1:11" x14ac:dyDescent="0.25">
      <c r="A1460" s="1">
        <v>1465</v>
      </c>
      <c r="B1460" s="1">
        <v>3</v>
      </c>
      <c r="C1460" s="1" t="s">
        <v>3</v>
      </c>
      <c r="D1460" s="1">
        <v>9</v>
      </c>
      <c r="E1460" s="1">
        <v>124.42</v>
      </c>
      <c r="F1460" s="1">
        <v>0.99995500000000004</v>
      </c>
      <c r="G1460" t="s">
        <v>2358</v>
      </c>
      <c r="H1460" t="s">
        <v>2359</v>
      </c>
      <c r="I1460">
        <v>13</v>
      </c>
      <c r="J1460" t="str">
        <f>"Putative pre-mRNA-splicing factor ATP-dependent RNA helicase DHX15"</f>
        <v>Putative pre-mRNA-splicing factor ATP-dependent RNA helicase DHX15</v>
      </c>
      <c r="K1460" t="str">
        <f>"DHX15"</f>
        <v>DHX15</v>
      </c>
    </row>
    <row r="1461" spans="1:11" x14ac:dyDescent="0.25">
      <c r="A1461" s="1">
        <v>3037</v>
      </c>
      <c r="B1461" s="1">
        <v>2</v>
      </c>
      <c r="C1461" s="1" t="s">
        <v>3</v>
      </c>
      <c r="D1461" s="1">
        <v>5</v>
      </c>
      <c r="E1461" s="1">
        <v>52.576000000000001</v>
      </c>
      <c r="F1461" s="1">
        <v>0.95737700000000003</v>
      </c>
      <c r="G1461" t="s">
        <v>2360</v>
      </c>
      <c r="H1461" t="s">
        <v>2361</v>
      </c>
      <c r="I1461" t="s">
        <v>5240</v>
      </c>
      <c r="J1461" t="str">
        <f>"WW domain binding protein 1-like"</f>
        <v>WW domain binding protein 1-like</v>
      </c>
      <c r="K1461" t="str">
        <f>"WBP1L"</f>
        <v>WBP1L</v>
      </c>
    </row>
    <row r="1462" spans="1:11" x14ac:dyDescent="0.25">
      <c r="A1462" s="1">
        <v>1713</v>
      </c>
      <c r="B1462" s="1">
        <v>3</v>
      </c>
      <c r="C1462" s="1" t="s">
        <v>3</v>
      </c>
      <c r="D1462" s="1">
        <v>4</v>
      </c>
      <c r="E1462" s="1">
        <v>42.317</v>
      </c>
      <c r="F1462" s="1">
        <v>0.95170299999999997</v>
      </c>
      <c r="G1462" t="s">
        <v>2362</v>
      </c>
      <c r="H1462" t="s">
        <v>2363</v>
      </c>
      <c r="I1462">
        <v>259</v>
      </c>
      <c r="J1462" t="str">
        <f>"Fructose-1,6-bisphosphatase 1"</f>
        <v>Fructose-1,6-bisphosphatase 1</v>
      </c>
      <c r="K1462" t="str">
        <f>"FBP1"</f>
        <v>FBP1</v>
      </c>
    </row>
    <row r="1463" spans="1:11" x14ac:dyDescent="0.25">
      <c r="A1463" s="1">
        <v>281</v>
      </c>
      <c r="B1463" s="1">
        <v>4</v>
      </c>
      <c r="C1463" s="1" t="s">
        <v>5</v>
      </c>
      <c r="D1463" s="1">
        <v>8</v>
      </c>
      <c r="E1463" s="1">
        <v>60.418999999999997</v>
      </c>
      <c r="F1463" s="1">
        <v>0.99057300000000004</v>
      </c>
      <c r="G1463" t="s">
        <v>2364</v>
      </c>
      <c r="H1463" t="s">
        <v>171</v>
      </c>
      <c r="I1463" t="s">
        <v>5241</v>
      </c>
      <c r="J1463" t="str">
        <f>"Peptidyl-prolyl cis-trans isomerase A;Peptidyl-prolyl cis-trans isomerase A, N-terminally processed;Peptidyl-prolyl cis-trans isomerase"</f>
        <v>Peptidyl-prolyl cis-trans isomerase A;Peptidyl-prolyl cis-trans isomerase A, N-terminally processed;Peptidyl-prolyl cis-trans isomerase</v>
      </c>
      <c r="K1463" t="str">
        <f>"PPIA"</f>
        <v>PPIA</v>
      </c>
    </row>
    <row r="1464" spans="1:11" x14ac:dyDescent="0.25">
      <c r="A1464" s="1">
        <v>1763</v>
      </c>
      <c r="B1464" s="1">
        <v>2</v>
      </c>
      <c r="C1464" s="1" t="s">
        <v>3</v>
      </c>
      <c r="D1464" s="1">
        <v>3</v>
      </c>
      <c r="E1464" s="1">
        <v>81.903999999999996</v>
      </c>
      <c r="F1464" s="1">
        <v>1</v>
      </c>
      <c r="G1464" t="s">
        <v>2365</v>
      </c>
      <c r="H1464" t="s">
        <v>2366</v>
      </c>
      <c r="I1464" t="s">
        <v>5242</v>
      </c>
      <c r="J1464" t="str">
        <f>"Proto-oncogene tyrosine-protein kinase Src"</f>
        <v>Proto-oncogene tyrosine-protein kinase Src</v>
      </c>
      <c r="K1464" t="str">
        <f>"SRC"</f>
        <v>SRC</v>
      </c>
    </row>
    <row r="1465" spans="1:11" x14ac:dyDescent="0.25">
      <c r="A1465" s="1">
        <v>833</v>
      </c>
      <c r="B1465" s="1">
        <v>2</v>
      </c>
      <c r="C1465" s="1" t="s">
        <v>3</v>
      </c>
      <c r="D1465" s="1">
        <v>5</v>
      </c>
      <c r="E1465" s="1">
        <v>96.463999999999999</v>
      </c>
      <c r="F1465" s="1">
        <v>0.87290800000000002</v>
      </c>
      <c r="G1465" t="s">
        <v>2367</v>
      </c>
      <c r="H1465" t="s">
        <v>520</v>
      </c>
      <c r="I1465" t="s">
        <v>5243</v>
      </c>
      <c r="J1465" t="str">
        <f>"Lipoma-preferred partner"</f>
        <v>Lipoma-preferred partner</v>
      </c>
      <c r="K1465" t="str">
        <f>"LPP"</f>
        <v>LPP</v>
      </c>
    </row>
    <row r="1466" spans="1:11" x14ac:dyDescent="0.25">
      <c r="A1466" s="1">
        <v>1934</v>
      </c>
      <c r="B1466" s="1">
        <v>4</v>
      </c>
      <c r="C1466" s="1" t="s">
        <v>3</v>
      </c>
      <c r="D1466" s="1">
        <v>20</v>
      </c>
      <c r="E1466" s="1">
        <v>46.953000000000003</v>
      </c>
      <c r="F1466" s="1">
        <v>0.99996700000000005</v>
      </c>
      <c r="G1466" t="s">
        <v>2368</v>
      </c>
      <c r="H1466" t="s">
        <v>2369</v>
      </c>
      <c r="I1466" t="s">
        <v>5244</v>
      </c>
      <c r="J1466" t="str">
        <f>"Calnexin"</f>
        <v>Calnexin</v>
      </c>
      <c r="K1466" t="str">
        <f>"CANX"</f>
        <v>CANX</v>
      </c>
    </row>
    <row r="1467" spans="1:11" x14ac:dyDescent="0.25">
      <c r="A1467" s="1">
        <v>1386</v>
      </c>
      <c r="B1467" s="1">
        <v>3</v>
      </c>
      <c r="C1467" s="1" t="s">
        <v>3</v>
      </c>
      <c r="D1467" s="1">
        <v>4</v>
      </c>
      <c r="E1467" s="1">
        <v>93.370999999999995</v>
      </c>
      <c r="F1467" s="1">
        <v>1</v>
      </c>
      <c r="G1467" t="s">
        <v>2370</v>
      </c>
      <c r="H1467" t="s">
        <v>2371</v>
      </c>
      <c r="I1467" t="s">
        <v>5245</v>
      </c>
      <c r="J1467" t="str">
        <f>"Unconventional myosin-Id"</f>
        <v>Unconventional myosin-Id</v>
      </c>
      <c r="K1467" t="str">
        <f>"MYO1D"</f>
        <v>MYO1D</v>
      </c>
    </row>
    <row r="1468" spans="1:11" x14ac:dyDescent="0.25">
      <c r="A1468" s="1">
        <v>2700</v>
      </c>
      <c r="B1468" s="1">
        <v>3</v>
      </c>
      <c r="C1468" s="1" t="s">
        <v>3</v>
      </c>
      <c r="D1468" s="1">
        <v>3</v>
      </c>
      <c r="E1468" s="1">
        <v>91.992999999999995</v>
      </c>
      <c r="F1468" s="1">
        <v>0.99280000000000002</v>
      </c>
      <c r="G1468" t="s">
        <v>2372</v>
      </c>
      <c r="H1468" t="s">
        <v>2373</v>
      </c>
      <c r="I1468">
        <v>769</v>
      </c>
      <c r="J1468" t="str">
        <f>"SLIT and NTRK-like protein 4"</f>
        <v>SLIT and NTRK-like protein 4</v>
      </c>
      <c r="K1468" t="str">
        <f>"SLITRK4"</f>
        <v>SLITRK4</v>
      </c>
    </row>
    <row r="1469" spans="1:11" x14ac:dyDescent="0.25">
      <c r="A1469" s="1">
        <v>1016</v>
      </c>
      <c r="B1469" s="1">
        <v>2</v>
      </c>
      <c r="C1469" s="1" t="s">
        <v>3</v>
      </c>
      <c r="D1469" s="1">
        <v>9</v>
      </c>
      <c r="E1469" s="1">
        <v>70.197000000000003</v>
      </c>
      <c r="F1469" s="1">
        <v>0.92655600000000005</v>
      </c>
      <c r="G1469" t="s">
        <v>2374</v>
      </c>
      <c r="H1469" t="s">
        <v>2375</v>
      </c>
      <c r="I1469" t="s">
        <v>5246</v>
      </c>
      <c r="J1469" t="str">
        <f>"Ras-related protein Rab-34"</f>
        <v>Ras-related protein Rab-34</v>
      </c>
      <c r="K1469" t="str">
        <f>"RAB34"</f>
        <v>RAB34</v>
      </c>
    </row>
    <row r="1470" spans="1:11" x14ac:dyDescent="0.25">
      <c r="A1470" s="1">
        <v>2992</v>
      </c>
      <c r="B1470" s="1">
        <v>3</v>
      </c>
      <c r="C1470" s="1" t="s">
        <v>3</v>
      </c>
      <c r="D1470" s="1">
        <v>13</v>
      </c>
      <c r="E1470" s="1">
        <v>80.025999999999996</v>
      </c>
      <c r="F1470" s="1">
        <v>0.92560900000000002</v>
      </c>
      <c r="G1470" t="s">
        <v>2376</v>
      </c>
      <c r="H1470" t="s">
        <v>2377</v>
      </c>
      <c r="I1470" t="s">
        <v>5247</v>
      </c>
      <c r="J1470" t="str">
        <f>"Synaptotagmin-like protein 2"</f>
        <v>Synaptotagmin-like protein 2</v>
      </c>
      <c r="K1470" t="str">
        <f>"SYTL2"</f>
        <v>SYTL2</v>
      </c>
    </row>
    <row r="1471" spans="1:11" x14ac:dyDescent="0.25">
      <c r="A1471" s="1">
        <v>2261</v>
      </c>
      <c r="B1471" s="1">
        <v>2</v>
      </c>
      <c r="C1471" s="1" t="s">
        <v>3</v>
      </c>
      <c r="D1471" s="1">
        <v>6</v>
      </c>
      <c r="E1471" s="1">
        <v>73.950999999999993</v>
      </c>
      <c r="F1471" s="1">
        <v>0.97170999999999996</v>
      </c>
      <c r="G1471" t="s">
        <v>2378</v>
      </c>
      <c r="H1471" t="s">
        <v>49</v>
      </c>
      <c r="I1471">
        <v>52</v>
      </c>
      <c r="J1471" t="str">
        <f>"Histone H4"</f>
        <v>Histone H4</v>
      </c>
      <c r="K1471" t="str">
        <f>"HIST1H4A"</f>
        <v>HIST1H4A</v>
      </c>
    </row>
    <row r="1472" spans="1:11" x14ac:dyDescent="0.25">
      <c r="A1472" s="1">
        <v>1736</v>
      </c>
      <c r="B1472" s="1">
        <v>3</v>
      </c>
      <c r="C1472" s="1" t="s">
        <v>3</v>
      </c>
      <c r="D1472" s="1">
        <v>4</v>
      </c>
      <c r="E1472" s="1">
        <v>45.764000000000003</v>
      </c>
      <c r="F1472" s="1">
        <v>0.99195800000000001</v>
      </c>
      <c r="G1472" t="s">
        <v>2379</v>
      </c>
      <c r="H1472" t="s">
        <v>2380</v>
      </c>
      <c r="I1472" t="s">
        <v>5248</v>
      </c>
      <c r="J1472" t="str">
        <f>"S-formylglutathione hydrolase"</f>
        <v>S-formylglutathione hydrolase</v>
      </c>
      <c r="K1472" t="str">
        <f>"ESD"</f>
        <v>ESD</v>
      </c>
    </row>
    <row r="1473" spans="1:11" x14ac:dyDescent="0.25">
      <c r="A1473" s="1">
        <v>3096</v>
      </c>
      <c r="B1473" s="1">
        <v>3</v>
      </c>
      <c r="C1473" s="1" t="s">
        <v>3</v>
      </c>
      <c r="D1473" s="1">
        <v>4</v>
      </c>
      <c r="E1473" s="1">
        <v>68.971999999999994</v>
      </c>
      <c r="F1473" s="1">
        <v>0.99784499999999998</v>
      </c>
      <c r="G1473" t="s">
        <v>2381</v>
      </c>
      <c r="H1473" t="s">
        <v>2382</v>
      </c>
      <c r="I1473" t="s">
        <v>5249</v>
      </c>
      <c r="J1473" t="str">
        <f>"Kinase D-interacting substrate of 220 kDa"</f>
        <v>Kinase D-interacting substrate of 220 kDa</v>
      </c>
      <c r="K1473" t="str">
        <f>"KIDINS220"</f>
        <v>KIDINS220</v>
      </c>
    </row>
    <row r="1474" spans="1:11" x14ac:dyDescent="0.25">
      <c r="A1474" s="1">
        <v>1155</v>
      </c>
      <c r="B1474" s="1">
        <v>3</v>
      </c>
      <c r="C1474" s="1" t="s">
        <v>3</v>
      </c>
      <c r="D1474" s="1">
        <v>3</v>
      </c>
      <c r="E1474" s="1">
        <v>61.963000000000001</v>
      </c>
      <c r="F1474" s="1">
        <v>0.95055000000000001</v>
      </c>
      <c r="G1474" t="s">
        <v>2383</v>
      </c>
      <c r="H1474" t="s">
        <v>2384</v>
      </c>
      <c r="I1474" t="s">
        <v>4795</v>
      </c>
      <c r="J1474" t="str">
        <f>"Neurabin-2"</f>
        <v>Neurabin-2</v>
      </c>
      <c r="K1474" t="str">
        <f>"PPP1R9B"</f>
        <v>PPP1R9B</v>
      </c>
    </row>
    <row r="1475" spans="1:11" x14ac:dyDescent="0.25">
      <c r="A1475" s="1">
        <v>2246</v>
      </c>
      <c r="B1475" s="1">
        <v>2</v>
      </c>
      <c r="C1475" s="1" t="s">
        <v>3</v>
      </c>
      <c r="D1475" s="1">
        <v>9</v>
      </c>
      <c r="E1475" s="1">
        <v>46.069000000000003</v>
      </c>
      <c r="F1475" s="1">
        <v>0.93804100000000001</v>
      </c>
      <c r="G1475" t="s">
        <v>2385</v>
      </c>
      <c r="H1475" t="s">
        <v>2386</v>
      </c>
      <c r="I1475" t="s">
        <v>5250</v>
      </c>
      <c r="J1475" t="str">
        <f>"Neuronal calcium sensor 1"</f>
        <v>Neuronal calcium sensor 1</v>
      </c>
      <c r="K1475" t="str">
        <f>"NCS1"</f>
        <v>NCS1</v>
      </c>
    </row>
    <row r="1476" spans="1:11" x14ac:dyDescent="0.25">
      <c r="A1476" s="1">
        <v>3129</v>
      </c>
      <c r="B1476" s="1">
        <v>2</v>
      </c>
      <c r="C1476" s="1" t="s">
        <v>3</v>
      </c>
      <c r="D1476" s="1">
        <v>11</v>
      </c>
      <c r="E1476" s="1">
        <v>109.83</v>
      </c>
      <c r="F1476" s="1">
        <v>0.99937799999999999</v>
      </c>
      <c r="G1476" t="s">
        <v>2387</v>
      </c>
      <c r="H1476" t="s">
        <v>2388</v>
      </c>
      <c r="I1476" t="s">
        <v>5251</v>
      </c>
      <c r="J1476" t="str">
        <f>"Protein dopey-2"</f>
        <v>Protein dopey-2</v>
      </c>
      <c r="K1476" t="str">
        <f>"DOPEY2"</f>
        <v>DOPEY2</v>
      </c>
    </row>
    <row r="1477" spans="1:11" x14ac:dyDescent="0.25">
      <c r="A1477" s="1">
        <v>2819</v>
      </c>
      <c r="B1477" s="1">
        <v>2</v>
      </c>
      <c r="C1477" s="1" t="s">
        <v>3</v>
      </c>
      <c r="D1477" s="1">
        <v>7</v>
      </c>
      <c r="E1477" s="1">
        <v>64.453999999999994</v>
      </c>
      <c r="F1477" s="1">
        <v>0.85758900000000005</v>
      </c>
      <c r="G1477" t="s">
        <v>2389</v>
      </c>
      <c r="H1477" t="s">
        <v>2390</v>
      </c>
      <c r="I1477">
        <v>222</v>
      </c>
      <c r="J1477" t="str">
        <f>"Ribosomal RNA small subunit methyltransferase NEP1"</f>
        <v>Ribosomal RNA small subunit methyltransferase NEP1</v>
      </c>
      <c r="K1477" t="str">
        <f>"EMG1"</f>
        <v>EMG1</v>
      </c>
    </row>
    <row r="1478" spans="1:11" x14ac:dyDescent="0.25">
      <c r="A1478" s="1">
        <v>387</v>
      </c>
      <c r="B1478" s="1">
        <v>3</v>
      </c>
      <c r="C1478" s="1" t="s">
        <v>5</v>
      </c>
      <c r="D1478" s="1">
        <v>4</v>
      </c>
      <c r="E1478" s="1">
        <v>57.475999999999999</v>
      </c>
      <c r="F1478" s="1">
        <v>0.55945800000000001</v>
      </c>
      <c r="G1478" t="s">
        <v>2391</v>
      </c>
      <c r="H1478" t="s">
        <v>1459</v>
      </c>
      <c r="I1478" t="s">
        <v>5252</v>
      </c>
      <c r="J1478" t="str">
        <f>"Epidermal growth factor receptor kinase substrate 8-like protein 3"</f>
        <v>Epidermal growth factor receptor kinase substrate 8-like protein 3</v>
      </c>
      <c r="K1478" t="str">
        <f>"EPS8L3"</f>
        <v>EPS8L3</v>
      </c>
    </row>
    <row r="1479" spans="1:11" x14ac:dyDescent="0.25">
      <c r="A1479" s="1">
        <v>2593</v>
      </c>
      <c r="B1479" s="1">
        <v>3</v>
      </c>
      <c r="C1479" s="1" t="s">
        <v>3</v>
      </c>
      <c r="D1479" s="1">
        <v>9</v>
      </c>
      <c r="E1479" s="1">
        <v>55.011000000000003</v>
      </c>
      <c r="F1479" s="1">
        <v>0.98751599999999995</v>
      </c>
      <c r="G1479" t="s">
        <v>2392</v>
      </c>
      <c r="H1479" t="s">
        <v>2393</v>
      </c>
      <c r="I1479">
        <v>1142</v>
      </c>
      <c r="J1479" t="str">
        <f>"Uncharacterized protein C6orf132"</f>
        <v>Uncharacterized protein C6orf132</v>
      </c>
      <c r="K1479" t="str">
        <f>"C6orf132"</f>
        <v>C6orf132</v>
      </c>
    </row>
    <row r="1480" spans="1:11" x14ac:dyDescent="0.25">
      <c r="A1480" s="1">
        <v>1293</v>
      </c>
      <c r="B1480" s="1">
        <v>3</v>
      </c>
      <c r="C1480" s="1" t="s">
        <v>3</v>
      </c>
      <c r="D1480" s="1">
        <v>19</v>
      </c>
      <c r="E1480" s="1">
        <v>50.201999999999998</v>
      </c>
      <c r="F1480" s="1">
        <v>0.99326000000000003</v>
      </c>
      <c r="G1480" t="s">
        <v>2394</v>
      </c>
      <c r="H1480" t="s">
        <v>2395</v>
      </c>
      <c r="I1480" t="s">
        <v>5253</v>
      </c>
      <c r="J1480" t="str">
        <f>"Proto-oncogene vav"</f>
        <v>Proto-oncogene vav</v>
      </c>
      <c r="K1480" t="str">
        <f>"VAV1"</f>
        <v>VAV1</v>
      </c>
    </row>
    <row r="1481" spans="1:11" x14ac:dyDescent="0.25">
      <c r="A1481" s="1">
        <v>2110</v>
      </c>
      <c r="B1481" s="1">
        <v>3</v>
      </c>
      <c r="C1481" s="1" t="s">
        <v>3</v>
      </c>
      <c r="D1481" s="1">
        <v>9</v>
      </c>
      <c r="E1481" s="1">
        <v>71.147999999999996</v>
      </c>
      <c r="F1481" s="1">
        <v>0.99652799999999997</v>
      </c>
      <c r="G1481" t="s">
        <v>2396</v>
      </c>
      <c r="H1481" t="s">
        <v>2397</v>
      </c>
      <c r="I1481" t="s">
        <v>5254</v>
      </c>
      <c r="J1481" t="str">
        <f>"Probable histidine--tRNA ligase, mitochondrial"</f>
        <v>Probable histidine--tRNA ligase, mitochondrial</v>
      </c>
      <c r="K1481" t="str">
        <f>"HARS2"</f>
        <v>HARS2</v>
      </c>
    </row>
    <row r="1482" spans="1:11" x14ac:dyDescent="0.25">
      <c r="A1482" s="1">
        <v>2827</v>
      </c>
      <c r="B1482" s="1">
        <v>3</v>
      </c>
      <c r="C1482" s="1" t="s">
        <v>3</v>
      </c>
      <c r="D1482" s="1">
        <v>7</v>
      </c>
      <c r="E1482" s="1">
        <v>95.197000000000003</v>
      </c>
      <c r="F1482" s="1">
        <v>0.99185299999999998</v>
      </c>
      <c r="G1482" t="s">
        <v>2398</v>
      </c>
      <c r="H1482" t="s">
        <v>2399</v>
      </c>
      <c r="I1482" t="s">
        <v>5009</v>
      </c>
      <c r="J1482" t="str">
        <f>"Exocyst complex component 4"</f>
        <v>Exocyst complex component 4</v>
      </c>
      <c r="K1482" t="str">
        <f>"EXOC4"</f>
        <v>EXOC4</v>
      </c>
    </row>
    <row r="1483" spans="1:11" x14ac:dyDescent="0.25">
      <c r="A1483" s="1">
        <v>2037</v>
      </c>
      <c r="B1483" s="1">
        <v>3</v>
      </c>
      <c r="C1483" s="1" t="s">
        <v>3</v>
      </c>
      <c r="D1483" s="1">
        <v>4</v>
      </c>
      <c r="E1483" s="1">
        <v>67.385000000000005</v>
      </c>
      <c r="F1483" s="1">
        <v>0.58559799999999995</v>
      </c>
      <c r="G1483" t="s">
        <v>2400</v>
      </c>
      <c r="H1483" t="s">
        <v>2401</v>
      </c>
      <c r="I1483">
        <v>503</v>
      </c>
      <c r="J1483" t="str">
        <f>"Phosphatidylinositol 4,5-bisphosphate 3-kinase catalytic subunit beta isoform"</f>
        <v>Phosphatidylinositol 4,5-bisphosphate 3-kinase catalytic subunit beta isoform</v>
      </c>
      <c r="K1483" t="str">
        <f>"PIK3CB"</f>
        <v>PIK3CB</v>
      </c>
    </row>
    <row r="1484" spans="1:11" x14ac:dyDescent="0.25">
      <c r="A1484" s="1">
        <v>3125</v>
      </c>
      <c r="B1484" s="1">
        <v>2</v>
      </c>
      <c r="C1484" s="1" t="s">
        <v>3</v>
      </c>
      <c r="D1484" s="1">
        <v>8</v>
      </c>
      <c r="E1484" s="1">
        <v>81.632000000000005</v>
      </c>
      <c r="F1484" s="1">
        <v>0.99403799999999998</v>
      </c>
      <c r="G1484" t="s">
        <v>2402</v>
      </c>
      <c r="H1484" t="s">
        <v>812</v>
      </c>
      <c r="I1484" t="s">
        <v>5255</v>
      </c>
      <c r="J1484" t="str">
        <f>"Signaling threshold-regulating transmembrane adapter 1"</f>
        <v>Signaling threshold-regulating transmembrane adapter 1</v>
      </c>
      <c r="K1484" t="str">
        <f>"SIT1"</f>
        <v>SIT1</v>
      </c>
    </row>
    <row r="1485" spans="1:11" x14ac:dyDescent="0.25">
      <c r="A1485" s="1">
        <v>1801</v>
      </c>
      <c r="B1485" s="1">
        <v>3</v>
      </c>
      <c r="C1485" s="1" t="s">
        <v>3</v>
      </c>
      <c r="D1485" s="1">
        <v>3</v>
      </c>
      <c r="E1485" s="1">
        <v>101.38</v>
      </c>
      <c r="F1485" s="1">
        <v>0.99992999999999999</v>
      </c>
      <c r="G1485" t="s">
        <v>2403</v>
      </c>
      <c r="H1485" t="s">
        <v>2404</v>
      </c>
      <c r="I1485" t="s">
        <v>5256</v>
      </c>
      <c r="J1485" t="str">
        <f>"40S ribosomal protein S2"</f>
        <v>40S ribosomal protein S2</v>
      </c>
      <c r="K1485" t="str">
        <f>"RPS2"</f>
        <v>RPS2</v>
      </c>
    </row>
    <row r="1486" spans="1:11" x14ac:dyDescent="0.25">
      <c r="A1486" s="1">
        <v>451</v>
      </c>
      <c r="B1486" s="1">
        <v>3</v>
      </c>
      <c r="C1486" s="1" t="s">
        <v>5</v>
      </c>
      <c r="D1486" s="1">
        <v>19</v>
      </c>
      <c r="E1486" s="1">
        <v>66.924999999999997</v>
      </c>
      <c r="F1486" s="1">
        <v>0.99999099999999996</v>
      </c>
      <c r="G1486" t="s">
        <v>1879</v>
      </c>
      <c r="H1486" t="s">
        <v>1880</v>
      </c>
      <c r="I1486">
        <v>19</v>
      </c>
      <c r="J1486" t="str">
        <f>"Palmitoyltransferase ZDHHC18"</f>
        <v>Palmitoyltransferase ZDHHC18</v>
      </c>
      <c r="K1486" t="str">
        <f>"ZDHHC18"</f>
        <v>ZDHHC18</v>
      </c>
    </row>
    <row r="1487" spans="1:11" x14ac:dyDescent="0.25">
      <c r="A1487" s="1">
        <v>2545</v>
      </c>
      <c r="B1487" s="1">
        <v>3</v>
      </c>
      <c r="C1487" s="1" t="s">
        <v>3</v>
      </c>
      <c r="D1487" s="1">
        <v>5</v>
      </c>
      <c r="E1487" s="1">
        <v>65.423000000000002</v>
      </c>
      <c r="F1487" s="1">
        <v>0.94788799999999995</v>
      </c>
      <c r="G1487" t="s">
        <v>2405</v>
      </c>
      <c r="H1487" t="s">
        <v>2406</v>
      </c>
      <c r="I1487">
        <v>4802</v>
      </c>
      <c r="J1487" t="str">
        <f>"Probable E3 ubiquitin-protein ligase HERC1"</f>
        <v>Probable E3 ubiquitin-protein ligase HERC1</v>
      </c>
      <c r="K1487" t="str">
        <f>"HERC1"</f>
        <v>HERC1</v>
      </c>
    </row>
    <row r="1488" spans="1:11" x14ac:dyDescent="0.25">
      <c r="A1488" s="1">
        <v>3034</v>
      </c>
      <c r="B1488" s="1">
        <v>3</v>
      </c>
      <c r="C1488" s="1" t="s">
        <v>3</v>
      </c>
      <c r="D1488" s="1">
        <v>12</v>
      </c>
      <c r="E1488" s="1">
        <v>95.197000000000003</v>
      </c>
      <c r="F1488" s="1">
        <v>0.70779000000000003</v>
      </c>
      <c r="G1488" t="s">
        <v>2407</v>
      </c>
      <c r="H1488" t="s">
        <v>2408</v>
      </c>
      <c r="I1488">
        <v>179</v>
      </c>
      <c r="J1488" t="str">
        <f>"Gem-associated protein 8"</f>
        <v>Gem-associated protein 8</v>
      </c>
      <c r="K1488" t="str">
        <f>"GEMIN8"</f>
        <v>GEMIN8</v>
      </c>
    </row>
    <row r="1489" spans="1:11" x14ac:dyDescent="0.25">
      <c r="A1489" s="1">
        <v>427</v>
      </c>
      <c r="B1489" s="1">
        <v>3</v>
      </c>
      <c r="C1489" s="1" t="s">
        <v>5</v>
      </c>
      <c r="D1489" s="1">
        <v>9</v>
      </c>
      <c r="E1489" s="1">
        <v>44.542999999999999</v>
      </c>
      <c r="F1489" s="1">
        <v>0.95170299999999997</v>
      </c>
      <c r="G1489" t="s">
        <v>2409</v>
      </c>
      <c r="H1489" t="s">
        <v>2410</v>
      </c>
      <c r="I1489">
        <v>419</v>
      </c>
      <c r="J1489" t="str">
        <f>"Probable G-protein coupled receptor 22"</f>
        <v>Probable G-protein coupled receptor 22</v>
      </c>
      <c r="K1489" t="str">
        <f>"GPR22"</f>
        <v>GPR22</v>
      </c>
    </row>
    <row r="1490" spans="1:11" x14ac:dyDescent="0.25">
      <c r="A1490" s="1">
        <v>161</v>
      </c>
      <c r="B1490" s="1">
        <v>2</v>
      </c>
      <c r="C1490" s="1" t="s">
        <v>5</v>
      </c>
      <c r="D1490" s="1">
        <v>10</v>
      </c>
      <c r="E1490" s="1">
        <v>78.078000000000003</v>
      </c>
      <c r="F1490" s="1">
        <v>0.54918699999999998</v>
      </c>
      <c r="G1490" t="s">
        <v>2411</v>
      </c>
      <c r="H1490" t="s">
        <v>316</v>
      </c>
      <c r="I1490" t="s">
        <v>5257</v>
      </c>
      <c r="J1490" t="str">
        <f>"Glutaminase kidney isoform, mitochondrial"</f>
        <v>Glutaminase kidney isoform, mitochondrial</v>
      </c>
      <c r="K1490" t="str">
        <f>"GLS"</f>
        <v>GLS</v>
      </c>
    </row>
    <row r="1491" spans="1:11" x14ac:dyDescent="0.25">
      <c r="A1491" s="1">
        <v>1110</v>
      </c>
      <c r="B1491" s="1">
        <v>3</v>
      </c>
      <c r="C1491" s="1" t="s">
        <v>3</v>
      </c>
      <c r="D1491" s="1">
        <v>1</v>
      </c>
      <c r="E1491" s="1">
        <v>64.120999999999995</v>
      </c>
      <c r="F1491" s="1">
        <v>0.86088900000000002</v>
      </c>
      <c r="G1491" t="s">
        <v>2412</v>
      </c>
      <c r="H1491" t="s">
        <v>2413</v>
      </c>
      <c r="I1491" t="s">
        <v>5258</v>
      </c>
      <c r="J1491" t="str">
        <f>"Zinc finger CCCH-type antiviral protein 1"</f>
        <v>Zinc finger CCCH-type antiviral protein 1</v>
      </c>
      <c r="K1491" t="str">
        <f>"ZC3HAV1"</f>
        <v>ZC3HAV1</v>
      </c>
    </row>
    <row r="1492" spans="1:11" x14ac:dyDescent="0.25">
      <c r="A1492" s="1">
        <v>873</v>
      </c>
      <c r="B1492" s="1">
        <v>4</v>
      </c>
      <c r="C1492" s="1" t="s">
        <v>3</v>
      </c>
      <c r="D1492" s="1">
        <v>5</v>
      </c>
      <c r="E1492" s="1">
        <v>47.805999999999997</v>
      </c>
      <c r="F1492" s="1">
        <v>0.68837400000000004</v>
      </c>
      <c r="G1492" t="s">
        <v>2414</v>
      </c>
      <c r="H1492" t="s">
        <v>2415</v>
      </c>
      <c r="I1492" t="s">
        <v>5259</v>
      </c>
      <c r="J1492" t="str">
        <f>"Receptor-type tyrosine-protein phosphatase S"</f>
        <v>Receptor-type tyrosine-protein phosphatase S</v>
      </c>
      <c r="K1492" t="str">
        <f>"PTPRS"</f>
        <v>PTPRS</v>
      </c>
    </row>
    <row r="1493" spans="1:11" x14ac:dyDescent="0.25">
      <c r="A1493" s="1">
        <v>125</v>
      </c>
      <c r="B1493" s="1">
        <v>3</v>
      </c>
      <c r="C1493" s="1" t="s">
        <v>5</v>
      </c>
      <c r="D1493" s="1">
        <v>3</v>
      </c>
      <c r="E1493" s="1">
        <v>54.167000000000002</v>
      </c>
      <c r="F1493" s="1">
        <v>0.92084100000000002</v>
      </c>
      <c r="G1493" t="s">
        <v>2416</v>
      </c>
      <c r="H1493" t="s">
        <v>1556</v>
      </c>
      <c r="I1493" t="s">
        <v>5260</v>
      </c>
      <c r="J1493" t="str">
        <f>"Secretory carrier-associated membrane protein 3"</f>
        <v>Secretory carrier-associated membrane protein 3</v>
      </c>
      <c r="K1493" t="str">
        <f>"SCAMP3"</f>
        <v>SCAMP3</v>
      </c>
    </row>
    <row r="1494" spans="1:11" x14ac:dyDescent="0.25">
      <c r="A1494" s="1">
        <v>232</v>
      </c>
      <c r="B1494" s="1">
        <v>3</v>
      </c>
      <c r="C1494" s="1" t="s">
        <v>5</v>
      </c>
      <c r="D1494" s="1">
        <v>9</v>
      </c>
      <c r="E1494" s="1">
        <v>48.906999999999996</v>
      </c>
      <c r="F1494" s="1">
        <v>0.46805600000000003</v>
      </c>
      <c r="G1494" t="s">
        <v>2417</v>
      </c>
      <c r="H1494" t="s">
        <v>47</v>
      </c>
      <c r="I1494">
        <v>577</v>
      </c>
      <c r="J1494" t="str">
        <f>"Ephrin type-A receptor 2"</f>
        <v>Ephrin type-A receptor 2</v>
      </c>
      <c r="K1494" t="str">
        <f>"EPHA2"</f>
        <v>EPHA2</v>
      </c>
    </row>
    <row r="1495" spans="1:11" x14ac:dyDescent="0.25">
      <c r="A1495" s="1">
        <v>233</v>
      </c>
      <c r="B1495" s="1">
        <v>3</v>
      </c>
      <c r="C1495" s="1" t="s">
        <v>5</v>
      </c>
      <c r="D1495" s="1">
        <v>11</v>
      </c>
      <c r="E1495" s="1">
        <v>47.499000000000002</v>
      </c>
      <c r="F1495" s="1">
        <v>0.86643599999999998</v>
      </c>
      <c r="G1495" t="s">
        <v>2418</v>
      </c>
      <c r="H1495" t="s">
        <v>47</v>
      </c>
      <c r="I1495">
        <v>579</v>
      </c>
      <c r="J1495" t="str">
        <f>"Ephrin type-A receptor 2"</f>
        <v>Ephrin type-A receptor 2</v>
      </c>
      <c r="K1495" t="str">
        <f>"EPHA2"</f>
        <v>EPHA2</v>
      </c>
    </row>
    <row r="1496" spans="1:11" x14ac:dyDescent="0.25">
      <c r="A1496" s="1">
        <v>1749</v>
      </c>
      <c r="B1496" s="1">
        <v>3</v>
      </c>
      <c r="C1496" s="1" t="s">
        <v>3</v>
      </c>
      <c r="D1496" s="1">
        <v>2</v>
      </c>
      <c r="E1496" s="1">
        <v>46.89</v>
      </c>
      <c r="F1496" s="1">
        <v>1</v>
      </c>
      <c r="G1496" t="s">
        <v>2419</v>
      </c>
      <c r="H1496" t="s">
        <v>2420</v>
      </c>
      <c r="I1496" t="s">
        <v>5261</v>
      </c>
      <c r="J1496" t="str">
        <f>"C-1-tetrahydrofolate synthase, cytoplasmic;Methylenetetrahydrofolate dehydrogenase;Methenyltetrahydrofolate cyclohydrolase;Formyltetrahydrofolate synthetase;C-1-tetrahydrofolate synthase, cytoplasmic, N-terminally processed"</f>
        <v>C-1-tetrahydrofolate synthase, cytoplasmic;Methylenetetrahydrofolate dehydrogenase;Methenyltetrahydrofolate cyclohydrolase;Formyltetrahydrofolate synthetase;C-1-tetrahydrofolate synthase, cytoplasmic, N-terminally processed</v>
      </c>
      <c r="K1496" t="str">
        <f>"MTHFD1"</f>
        <v>MTHFD1</v>
      </c>
    </row>
    <row r="1497" spans="1:11" x14ac:dyDescent="0.25">
      <c r="A1497" s="1">
        <v>574</v>
      </c>
      <c r="B1497" s="1">
        <v>3</v>
      </c>
      <c r="C1497" s="1" t="s">
        <v>4</v>
      </c>
      <c r="D1497" s="1">
        <v>5</v>
      </c>
      <c r="E1497" s="1">
        <v>57.802</v>
      </c>
      <c r="F1497" s="1">
        <v>0.51986699999999997</v>
      </c>
      <c r="G1497" t="s">
        <v>2421</v>
      </c>
      <c r="H1497" t="s">
        <v>2422</v>
      </c>
      <c r="I1497" t="s">
        <v>5262</v>
      </c>
      <c r="J1497" t="str">
        <f>"Tubulin beta-4A chain;Tubulin beta chain;Tubulin beta-4B chain;Tubulin beta-2A chain;Tubulin beta-2B chain"</f>
        <v>Tubulin beta-4A chain;Tubulin beta chain;Tubulin beta-4B chain;Tubulin beta-2A chain;Tubulin beta-2B chain</v>
      </c>
      <c r="K1497" t="str">
        <f>"TUBB4A;TUBB;TUBB4B;TUBB2A;TUBB2B"</f>
        <v>TUBB4A;TUBB;TUBB4B;TUBB2A;TUBB2B</v>
      </c>
    </row>
    <row r="1498" spans="1:11" x14ac:dyDescent="0.25">
      <c r="A1498" s="1">
        <v>2482</v>
      </c>
      <c r="B1498" s="1">
        <v>2</v>
      </c>
      <c r="C1498" s="1" t="s">
        <v>3</v>
      </c>
      <c r="D1498" s="1">
        <v>2</v>
      </c>
      <c r="E1498" s="1">
        <v>107.21</v>
      </c>
      <c r="F1498" s="1">
        <v>0.97709299999999999</v>
      </c>
      <c r="G1498" t="s">
        <v>2423</v>
      </c>
      <c r="H1498" t="s">
        <v>2188</v>
      </c>
      <c r="I1498" t="s">
        <v>5263</v>
      </c>
      <c r="J1498" t="str">
        <f>"Filamin-C"</f>
        <v>Filamin-C</v>
      </c>
      <c r="K1498" t="str">
        <f>"FLNC"</f>
        <v>FLNC</v>
      </c>
    </row>
    <row r="1499" spans="1:11" x14ac:dyDescent="0.25">
      <c r="A1499" s="1">
        <v>1213</v>
      </c>
      <c r="B1499" s="1">
        <v>3</v>
      </c>
      <c r="C1499" s="1" t="s">
        <v>3</v>
      </c>
      <c r="D1499" s="1">
        <v>6</v>
      </c>
      <c r="E1499" s="1">
        <v>87.429000000000002</v>
      </c>
      <c r="F1499" s="1">
        <v>0.96287800000000001</v>
      </c>
      <c r="G1499" t="s">
        <v>2424</v>
      </c>
      <c r="H1499" t="s">
        <v>2425</v>
      </c>
      <c r="I1499" t="s">
        <v>5264</v>
      </c>
      <c r="J1499" t="str">
        <f>"Transducin beta-like protein 2"</f>
        <v>Transducin beta-like protein 2</v>
      </c>
      <c r="K1499" t="str">
        <f>"TBL2"</f>
        <v>TBL2</v>
      </c>
    </row>
    <row r="1500" spans="1:11" x14ac:dyDescent="0.25">
      <c r="A1500" s="1">
        <v>769</v>
      </c>
      <c r="B1500" s="1">
        <v>3</v>
      </c>
      <c r="C1500" s="1" t="s">
        <v>3</v>
      </c>
      <c r="D1500" s="1">
        <v>1</v>
      </c>
      <c r="E1500" s="1">
        <v>67.760000000000005</v>
      </c>
      <c r="F1500" s="1">
        <v>1</v>
      </c>
      <c r="G1500" t="s">
        <v>2426</v>
      </c>
      <c r="H1500" t="s">
        <v>2427</v>
      </c>
      <c r="I1500" t="s">
        <v>5265</v>
      </c>
      <c r="J1500" t="str">
        <f>"Transmembrane channel-like protein 4"</f>
        <v>Transmembrane channel-like protein 4</v>
      </c>
      <c r="K1500" t="str">
        <f>"TMC4"</f>
        <v>TMC4</v>
      </c>
    </row>
    <row r="1501" spans="1:11" x14ac:dyDescent="0.25">
      <c r="A1501" s="1">
        <v>45</v>
      </c>
      <c r="B1501" s="1">
        <v>2</v>
      </c>
      <c r="C1501" s="1" t="s">
        <v>5</v>
      </c>
      <c r="D1501" s="1">
        <v>1</v>
      </c>
      <c r="E1501" s="1">
        <v>98.281000000000006</v>
      </c>
      <c r="F1501" s="1">
        <v>0.99913099999999999</v>
      </c>
      <c r="G1501" t="s">
        <v>2428</v>
      </c>
      <c r="H1501" t="s">
        <v>95</v>
      </c>
      <c r="I1501">
        <v>51</v>
      </c>
      <c r="J1501" t="str">
        <f>""</f>
        <v/>
      </c>
      <c r="K1501" t="str">
        <f>"VIM"</f>
        <v>VIM</v>
      </c>
    </row>
    <row r="1502" spans="1:11" x14ac:dyDescent="0.25">
      <c r="A1502" s="1">
        <v>3086</v>
      </c>
      <c r="B1502" s="1">
        <v>2</v>
      </c>
      <c r="C1502" s="1" t="s">
        <v>3</v>
      </c>
      <c r="D1502" s="1">
        <v>2</v>
      </c>
      <c r="E1502" s="1">
        <v>101.38</v>
      </c>
      <c r="F1502" s="1">
        <v>1</v>
      </c>
      <c r="G1502" t="s">
        <v>2429</v>
      </c>
      <c r="H1502" t="s">
        <v>2430</v>
      </c>
      <c r="I1502" t="s">
        <v>5266</v>
      </c>
      <c r="J1502" t="str">
        <f>"TRAF2 and NCK-interacting protein kinase"</f>
        <v>TRAF2 and NCK-interacting protein kinase</v>
      </c>
      <c r="K1502" t="str">
        <f>"TNIK"</f>
        <v>TNIK</v>
      </c>
    </row>
    <row r="1503" spans="1:11" x14ac:dyDescent="0.25">
      <c r="A1503" s="1">
        <v>533</v>
      </c>
      <c r="B1503" s="1">
        <v>2</v>
      </c>
      <c r="C1503" s="1" t="s">
        <v>4</v>
      </c>
      <c r="D1503" s="1">
        <v>8</v>
      </c>
      <c r="E1503" s="1">
        <v>49.298000000000002</v>
      </c>
      <c r="F1503" s="1">
        <v>0.54301999999999995</v>
      </c>
      <c r="G1503" t="s">
        <v>2431</v>
      </c>
      <c r="H1503" t="s">
        <v>1581</v>
      </c>
      <c r="I1503" t="s">
        <v>5267</v>
      </c>
      <c r="J1503" t="str">
        <f>"NAD(P) transhydrogenase, mitochondrial"</f>
        <v>NAD(P) transhydrogenase, mitochondrial</v>
      </c>
      <c r="K1503" t="str">
        <f>"NNT"</f>
        <v>NNT</v>
      </c>
    </row>
    <row r="1504" spans="1:11" x14ac:dyDescent="0.25">
      <c r="A1504" s="1">
        <v>1237</v>
      </c>
      <c r="B1504" s="1">
        <v>3</v>
      </c>
      <c r="C1504" s="1" t="s">
        <v>3</v>
      </c>
      <c r="D1504" s="1">
        <v>21</v>
      </c>
      <c r="E1504" s="1">
        <v>129.32</v>
      </c>
      <c r="F1504" s="1">
        <v>1</v>
      </c>
      <c r="G1504" t="s">
        <v>2432</v>
      </c>
      <c r="H1504" t="s">
        <v>2433</v>
      </c>
      <c r="I1504" t="s">
        <v>5268</v>
      </c>
      <c r="J1504" t="str">
        <f>"Suppression of tumorigenicity 5 protein"</f>
        <v>Suppression of tumorigenicity 5 protein</v>
      </c>
      <c r="K1504" t="str">
        <f>"ST5"</f>
        <v>ST5</v>
      </c>
    </row>
    <row r="1505" spans="1:11" x14ac:dyDescent="0.25">
      <c r="A1505" s="1">
        <v>1453</v>
      </c>
      <c r="B1505" s="1">
        <v>2</v>
      </c>
      <c r="C1505" s="1" t="s">
        <v>3</v>
      </c>
      <c r="D1505" s="1">
        <v>5</v>
      </c>
      <c r="E1505" s="1">
        <v>60.787999999999997</v>
      </c>
      <c r="F1505" s="1">
        <v>0.998529</v>
      </c>
      <c r="G1505" t="s">
        <v>2434</v>
      </c>
      <c r="H1505" t="s">
        <v>2435</v>
      </c>
      <c r="I1505">
        <v>172</v>
      </c>
      <c r="J1505" t="str">
        <f>"Actin-related protein 2/3 complex subunit 1B"</f>
        <v>Actin-related protein 2/3 complex subunit 1B</v>
      </c>
      <c r="K1505" t="str">
        <f>"ARPC1B"</f>
        <v>ARPC1B</v>
      </c>
    </row>
    <row r="1506" spans="1:11" x14ac:dyDescent="0.25">
      <c r="A1506" s="1">
        <v>2647</v>
      </c>
      <c r="B1506" s="1">
        <v>3</v>
      </c>
      <c r="C1506" s="1" t="s">
        <v>3</v>
      </c>
      <c r="D1506" s="1">
        <v>10</v>
      </c>
      <c r="E1506" s="1">
        <v>42.716000000000001</v>
      </c>
      <c r="F1506" s="1">
        <v>0.53320699999999999</v>
      </c>
      <c r="G1506" t="s">
        <v>2436</v>
      </c>
      <c r="H1506" t="s">
        <v>2437</v>
      </c>
      <c r="I1506">
        <v>1032</v>
      </c>
      <c r="J1506" t="str">
        <f>"Protein FAM83H"</f>
        <v>Protein FAM83H</v>
      </c>
      <c r="K1506" t="str">
        <f>"FAM83H"</f>
        <v>FAM83H</v>
      </c>
    </row>
    <row r="1507" spans="1:11" x14ac:dyDescent="0.25">
      <c r="A1507" s="1">
        <v>1495</v>
      </c>
      <c r="B1507" s="1">
        <v>3</v>
      </c>
      <c r="C1507" s="1" t="s">
        <v>3</v>
      </c>
      <c r="D1507" s="1">
        <v>9</v>
      </c>
      <c r="E1507" s="1">
        <v>82.864999999999995</v>
      </c>
      <c r="F1507" s="1">
        <v>0.98203099999999999</v>
      </c>
      <c r="G1507" t="s">
        <v>2438</v>
      </c>
      <c r="H1507" t="s">
        <v>1068</v>
      </c>
      <c r="I1507">
        <v>139</v>
      </c>
      <c r="J1507" t="str">
        <f>"Docking protein 2"</f>
        <v>Docking protein 2</v>
      </c>
      <c r="K1507" t="str">
        <f>"DOK2"</f>
        <v>DOK2</v>
      </c>
    </row>
    <row r="1508" spans="1:11" x14ac:dyDescent="0.25">
      <c r="A1508" s="1">
        <v>965</v>
      </c>
      <c r="B1508" s="1">
        <v>2</v>
      </c>
      <c r="C1508" s="1" t="s">
        <v>3</v>
      </c>
      <c r="D1508" s="1">
        <v>5</v>
      </c>
      <c r="E1508" s="1">
        <v>72.891000000000005</v>
      </c>
      <c r="F1508" s="1">
        <v>0.96584999999999999</v>
      </c>
      <c r="G1508" t="s">
        <v>2439</v>
      </c>
      <c r="H1508" t="s">
        <v>2440</v>
      </c>
      <c r="I1508" t="s">
        <v>5269</v>
      </c>
      <c r="J1508" t="str">
        <f>"Heat shock cognate 71 kDa protein;Heat shock-related 70 kDa protein 2"</f>
        <v>Heat shock cognate 71 kDa protein;Heat shock-related 70 kDa protein 2</v>
      </c>
      <c r="K1508" t="str">
        <f>"HSPA8;HSPA2"</f>
        <v>HSPA8;HSPA2</v>
      </c>
    </row>
    <row r="1509" spans="1:11" x14ac:dyDescent="0.25">
      <c r="A1509" s="1">
        <v>555</v>
      </c>
      <c r="B1509" s="1">
        <v>3</v>
      </c>
      <c r="C1509" s="1" t="s">
        <v>4</v>
      </c>
      <c r="D1509" s="1">
        <v>7</v>
      </c>
      <c r="E1509" s="1">
        <v>60.061999999999998</v>
      </c>
      <c r="F1509" s="1">
        <v>0.53444199999999997</v>
      </c>
      <c r="G1509" t="s">
        <v>2441</v>
      </c>
      <c r="H1509" t="s">
        <v>1641</v>
      </c>
      <c r="I1509" t="s">
        <v>5270</v>
      </c>
      <c r="J1509" t="str">
        <f>"Eukaryotic translation initiation factor 3 subunit D"</f>
        <v>Eukaryotic translation initiation factor 3 subunit D</v>
      </c>
      <c r="K1509" t="str">
        <f>"EIF3D"</f>
        <v>EIF3D</v>
      </c>
    </row>
    <row r="1510" spans="1:11" x14ac:dyDescent="0.25">
      <c r="A1510" s="1">
        <v>35</v>
      </c>
      <c r="B1510" s="1">
        <v>4</v>
      </c>
      <c r="C1510" s="1" t="s">
        <v>5</v>
      </c>
      <c r="D1510" s="1">
        <v>22</v>
      </c>
      <c r="E1510" s="1">
        <v>64.546999999999997</v>
      </c>
      <c r="F1510" s="1">
        <v>0.60769799999999996</v>
      </c>
      <c r="G1510" t="s">
        <v>2442</v>
      </c>
      <c r="H1510" t="s">
        <v>478</v>
      </c>
      <c r="I1510" t="s">
        <v>5271</v>
      </c>
      <c r="J1510" t="str">
        <f>"Spectrin alpha chain, non-erythrocytic 1"</f>
        <v>Spectrin alpha chain, non-erythrocytic 1</v>
      </c>
      <c r="K1510" t="str">
        <f>"SPTAN1"</f>
        <v>SPTAN1</v>
      </c>
    </row>
    <row r="1511" spans="1:11" x14ac:dyDescent="0.25">
      <c r="A1511" s="1">
        <v>1869</v>
      </c>
      <c r="B1511" s="1">
        <v>3</v>
      </c>
      <c r="C1511" s="1" t="s">
        <v>3</v>
      </c>
      <c r="D1511" s="1">
        <v>14</v>
      </c>
      <c r="E1511" s="1">
        <v>95.197000000000003</v>
      </c>
      <c r="F1511" s="1">
        <v>0.82757499999999995</v>
      </c>
      <c r="G1511" t="s">
        <v>2443</v>
      </c>
      <c r="H1511" t="s">
        <v>910</v>
      </c>
      <c r="I1511" t="s">
        <v>5272</v>
      </c>
      <c r="J1511" t="str">
        <f>"Filamin-A"</f>
        <v>Filamin-A</v>
      </c>
      <c r="K1511" t="str">
        <f>"FLNA"</f>
        <v>FLNA</v>
      </c>
    </row>
    <row r="1512" spans="1:11" x14ac:dyDescent="0.25">
      <c r="A1512" s="1">
        <v>1169</v>
      </c>
      <c r="B1512" s="1">
        <v>4</v>
      </c>
      <c r="C1512" s="1" t="s">
        <v>3</v>
      </c>
      <c r="D1512" s="1">
        <v>7</v>
      </c>
      <c r="E1512" s="1">
        <v>43.305999999999997</v>
      </c>
      <c r="F1512" s="1">
        <v>0.97384199999999999</v>
      </c>
      <c r="G1512" t="s">
        <v>2444</v>
      </c>
      <c r="H1512" t="s">
        <v>2445</v>
      </c>
      <c r="I1512" t="s">
        <v>5273</v>
      </c>
      <c r="J1512" t="str">
        <f>"Alpha-adducin"</f>
        <v>Alpha-adducin</v>
      </c>
      <c r="K1512" t="str">
        <f>"ADD1"</f>
        <v>ADD1</v>
      </c>
    </row>
    <row r="1513" spans="1:11" x14ac:dyDescent="0.25">
      <c r="A1513" s="1">
        <v>2928</v>
      </c>
      <c r="B1513" s="1">
        <v>2</v>
      </c>
      <c r="C1513" s="1" t="s">
        <v>3</v>
      </c>
      <c r="D1513" s="1">
        <v>6</v>
      </c>
      <c r="E1513" s="1">
        <v>70.888999999999996</v>
      </c>
      <c r="F1513" s="1">
        <v>0.99990900000000005</v>
      </c>
      <c r="G1513" t="s">
        <v>2446</v>
      </c>
      <c r="H1513" t="s">
        <v>2447</v>
      </c>
      <c r="I1513" t="s">
        <v>4872</v>
      </c>
      <c r="J1513" t="str">
        <f>""</f>
        <v/>
      </c>
      <c r="K1513" t="str">
        <f>""</f>
        <v/>
      </c>
    </row>
    <row r="1514" spans="1:11" x14ac:dyDescent="0.25">
      <c r="A1514" s="1">
        <v>199</v>
      </c>
      <c r="B1514" s="1">
        <v>3</v>
      </c>
      <c r="C1514" s="1" t="s">
        <v>5</v>
      </c>
      <c r="D1514" s="1">
        <v>13</v>
      </c>
      <c r="E1514" s="1">
        <v>63.225000000000001</v>
      </c>
      <c r="F1514" s="1">
        <v>1</v>
      </c>
      <c r="G1514" t="s">
        <v>367</v>
      </c>
      <c r="H1514" t="s">
        <v>319</v>
      </c>
      <c r="I1514">
        <v>418</v>
      </c>
      <c r="J1514" t="str">
        <f>"Tyrosine-protein kinase Fgr"</f>
        <v>Tyrosine-protein kinase Fgr</v>
      </c>
      <c r="K1514" t="str">
        <f>"FGR"</f>
        <v>FGR</v>
      </c>
    </row>
    <row r="1515" spans="1:11" x14ac:dyDescent="0.25">
      <c r="A1515" s="1">
        <v>1461</v>
      </c>
      <c r="B1515" s="1">
        <v>2</v>
      </c>
      <c r="C1515" s="1" t="s">
        <v>3</v>
      </c>
      <c r="D1515" s="1">
        <v>1</v>
      </c>
      <c r="E1515" s="1">
        <v>159.99</v>
      </c>
      <c r="F1515" s="1">
        <v>0.99999899999999997</v>
      </c>
      <c r="G1515" t="s">
        <v>2448</v>
      </c>
      <c r="H1515" t="s">
        <v>2449</v>
      </c>
      <c r="I1515">
        <v>26</v>
      </c>
      <c r="J1515" t="str">
        <f>""</f>
        <v/>
      </c>
      <c r="K1515" t="str">
        <f>""</f>
        <v/>
      </c>
    </row>
    <row r="1516" spans="1:11" x14ac:dyDescent="0.25">
      <c r="A1516" s="1">
        <v>2681</v>
      </c>
      <c r="B1516" s="1">
        <v>3</v>
      </c>
      <c r="C1516" s="1" t="s">
        <v>3</v>
      </c>
      <c r="D1516" s="1">
        <v>6</v>
      </c>
      <c r="E1516" s="1">
        <v>49.343000000000004</v>
      </c>
      <c r="F1516" s="1">
        <v>0.99910600000000005</v>
      </c>
      <c r="G1516" t="s">
        <v>2450</v>
      </c>
      <c r="H1516" t="s">
        <v>279</v>
      </c>
      <c r="I1516" t="s">
        <v>5274</v>
      </c>
      <c r="J1516" t="str">
        <f>"Lipolysis-stimulated lipoprotein receptor"</f>
        <v>Lipolysis-stimulated lipoprotein receptor</v>
      </c>
      <c r="K1516" t="str">
        <f>"LSR"</f>
        <v>LSR</v>
      </c>
    </row>
    <row r="1517" spans="1:11" x14ac:dyDescent="0.25">
      <c r="A1517" s="1">
        <v>2516</v>
      </c>
      <c r="B1517" s="1">
        <v>3</v>
      </c>
      <c r="C1517" s="1" t="s">
        <v>3</v>
      </c>
      <c r="D1517" s="1">
        <v>13</v>
      </c>
      <c r="E1517" s="1">
        <v>63.46</v>
      </c>
      <c r="F1517" s="1">
        <v>0.93604200000000004</v>
      </c>
      <c r="G1517" t="s">
        <v>2451</v>
      </c>
      <c r="H1517" t="s">
        <v>1572</v>
      </c>
      <c r="I1517" t="s">
        <v>5275</v>
      </c>
      <c r="J1517" t="str">
        <f>"Plectin"</f>
        <v>Plectin</v>
      </c>
      <c r="K1517" t="str">
        <f>"PLEC"</f>
        <v>PLEC</v>
      </c>
    </row>
    <row r="1518" spans="1:11" x14ac:dyDescent="0.25">
      <c r="A1518" s="1">
        <v>2196</v>
      </c>
      <c r="B1518" s="1">
        <v>2</v>
      </c>
      <c r="C1518" s="1" t="s">
        <v>3</v>
      </c>
      <c r="D1518" s="1">
        <v>1</v>
      </c>
      <c r="E1518" s="1">
        <v>45.433</v>
      </c>
      <c r="F1518" s="1">
        <v>1</v>
      </c>
      <c r="G1518" t="s">
        <v>2452</v>
      </c>
      <c r="H1518" t="s">
        <v>2453</v>
      </c>
      <c r="I1518" t="s">
        <v>5276</v>
      </c>
      <c r="J1518" t="str">
        <f>"Delta-1-pyrroline-5-carboxylate synthase;Glutamate 5-kinase;Gamma-glutamyl phosphate reductase"</f>
        <v>Delta-1-pyrroline-5-carboxylate synthase;Glutamate 5-kinase;Gamma-glutamyl phosphate reductase</v>
      </c>
      <c r="K1518" t="str">
        <f>"ALDH18A1"</f>
        <v>ALDH18A1</v>
      </c>
    </row>
    <row r="1519" spans="1:11" x14ac:dyDescent="0.25">
      <c r="A1519" s="1">
        <v>1202</v>
      </c>
      <c r="B1519" s="1">
        <v>2</v>
      </c>
      <c r="C1519" s="1" t="s">
        <v>3</v>
      </c>
      <c r="D1519" s="1">
        <v>6</v>
      </c>
      <c r="E1519" s="1">
        <v>60.018999999999998</v>
      </c>
      <c r="F1519" s="1">
        <v>0.99988299999999997</v>
      </c>
      <c r="G1519" t="s">
        <v>2454</v>
      </c>
      <c r="H1519" t="s">
        <v>2455</v>
      </c>
      <c r="I1519" t="s">
        <v>5277</v>
      </c>
      <c r="J1519" t="str">
        <f>"NADH dehydrogenase [ubiquinone] 1 beta subcomplex subunit 9"</f>
        <v>NADH dehydrogenase [ubiquinone] 1 beta subcomplex subunit 9</v>
      </c>
      <c r="K1519" t="str">
        <f>"NDUFB9"</f>
        <v>NDUFB9</v>
      </c>
    </row>
    <row r="1520" spans="1:11" x14ac:dyDescent="0.25">
      <c r="A1520" s="1">
        <v>913</v>
      </c>
      <c r="B1520" s="1">
        <v>3</v>
      </c>
      <c r="C1520" s="1" t="s">
        <v>3</v>
      </c>
      <c r="D1520" s="1">
        <v>8</v>
      </c>
      <c r="E1520" s="1">
        <v>109.79</v>
      </c>
      <c r="F1520" s="1">
        <v>0.999865</v>
      </c>
      <c r="G1520" t="s">
        <v>2456</v>
      </c>
      <c r="H1520" t="s">
        <v>2457</v>
      </c>
      <c r="I1520" t="s">
        <v>5278</v>
      </c>
      <c r="J1520" t="str">
        <f>"Sarcosine dehydrogenase, mitochondrial"</f>
        <v>Sarcosine dehydrogenase, mitochondrial</v>
      </c>
      <c r="K1520" t="str">
        <f>"SARDH"</f>
        <v>SARDH</v>
      </c>
    </row>
    <row r="1521" spans="1:11" x14ac:dyDescent="0.25">
      <c r="A1521" s="1">
        <v>968</v>
      </c>
      <c r="B1521" s="1">
        <v>3</v>
      </c>
      <c r="C1521" s="1" t="s">
        <v>3</v>
      </c>
      <c r="D1521" s="1">
        <v>14</v>
      </c>
      <c r="E1521" s="1">
        <v>69.978999999999999</v>
      </c>
      <c r="F1521" s="1">
        <v>1</v>
      </c>
      <c r="G1521" t="s">
        <v>2458</v>
      </c>
      <c r="H1521" t="s">
        <v>2459</v>
      </c>
      <c r="I1521" t="s">
        <v>5279</v>
      </c>
      <c r="J1521" t="str">
        <f>"Leukocyte immunoglobulin-like receptor subfamily B member 3"</f>
        <v>Leukocyte immunoglobulin-like receptor subfamily B member 3</v>
      </c>
      <c r="K1521" t="str">
        <f>"LILRB3;LILRA6"</f>
        <v>LILRB3;LILRA6</v>
      </c>
    </row>
    <row r="1522" spans="1:11" x14ac:dyDescent="0.25">
      <c r="A1522" s="1">
        <v>568</v>
      </c>
      <c r="B1522" s="1">
        <v>3</v>
      </c>
      <c r="C1522" s="1" t="s">
        <v>4</v>
      </c>
      <c r="D1522" s="1">
        <v>10</v>
      </c>
      <c r="E1522" s="1">
        <v>47.774000000000001</v>
      </c>
      <c r="F1522" s="1">
        <v>0.65831200000000001</v>
      </c>
      <c r="G1522" t="s">
        <v>2460</v>
      </c>
      <c r="H1522" t="s">
        <v>41</v>
      </c>
      <c r="I1522" t="s">
        <v>5280</v>
      </c>
      <c r="J1522" t="str">
        <f>"Glutaminase kidney isoform, mitochondrial"</f>
        <v>Glutaminase kidney isoform, mitochondrial</v>
      </c>
      <c r="K1522" t="str">
        <f>"GLS"</f>
        <v>GLS</v>
      </c>
    </row>
    <row r="1523" spans="1:11" x14ac:dyDescent="0.25">
      <c r="A1523" s="1">
        <v>270</v>
      </c>
      <c r="B1523" s="1">
        <v>2</v>
      </c>
      <c r="C1523" s="1" t="s">
        <v>5</v>
      </c>
      <c r="D1523" s="1">
        <v>9</v>
      </c>
      <c r="E1523" s="1">
        <v>110.97</v>
      </c>
      <c r="F1523" s="1">
        <v>0.69006299999999998</v>
      </c>
      <c r="G1523" t="s">
        <v>2461</v>
      </c>
      <c r="H1523" t="s">
        <v>1171</v>
      </c>
      <c r="I1523">
        <v>22</v>
      </c>
      <c r="J1523" t="str">
        <f>"Ribonuclease UK114"</f>
        <v>Ribonuclease UK114</v>
      </c>
      <c r="K1523" t="str">
        <f>"HRSP12"</f>
        <v>HRSP12</v>
      </c>
    </row>
    <row r="1524" spans="1:11" x14ac:dyDescent="0.25">
      <c r="A1524" s="1">
        <v>2605</v>
      </c>
      <c r="B1524" s="1">
        <v>2</v>
      </c>
      <c r="C1524" s="1" t="s">
        <v>3</v>
      </c>
      <c r="D1524" s="1">
        <v>9</v>
      </c>
      <c r="E1524" s="1">
        <v>91.960999999999999</v>
      </c>
      <c r="F1524" s="1">
        <v>1</v>
      </c>
      <c r="G1524" t="s">
        <v>2462</v>
      </c>
      <c r="H1524" t="s">
        <v>2463</v>
      </c>
      <c r="I1524" t="s">
        <v>5281</v>
      </c>
      <c r="J1524" t="str">
        <f>"BRO1 domain-containing protein BROX"</f>
        <v>BRO1 domain-containing protein BROX</v>
      </c>
      <c r="K1524" t="str">
        <f>"BROX"</f>
        <v>BROX</v>
      </c>
    </row>
    <row r="1525" spans="1:11" x14ac:dyDescent="0.25">
      <c r="A1525" s="1">
        <v>3033</v>
      </c>
      <c r="B1525" s="1">
        <v>3</v>
      </c>
      <c r="C1525" s="1" t="s">
        <v>3</v>
      </c>
      <c r="D1525" s="1">
        <v>8</v>
      </c>
      <c r="E1525" s="1">
        <v>62.055</v>
      </c>
      <c r="F1525" s="1">
        <v>0.78162500000000001</v>
      </c>
      <c r="G1525" t="s">
        <v>2464</v>
      </c>
      <c r="H1525" t="s">
        <v>2465</v>
      </c>
      <c r="I1525">
        <v>151</v>
      </c>
      <c r="J1525" t="str">
        <f>"UPF0587 protein C1orf123"</f>
        <v>UPF0587 protein C1orf123</v>
      </c>
      <c r="K1525" t="str">
        <f>"C1orf123"</f>
        <v>C1orf123</v>
      </c>
    </row>
    <row r="1526" spans="1:11" x14ac:dyDescent="0.25">
      <c r="A1526" s="1">
        <v>2442</v>
      </c>
      <c r="B1526" s="1">
        <v>3</v>
      </c>
      <c r="C1526" s="1" t="s">
        <v>3</v>
      </c>
      <c r="D1526" s="1">
        <v>9</v>
      </c>
      <c r="E1526" s="1">
        <v>76.358000000000004</v>
      </c>
      <c r="F1526" s="1">
        <v>1</v>
      </c>
      <c r="G1526" t="s">
        <v>2466</v>
      </c>
      <c r="H1526" t="s">
        <v>2467</v>
      </c>
      <c r="I1526" t="s">
        <v>5282</v>
      </c>
      <c r="J1526" t="str">
        <f>"Four and a half LIM domains protein 1"</f>
        <v>Four and a half LIM domains protein 1</v>
      </c>
      <c r="K1526" t="str">
        <f>"FHL1"</f>
        <v>FHL1</v>
      </c>
    </row>
    <row r="1527" spans="1:11" x14ac:dyDescent="0.25">
      <c r="A1527" s="1">
        <v>28</v>
      </c>
      <c r="B1527" s="1">
        <v>2</v>
      </c>
      <c r="C1527" s="1" t="s">
        <v>5</v>
      </c>
      <c r="D1527" s="1">
        <v>3</v>
      </c>
      <c r="E1527" s="1">
        <v>68.480999999999995</v>
      </c>
      <c r="F1527" s="1">
        <v>1</v>
      </c>
      <c r="G1527" t="s">
        <v>381</v>
      </c>
      <c r="H1527" t="s">
        <v>155</v>
      </c>
      <c r="I1527" t="s">
        <v>5283</v>
      </c>
      <c r="J1527" t="str">
        <f>"G-protein coupled receptor family C group 5 member C"</f>
        <v>G-protein coupled receptor family C group 5 member C</v>
      </c>
      <c r="K1527" t="str">
        <f>"GPRC5C"</f>
        <v>GPRC5C</v>
      </c>
    </row>
    <row r="1528" spans="1:11" x14ac:dyDescent="0.25">
      <c r="A1528" s="1">
        <v>2031</v>
      </c>
      <c r="B1528" s="1">
        <v>3</v>
      </c>
      <c r="C1528" s="1" t="s">
        <v>3</v>
      </c>
      <c r="D1528" s="1">
        <v>12</v>
      </c>
      <c r="E1528" s="1">
        <v>61.408999999999999</v>
      </c>
      <c r="F1528" s="1">
        <v>0.78732800000000003</v>
      </c>
      <c r="G1528" t="s">
        <v>2468</v>
      </c>
      <c r="H1528" t="s">
        <v>2469</v>
      </c>
      <c r="I1528" t="s">
        <v>5284</v>
      </c>
      <c r="J1528" t="str">
        <f>"Signal transducer and activator of transcription 1-alpha/beta;Signal transducer and activator of transcription"</f>
        <v>Signal transducer and activator of transcription 1-alpha/beta;Signal transducer and activator of transcription</v>
      </c>
      <c r="K1528" t="str">
        <f>"STAT1"</f>
        <v>STAT1</v>
      </c>
    </row>
    <row r="1529" spans="1:11" x14ac:dyDescent="0.25">
      <c r="A1529" s="1">
        <v>2528</v>
      </c>
      <c r="B1529" s="1">
        <v>5</v>
      </c>
      <c r="C1529" s="1" t="s">
        <v>3</v>
      </c>
      <c r="D1529" s="1">
        <v>7</v>
      </c>
      <c r="E1529" s="1">
        <v>45.204999999999998</v>
      </c>
      <c r="F1529" s="1">
        <v>0.88778800000000002</v>
      </c>
      <c r="G1529" t="s">
        <v>2470</v>
      </c>
      <c r="H1529" t="s">
        <v>2471</v>
      </c>
      <c r="I1529" t="s">
        <v>5285</v>
      </c>
      <c r="J1529" t="str">
        <f>"Reticulocalbin-1"</f>
        <v>Reticulocalbin-1</v>
      </c>
      <c r="K1529" t="str">
        <f>"RCN1"</f>
        <v>RCN1</v>
      </c>
    </row>
    <row r="1530" spans="1:11" x14ac:dyDescent="0.25">
      <c r="A1530" s="1">
        <v>2953</v>
      </c>
      <c r="B1530" s="1">
        <v>3</v>
      </c>
      <c r="C1530" s="1" t="s">
        <v>3</v>
      </c>
      <c r="D1530" s="1">
        <v>8</v>
      </c>
      <c r="E1530" s="1">
        <v>48.906999999999996</v>
      </c>
      <c r="F1530" s="1">
        <v>0.99463999999999997</v>
      </c>
      <c r="G1530" t="s">
        <v>2472</v>
      </c>
      <c r="H1530" t="s">
        <v>2473</v>
      </c>
      <c r="I1530" t="s">
        <v>5286</v>
      </c>
      <c r="J1530" t="str">
        <f>"PITH domain-containing protein 1"</f>
        <v>PITH domain-containing protein 1</v>
      </c>
      <c r="K1530" t="str">
        <f>"PITHD1"</f>
        <v>PITHD1</v>
      </c>
    </row>
    <row r="1531" spans="1:11" x14ac:dyDescent="0.25">
      <c r="A1531" s="1">
        <v>2938</v>
      </c>
      <c r="B1531" s="1">
        <v>2</v>
      </c>
      <c r="C1531" s="1" t="s">
        <v>3</v>
      </c>
      <c r="D1531" s="1">
        <v>8</v>
      </c>
      <c r="E1531" s="1">
        <v>89.623999999999995</v>
      </c>
      <c r="F1531" s="1">
        <v>0.79650900000000002</v>
      </c>
      <c r="G1531" t="s">
        <v>2474</v>
      </c>
      <c r="H1531" t="s">
        <v>2475</v>
      </c>
      <c r="I1531">
        <v>1032</v>
      </c>
      <c r="J1531" t="str">
        <f>"Uncharacterized protein KIAA1671"</f>
        <v>Uncharacterized protein KIAA1671</v>
      </c>
      <c r="K1531" t="str">
        <f>"KIAA1671"</f>
        <v>KIAA1671</v>
      </c>
    </row>
    <row r="1532" spans="1:11" x14ac:dyDescent="0.25">
      <c r="A1532" s="1">
        <v>2964</v>
      </c>
      <c r="B1532" s="1">
        <v>2</v>
      </c>
      <c r="C1532" s="1" t="s">
        <v>3</v>
      </c>
      <c r="D1532" s="1">
        <v>2</v>
      </c>
      <c r="E1532" s="1">
        <v>58.591999999999999</v>
      </c>
      <c r="F1532" s="1">
        <v>0.87107999999999997</v>
      </c>
      <c r="G1532" t="s">
        <v>2476</v>
      </c>
      <c r="H1532" t="s">
        <v>2477</v>
      </c>
      <c r="I1532" t="s">
        <v>5044</v>
      </c>
      <c r="J1532" t="str">
        <f>"ATP-dependent RNA helicase DHX36"</f>
        <v>ATP-dependent RNA helicase DHX36</v>
      </c>
      <c r="K1532" t="str">
        <f>"DHX36"</f>
        <v>DHX36</v>
      </c>
    </row>
    <row r="1533" spans="1:11" x14ac:dyDescent="0.25">
      <c r="A1533" s="1">
        <v>2417</v>
      </c>
      <c r="B1533" s="1">
        <v>3</v>
      </c>
      <c r="C1533" s="1" t="s">
        <v>3</v>
      </c>
      <c r="D1533" s="1">
        <v>6</v>
      </c>
      <c r="E1533" s="1">
        <v>48.567999999999998</v>
      </c>
      <c r="F1533" s="1">
        <v>0.94820499999999996</v>
      </c>
      <c r="G1533" t="s">
        <v>2478</v>
      </c>
      <c r="H1533" t="s">
        <v>2479</v>
      </c>
      <c r="I1533">
        <v>238</v>
      </c>
      <c r="J1533" t="str">
        <f>"N-myc-interactor"</f>
        <v>N-myc-interactor</v>
      </c>
      <c r="K1533" t="str">
        <f>"NMI"</f>
        <v>NMI</v>
      </c>
    </row>
    <row r="1534" spans="1:11" x14ac:dyDescent="0.25">
      <c r="A1534" s="1">
        <v>2484</v>
      </c>
      <c r="B1534" s="1">
        <v>3</v>
      </c>
      <c r="C1534" s="1" t="s">
        <v>3</v>
      </c>
      <c r="D1534" s="1">
        <v>10</v>
      </c>
      <c r="E1534" s="1">
        <v>47.548000000000002</v>
      </c>
      <c r="F1534" s="1">
        <v>0.87538499999999997</v>
      </c>
      <c r="G1534" t="s">
        <v>2480</v>
      </c>
      <c r="H1534" t="s">
        <v>2481</v>
      </c>
      <c r="I1534">
        <v>89</v>
      </c>
      <c r="J1534" t="str">
        <f>"Guanine nucleotide-binding protein subunit alpha-13"</f>
        <v>Guanine nucleotide-binding protein subunit alpha-13</v>
      </c>
      <c r="K1534" t="str">
        <f>"GNA13"</f>
        <v>GNA13</v>
      </c>
    </row>
    <row r="1535" spans="1:11" x14ac:dyDescent="0.25">
      <c r="A1535" s="1">
        <v>958</v>
      </c>
      <c r="B1535" s="1">
        <v>3</v>
      </c>
      <c r="C1535" s="1" t="s">
        <v>3</v>
      </c>
      <c r="D1535" s="1">
        <v>8</v>
      </c>
      <c r="E1535" s="1">
        <v>43.793999999999997</v>
      </c>
      <c r="F1535" s="1">
        <v>0.917018</v>
      </c>
      <c r="G1535" t="s">
        <v>2482</v>
      </c>
      <c r="H1535" t="s">
        <v>2483</v>
      </c>
      <c r="I1535" t="s">
        <v>5287</v>
      </c>
      <c r="J1535" t="str">
        <f>"Spectrin alpha chain, non-erythrocytic 1"</f>
        <v>Spectrin alpha chain, non-erythrocytic 1</v>
      </c>
      <c r="K1535" t="str">
        <f>"SPTAN1"</f>
        <v>SPTAN1</v>
      </c>
    </row>
    <row r="1536" spans="1:11" x14ac:dyDescent="0.25">
      <c r="A1536" s="1">
        <v>61</v>
      </c>
      <c r="B1536" s="1">
        <v>4</v>
      </c>
      <c r="C1536" s="1" t="s">
        <v>5</v>
      </c>
      <c r="D1536" s="1">
        <v>3</v>
      </c>
      <c r="E1536" s="1">
        <v>62.052</v>
      </c>
      <c r="F1536" s="1">
        <v>0.99998799999999999</v>
      </c>
      <c r="G1536" t="s">
        <v>2484</v>
      </c>
      <c r="H1536" t="s">
        <v>143</v>
      </c>
      <c r="I1536">
        <v>320</v>
      </c>
      <c r="J1536" t="str">
        <f>""</f>
        <v/>
      </c>
      <c r="K1536" t="str">
        <f>"CTNND1"</f>
        <v>CTNND1</v>
      </c>
    </row>
    <row r="1537" spans="1:11" x14ac:dyDescent="0.25">
      <c r="A1537" s="1">
        <v>1129</v>
      </c>
      <c r="B1537" s="1">
        <v>4</v>
      </c>
      <c r="C1537" s="1" t="s">
        <v>3</v>
      </c>
      <c r="D1537" s="1">
        <v>4</v>
      </c>
      <c r="E1537" s="1">
        <v>62.052</v>
      </c>
      <c r="F1537" s="1">
        <v>0.99998799999999999</v>
      </c>
      <c r="G1537" t="s">
        <v>2484</v>
      </c>
      <c r="H1537" t="s">
        <v>143</v>
      </c>
      <c r="I1537">
        <v>321</v>
      </c>
      <c r="J1537" t="str">
        <f>""</f>
        <v/>
      </c>
      <c r="K1537" t="str">
        <f>"CTNND1"</f>
        <v>CTNND1</v>
      </c>
    </row>
    <row r="1538" spans="1:11" x14ac:dyDescent="0.25">
      <c r="A1538" s="1">
        <v>1487</v>
      </c>
      <c r="B1538" s="1">
        <v>3</v>
      </c>
      <c r="C1538" s="1" t="s">
        <v>3</v>
      </c>
      <c r="D1538" s="1">
        <v>6</v>
      </c>
      <c r="E1538" s="1">
        <v>80.69</v>
      </c>
      <c r="F1538" s="1">
        <v>0.99999899999999997</v>
      </c>
      <c r="G1538" t="s">
        <v>2485</v>
      </c>
      <c r="H1538" t="s">
        <v>2486</v>
      </c>
      <c r="I1538">
        <v>311</v>
      </c>
      <c r="J1538" t="str">
        <f>"A-kinase anchor protein 8"</f>
        <v>A-kinase anchor protein 8</v>
      </c>
      <c r="K1538" t="str">
        <f>"AKAP8"</f>
        <v>AKAP8</v>
      </c>
    </row>
    <row r="1539" spans="1:11" x14ac:dyDescent="0.25">
      <c r="A1539" s="1">
        <v>2015</v>
      </c>
      <c r="B1539" s="1">
        <v>3</v>
      </c>
      <c r="C1539" s="1" t="s">
        <v>3</v>
      </c>
      <c r="D1539" s="1">
        <v>11</v>
      </c>
      <c r="E1539" s="1">
        <v>79.614000000000004</v>
      </c>
      <c r="F1539" s="1">
        <v>0.945932</v>
      </c>
      <c r="G1539" t="s">
        <v>2487</v>
      </c>
      <c r="H1539" t="s">
        <v>2488</v>
      </c>
      <c r="I1539">
        <v>118</v>
      </c>
      <c r="J1539" t="str">
        <f>"Stress-70 protein, mitochondrial"</f>
        <v>Stress-70 protein, mitochondrial</v>
      </c>
      <c r="K1539" t="str">
        <f>"HSPA9"</f>
        <v>HSPA9</v>
      </c>
    </row>
    <row r="1540" spans="1:11" x14ac:dyDescent="0.25">
      <c r="A1540" s="1">
        <v>2431</v>
      </c>
      <c r="B1540" s="1">
        <v>3</v>
      </c>
      <c r="C1540" s="1" t="s">
        <v>3</v>
      </c>
      <c r="D1540" s="1">
        <v>12</v>
      </c>
      <c r="E1540" s="1">
        <v>53.625</v>
      </c>
      <c r="F1540" s="1">
        <v>0.91747900000000004</v>
      </c>
      <c r="G1540" t="s">
        <v>2489</v>
      </c>
      <c r="H1540" t="s">
        <v>1676</v>
      </c>
      <c r="I1540" t="s">
        <v>5288</v>
      </c>
      <c r="J1540" t="str">
        <f>"Receptor-interacting serine/threonine-protein kinase 1"</f>
        <v>Receptor-interacting serine/threonine-protein kinase 1</v>
      </c>
      <c r="K1540" t="str">
        <f>"RIPK1"</f>
        <v>RIPK1</v>
      </c>
    </row>
    <row r="1541" spans="1:11" x14ac:dyDescent="0.25">
      <c r="A1541" s="1">
        <v>2642</v>
      </c>
      <c r="B1541" s="1">
        <v>3</v>
      </c>
      <c r="C1541" s="1" t="s">
        <v>3</v>
      </c>
      <c r="D1541" s="1">
        <v>7</v>
      </c>
      <c r="E1541" s="1">
        <v>77.899000000000001</v>
      </c>
      <c r="F1541" s="1">
        <v>0.77442800000000001</v>
      </c>
      <c r="G1541" t="s">
        <v>2490</v>
      </c>
      <c r="H1541" t="s">
        <v>2491</v>
      </c>
      <c r="I1541" t="s">
        <v>5289</v>
      </c>
      <c r="J1541" t="str">
        <f>"Leucine-rich repeats and immunoglobulin-like domains protein 3"</f>
        <v>Leucine-rich repeats and immunoglobulin-like domains protein 3</v>
      </c>
      <c r="K1541" t="str">
        <f>"LRIG3"</f>
        <v>LRIG3</v>
      </c>
    </row>
    <row r="1542" spans="1:11" x14ac:dyDescent="0.25">
      <c r="A1542" s="1">
        <v>2371</v>
      </c>
      <c r="B1542" s="1">
        <v>3</v>
      </c>
      <c r="C1542" s="1" t="s">
        <v>3</v>
      </c>
      <c r="D1542" s="1">
        <v>8</v>
      </c>
      <c r="E1542" s="1">
        <v>51.643000000000001</v>
      </c>
      <c r="F1542" s="1">
        <v>0.99851699999999999</v>
      </c>
      <c r="G1542" t="s">
        <v>2492</v>
      </c>
      <c r="H1542" t="s">
        <v>2493</v>
      </c>
      <c r="I1542">
        <v>836</v>
      </c>
      <c r="J1542" t="str">
        <f>"Neuroblast differentiation-associated protein AHNAK"</f>
        <v>Neuroblast differentiation-associated protein AHNAK</v>
      </c>
      <c r="K1542" t="str">
        <f>"AHNAK"</f>
        <v>AHNAK</v>
      </c>
    </row>
    <row r="1543" spans="1:11" x14ac:dyDescent="0.25">
      <c r="A1543" s="1">
        <v>1357</v>
      </c>
      <c r="B1543" s="1">
        <v>2</v>
      </c>
      <c r="C1543" s="1" t="s">
        <v>3</v>
      </c>
      <c r="D1543" s="1">
        <v>1</v>
      </c>
      <c r="E1543" s="1">
        <v>104.24</v>
      </c>
      <c r="F1543" s="1">
        <v>0.88415600000000005</v>
      </c>
      <c r="G1543" t="s">
        <v>2494</v>
      </c>
      <c r="H1543" t="s">
        <v>2495</v>
      </c>
      <c r="I1543" t="s">
        <v>5290</v>
      </c>
      <c r="J1543" t="str">
        <f>"Lysine-specific demethylase 2A"</f>
        <v>Lysine-specific demethylase 2A</v>
      </c>
      <c r="K1543" t="str">
        <f>"KDM2A"</f>
        <v>KDM2A</v>
      </c>
    </row>
    <row r="1544" spans="1:11" x14ac:dyDescent="0.25">
      <c r="A1544" s="1">
        <v>1663</v>
      </c>
      <c r="B1544" s="1">
        <v>3</v>
      </c>
      <c r="C1544" s="1" t="s">
        <v>3</v>
      </c>
      <c r="D1544" s="1">
        <v>10</v>
      </c>
      <c r="E1544" s="1">
        <v>51.566000000000003</v>
      </c>
      <c r="F1544" s="1">
        <v>0.99872399999999995</v>
      </c>
      <c r="G1544" t="s">
        <v>2496</v>
      </c>
      <c r="H1544" t="s">
        <v>905</v>
      </c>
      <c r="I1544">
        <v>684</v>
      </c>
      <c r="J1544" t="str">
        <f>"Bifunctional glutamate/proline--tRNA ligase;Glutamate--tRNA ligase;Proline--tRNA ligase"</f>
        <v>Bifunctional glutamate/proline--tRNA ligase;Glutamate--tRNA ligase;Proline--tRNA ligase</v>
      </c>
      <c r="K1544" t="str">
        <f>"EPRS"</f>
        <v>EPRS</v>
      </c>
    </row>
    <row r="1545" spans="1:11" x14ac:dyDescent="0.25">
      <c r="A1545" s="1">
        <v>410</v>
      </c>
      <c r="B1545" s="1">
        <v>3</v>
      </c>
      <c r="C1545" s="1" t="s">
        <v>5</v>
      </c>
      <c r="D1545" s="1">
        <v>10</v>
      </c>
      <c r="E1545" s="1">
        <v>80.813000000000002</v>
      </c>
      <c r="F1545" s="1">
        <v>0.54120100000000004</v>
      </c>
      <c r="G1545" t="s">
        <v>2497</v>
      </c>
      <c r="H1545" t="s">
        <v>228</v>
      </c>
      <c r="I1545" t="s">
        <v>5291</v>
      </c>
      <c r="J1545" t="str">
        <f>"Discoidin, CUB and LCCL domain-containing protein 2"</f>
        <v>Discoidin, CUB and LCCL domain-containing protein 2</v>
      </c>
      <c r="K1545" t="str">
        <f>"DCBLD2"</f>
        <v>DCBLD2</v>
      </c>
    </row>
    <row r="1546" spans="1:11" x14ac:dyDescent="0.25">
      <c r="A1546" s="1">
        <v>57</v>
      </c>
      <c r="B1546" s="1">
        <v>3</v>
      </c>
      <c r="C1546" s="1" t="s">
        <v>5</v>
      </c>
      <c r="D1546" s="1">
        <v>17</v>
      </c>
      <c r="E1546" s="1">
        <v>44.238</v>
      </c>
      <c r="F1546" s="1">
        <v>0.50483999999999996</v>
      </c>
      <c r="G1546" t="s">
        <v>2498</v>
      </c>
      <c r="H1546" t="s">
        <v>2499</v>
      </c>
      <c r="I1546" t="s">
        <v>5292</v>
      </c>
      <c r="J1546" t="str">
        <f>"Sialic acid-binding Ig-like lectin 8"</f>
        <v>Sialic acid-binding Ig-like lectin 8</v>
      </c>
      <c r="K1546" t="str">
        <f>"SIGLEC8"</f>
        <v>SIGLEC8</v>
      </c>
    </row>
    <row r="1547" spans="1:11" x14ac:dyDescent="0.25">
      <c r="A1547" s="1">
        <v>2980</v>
      </c>
      <c r="B1547" s="1">
        <v>4</v>
      </c>
      <c r="C1547" s="1" t="s">
        <v>3</v>
      </c>
      <c r="D1547" s="1">
        <v>20</v>
      </c>
      <c r="E1547" s="1">
        <v>88.070999999999998</v>
      </c>
      <c r="F1547" s="1">
        <v>0.78654400000000002</v>
      </c>
      <c r="G1547" t="s">
        <v>2500</v>
      </c>
      <c r="H1547" t="s">
        <v>2501</v>
      </c>
      <c r="I1547">
        <v>241</v>
      </c>
      <c r="J1547" t="str">
        <f>"Methyltransferase-like protein 7A"</f>
        <v>Methyltransferase-like protein 7A</v>
      </c>
      <c r="K1547" t="str">
        <f>"METTL7A"</f>
        <v>METTL7A</v>
      </c>
    </row>
    <row r="1548" spans="1:11" x14ac:dyDescent="0.25">
      <c r="A1548" s="1">
        <v>3138</v>
      </c>
      <c r="B1548" s="1">
        <v>3</v>
      </c>
      <c r="C1548" s="1" t="s">
        <v>3</v>
      </c>
      <c r="D1548" s="1">
        <v>19</v>
      </c>
      <c r="E1548" s="1">
        <v>57.484000000000002</v>
      </c>
      <c r="F1548" s="1">
        <v>0.90803699999999998</v>
      </c>
      <c r="G1548" t="s">
        <v>2502</v>
      </c>
      <c r="H1548" t="s">
        <v>209</v>
      </c>
      <c r="I1548">
        <v>1893</v>
      </c>
      <c r="J1548" t="str">
        <f>"Talin-1"</f>
        <v>Talin-1</v>
      </c>
      <c r="K1548" t="str">
        <f>"TLN1"</f>
        <v>TLN1</v>
      </c>
    </row>
    <row r="1549" spans="1:11" x14ac:dyDescent="0.25">
      <c r="A1549" s="1">
        <v>91</v>
      </c>
      <c r="B1549" s="1">
        <v>3</v>
      </c>
      <c r="C1549" s="1" t="s">
        <v>5</v>
      </c>
      <c r="D1549" s="1">
        <v>3</v>
      </c>
      <c r="E1549" s="1">
        <v>55.661999999999999</v>
      </c>
      <c r="F1549" s="1">
        <v>0.96009199999999995</v>
      </c>
      <c r="G1549" t="s">
        <v>2503</v>
      </c>
      <c r="H1549" t="s">
        <v>433</v>
      </c>
      <c r="I1549" t="s">
        <v>5293</v>
      </c>
      <c r="J1549" t="str">
        <f>"Tensin-1"</f>
        <v>Tensin-1</v>
      </c>
      <c r="K1549" t="str">
        <f>"TNS1"</f>
        <v>TNS1</v>
      </c>
    </row>
    <row r="1550" spans="1:11" x14ac:dyDescent="0.25">
      <c r="A1550" s="1">
        <v>3073</v>
      </c>
      <c r="B1550" s="1">
        <v>2</v>
      </c>
      <c r="C1550" s="1" t="s">
        <v>3</v>
      </c>
      <c r="D1550" s="1">
        <v>5</v>
      </c>
      <c r="E1550" s="1">
        <v>99.5</v>
      </c>
      <c r="F1550" s="1">
        <v>0.99999499999999997</v>
      </c>
      <c r="G1550" t="s">
        <v>2504</v>
      </c>
      <c r="H1550" t="s">
        <v>1187</v>
      </c>
      <c r="I1550">
        <v>380</v>
      </c>
      <c r="J1550" t="str">
        <f>"Brain-specific angiogenesis inhibitor 1-associated protein 2-like protein 1"</f>
        <v>Brain-specific angiogenesis inhibitor 1-associated protein 2-like protein 1</v>
      </c>
      <c r="K1550" t="str">
        <f>"BAIAP2L1"</f>
        <v>BAIAP2L1</v>
      </c>
    </row>
    <row r="1551" spans="1:11" x14ac:dyDescent="0.25">
      <c r="A1551" s="1">
        <v>3087</v>
      </c>
      <c r="B1551" s="1">
        <v>3</v>
      </c>
      <c r="C1551" s="1" t="s">
        <v>3</v>
      </c>
      <c r="D1551" s="1">
        <v>14</v>
      </c>
      <c r="E1551" s="1">
        <v>47.472000000000001</v>
      </c>
      <c r="F1551" s="1">
        <v>0.94596199999999997</v>
      </c>
      <c r="G1551" t="s">
        <v>2505</v>
      </c>
      <c r="H1551" t="s">
        <v>2430</v>
      </c>
      <c r="I1551" t="s">
        <v>5294</v>
      </c>
      <c r="J1551" t="str">
        <f>"TRAF2 and NCK-interacting protein kinase"</f>
        <v>TRAF2 and NCK-interacting protein kinase</v>
      </c>
      <c r="K1551" t="str">
        <f>"TNIK"</f>
        <v>TNIK</v>
      </c>
    </row>
    <row r="1552" spans="1:11" x14ac:dyDescent="0.25">
      <c r="A1552" s="1">
        <v>1002</v>
      </c>
      <c r="B1552" s="1">
        <v>3</v>
      </c>
      <c r="C1552" s="1" t="s">
        <v>3</v>
      </c>
      <c r="D1552" s="1">
        <v>16</v>
      </c>
      <c r="E1552" s="1">
        <v>128.29</v>
      </c>
      <c r="F1552" s="1">
        <v>0.62801600000000002</v>
      </c>
      <c r="G1552" t="s">
        <v>2506</v>
      </c>
      <c r="H1552" t="s">
        <v>2507</v>
      </c>
      <c r="I1552" t="s">
        <v>5295</v>
      </c>
      <c r="J1552" t="str">
        <f>"RanBP-type and C3HC4-type zinc finger-containing protein 1"</f>
        <v>RanBP-type and C3HC4-type zinc finger-containing protein 1</v>
      </c>
      <c r="K1552" t="str">
        <f>"RBCK1"</f>
        <v>RBCK1</v>
      </c>
    </row>
    <row r="1553" spans="1:11" x14ac:dyDescent="0.25">
      <c r="A1553" s="1">
        <v>322</v>
      </c>
      <c r="B1553" s="1">
        <v>3</v>
      </c>
      <c r="C1553" s="1" t="s">
        <v>5</v>
      </c>
      <c r="D1553" s="1">
        <v>12</v>
      </c>
      <c r="E1553" s="1">
        <v>45.28</v>
      </c>
      <c r="F1553" s="1">
        <v>0.62570400000000004</v>
      </c>
      <c r="G1553" t="s">
        <v>2508</v>
      </c>
      <c r="H1553" t="s">
        <v>1676</v>
      </c>
      <c r="I1553" t="s">
        <v>5296</v>
      </c>
      <c r="J1553" t="str">
        <f>"Receptor-interacting serine/threonine-protein kinase 1"</f>
        <v>Receptor-interacting serine/threonine-protein kinase 1</v>
      </c>
      <c r="K1553" t="str">
        <f>"RIPK1"</f>
        <v>RIPK1</v>
      </c>
    </row>
    <row r="1554" spans="1:11" x14ac:dyDescent="0.25">
      <c r="A1554" s="1">
        <v>2475</v>
      </c>
      <c r="B1554" s="1">
        <v>3</v>
      </c>
      <c r="C1554" s="1" t="s">
        <v>3</v>
      </c>
      <c r="D1554" s="1">
        <v>4</v>
      </c>
      <c r="E1554" s="1">
        <v>62.055</v>
      </c>
      <c r="F1554" s="1">
        <v>0.99978599999999995</v>
      </c>
      <c r="G1554" t="s">
        <v>2509</v>
      </c>
      <c r="H1554" t="s">
        <v>2510</v>
      </c>
      <c r="I1554" t="s">
        <v>5297</v>
      </c>
      <c r="J1554" t="str">
        <f>"Protein-tyrosine kinase 2-beta"</f>
        <v>Protein-tyrosine kinase 2-beta</v>
      </c>
      <c r="K1554" t="str">
        <f>"PTK2B"</f>
        <v>PTK2B</v>
      </c>
    </row>
    <row r="1555" spans="1:11" x14ac:dyDescent="0.25">
      <c r="A1555" s="1">
        <v>2859</v>
      </c>
      <c r="B1555" s="1">
        <v>3</v>
      </c>
      <c r="C1555" s="1" t="s">
        <v>3</v>
      </c>
      <c r="D1555" s="1">
        <v>16</v>
      </c>
      <c r="E1555" s="1">
        <v>51.494999999999997</v>
      </c>
      <c r="F1555" s="1">
        <v>0.98199899999999996</v>
      </c>
      <c r="G1555" t="s">
        <v>2511</v>
      </c>
      <c r="H1555" t="s">
        <v>2512</v>
      </c>
      <c r="I1555">
        <v>93</v>
      </c>
      <c r="J1555" t="str">
        <f>"Protein FAM84B"</f>
        <v>Protein FAM84B</v>
      </c>
      <c r="K1555" t="str">
        <f>"FAM84B"</f>
        <v>FAM84B</v>
      </c>
    </row>
    <row r="1556" spans="1:11" x14ac:dyDescent="0.25">
      <c r="A1556" s="1">
        <v>3036</v>
      </c>
      <c r="B1556" s="1">
        <v>2</v>
      </c>
      <c r="C1556" s="1" t="s">
        <v>3</v>
      </c>
      <c r="D1556" s="1">
        <v>4</v>
      </c>
      <c r="E1556" s="1">
        <v>78.516000000000005</v>
      </c>
      <c r="F1556" s="1">
        <v>0.96901000000000004</v>
      </c>
      <c r="G1556" t="s">
        <v>2513</v>
      </c>
      <c r="H1556" t="s">
        <v>2514</v>
      </c>
      <c r="I1556" t="s">
        <v>5298</v>
      </c>
      <c r="J1556" t="str">
        <f>"OCIA domain-containing protein 1"</f>
        <v>OCIA domain-containing protein 1</v>
      </c>
      <c r="K1556" t="str">
        <f>"OCIAD1"</f>
        <v>OCIAD1</v>
      </c>
    </row>
    <row r="1557" spans="1:11" x14ac:dyDescent="0.25">
      <c r="A1557" s="1">
        <v>2968</v>
      </c>
      <c r="B1557" s="1">
        <v>2</v>
      </c>
      <c r="C1557" s="1" t="s">
        <v>3</v>
      </c>
      <c r="D1557" s="1">
        <v>13</v>
      </c>
      <c r="E1557" s="1">
        <v>87.429000000000002</v>
      </c>
      <c r="F1557" s="1">
        <v>0.945716</v>
      </c>
      <c r="G1557" t="s">
        <v>2515</v>
      </c>
      <c r="H1557" t="s">
        <v>2516</v>
      </c>
      <c r="I1557" t="s">
        <v>5299</v>
      </c>
      <c r="J1557" t="str">
        <f>"Lck-interacting transmembrane adapter 1"</f>
        <v>Lck-interacting transmembrane adapter 1</v>
      </c>
      <c r="K1557" t="str">
        <f>"LIME1"</f>
        <v>LIME1</v>
      </c>
    </row>
    <row r="1558" spans="1:11" x14ac:dyDescent="0.25">
      <c r="A1558" s="1">
        <v>2910</v>
      </c>
      <c r="B1558" s="1">
        <v>3</v>
      </c>
      <c r="C1558" s="1" t="s">
        <v>3</v>
      </c>
      <c r="D1558" s="1">
        <v>15</v>
      </c>
      <c r="E1558" s="1">
        <v>91.275999999999996</v>
      </c>
      <c r="F1558" s="1">
        <v>0.59162700000000001</v>
      </c>
      <c r="G1558" t="s">
        <v>2517</v>
      </c>
      <c r="H1558" t="s">
        <v>985</v>
      </c>
      <c r="I1558">
        <v>839</v>
      </c>
      <c r="J1558" t="str">
        <f>"Oncostatin-M-specific receptor subunit beta"</f>
        <v>Oncostatin-M-specific receptor subunit beta</v>
      </c>
      <c r="K1558" t="str">
        <f>"OSMR"</f>
        <v>OSMR</v>
      </c>
    </row>
    <row r="1559" spans="1:11" x14ac:dyDescent="0.25">
      <c r="A1559" s="1">
        <v>2389</v>
      </c>
      <c r="B1559" s="1">
        <v>2</v>
      </c>
      <c r="C1559" s="1" t="s">
        <v>3</v>
      </c>
      <c r="D1559" s="1">
        <v>3</v>
      </c>
      <c r="E1559" s="1">
        <v>103.55</v>
      </c>
      <c r="F1559" s="1">
        <v>0.99913300000000005</v>
      </c>
      <c r="G1559" t="s">
        <v>2518</v>
      </c>
      <c r="H1559" t="s">
        <v>2519</v>
      </c>
      <c r="I1559" t="s">
        <v>5300</v>
      </c>
      <c r="J1559" t="str">
        <f>"Heat shock protein 75 kDa, mitochondrial"</f>
        <v>Heat shock protein 75 kDa, mitochondrial</v>
      </c>
      <c r="K1559" t="str">
        <f>"TRAP1"</f>
        <v>TRAP1</v>
      </c>
    </row>
    <row r="1560" spans="1:11" x14ac:dyDescent="0.25">
      <c r="A1560" s="1">
        <v>2660</v>
      </c>
      <c r="B1560" s="1">
        <v>2</v>
      </c>
      <c r="C1560" s="1" t="s">
        <v>3</v>
      </c>
      <c r="D1560" s="1">
        <v>5</v>
      </c>
      <c r="E1560" s="1">
        <v>47.844000000000001</v>
      </c>
      <c r="F1560" s="1">
        <v>0.740201</v>
      </c>
      <c r="G1560" t="s">
        <v>2520</v>
      </c>
      <c r="H1560" t="s">
        <v>2521</v>
      </c>
      <c r="I1560" t="s">
        <v>5301</v>
      </c>
      <c r="J1560" t="str">
        <f>"Amyloid beta A4 precursor protein-binding family B member 1-interacting protein"</f>
        <v>Amyloid beta A4 precursor protein-binding family B member 1-interacting protein</v>
      </c>
      <c r="K1560" t="str">
        <f>"APBB1IP"</f>
        <v>APBB1IP</v>
      </c>
    </row>
    <row r="1561" spans="1:11" x14ac:dyDescent="0.25">
      <c r="A1561" s="1">
        <v>1066</v>
      </c>
      <c r="B1561" s="1">
        <v>3</v>
      </c>
      <c r="C1561" s="1" t="s">
        <v>3</v>
      </c>
      <c r="D1561" s="1">
        <v>8</v>
      </c>
      <c r="E1561" s="1">
        <v>112.91</v>
      </c>
      <c r="F1561" s="1">
        <v>0.98043100000000005</v>
      </c>
      <c r="G1561" t="s">
        <v>2522</v>
      </c>
      <c r="H1561" t="s">
        <v>2523</v>
      </c>
      <c r="I1561" t="s">
        <v>5302</v>
      </c>
      <c r="J1561" t="str">
        <f>"Serine/threonine-protein kinase D;Serine/threonine-protein kinase D2"</f>
        <v>Serine/threonine-protein kinase D;Serine/threonine-protein kinase D2</v>
      </c>
      <c r="K1561" t="str">
        <f>"PRKD2"</f>
        <v>PRKD2</v>
      </c>
    </row>
    <row r="1562" spans="1:11" x14ac:dyDescent="0.25">
      <c r="A1562" s="1">
        <v>84</v>
      </c>
      <c r="B1562" s="1">
        <v>2</v>
      </c>
      <c r="C1562" s="1" t="s">
        <v>5</v>
      </c>
      <c r="D1562" s="1">
        <v>3</v>
      </c>
      <c r="E1562" s="1">
        <v>78.325999999999993</v>
      </c>
      <c r="F1562" s="1">
        <v>1</v>
      </c>
      <c r="G1562" t="s">
        <v>2524</v>
      </c>
      <c r="H1562" t="s">
        <v>270</v>
      </c>
      <c r="I1562" t="s">
        <v>5303</v>
      </c>
      <c r="J1562" t="str">
        <f>"Tensin-1"</f>
        <v>Tensin-1</v>
      </c>
      <c r="K1562" t="str">
        <f>"TNS1"</f>
        <v>TNS1</v>
      </c>
    </row>
    <row r="1563" spans="1:11" x14ac:dyDescent="0.25">
      <c r="A1563" s="1">
        <v>185</v>
      </c>
      <c r="B1563" s="1">
        <v>4</v>
      </c>
      <c r="C1563" s="1" t="s">
        <v>5</v>
      </c>
      <c r="D1563" s="1">
        <v>6</v>
      </c>
      <c r="E1563" s="1">
        <v>56.569000000000003</v>
      </c>
      <c r="F1563" s="1">
        <v>0.54850100000000002</v>
      </c>
      <c r="G1563" t="s">
        <v>2525</v>
      </c>
      <c r="H1563" t="s">
        <v>1803</v>
      </c>
      <c r="I1563" t="s">
        <v>5304</v>
      </c>
      <c r="J1563" t="str">
        <f>"Tropomyosin beta chain"</f>
        <v>Tropomyosin beta chain</v>
      </c>
      <c r="K1563" t="str">
        <f>"TPM2"</f>
        <v>TPM2</v>
      </c>
    </row>
    <row r="1564" spans="1:11" x14ac:dyDescent="0.25">
      <c r="A1564" s="1">
        <v>2332</v>
      </c>
      <c r="B1564" s="1">
        <v>3</v>
      </c>
      <c r="C1564" s="1" t="s">
        <v>3</v>
      </c>
      <c r="D1564" s="1">
        <v>6</v>
      </c>
      <c r="E1564" s="1">
        <v>41.996000000000002</v>
      </c>
      <c r="F1564" s="1">
        <v>0.99337500000000001</v>
      </c>
      <c r="G1564" t="s">
        <v>2526</v>
      </c>
      <c r="H1564" t="s">
        <v>927</v>
      </c>
      <c r="I1564">
        <v>119</v>
      </c>
      <c r="J1564" t="str">
        <f>"Single-stranded DNA-binding protein, mitochondrial"</f>
        <v>Single-stranded DNA-binding protein, mitochondrial</v>
      </c>
      <c r="K1564" t="str">
        <f>"SSBP1"</f>
        <v>SSBP1</v>
      </c>
    </row>
    <row r="1565" spans="1:11" x14ac:dyDescent="0.25">
      <c r="A1565" s="1">
        <v>2737</v>
      </c>
      <c r="B1565" s="1">
        <v>3</v>
      </c>
      <c r="C1565" s="1" t="s">
        <v>3</v>
      </c>
      <c r="D1565" s="1">
        <v>4</v>
      </c>
      <c r="E1565" s="1">
        <v>54.259</v>
      </c>
      <c r="F1565" s="1">
        <v>1</v>
      </c>
      <c r="G1565" t="s">
        <v>2527</v>
      </c>
      <c r="H1565" t="s">
        <v>2528</v>
      </c>
      <c r="I1565">
        <v>122</v>
      </c>
      <c r="J1565" t="str">
        <f>"LEM domain-containing protein 2"</f>
        <v>LEM domain-containing protein 2</v>
      </c>
      <c r="K1565" t="str">
        <f>"LEMD2"</f>
        <v>LEMD2</v>
      </c>
    </row>
    <row r="1566" spans="1:11" x14ac:dyDescent="0.25">
      <c r="A1566" s="1">
        <v>2973</v>
      </c>
      <c r="B1566" s="1">
        <v>2</v>
      </c>
      <c r="C1566" s="1" t="s">
        <v>3</v>
      </c>
      <c r="D1566" s="1">
        <v>4</v>
      </c>
      <c r="E1566" s="1">
        <v>63.216000000000001</v>
      </c>
      <c r="F1566" s="1">
        <v>0.99980599999999997</v>
      </c>
      <c r="G1566" t="s">
        <v>2529</v>
      </c>
      <c r="H1566" t="s">
        <v>2530</v>
      </c>
      <c r="I1566" t="s">
        <v>5305</v>
      </c>
      <c r="J1566" t="str">
        <f>"RNA polymerase II-associated protein 3"</f>
        <v>RNA polymerase II-associated protein 3</v>
      </c>
      <c r="K1566" t="str">
        <f>"RPAP3"</f>
        <v>RPAP3</v>
      </c>
    </row>
    <row r="1567" spans="1:11" x14ac:dyDescent="0.25">
      <c r="A1567" s="1">
        <v>837</v>
      </c>
      <c r="B1567" s="1">
        <v>2</v>
      </c>
      <c r="C1567" s="1" t="s">
        <v>3</v>
      </c>
      <c r="D1567" s="1">
        <v>10</v>
      </c>
      <c r="E1567" s="1">
        <v>53.3</v>
      </c>
      <c r="F1567" s="1">
        <v>0.99994000000000005</v>
      </c>
      <c r="G1567" t="s">
        <v>2531</v>
      </c>
      <c r="H1567" t="s">
        <v>2532</v>
      </c>
      <c r="I1567" t="s">
        <v>5306</v>
      </c>
      <c r="J1567" t="str">
        <f>"Protein SET;Protein SETSIP"</f>
        <v>Protein SET;Protein SETSIP</v>
      </c>
      <c r="K1567" t="str">
        <f>"SET;SETSIP"</f>
        <v>SET;SETSIP</v>
      </c>
    </row>
    <row r="1568" spans="1:11" x14ac:dyDescent="0.25">
      <c r="A1568" s="1">
        <v>766</v>
      </c>
      <c r="B1568" s="1">
        <v>3</v>
      </c>
      <c r="C1568" s="1" t="s">
        <v>3</v>
      </c>
      <c r="D1568" s="1">
        <v>12</v>
      </c>
      <c r="E1568" s="1">
        <v>41.695</v>
      </c>
      <c r="F1568" s="1">
        <v>0.76380800000000004</v>
      </c>
      <c r="G1568" t="s">
        <v>2533</v>
      </c>
      <c r="H1568" t="s">
        <v>2534</v>
      </c>
      <c r="I1568" t="s">
        <v>5307</v>
      </c>
      <c r="J1568" t="str">
        <f>"Leukocyte immunoglobulin-like receptor subfamily B member 1"</f>
        <v>Leukocyte immunoglobulin-like receptor subfamily B member 1</v>
      </c>
      <c r="K1568" t="str">
        <f>"PODNL1;LILRB1"</f>
        <v>PODNL1;LILRB1</v>
      </c>
    </row>
    <row r="1569" spans="1:11" x14ac:dyDescent="0.25">
      <c r="A1569" s="1">
        <v>456</v>
      </c>
      <c r="B1569" s="1">
        <v>3</v>
      </c>
      <c r="C1569" s="1" t="s">
        <v>5</v>
      </c>
      <c r="D1569" s="1">
        <v>3</v>
      </c>
      <c r="E1569" s="1">
        <v>64.298000000000002</v>
      </c>
      <c r="F1569" s="1">
        <v>0.549292</v>
      </c>
      <c r="G1569" t="s">
        <v>2535</v>
      </c>
      <c r="H1569" t="s">
        <v>2536</v>
      </c>
      <c r="I1569" t="s">
        <v>5308</v>
      </c>
      <c r="J1569" t="str">
        <f>"EH domain-containing protein 2"</f>
        <v>EH domain-containing protein 2</v>
      </c>
      <c r="K1569" t="str">
        <f>"EHD2"</f>
        <v>EHD2</v>
      </c>
    </row>
    <row r="1570" spans="1:11" x14ac:dyDescent="0.25">
      <c r="A1570" s="1">
        <v>2174</v>
      </c>
      <c r="B1570" s="1">
        <v>3</v>
      </c>
      <c r="C1570" s="1" t="s">
        <v>3</v>
      </c>
      <c r="D1570" s="1">
        <v>12</v>
      </c>
      <c r="E1570" s="1">
        <v>41.512999999999998</v>
      </c>
      <c r="F1570" s="1">
        <v>0.61886300000000005</v>
      </c>
      <c r="G1570" t="s">
        <v>2537</v>
      </c>
      <c r="H1570" t="s">
        <v>859</v>
      </c>
      <c r="I1570" t="s">
        <v>5309</v>
      </c>
      <c r="J1570" t="str">
        <f>"Cysteine-rich protein 2"</f>
        <v>Cysteine-rich protein 2</v>
      </c>
      <c r="K1570" t="str">
        <f>"CRIP2"</f>
        <v>CRIP2</v>
      </c>
    </row>
    <row r="1571" spans="1:11" x14ac:dyDescent="0.25">
      <c r="A1571" s="1">
        <v>2524</v>
      </c>
      <c r="B1571" s="1">
        <v>3</v>
      </c>
      <c r="C1571" s="1" t="s">
        <v>3</v>
      </c>
      <c r="D1571" s="1">
        <v>7</v>
      </c>
      <c r="E1571" s="1">
        <v>58.171999999999997</v>
      </c>
      <c r="F1571" s="1">
        <v>1</v>
      </c>
      <c r="G1571" t="s">
        <v>2538</v>
      </c>
      <c r="H1571" t="s">
        <v>1572</v>
      </c>
      <c r="I1571" t="s">
        <v>5310</v>
      </c>
      <c r="J1571" t="str">
        <f>"Plectin"</f>
        <v>Plectin</v>
      </c>
      <c r="K1571" t="str">
        <f>"PLEC"</f>
        <v>PLEC</v>
      </c>
    </row>
    <row r="1572" spans="1:11" x14ac:dyDescent="0.25">
      <c r="A1572" s="1">
        <v>1311</v>
      </c>
      <c r="B1572" s="1">
        <v>2</v>
      </c>
      <c r="C1572" s="1" t="s">
        <v>3</v>
      </c>
      <c r="D1572" s="1">
        <v>9</v>
      </c>
      <c r="E1572" s="1">
        <v>71.614000000000004</v>
      </c>
      <c r="F1572" s="1">
        <v>1</v>
      </c>
      <c r="G1572" t="s">
        <v>2539</v>
      </c>
      <c r="H1572" t="s">
        <v>2540</v>
      </c>
      <c r="I1572" t="s">
        <v>5311</v>
      </c>
      <c r="J1572" t="str">
        <f>"Acyl-CoA dehydrogenase family member 10"</f>
        <v>Acyl-CoA dehydrogenase family member 10</v>
      </c>
      <c r="K1572" t="str">
        <f>"ACAD10"</f>
        <v>ACAD10</v>
      </c>
    </row>
    <row r="1573" spans="1:11" x14ac:dyDescent="0.25">
      <c r="A1573" s="1">
        <v>537</v>
      </c>
      <c r="B1573" s="1">
        <v>2</v>
      </c>
      <c r="C1573" s="1" t="s">
        <v>4</v>
      </c>
      <c r="D1573" s="1">
        <v>9</v>
      </c>
      <c r="E1573" s="1">
        <v>47.058</v>
      </c>
      <c r="F1573" s="1">
        <v>0.59784800000000005</v>
      </c>
      <c r="G1573" t="s">
        <v>2541</v>
      </c>
      <c r="H1573" t="s">
        <v>30</v>
      </c>
      <c r="I1573" t="s">
        <v>5312</v>
      </c>
      <c r="J1573" t="str">
        <f>"Mitogen-activated protein kinase;Mitogen-activated protein kinase 3"</f>
        <v>Mitogen-activated protein kinase;Mitogen-activated protein kinase 3</v>
      </c>
      <c r="K1573" t="str">
        <f>"MAPK3"</f>
        <v>MAPK3</v>
      </c>
    </row>
    <row r="1574" spans="1:11" x14ac:dyDescent="0.25">
      <c r="A1574" s="1">
        <v>2026</v>
      </c>
      <c r="B1574" s="1">
        <v>3</v>
      </c>
      <c r="C1574" s="1" t="s">
        <v>3</v>
      </c>
      <c r="D1574" s="1">
        <v>4</v>
      </c>
      <c r="E1574" s="1">
        <v>43.475999999999999</v>
      </c>
      <c r="F1574" s="1">
        <v>0.89945299999999995</v>
      </c>
      <c r="G1574" t="s">
        <v>2542</v>
      </c>
      <c r="H1574" t="s">
        <v>2543</v>
      </c>
      <c r="I1574" t="s">
        <v>4240</v>
      </c>
      <c r="J1574" t="str">
        <f>"Malate dehydrogenase, mitochondrial"</f>
        <v>Malate dehydrogenase, mitochondrial</v>
      </c>
      <c r="K1574" t="str">
        <f>"MDH2"</f>
        <v>MDH2</v>
      </c>
    </row>
    <row r="1575" spans="1:11" x14ac:dyDescent="0.25">
      <c r="A1575" s="1">
        <v>1988</v>
      </c>
      <c r="B1575" s="1">
        <v>2</v>
      </c>
      <c r="C1575" s="1" t="s">
        <v>3</v>
      </c>
      <c r="D1575" s="1">
        <v>3</v>
      </c>
      <c r="E1575" s="1">
        <v>75.316000000000003</v>
      </c>
      <c r="F1575" s="1">
        <v>1</v>
      </c>
      <c r="G1575" t="s">
        <v>2544</v>
      </c>
      <c r="H1575" t="s">
        <v>2545</v>
      </c>
      <c r="I1575" t="s">
        <v>5313</v>
      </c>
      <c r="J1575" t="str">
        <f>"Stress-induced-phosphoprotein 1"</f>
        <v>Stress-induced-phosphoprotein 1</v>
      </c>
      <c r="K1575" t="str">
        <f>"STIP1"</f>
        <v>STIP1</v>
      </c>
    </row>
    <row r="1576" spans="1:11" x14ac:dyDescent="0.25">
      <c r="A1576" s="1">
        <v>188</v>
      </c>
      <c r="B1576" s="1">
        <v>4</v>
      </c>
      <c r="C1576" s="1" t="s">
        <v>5</v>
      </c>
      <c r="D1576" s="1">
        <v>17</v>
      </c>
      <c r="E1576" s="1">
        <v>74.364000000000004</v>
      </c>
      <c r="F1576" s="1">
        <v>0.58903700000000003</v>
      </c>
      <c r="G1576" t="s">
        <v>2546</v>
      </c>
      <c r="H1576" t="s">
        <v>120</v>
      </c>
      <c r="I1576" t="s">
        <v>5314</v>
      </c>
      <c r="J1576" t="str">
        <f>"Heat shock protein HSP 90-beta;Putative heat shock protein HSP 90-beta-3"</f>
        <v>Heat shock protein HSP 90-beta;Putative heat shock protein HSP 90-beta-3</v>
      </c>
      <c r="K1576" t="str">
        <f>"HSP90AB1;HSP90AB3P"</f>
        <v>HSP90AB1;HSP90AB3P</v>
      </c>
    </row>
    <row r="1577" spans="1:11" x14ac:dyDescent="0.25">
      <c r="A1577" s="1">
        <v>39</v>
      </c>
      <c r="B1577" s="1">
        <v>3</v>
      </c>
      <c r="C1577" s="1" t="s">
        <v>5</v>
      </c>
      <c r="D1577" s="1">
        <v>2</v>
      </c>
      <c r="E1577" s="1">
        <v>69.978999999999999</v>
      </c>
      <c r="F1577" s="1">
        <v>0.58932099999999998</v>
      </c>
      <c r="G1577" t="s">
        <v>2458</v>
      </c>
      <c r="H1577" t="s">
        <v>2459</v>
      </c>
      <c r="I1577" t="s">
        <v>5315</v>
      </c>
      <c r="J1577" t="str">
        <f>"Leukocyte immunoglobulin-like receptor subfamily B member 3"</f>
        <v>Leukocyte immunoglobulin-like receptor subfamily B member 3</v>
      </c>
      <c r="K1577" t="str">
        <f>"LILRB3;LILRA6"</f>
        <v>LILRB3;LILRA6</v>
      </c>
    </row>
    <row r="1578" spans="1:11" x14ac:dyDescent="0.25">
      <c r="A1578" s="1">
        <v>2760</v>
      </c>
      <c r="B1578" s="1">
        <v>3</v>
      </c>
      <c r="C1578" s="1" t="s">
        <v>3</v>
      </c>
      <c r="D1578" s="1">
        <v>7</v>
      </c>
      <c r="E1578" s="1">
        <v>60.061999999999998</v>
      </c>
      <c r="F1578" s="1">
        <v>0.87201799999999996</v>
      </c>
      <c r="G1578" t="s">
        <v>2547</v>
      </c>
      <c r="H1578" t="s">
        <v>2548</v>
      </c>
      <c r="I1578" t="s">
        <v>4872</v>
      </c>
      <c r="J1578" t="str">
        <f>"Vang-like protein 1"</f>
        <v>Vang-like protein 1</v>
      </c>
      <c r="K1578" t="str">
        <f>"VANGL1"</f>
        <v>VANGL1</v>
      </c>
    </row>
    <row r="1579" spans="1:11" x14ac:dyDescent="0.25">
      <c r="A1579" s="1">
        <v>1809</v>
      </c>
      <c r="B1579" s="1">
        <v>3</v>
      </c>
      <c r="C1579" s="1" t="s">
        <v>3</v>
      </c>
      <c r="D1579" s="1">
        <v>12</v>
      </c>
      <c r="E1579" s="1">
        <v>82.608999999999995</v>
      </c>
      <c r="F1579" s="1">
        <v>0.95080799999999999</v>
      </c>
      <c r="G1579" t="s">
        <v>2549</v>
      </c>
      <c r="H1579" t="s">
        <v>2550</v>
      </c>
      <c r="I1579" t="s">
        <v>5316</v>
      </c>
      <c r="J1579" t="str">
        <f>"Ankyrin-1"</f>
        <v>Ankyrin-1</v>
      </c>
      <c r="K1579" t="str">
        <f>"ANK1"</f>
        <v>ANK1</v>
      </c>
    </row>
    <row r="1580" spans="1:11" x14ac:dyDescent="0.25">
      <c r="A1580" s="1">
        <v>1426</v>
      </c>
      <c r="B1580" s="1">
        <v>2</v>
      </c>
      <c r="C1580" s="1" t="s">
        <v>3</v>
      </c>
      <c r="D1580" s="1">
        <v>3</v>
      </c>
      <c r="E1580" s="1">
        <v>87.567999999999998</v>
      </c>
      <c r="F1580" s="1">
        <v>0.99995900000000004</v>
      </c>
      <c r="G1580" t="s">
        <v>2551</v>
      </c>
      <c r="H1580" t="s">
        <v>448</v>
      </c>
      <c r="I1580" t="s">
        <v>5317</v>
      </c>
      <c r="J1580" t="str">
        <f>"Syntenin-1"</f>
        <v>Syntenin-1</v>
      </c>
      <c r="K1580" t="str">
        <f>"SDCBP"</f>
        <v>SDCBP</v>
      </c>
    </row>
    <row r="1581" spans="1:11" x14ac:dyDescent="0.25">
      <c r="A1581" s="1">
        <v>975</v>
      </c>
      <c r="B1581" s="1">
        <v>3</v>
      </c>
      <c r="C1581" s="1" t="s">
        <v>3</v>
      </c>
      <c r="D1581" s="1">
        <v>12</v>
      </c>
      <c r="E1581" s="1">
        <v>57.484000000000002</v>
      </c>
      <c r="F1581" s="1">
        <v>0.75789600000000001</v>
      </c>
      <c r="G1581" t="s">
        <v>2552</v>
      </c>
      <c r="H1581" t="s">
        <v>2553</v>
      </c>
      <c r="I1581" t="s">
        <v>5318</v>
      </c>
      <c r="J1581" t="str">
        <f>"Leukocyte immunoglobulin-like receptor subfamily B member 5"</f>
        <v>Leukocyte immunoglobulin-like receptor subfamily B member 5</v>
      </c>
      <c r="K1581" t="str">
        <f>"LILRB5"</f>
        <v>LILRB5</v>
      </c>
    </row>
    <row r="1582" spans="1:11" x14ac:dyDescent="0.25">
      <c r="A1582" s="1">
        <v>1816</v>
      </c>
      <c r="B1582" s="1">
        <v>3</v>
      </c>
      <c r="C1582" s="1" t="s">
        <v>3</v>
      </c>
      <c r="D1582" s="1">
        <v>10</v>
      </c>
      <c r="E1582" s="1">
        <v>56.514000000000003</v>
      </c>
      <c r="F1582" s="1">
        <v>0.95137400000000005</v>
      </c>
      <c r="G1582" t="s">
        <v>2554</v>
      </c>
      <c r="H1582" t="s">
        <v>1493</v>
      </c>
      <c r="I1582">
        <v>313</v>
      </c>
      <c r="J1582" t="str">
        <f>"Gap junction alpha-1 protein"</f>
        <v>Gap junction alpha-1 protein</v>
      </c>
      <c r="K1582" t="str">
        <f>"GJA1"</f>
        <v>GJA1</v>
      </c>
    </row>
    <row r="1583" spans="1:11" x14ac:dyDescent="0.25">
      <c r="A1583" s="1">
        <v>286</v>
      </c>
      <c r="B1583" s="1">
        <v>3</v>
      </c>
      <c r="C1583" s="1" t="s">
        <v>5</v>
      </c>
      <c r="D1583" s="1">
        <v>16</v>
      </c>
      <c r="E1583" s="1">
        <v>49.536999999999999</v>
      </c>
      <c r="F1583" s="1">
        <v>0.62890199999999996</v>
      </c>
      <c r="G1583" t="s">
        <v>2555</v>
      </c>
      <c r="H1583" t="s">
        <v>509</v>
      </c>
      <c r="I1583" t="s">
        <v>5319</v>
      </c>
      <c r="J1583" t="str">
        <f>"Spectrin beta chain, non-erythrocytic 1"</f>
        <v>Spectrin beta chain, non-erythrocytic 1</v>
      </c>
      <c r="K1583" t="str">
        <f>"SPTBN1"</f>
        <v>SPTBN1</v>
      </c>
    </row>
    <row r="1584" spans="1:11" x14ac:dyDescent="0.25">
      <c r="A1584" s="1">
        <v>763</v>
      </c>
      <c r="B1584" s="1">
        <v>3</v>
      </c>
      <c r="C1584" s="1" t="s">
        <v>3</v>
      </c>
      <c r="D1584" s="1">
        <v>9</v>
      </c>
      <c r="E1584" s="1">
        <v>42.317</v>
      </c>
      <c r="F1584" s="1">
        <v>0.92852199999999996</v>
      </c>
      <c r="G1584" t="s">
        <v>2556</v>
      </c>
      <c r="H1584" t="s">
        <v>2557</v>
      </c>
      <c r="I1584" t="s">
        <v>5320</v>
      </c>
      <c r="J1584" t="str">
        <f>"Nucleobindin-2;Nesfatin-1"</f>
        <v>Nucleobindin-2;Nesfatin-1</v>
      </c>
      <c r="K1584" t="str">
        <f>"DCAF5;Nucb2;HEL-S-109;NUCB2"</f>
        <v>DCAF5;Nucb2;HEL-S-109;NUCB2</v>
      </c>
    </row>
    <row r="1585" spans="1:11" x14ac:dyDescent="0.25">
      <c r="A1585" s="1">
        <v>252</v>
      </c>
      <c r="B1585" s="1">
        <v>4</v>
      </c>
      <c r="C1585" s="1" t="s">
        <v>5</v>
      </c>
      <c r="D1585" s="1">
        <v>13</v>
      </c>
      <c r="E1585" s="1">
        <v>58.372999999999998</v>
      </c>
      <c r="F1585" s="1">
        <v>0.51040600000000003</v>
      </c>
      <c r="G1585" t="s">
        <v>2558</v>
      </c>
      <c r="H1585" t="s">
        <v>237</v>
      </c>
      <c r="I1585" t="s">
        <v>5321</v>
      </c>
      <c r="J1585" t="str">
        <f>"Tyrosine-protein kinase SYK"</f>
        <v>Tyrosine-protein kinase SYK</v>
      </c>
      <c r="K1585" t="str">
        <f>"SYK"</f>
        <v>SYK</v>
      </c>
    </row>
    <row r="1586" spans="1:11" x14ac:dyDescent="0.25">
      <c r="A1586" s="1">
        <v>2208</v>
      </c>
      <c r="B1586" s="1">
        <v>3</v>
      </c>
      <c r="C1586" s="1" t="s">
        <v>3</v>
      </c>
      <c r="D1586" s="1">
        <v>7</v>
      </c>
      <c r="E1586" s="1">
        <v>61.276000000000003</v>
      </c>
      <c r="F1586" s="1">
        <v>0.94858900000000002</v>
      </c>
      <c r="G1586" t="s">
        <v>2559</v>
      </c>
      <c r="H1586" t="s">
        <v>187</v>
      </c>
      <c r="I1586" t="s">
        <v>5322</v>
      </c>
      <c r="J1586" t="str">
        <f>"Breast cancer anti-estrogen resistance protein 1"</f>
        <v>Breast cancer anti-estrogen resistance protein 1</v>
      </c>
      <c r="K1586" t="str">
        <f>"BCAR1"</f>
        <v>BCAR1</v>
      </c>
    </row>
    <row r="1587" spans="1:11" x14ac:dyDescent="0.25">
      <c r="A1587" s="1">
        <v>1958</v>
      </c>
      <c r="B1587" s="1">
        <v>3</v>
      </c>
      <c r="C1587" s="1" t="s">
        <v>3</v>
      </c>
      <c r="D1587" s="1">
        <v>2</v>
      </c>
      <c r="E1587" s="1">
        <v>93.370999999999995</v>
      </c>
      <c r="F1587" s="1">
        <v>0.999942</v>
      </c>
      <c r="G1587" t="s">
        <v>2560</v>
      </c>
      <c r="H1587" t="s">
        <v>499</v>
      </c>
      <c r="I1587" t="s">
        <v>5323</v>
      </c>
      <c r="J1587" t="str">
        <f>"Tyrosine-protein phosphatase non-receptor type 6"</f>
        <v>Tyrosine-protein phosphatase non-receptor type 6</v>
      </c>
      <c r="K1587" t="str">
        <f>"PTPN6"</f>
        <v>PTPN6</v>
      </c>
    </row>
    <row r="1588" spans="1:11" x14ac:dyDescent="0.25">
      <c r="A1588" s="1">
        <v>852</v>
      </c>
      <c r="B1588" s="1">
        <v>3</v>
      </c>
      <c r="C1588" s="1" t="s">
        <v>3</v>
      </c>
      <c r="D1588" s="1">
        <v>9</v>
      </c>
      <c r="E1588" s="1">
        <v>51.725999999999999</v>
      </c>
      <c r="F1588" s="1">
        <v>1</v>
      </c>
      <c r="G1588" t="s">
        <v>2561</v>
      </c>
      <c r="H1588" t="s">
        <v>2562</v>
      </c>
      <c r="I1588" t="s">
        <v>5324</v>
      </c>
      <c r="J1588" t="str">
        <f>"Heterogeneous nuclear ribonucleoprotein M"</f>
        <v>Heterogeneous nuclear ribonucleoprotein M</v>
      </c>
      <c r="K1588" t="str">
        <f>"HNRNPM"</f>
        <v>HNRNPM</v>
      </c>
    </row>
    <row r="1589" spans="1:11" x14ac:dyDescent="0.25">
      <c r="A1589" s="1">
        <v>2884</v>
      </c>
      <c r="B1589" s="1">
        <v>5</v>
      </c>
      <c r="C1589" s="1" t="s">
        <v>3</v>
      </c>
      <c r="D1589" s="1">
        <v>18</v>
      </c>
      <c r="E1589" s="1">
        <v>64.725999999999999</v>
      </c>
      <c r="F1589" s="1">
        <v>0.78032699999999999</v>
      </c>
      <c r="G1589" t="s">
        <v>2563</v>
      </c>
      <c r="H1589" t="s">
        <v>1228</v>
      </c>
      <c r="I1589" t="s">
        <v>5325</v>
      </c>
      <c r="J1589" t="str">
        <f>"Protein LAP2"</f>
        <v>Protein LAP2</v>
      </c>
      <c r="K1589" t="str">
        <f>"ERBB2IP"</f>
        <v>ERBB2IP</v>
      </c>
    </row>
    <row r="1590" spans="1:11" x14ac:dyDescent="0.25">
      <c r="A1590" s="1">
        <v>208</v>
      </c>
      <c r="B1590" s="1">
        <v>4</v>
      </c>
      <c r="C1590" s="1" t="s">
        <v>5</v>
      </c>
      <c r="D1590" s="1">
        <v>3</v>
      </c>
      <c r="E1590" s="1">
        <v>40.409999999999997</v>
      </c>
      <c r="F1590" s="1">
        <v>0.57045900000000005</v>
      </c>
      <c r="G1590" t="s">
        <v>2564</v>
      </c>
      <c r="H1590" t="s">
        <v>157</v>
      </c>
      <c r="I1590" t="s">
        <v>5326</v>
      </c>
      <c r="J1590" t="str">
        <f>"Cytoplasmic protein NCK1"</f>
        <v>Cytoplasmic protein NCK1</v>
      </c>
      <c r="K1590" t="str">
        <f>"NCK1"</f>
        <v>NCK1</v>
      </c>
    </row>
    <row r="1591" spans="1:11" x14ac:dyDescent="0.25">
      <c r="A1591" s="1">
        <v>943</v>
      </c>
      <c r="B1591" s="1">
        <v>2</v>
      </c>
      <c r="C1591" s="1" t="s">
        <v>3</v>
      </c>
      <c r="D1591" s="1">
        <v>4</v>
      </c>
      <c r="E1591" s="1">
        <v>53.968000000000004</v>
      </c>
      <c r="F1591" s="1">
        <v>0.99825900000000001</v>
      </c>
      <c r="G1591" t="s">
        <v>2565</v>
      </c>
      <c r="H1591" t="s">
        <v>2566</v>
      </c>
      <c r="I1591" t="s">
        <v>5327</v>
      </c>
      <c r="J1591" t="str">
        <f>"Enoyl-CoA delta isomerase 2, mitochondrial"</f>
        <v>Enoyl-CoA delta isomerase 2, mitochondrial</v>
      </c>
      <c r="K1591" t="str">
        <f>"ECI2"</f>
        <v>ECI2</v>
      </c>
    </row>
    <row r="1592" spans="1:11" x14ac:dyDescent="0.25">
      <c r="A1592" s="1">
        <v>2437</v>
      </c>
      <c r="B1592" s="1">
        <v>4</v>
      </c>
      <c r="C1592" s="1" t="s">
        <v>3</v>
      </c>
      <c r="D1592" s="1">
        <v>3</v>
      </c>
      <c r="E1592" s="1">
        <v>52.720999999999997</v>
      </c>
      <c r="F1592" s="1">
        <v>0.99941899999999995</v>
      </c>
      <c r="G1592" t="s">
        <v>2567</v>
      </c>
      <c r="H1592" t="s">
        <v>2568</v>
      </c>
      <c r="I1592" t="s">
        <v>5328</v>
      </c>
      <c r="J1592" t="str">
        <f>"Apoptosis-stimulating of p53 protein 2"</f>
        <v>Apoptosis-stimulating of p53 protein 2</v>
      </c>
      <c r="K1592" t="str">
        <f>"TP53BP2"</f>
        <v>TP53BP2</v>
      </c>
    </row>
    <row r="1593" spans="1:11" x14ac:dyDescent="0.25">
      <c r="A1593" s="1">
        <v>1253</v>
      </c>
      <c r="B1593" s="1">
        <v>3</v>
      </c>
      <c r="C1593" s="1" t="s">
        <v>3</v>
      </c>
      <c r="D1593" s="1">
        <v>4</v>
      </c>
      <c r="E1593" s="1">
        <v>56.121000000000002</v>
      </c>
      <c r="F1593" s="1">
        <v>0.99998699999999996</v>
      </c>
      <c r="G1593" t="s">
        <v>2569</v>
      </c>
      <c r="H1593" t="s">
        <v>2570</v>
      </c>
      <c r="I1593" t="s">
        <v>5329</v>
      </c>
      <c r="J1593" t="str">
        <f>"Kinetochore protein Nuf2"</f>
        <v>Kinetochore protein Nuf2</v>
      </c>
      <c r="K1593" t="str">
        <f>"NUF2"</f>
        <v>NUF2</v>
      </c>
    </row>
    <row r="1594" spans="1:11" x14ac:dyDescent="0.25">
      <c r="A1594" s="1">
        <v>3040</v>
      </c>
      <c r="B1594" s="1">
        <v>3</v>
      </c>
      <c r="C1594" s="1" t="s">
        <v>3</v>
      </c>
      <c r="D1594" s="1">
        <v>6</v>
      </c>
      <c r="E1594" s="1">
        <v>77.596999999999994</v>
      </c>
      <c r="F1594" s="1">
        <v>0.99996300000000005</v>
      </c>
      <c r="G1594" t="s">
        <v>2571</v>
      </c>
      <c r="H1594" t="s">
        <v>2232</v>
      </c>
      <c r="I1594" t="s">
        <v>5330</v>
      </c>
      <c r="J1594" t="str">
        <f>"H/ACA ribonucleoprotein complex subunit 1"</f>
        <v>H/ACA ribonucleoprotein complex subunit 1</v>
      </c>
      <c r="K1594" t="str">
        <f>"GAR1"</f>
        <v>GAR1</v>
      </c>
    </row>
    <row r="1595" spans="1:11" x14ac:dyDescent="0.25">
      <c r="A1595" s="1">
        <v>680</v>
      </c>
      <c r="B1595" s="1">
        <v>3</v>
      </c>
      <c r="C1595" s="1" t="s">
        <v>4</v>
      </c>
      <c r="D1595" s="1">
        <v>6</v>
      </c>
      <c r="E1595" s="1">
        <v>40.496000000000002</v>
      </c>
      <c r="F1595" s="1">
        <v>0.99275000000000002</v>
      </c>
      <c r="G1595" t="s">
        <v>2572</v>
      </c>
      <c r="H1595" t="s">
        <v>2573</v>
      </c>
      <c r="I1595">
        <v>197</v>
      </c>
      <c r="J1595" t="str">
        <f>"WD repeat-containing protein 43"</f>
        <v>WD repeat-containing protein 43</v>
      </c>
      <c r="K1595" t="str">
        <f>"WDR43"</f>
        <v>WDR43</v>
      </c>
    </row>
    <row r="1596" spans="1:11" x14ac:dyDescent="0.25">
      <c r="A1596" s="1">
        <v>1418</v>
      </c>
      <c r="B1596" s="1">
        <v>2</v>
      </c>
      <c r="C1596" s="1" t="s">
        <v>3</v>
      </c>
      <c r="D1596" s="1">
        <v>2</v>
      </c>
      <c r="E1596" s="1">
        <v>68.224000000000004</v>
      </c>
      <c r="F1596" s="1">
        <v>1</v>
      </c>
      <c r="G1596" t="s">
        <v>2574</v>
      </c>
      <c r="H1596" t="s">
        <v>2575</v>
      </c>
      <c r="I1596" t="s">
        <v>5331</v>
      </c>
      <c r="J1596" t="str">
        <f>"Interferon-related developmental regulator 1"</f>
        <v>Interferon-related developmental regulator 1</v>
      </c>
      <c r="K1596" t="str">
        <f>"IFRD1"</f>
        <v>IFRD1</v>
      </c>
    </row>
    <row r="1597" spans="1:11" x14ac:dyDescent="0.25">
      <c r="A1597" s="1">
        <v>781</v>
      </c>
      <c r="B1597" s="1">
        <v>3</v>
      </c>
      <c r="C1597" s="1" t="s">
        <v>3</v>
      </c>
      <c r="D1597" s="1">
        <v>13</v>
      </c>
      <c r="E1597" s="1">
        <v>89.506</v>
      </c>
      <c r="F1597" s="1">
        <v>0.99643700000000002</v>
      </c>
      <c r="G1597" t="s">
        <v>2576</v>
      </c>
      <c r="H1597" t="s">
        <v>2577</v>
      </c>
      <c r="I1597" t="s">
        <v>5332</v>
      </c>
      <c r="J1597" t="str">
        <f>"40S ribosomal protein S24"</f>
        <v>40S ribosomal protein S24</v>
      </c>
      <c r="K1597" t="str">
        <f>"RPS24"</f>
        <v>RPS24</v>
      </c>
    </row>
    <row r="1598" spans="1:11" x14ac:dyDescent="0.25">
      <c r="A1598" s="1">
        <v>2093</v>
      </c>
      <c r="B1598" s="1">
        <v>2</v>
      </c>
      <c r="C1598" s="1" t="s">
        <v>3</v>
      </c>
      <c r="D1598" s="1">
        <v>5</v>
      </c>
      <c r="E1598" s="1">
        <v>78.341999999999999</v>
      </c>
      <c r="F1598" s="1">
        <v>0.99999400000000005</v>
      </c>
      <c r="G1598" t="s">
        <v>2578</v>
      </c>
      <c r="H1598" t="s">
        <v>2579</v>
      </c>
      <c r="I1598" t="s">
        <v>5333</v>
      </c>
      <c r="J1598" t="str">
        <f>"Glutamine--tRNA ligase"</f>
        <v>Glutamine--tRNA ligase</v>
      </c>
      <c r="K1598" t="str">
        <f>"QARS"</f>
        <v>QARS</v>
      </c>
    </row>
    <row r="1599" spans="1:11" x14ac:dyDescent="0.25">
      <c r="A1599" s="1">
        <v>131</v>
      </c>
      <c r="B1599" s="1">
        <v>2</v>
      </c>
      <c r="C1599" s="1" t="s">
        <v>5</v>
      </c>
      <c r="D1599" s="1">
        <v>3</v>
      </c>
      <c r="E1599" s="1">
        <v>49.448</v>
      </c>
      <c r="F1599" s="1">
        <v>0.98906000000000005</v>
      </c>
      <c r="G1599" t="s">
        <v>2580</v>
      </c>
      <c r="H1599" t="s">
        <v>1837</v>
      </c>
      <c r="I1599" t="s">
        <v>5334</v>
      </c>
      <c r="J1599" t="str">
        <f>"Synemin"</f>
        <v>Synemin</v>
      </c>
      <c r="K1599" t="str">
        <f>"SYNM"</f>
        <v>SYNM</v>
      </c>
    </row>
    <row r="1600" spans="1:11" x14ac:dyDescent="0.25">
      <c r="A1600" s="1">
        <v>1955</v>
      </c>
      <c r="B1600" s="1">
        <v>3</v>
      </c>
      <c r="C1600" s="1" t="s">
        <v>3</v>
      </c>
      <c r="D1600" s="1">
        <v>1</v>
      </c>
      <c r="E1600" s="1">
        <v>58.564</v>
      </c>
      <c r="F1600" s="1">
        <v>0.99591099999999999</v>
      </c>
      <c r="G1600" t="s">
        <v>2581</v>
      </c>
      <c r="H1600" t="s">
        <v>47</v>
      </c>
      <c r="I1600">
        <v>685</v>
      </c>
      <c r="J1600" t="str">
        <f>"Ephrin type-A receptor 2"</f>
        <v>Ephrin type-A receptor 2</v>
      </c>
      <c r="K1600" t="str">
        <f>"EPHA2"</f>
        <v>EPHA2</v>
      </c>
    </row>
    <row r="1601" spans="1:11" x14ac:dyDescent="0.25">
      <c r="A1601" s="1">
        <v>2902</v>
      </c>
      <c r="B1601" s="1">
        <v>2</v>
      </c>
      <c r="C1601" s="1" t="s">
        <v>3</v>
      </c>
      <c r="D1601" s="1">
        <v>9</v>
      </c>
      <c r="E1601" s="1">
        <v>74.986999999999995</v>
      </c>
      <c r="F1601" s="1">
        <v>0.66322899999999996</v>
      </c>
      <c r="G1601" t="s">
        <v>2582</v>
      </c>
      <c r="H1601" t="s">
        <v>124</v>
      </c>
      <c r="I1601" t="s">
        <v>5335</v>
      </c>
      <c r="J1601" t="str">
        <f>"Plakophilin-4"</f>
        <v>Plakophilin-4</v>
      </c>
      <c r="K1601" t="str">
        <f>"PKP4"</f>
        <v>PKP4</v>
      </c>
    </row>
    <row r="1602" spans="1:11" x14ac:dyDescent="0.25">
      <c r="A1602" s="1">
        <v>1697</v>
      </c>
      <c r="B1602" s="1">
        <v>3</v>
      </c>
      <c r="C1602" s="1" t="s">
        <v>3</v>
      </c>
      <c r="D1602" s="1">
        <v>16</v>
      </c>
      <c r="E1602" s="1">
        <v>53.564999999999998</v>
      </c>
      <c r="F1602" s="1">
        <v>0.99584700000000004</v>
      </c>
      <c r="G1602" t="s">
        <v>2583</v>
      </c>
      <c r="H1602" t="s">
        <v>99</v>
      </c>
      <c r="I1602" t="s">
        <v>5336</v>
      </c>
      <c r="J1602" t="str">
        <f>"Hepatocyte growth factor receptor"</f>
        <v>Hepatocyte growth factor receptor</v>
      </c>
      <c r="K1602" t="str">
        <f>"MET"</f>
        <v>MET</v>
      </c>
    </row>
    <row r="1603" spans="1:11" x14ac:dyDescent="0.25">
      <c r="A1603" s="1">
        <v>1262</v>
      </c>
      <c r="B1603" s="1">
        <v>3</v>
      </c>
      <c r="C1603" s="1" t="s">
        <v>3</v>
      </c>
      <c r="D1603" s="1">
        <v>4</v>
      </c>
      <c r="E1603" s="1">
        <v>49.536999999999999</v>
      </c>
      <c r="F1603" s="1">
        <v>0.93497699999999995</v>
      </c>
      <c r="G1603" t="s">
        <v>2584</v>
      </c>
      <c r="H1603" t="s">
        <v>2585</v>
      </c>
      <c r="I1603" t="s">
        <v>5337</v>
      </c>
      <c r="J1603" t="str">
        <f>"6-phosphofructo-2-kinase/fructose-2,6-bisphosphatase 3;6-phosphofructo-2-kinase;Fructose-2,6-bisphosphatase"</f>
        <v>6-phosphofructo-2-kinase/fructose-2,6-bisphosphatase 3;6-phosphofructo-2-kinase;Fructose-2,6-bisphosphatase</v>
      </c>
      <c r="K1603" t="str">
        <f>"PFKFB3"</f>
        <v>PFKFB3</v>
      </c>
    </row>
    <row r="1604" spans="1:11" x14ac:dyDescent="0.25">
      <c r="A1604" s="1">
        <v>1761</v>
      </c>
      <c r="B1604" s="1">
        <v>3</v>
      </c>
      <c r="C1604" s="1" t="s">
        <v>3</v>
      </c>
      <c r="D1604" s="1">
        <v>8</v>
      </c>
      <c r="E1604" s="1">
        <v>56.042999999999999</v>
      </c>
      <c r="F1604" s="1">
        <v>1</v>
      </c>
      <c r="G1604" t="s">
        <v>2586</v>
      </c>
      <c r="H1604" t="s">
        <v>1414</v>
      </c>
      <c r="I1604" t="s">
        <v>5338</v>
      </c>
      <c r="J1604" t="str">
        <f>"Alpha-actinin-1"</f>
        <v>Alpha-actinin-1</v>
      </c>
      <c r="K1604" t="str">
        <f>"ACTN1"</f>
        <v>ACTN1</v>
      </c>
    </row>
    <row r="1605" spans="1:11" x14ac:dyDescent="0.25">
      <c r="A1605" s="1">
        <v>701</v>
      </c>
      <c r="B1605" s="1">
        <v>3</v>
      </c>
      <c r="C1605" s="1" t="s">
        <v>4</v>
      </c>
      <c r="D1605" s="1">
        <v>4</v>
      </c>
      <c r="E1605" s="1">
        <v>47.548000000000002</v>
      </c>
      <c r="F1605" s="1">
        <v>0.53748399999999996</v>
      </c>
      <c r="G1605" t="s">
        <v>2587</v>
      </c>
      <c r="H1605" t="s">
        <v>2588</v>
      </c>
      <c r="I1605" t="s">
        <v>5339</v>
      </c>
      <c r="J1605" t="str">
        <f>"Thioredoxin domain-containing protein 5"</f>
        <v>Thioredoxin domain-containing protein 5</v>
      </c>
      <c r="K1605" t="str">
        <f>"TXNDC5"</f>
        <v>TXNDC5</v>
      </c>
    </row>
    <row r="1606" spans="1:11" x14ac:dyDescent="0.25">
      <c r="A1606" s="1">
        <v>1350</v>
      </c>
      <c r="B1606" s="1">
        <v>3</v>
      </c>
      <c r="C1606" s="1" t="s">
        <v>3</v>
      </c>
      <c r="D1606" s="1">
        <v>9</v>
      </c>
      <c r="E1606" s="1">
        <v>71.600999999999999</v>
      </c>
      <c r="F1606" s="1">
        <v>0.99709300000000001</v>
      </c>
      <c r="G1606" t="s">
        <v>2589</v>
      </c>
      <c r="H1606" t="s">
        <v>2590</v>
      </c>
      <c r="I1606" t="s">
        <v>5340</v>
      </c>
      <c r="J1606" t="str">
        <f>"Docking protein 4"</f>
        <v>Docking protein 4</v>
      </c>
      <c r="K1606" t="str">
        <f>"DOK4"</f>
        <v>DOK4</v>
      </c>
    </row>
    <row r="1607" spans="1:11" x14ac:dyDescent="0.25">
      <c r="A1607" s="1">
        <v>969</v>
      </c>
      <c r="B1607" s="1">
        <v>3</v>
      </c>
      <c r="C1607" s="1" t="s">
        <v>3</v>
      </c>
      <c r="D1607" s="1">
        <v>16</v>
      </c>
      <c r="E1607" s="1">
        <v>47.155000000000001</v>
      </c>
      <c r="F1607" s="1">
        <v>0.72682100000000005</v>
      </c>
      <c r="G1607" t="s">
        <v>2591</v>
      </c>
      <c r="H1607" t="s">
        <v>2592</v>
      </c>
      <c r="I1607" t="s">
        <v>5341</v>
      </c>
      <c r="J1607" t="str">
        <f>"Leukocyte-associated immunoglobulin-like receptor 1"</f>
        <v>Leukocyte-associated immunoglobulin-like receptor 1</v>
      </c>
      <c r="K1607" t="str">
        <f>"LAIR1"</f>
        <v>LAIR1</v>
      </c>
    </row>
    <row r="1608" spans="1:11" x14ac:dyDescent="0.25">
      <c r="A1608" s="1">
        <v>3118</v>
      </c>
      <c r="B1608" s="1">
        <v>2</v>
      </c>
      <c r="C1608" s="1" t="s">
        <v>3</v>
      </c>
      <c r="D1608" s="1">
        <v>2</v>
      </c>
      <c r="E1608" s="1">
        <v>130.56</v>
      </c>
      <c r="F1608" s="1">
        <v>1</v>
      </c>
      <c r="G1608" t="s">
        <v>2593</v>
      </c>
      <c r="H1608" t="s">
        <v>2594</v>
      </c>
      <c r="I1608">
        <v>227</v>
      </c>
      <c r="J1608" t="str">
        <f>"Ubiquitin carboxyl-terminal hydrolase 20"</f>
        <v>Ubiquitin carboxyl-terminal hydrolase 20</v>
      </c>
      <c r="K1608" t="str">
        <f>"USP20"</f>
        <v>USP20</v>
      </c>
    </row>
    <row r="1609" spans="1:11" x14ac:dyDescent="0.25">
      <c r="A1609" s="1">
        <v>1196</v>
      </c>
      <c r="B1609" s="1">
        <v>2</v>
      </c>
      <c r="C1609" s="1" t="s">
        <v>3</v>
      </c>
      <c r="D1609" s="1">
        <v>3</v>
      </c>
      <c r="E1609" s="1">
        <v>84.364999999999995</v>
      </c>
      <c r="F1609" s="1">
        <v>0.99933799999999995</v>
      </c>
      <c r="G1609" t="s">
        <v>2595</v>
      </c>
      <c r="H1609" t="s">
        <v>2596</v>
      </c>
      <c r="I1609" t="s">
        <v>5342</v>
      </c>
      <c r="J1609" t="str">
        <f>"Microtubule-associated protein;Microtubule-associated protein 4"</f>
        <v>Microtubule-associated protein;Microtubule-associated protein 4</v>
      </c>
      <c r="K1609" t="str">
        <f>"MAP4"</f>
        <v>MAP4</v>
      </c>
    </row>
    <row r="1610" spans="1:11" x14ac:dyDescent="0.25">
      <c r="A1610" s="1">
        <v>1492</v>
      </c>
      <c r="B1610" s="1">
        <v>2</v>
      </c>
      <c r="C1610" s="1" t="s">
        <v>3</v>
      </c>
      <c r="D1610" s="1">
        <v>6</v>
      </c>
      <c r="E1610" s="1">
        <v>49.933999999999997</v>
      </c>
      <c r="F1610" s="1">
        <v>0.985931</v>
      </c>
      <c r="G1610" t="s">
        <v>2597</v>
      </c>
      <c r="H1610" t="s">
        <v>2598</v>
      </c>
      <c r="I1610" t="s">
        <v>5343</v>
      </c>
      <c r="J1610" t="str">
        <f>"Long-chain-fatty-acid--CoA ligase 4;Long-chain-fatty-acid--CoA ligase 3"</f>
        <v>Long-chain-fatty-acid--CoA ligase 4;Long-chain-fatty-acid--CoA ligase 3</v>
      </c>
      <c r="K1610" t="str">
        <f>"ACSL4;ACSL3"</f>
        <v>ACSL4;ACSL3</v>
      </c>
    </row>
    <row r="1611" spans="1:11" x14ac:dyDescent="0.25">
      <c r="A1611" s="1">
        <v>1020</v>
      </c>
      <c r="B1611" s="1">
        <v>3</v>
      </c>
      <c r="C1611" s="1" t="s">
        <v>3</v>
      </c>
      <c r="D1611" s="1">
        <v>3</v>
      </c>
      <c r="E1611" s="1">
        <v>88.385000000000005</v>
      </c>
      <c r="F1611" s="1">
        <v>0.99972000000000005</v>
      </c>
      <c r="G1611" t="s">
        <v>2599</v>
      </c>
      <c r="H1611" t="s">
        <v>2600</v>
      </c>
      <c r="I1611" t="s">
        <v>5344</v>
      </c>
      <c r="J1611" t="str">
        <f>"Unconventional myosin-Ig;Minor histocompatibility antigen HA-2"</f>
        <v>Unconventional myosin-Ig;Minor histocompatibility antigen HA-2</v>
      </c>
      <c r="K1611" t="str">
        <f>"MYO1G"</f>
        <v>MYO1G</v>
      </c>
    </row>
    <row r="1612" spans="1:11" x14ac:dyDescent="0.25">
      <c r="A1612" s="1">
        <v>2156</v>
      </c>
      <c r="B1612" s="1">
        <v>4</v>
      </c>
      <c r="C1612" s="1" t="s">
        <v>3</v>
      </c>
      <c r="D1612" s="1">
        <v>16</v>
      </c>
      <c r="E1612" s="1">
        <v>48.773000000000003</v>
      </c>
      <c r="F1612" s="1">
        <v>0.67247400000000002</v>
      </c>
      <c r="G1612" t="s">
        <v>2601</v>
      </c>
      <c r="H1612" t="s">
        <v>2602</v>
      </c>
      <c r="I1612" t="s">
        <v>5345</v>
      </c>
      <c r="J1612" t="str">
        <f>"Tyrosine-protein kinase JAK3"</f>
        <v>Tyrosine-protein kinase JAK3</v>
      </c>
      <c r="K1612" t="str">
        <f>"JAK3"</f>
        <v>JAK3</v>
      </c>
    </row>
    <row r="1613" spans="1:11" x14ac:dyDescent="0.25">
      <c r="A1613" s="1">
        <v>1346</v>
      </c>
      <c r="B1613" s="1">
        <v>3</v>
      </c>
      <c r="C1613" s="1" t="s">
        <v>3</v>
      </c>
      <c r="D1613" s="1">
        <v>8</v>
      </c>
      <c r="E1613" s="1">
        <v>42.082999999999998</v>
      </c>
      <c r="F1613" s="1">
        <v>1</v>
      </c>
      <c r="G1613" t="s">
        <v>2603</v>
      </c>
      <c r="H1613" t="s">
        <v>2604</v>
      </c>
      <c r="I1613" t="s">
        <v>5346</v>
      </c>
      <c r="J1613" t="str">
        <f>"Complex I intermediate-associated protein 30, mitochondrial"</f>
        <v>Complex I intermediate-associated protein 30, mitochondrial</v>
      </c>
      <c r="K1613" t="str">
        <f>"NDUFAF1"</f>
        <v>NDUFAF1</v>
      </c>
    </row>
    <row r="1614" spans="1:11" x14ac:dyDescent="0.25">
      <c r="A1614" s="1">
        <v>175</v>
      </c>
      <c r="B1614" s="1">
        <v>3</v>
      </c>
      <c r="C1614" s="1" t="s">
        <v>5</v>
      </c>
      <c r="D1614" s="1">
        <v>1</v>
      </c>
      <c r="E1614" s="1">
        <v>60.621000000000002</v>
      </c>
      <c r="F1614" s="1">
        <v>0.535806</v>
      </c>
      <c r="G1614" t="s">
        <v>2605</v>
      </c>
      <c r="H1614" t="s">
        <v>2606</v>
      </c>
      <c r="I1614" t="s">
        <v>5347</v>
      </c>
      <c r="J1614" t="str">
        <f>"Guanine nucleotide-binding protein G(i) subunit alpha-2"</f>
        <v>Guanine nucleotide-binding protein G(i) subunit alpha-2</v>
      </c>
      <c r="K1614" t="str">
        <f>"GNAI2"</f>
        <v>GNAI2</v>
      </c>
    </row>
    <row r="1615" spans="1:11" x14ac:dyDescent="0.25">
      <c r="A1615" s="1">
        <v>425</v>
      </c>
      <c r="B1615" s="1">
        <v>4</v>
      </c>
      <c r="C1615" s="1" t="s">
        <v>5</v>
      </c>
      <c r="D1615" s="1">
        <v>13</v>
      </c>
      <c r="E1615" s="1">
        <v>40.512999999999998</v>
      </c>
      <c r="F1615" s="1">
        <v>0.64871100000000004</v>
      </c>
      <c r="G1615" t="s">
        <v>2607</v>
      </c>
      <c r="H1615" t="s">
        <v>392</v>
      </c>
      <c r="I1615">
        <v>1037</v>
      </c>
      <c r="J1615" t="str">
        <f>"Plakophilin-4"</f>
        <v>Plakophilin-4</v>
      </c>
      <c r="K1615" t="str">
        <f>"PKP4"</f>
        <v>PKP4</v>
      </c>
    </row>
    <row r="1616" spans="1:11" x14ac:dyDescent="0.25">
      <c r="A1616" s="1">
        <v>1611</v>
      </c>
      <c r="B1616" s="1">
        <v>2</v>
      </c>
      <c r="C1616" s="1" t="s">
        <v>3</v>
      </c>
      <c r="D1616" s="1">
        <v>4</v>
      </c>
      <c r="E1616" s="1">
        <v>50.353999999999999</v>
      </c>
      <c r="F1616" s="1">
        <v>0.82596999999999998</v>
      </c>
      <c r="G1616" t="s">
        <v>2608</v>
      </c>
      <c r="H1616" t="s">
        <v>1200</v>
      </c>
      <c r="I1616">
        <v>534</v>
      </c>
      <c r="J1616" t="str">
        <f>"Serotransferrin"</f>
        <v>Serotransferrin</v>
      </c>
      <c r="K1616" t="str">
        <f>"TF"</f>
        <v>TF</v>
      </c>
    </row>
    <row r="1617" spans="1:11" x14ac:dyDescent="0.25">
      <c r="A1617" s="1">
        <v>1407</v>
      </c>
      <c r="B1617" s="1">
        <v>3</v>
      </c>
      <c r="C1617" s="1" t="s">
        <v>3</v>
      </c>
      <c r="D1617" s="1">
        <v>6</v>
      </c>
      <c r="E1617" s="1">
        <v>129.72</v>
      </c>
      <c r="F1617" s="1">
        <v>0.74808699999999995</v>
      </c>
      <c r="G1617" t="s">
        <v>2609</v>
      </c>
      <c r="H1617" t="s">
        <v>1874</v>
      </c>
      <c r="I1617">
        <v>144</v>
      </c>
      <c r="J1617" t="str">
        <f>"PDZ and LIM domain protein 1"</f>
        <v>PDZ and LIM domain protein 1</v>
      </c>
      <c r="K1617" t="str">
        <f>"PDLIM1"</f>
        <v>PDLIM1</v>
      </c>
    </row>
    <row r="1618" spans="1:11" x14ac:dyDescent="0.25">
      <c r="A1618" s="1">
        <v>1484</v>
      </c>
      <c r="B1618" s="1">
        <v>4</v>
      </c>
      <c r="C1618" s="1" t="s">
        <v>3</v>
      </c>
      <c r="D1618" s="1">
        <v>8</v>
      </c>
      <c r="E1618" s="1">
        <v>99.5</v>
      </c>
      <c r="F1618" s="1">
        <v>1</v>
      </c>
      <c r="G1618" t="s">
        <v>2610</v>
      </c>
      <c r="H1618" t="s">
        <v>2611</v>
      </c>
      <c r="I1618">
        <v>212</v>
      </c>
      <c r="J1618" t="str">
        <f>"Alpha-actinin-4"</f>
        <v>Alpha-actinin-4</v>
      </c>
      <c r="K1618" t="str">
        <f>"ACTN4"</f>
        <v>ACTN4</v>
      </c>
    </row>
    <row r="1619" spans="1:11" x14ac:dyDescent="0.25">
      <c r="A1619" s="1">
        <v>1896</v>
      </c>
      <c r="B1619" s="1">
        <v>3</v>
      </c>
      <c r="C1619" s="1" t="s">
        <v>3</v>
      </c>
      <c r="D1619" s="1">
        <v>9</v>
      </c>
      <c r="E1619" s="1">
        <v>77.775999999999996</v>
      </c>
      <c r="F1619" s="1">
        <v>0.99856400000000001</v>
      </c>
      <c r="G1619" t="s">
        <v>2612</v>
      </c>
      <c r="H1619" t="s">
        <v>2042</v>
      </c>
      <c r="I1619" t="s">
        <v>5348</v>
      </c>
      <c r="J1619" t="str">
        <f>"Splicing factor, proline- and glutamine-rich"</f>
        <v>Splicing factor, proline- and glutamine-rich</v>
      </c>
      <c r="K1619" t="str">
        <f>"SFPQ"</f>
        <v>SFPQ</v>
      </c>
    </row>
    <row r="1620" spans="1:11" x14ac:dyDescent="0.25">
      <c r="A1620" s="1">
        <v>435</v>
      </c>
      <c r="B1620" s="1">
        <v>2</v>
      </c>
      <c r="C1620" s="1" t="s">
        <v>5</v>
      </c>
      <c r="D1620" s="1">
        <v>14</v>
      </c>
      <c r="E1620" s="1">
        <v>72.897999999999996</v>
      </c>
      <c r="F1620" s="1">
        <v>0.650648</v>
      </c>
      <c r="G1620" t="s">
        <v>2613</v>
      </c>
      <c r="H1620" t="s">
        <v>2516</v>
      </c>
      <c r="I1620" t="s">
        <v>5349</v>
      </c>
      <c r="J1620" t="str">
        <f>"Lck-interacting transmembrane adapter 1"</f>
        <v>Lck-interacting transmembrane adapter 1</v>
      </c>
      <c r="K1620" t="str">
        <f>"LIME1"</f>
        <v>LIME1</v>
      </c>
    </row>
    <row r="1621" spans="1:11" x14ac:dyDescent="0.25">
      <c r="A1621" s="1">
        <v>250</v>
      </c>
      <c r="B1621" s="1">
        <v>3</v>
      </c>
      <c r="C1621" s="1" t="s">
        <v>5</v>
      </c>
      <c r="D1621" s="1">
        <v>3</v>
      </c>
      <c r="E1621" s="1">
        <v>62.055</v>
      </c>
      <c r="F1621" s="1">
        <v>1</v>
      </c>
      <c r="G1621" t="s">
        <v>1677</v>
      </c>
      <c r="H1621" t="s">
        <v>1678</v>
      </c>
      <c r="I1621">
        <v>295</v>
      </c>
      <c r="J1621" t="str">
        <f>"Tyrosine-protein kinase SYK"</f>
        <v>Tyrosine-protein kinase SYK</v>
      </c>
      <c r="K1621" t="str">
        <f>"SYK"</f>
        <v>SYK</v>
      </c>
    </row>
    <row r="1622" spans="1:11" x14ac:dyDescent="0.25">
      <c r="A1622" s="1">
        <v>251</v>
      </c>
      <c r="B1622" s="1">
        <v>3</v>
      </c>
      <c r="C1622" s="1" t="s">
        <v>5</v>
      </c>
      <c r="D1622" s="1">
        <v>5</v>
      </c>
      <c r="E1622" s="1">
        <v>62.055</v>
      </c>
      <c r="F1622" s="1">
        <v>1</v>
      </c>
      <c r="G1622" t="s">
        <v>1677</v>
      </c>
      <c r="H1622" t="s">
        <v>1678</v>
      </c>
      <c r="I1622">
        <v>297</v>
      </c>
      <c r="J1622" t="str">
        <f>"Tyrosine-protein kinase SYK"</f>
        <v>Tyrosine-protein kinase SYK</v>
      </c>
      <c r="K1622" t="str">
        <f>"SYK"</f>
        <v>SYK</v>
      </c>
    </row>
    <row r="1623" spans="1:11" x14ac:dyDescent="0.25">
      <c r="A1623" s="1">
        <v>2695</v>
      </c>
      <c r="B1623" s="1">
        <v>4</v>
      </c>
      <c r="C1623" s="1" t="s">
        <v>3</v>
      </c>
      <c r="D1623" s="1">
        <v>14</v>
      </c>
      <c r="E1623" s="1">
        <v>101.21</v>
      </c>
      <c r="F1623" s="1">
        <v>0.52167399999999997</v>
      </c>
      <c r="G1623" t="s">
        <v>2614</v>
      </c>
      <c r="H1623" t="s">
        <v>2615</v>
      </c>
      <c r="I1623">
        <v>31</v>
      </c>
      <c r="J1623" t="str">
        <f>"Mitotic interactor and substrate of PLK1"</f>
        <v>Mitotic interactor and substrate of PLK1</v>
      </c>
      <c r="K1623" t="str">
        <f>"MISP"</f>
        <v>MISP</v>
      </c>
    </row>
    <row r="1624" spans="1:11" x14ac:dyDescent="0.25">
      <c r="A1624" s="1">
        <v>1274</v>
      </c>
      <c r="B1624" s="1">
        <v>2</v>
      </c>
      <c r="C1624" s="1" t="s">
        <v>3</v>
      </c>
      <c r="D1624" s="1">
        <v>3</v>
      </c>
      <c r="E1624" s="1">
        <v>45.433</v>
      </c>
      <c r="F1624" s="1">
        <v>0.993371</v>
      </c>
      <c r="G1624" t="s">
        <v>2616</v>
      </c>
      <c r="H1624" t="s">
        <v>513</v>
      </c>
      <c r="I1624" t="s">
        <v>5350</v>
      </c>
      <c r="J1624" t="str">
        <f>"Paxillin"</f>
        <v>Paxillin</v>
      </c>
      <c r="K1624" t="str">
        <f>"PXN"</f>
        <v>PXN</v>
      </c>
    </row>
    <row r="1625" spans="1:11" x14ac:dyDescent="0.25">
      <c r="A1625" s="1">
        <v>805</v>
      </c>
      <c r="B1625" s="1">
        <v>3</v>
      </c>
      <c r="C1625" s="1" t="s">
        <v>3</v>
      </c>
      <c r="D1625" s="1">
        <v>12</v>
      </c>
      <c r="E1625" s="1">
        <v>61.344999999999999</v>
      </c>
      <c r="F1625" s="1">
        <v>0.90454699999999999</v>
      </c>
      <c r="G1625" t="s">
        <v>2617</v>
      </c>
      <c r="H1625" t="s">
        <v>2618</v>
      </c>
      <c r="I1625" t="s">
        <v>5351</v>
      </c>
      <c r="J1625" t="str">
        <f>"Mucin-1;Mucin-1 subunit alpha;Mucin-1 subunit beta"</f>
        <v>Mucin-1;Mucin-1 subunit alpha;Mucin-1 subunit beta</v>
      </c>
      <c r="K1625" t="str">
        <f>"MUC1"</f>
        <v>MUC1</v>
      </c>
    </row>
    <row r="1626" spans="1:11" x14ac:dyDescent="0.25">
      <c r="A1626" s="1">
        <v>2969</v>
      </c>
      <c r="B1626" s="1">
        <v>3</v>
      </c>
      <c r="C1626" s="1" t="s">
        <v>3</v>
      </c>
      <c r="D1626" s="1">
        <v>13</v>
      </c>
      <c r="E1626" s="1">
        <v>59.975000000000001</v>
      </c>
      <c r="F1626" s="1">
        <v>0.92941799999999997</v>
      </c>
      <c r="G1626" t="s">
        <v>2619</v>
      </c>
      <c r="H1626" t="s">
        <v>1616</v>
      </c>
      <c r="I1626" t="s">
        <v>5352</v>
      </c>
      <c r="J1626" t="str">
        <f>"Aminopeptidase B"</f>
        <v>Aminopeptidase B</v>
      </c>
      <c r="K1626" t="str">
        <f>"RNPEP"</f>
        <v>RNPEP</v>
      </c>
    </row>
    <row r="1627" spans="1:11" x14ac:dyDescent="0.25">
      <c r="A1627" s="1">
        <v>1022</v>
      </c>
      <c r="B1627" s="1">
        <v>2</v>
      </c>
      <c r="C1627" s="1" t="s">
        <v>3</v>
      </c>
      <c r="D1627" s="1">
        <v>3</v>
      </c>
      <c r="E1627" s="1">
        <v>59.198</v>
      </c>
      <c r="F1627" s="1">
        <v>0.99831000000000003</v>
      </c>
      <c r="G1627" t="s">
        <v>2620</v>
      </c>
      <c r="H1627" t="s">
        <v>2621</v>
      </c>
      <c r="I1627" t="s">
        <v>5353</v>
      </c>
      <c r="J1627" t="str">
        <f>"Unconventional myosin-Ig;Minor histocompatibility antigen HA-2"</f>
        <v>Unconventional myosin-Ig;Minor histocompatibility antigen HA-2</v>
      </c>
      <c r="K1627" t="str">
        <f>"MYO1G"</f>
        <v>MYO1G</v>
      </c>
    </row>
    <row r="1628" spans="1:11" x14ac:dyDescent="0.25">
      <c r="A1628" s="1">
        <v>2651</v>
      </c>
      <c r="B1628" s="1">
        <v>3</v>
      </c>
      <c r="C1628" s="1" t="s">
        <v>3</v>
      </c>
      <c r="D1628" s="1">
        <v>8</v>
      </c>
      <c r="E1628" s="1">
        <v>97.796999999999997</v>
      </c>
      <c r="F1628" s="1">
        <v>0.99998399999999998</v>
      </c>
      <c r="G1628" t="s">
        <v>2622</v>
      </c>
      <c r="H1628" t="s">
        <v>677</v>
      </c>
      <c r="I1628" t="s">
        <v>5354</v>
      </c>
      <c r="J1628" t="str">
        <f>"Phosphoinositide 3-kinase adapter protein 1"</f>
        <v>Phosphoinositide 3-kinase adapter protein 1</v>
      </c>
      <c r="K1628" t="str">
        <f>"PIK3AP1"</f>
        <v>PIK3AP1</v>
      </c>
    </row>
    <row r="1629" spans="1:11" x14ac:dyDescent="0.25">
      <c r="A1629" s="1">
        <v>1928</v>
      </c>
      <c r="B1629" s="1">
        <v>3</v>
      </c>
      <c r="C1629" s="1" t="s">
        <v>3</v>
      </c>
      <c r="D1629" s="1">
        <v>14</v>
      </c>
      <c r="E1629" s="1">
        <v>95.5</v>
      </c>
      <c r="F1629" s="1">
        <v>0.95899400000000001</v>
      </c>
      <c r="G1629" t="s">
        <v>2623</v>
      </c>
      <c r="H1629" t="s">
        <v>2624</v>
      </c>
      <c r="I1629" t="s">
        <v>5355</v>
      </c>
      <c r="J1629" t="str">
        <f>"DNA (cytosine-5)-methyltransferase 1"</f>
        <v>DNA (cytosine-5)-methyltransferase 1</v>
      </c>
      <c r="K1629" t="str">
        <f>"DNMT1"</f>
        <v>DNMT1</v>
      </c>
    </row>
    <row r="1630" spans="1:11" x14ac:dyDescent="0.25">
      <c r="A1630" s="1">
        <v>2115</v>
      </c>
      <c r="B1630" s="1">
        <v>2</v>
      </c>
      <c r="C1630" s="1" t="s">
        <v>3</v>
      </c>
      <c r="D1630" s="1">
        <v>3</v>
      </c>
      <c r="E1630" s="1">
        <v>46.796999999999997</v>
      </c>
      <c r="F1630" s="1">
        <v>0.97784599999999999</v>
      </c>
      <c r="G1630" t="s">
        <v>2625</v>
      </c>
      <c r="H1630" t="s">
        <v>2626</v>
      </c>
      <c r="I1630">
        <v>143</v>
      </c>
      <c r="J1630" t="str">
        <f>"Regulator of G-protein signaling 19"</f>
        <v>Regulator of G-protein signaling 19</v>
      </c>
      <c r="K1630" t="str">
        <f>"RGS19"</f>
        <v>RGS19</v>
      </c>
    </row>
    <row r="1631" spans="1:11" x14ac:dyDescent="0.25">
      <c r="A1631" s="1">
        <v>1289</v>
      </c>
      <c r="B1631" s="1">
        <v>4</v>
      </c>
      <c r="C1631" s="1" t="s">
        <v>3</v>
      </c>
      <c r="D1631" s="1">
        <v>6</v>
      </c>
      <c r="E1631" s="1">
        <v>43.591999999999999</v>
      </c>
      <c r="F1631" s="1">
        <v>0.999865</v>
      </c>
      <c r="G1631" t="s">
        <v>2627</v>
      </c>
      <c r="H1631" t="s">
        <v>1958</v>
      </c>
      <c r="I1631" t="s">
        <v>5356</v>
      </c>
      <c r="J1631" t="str">
        <f>"Mitogen-activated protein kinase kinase kinase 4"</f>
        <v>Mitogen-activated protein kinase kinase kinase 4</v>
      </c>
      <c r="K1631" t="str">
        <f>"MAP3K4"</f>
        <v>MAP3K4</v>
      </c>
    </row>
    <row r="1632" spans="1:11" x14ac:dyDescent="0.25">
      <c r="A1632" s="1">
        <v>919</v>
      </c>
      <c r="B1632" s="1">
        <v>2</v>
      </c>
      <c r="C1632" s="1" t="s">
        <v>3</v>
      </c>
      <c r="D1632" s="1">
        <v>1</v>
      </c>
      <c r="E1632" s="1">
        <v>64.42</v>
      </c>
      <c r="F1632" s="1">
        <v>0.99998299999999996</v>
      </c>
      <c r="G1632" t="s">
        <v>2628</v>
      </c>
      <c r="H1632" t="s">
        <v>2629</v>
      </c>
      <c r="I1632" t="s">
        <v>5357</v>
      </c>
      <c r="J1632" t="str">
        <f>"Cullin-2"</f>
        <v>Cullin-2</v>
      </c>
      <c r="K1632" t="str">
        <f>"CUL2"</f>
        <v>CUL2</v>
      </c>
    </row>
    <row r="1633" spans="1:11" x14ac:dyDescent="0.25">
      <c r="A1633" s="1">
        <v>124</v>
      </c>
      <c r="B1633" s="1">
        <v>3</v>
      </c>
      <c r="C1633" s="1" t="s">
        <v>5</v>
      </c>
      <c r="D1633" s="1">
        <v>1</v>
      </c>
      <c r="E1633" s="1">
        <v>80.311999999999998</v>
      </c>
      <c r="F1633" s="1">
        <v>0.79313299999999998</v>
      </c>
      <c r="G1633" t="s">
        <v>2630</v>
      </c>
      <c r="H1633" t="s">
        <v>230</v>
      </c>
      <c r="I1633" t="s">
        <v>5358</v>
      </c>
      <c r="J1633" t="str">
        <f>"Phosphatidylinositol 3-kinase regulatory subunit beta"</f>
        <v>Phosphatidylinositol 3-kinase regulatory subunit beta</v>
      </c>
      <c r="K1633" t="str">
        <f>"PIK3R2"</f>
        <v>PIK3R2</v>
      </c>
    </row>
    <row r="1634" spans="1:11" x14ac:dyDescent="0.25">
      <c r="A1634" s="1">
        <v>1740</v>
      </c>
      <c r="B1634" s="1">
        <v>2</v>
      </c>
      <c r="C1634" s="1" t="s">
        <v>3</v>
      </c>
      <c r="D1634" s="1">
        <v>8</v>
      </c>
      <c r="E1634" s="1">
        <v>48.567999999999998</v>
      </c>
      <c r="F1634" s="1">
        <v>0.64495100000000005</v>
      </c>
      <c r="G1634" t="s">
        <v>2631</v>
      </c>
      <c r="H1634" t="s">
        <v>2632</v>
      </c>
      <c r="I1634">
        <v>570</v>
      </c>
      <c r="J1634" t="str">
        <f>"78 kDa glucose-regulated protein"</f>
        <v>78 kDa glucose-regulated protein</v>
      </c>
      <c r="K1634" t="str">
        <f>"HSPA5"</f>
        <v>HSPA5</v>
      </c>
    </row>
    <row r="1635" spans="1:11" x14ac:dyDescent="0.25">
      <c r="A1635" s="1">
        <v>1315</v>
      </c>
      <c r="B1635" s="1">
        <v>4</v>
      </c>
      <c r="C1635" s="1" t="s">
        <v>3</v>
      </c>
      <c r="D1635" s="1">
        <v>3</v>
      </c>
      <c r="E1635" s="1">
        <v>73.435000000000002</v>
      </c>
      <c r="F1635" s="1">
        <v>0.76501300000000005</v>
      </c>
      <c r="G1635" t="s">
        <v>2633</v>
      </c>
      <c r="H1635" t="s">
        <v>2053</v>
      </c>
      <c r="I1635" t="s">
        <v>5359</v>
      </c>
      <c r="J1635" t="str">
        <f>"GTPase-activating protein and VPS9 domain-containing protein 1"</f>
        <v>GTPase-activating protein and VPS9 domain-containing protein 1</v>
      </c>
      <c r="K1635" t="str">
        <f>"GAPVD1"</f>
        <v>GAPVD1</v>
      </c>
    </row>
    <row r="1636" spans="1:11" x14ac:dyDescent="0.25">
      <c r="A1636" s="1">
        <v>1019</v>
      </c>
      <c r="B1636" s="1">
        <v>3</v>
      </c>
      <c r="C1636" s="1" t="s">
        <v>3</v>
      </c>
      <c r="D1636" s="1">
        <v>2</v>
      </c>
      <c r="E1636" s="1">
        <v>61.87</v>
      </c>
      <c r="F1636" s="1">
        <v>0.99558800000000003</v>
      </c>
      <c r="G1636" t="s">
        <v>2634</v>
      </c>
      <c r="H1636" t="s">
        <v>2635</v>
      </c>
      <c r="I1636">
        <v>839</v>
      </c>
      <c r="J1636" t="str">
        <f>"Unconventional myosin-Ig;Minor histocompatibility antigen HA-2"</f>
        <v>Unconventional myosin-Ig;Minor histocompatibility antigen HA-2</v>
      </c>
      <c r="K1636" t="str">
        <f>"MYO1G"</f>
        <v>MYO1G</v>
      </c>
    </row>
    <row r="1637" spans="1:11" x14ac:dyDescent="0.25">
      <c r="A1637" s="1">
        <v>875</v>
      </c>
      <c r="B1637" s="1">
        <v>2</v>
      </c>
      <c r="C1637" s="1" t="s">
        <v>3</v>
      </c>
      <c r="D1637" s="1">
        <v>5</v>
      </c>
      <c r="E1637" s="1">
        <v>44.542999999999999</v>
      </c>
      <c r="F1637" s="1">
        <v>0.98937299999999995</v>
      </c>
      <c r="G1637" t="s">
        <v>2636</v>
      </c>
      <c r="H1637" t="s">
        <v>1976</v>
      </c>
      <c r="I1637" t="s">
        <v>5360</v>
      </c>
      <c r="J1637" t="str">
        <f>"Heterogeneous nuclear ribonucleoprotein U-like protein 1"</f>
        <v>Heterogeneous nuclear ribonucleoprotein U-like protein 1</v>
      </c>
      <c r="K1637" t="str">
        <f>"HNRNPUL1"</f>
        <v>HNRNPUL1</v>
      </c>
    </row>
    <row r="1638" spans="1:11" x14ac:dyDescent="0.25">
      <c r="A1638" s="1">
        <v>2358</v>
      </c>
      <c r="B1638" s="1">
        <v>4</v>
      </c>
      <c r="C1638" s="1" t="s">
        <v>3</v>
      </c>
      <c r="D1638" s="1">
        <v>4</v>
      </c>
      <c r="E1638" s="1">
        <v>151.56</v>
      </c>
      <c r="F1638" s="1">
        <v>0.99963299999999999</v>
      </c>
      <c r="G1638" t="s">
        <v>2637</v>
      </c>
      <c r="H1638" t="s">
        <v>2638</v>
      </c>
      <c r="I1638">
        <v>890</v>
      </c>
      <c r="J1638" t="str">
        <f>"Trichohyalin"</f>
        <v>Trichohyalin</v>
      </c>
      <c r="K1638" t="str">
        <f>"TCHH"</f>
        <v>TCHH</v>
      </c>
    </row>
    <row r="1639" spans="1:11" x14ac:dyDescent="0.25">
      <c r="A1639" s="1">
        <v>1534</v>
      </c>
      <c r="B1639" s="1">
        <v>2</v>
      </c>
      <c r="C1639" s="1" t="s">
        <v>3</v>
      </c>
      <c r="D1639" s="1">
        <v>2</v>
      </c>
      <c r="E1639" s="1">
        <v>81.016999999999996</v>
      </c>
      <c r="F1639" s="1">
        <v>0.99999899999999997</v>
      </c>
      <c r="G1639" t="s">
        <v>2639</v>
      </c>
      <c r="H1639" t="s">
        <v>709</v>
      </c>
      <c r="I1639">
        <v>197</v>
      </c>
      <c r="J1639" t="str">
        <f>"Src kinase-associated phosphoprotein 2"</f>
        <v>Src kinase-associated phosphoprotein 2</v>
      </c>
      <c r="K1639" t="str">
        <f>"SKAP2"</f>
        <v>SKAP2</v>
      </c>
    </row>
    <row r="1640" spans="1:11" x14ac:dyDescent="0.25">
      <c r="A1640" s="1">
        <v>1529</v>
      </c>
      <c r="B1640" s="1">
        <v>2</v>
      </c>
      <c r="C1640" s="1" t="s">
        <v>3</v>
      </c>
      <c r="D1640" s="1">
        <v>4</v>
      </c>
      <c r="E1640" s="1">
        <v>100.02</v>
      </c>
      <c r="F1640" s="1">
        <v>0.99790000000000001</v>
      </c>
      <c r="G1640" t="s">
        <v>2640</v>
      </c>
      <c r="H1640" t="s">
        <v>1574</v>
      </c>
      <c r="I1640" t="s">
        <v>5361</v>
      </c>
      <c r="J1640" t="str">
        <f>"Filamin-B"</f>
        <v>Filamin-B</v>
      </c>
      <c r="K1640" t="str">
        <f>"FLNB"</f>
        <v>FLNB</v>
      </c>
    </row>
    <row r="1641" spans="1:11" x14ac:dyDescent="0.25">
      <c r="A1641" s="1">
        <v>2070</v>
      </c>
      <c r="B1641" s="1">
        <v>3</v>
      </c>
      <c r="C1641" s="1" t="s">
        <v>3</v>
      </c>
      <c r="D1641" s="1">
        <v>3</v>
      </c>
      <c r="E1641" s="1">
        <v>73.674999999999997</v>
      </c>
      <c r="F1641" s="1">
        <v>0.98593200000000003</v>
      </c>
      <c r="G1641" t="s">
        <v>2641</v>
      </c>
      <c r="H1641" t="s">
        <v>2642</v>
      </c>
      <c r="I1641">
        <v>403</v>
      </c>
      <c r="J1641" t="str">
        <f>"Nicotinamide phosphoribosyltransferase"</f>
        <v>Nicotinamide phosphoribosyltransferase</v>
      </c>
      <c r="K1641" t="str">
        <f>"NAMPT"</f>
        <v>NAMPT</v>
      </c>
    </row>
    <row r="1642" spans="1:11" x14ac:dyDescent="0.25">
      <c r="A1642" s="1">
        <v>2007</v>
      </c>
      <c r="B1642" s="1">
        <v>3</v>
      </c>
      <c r="C1642" s="1" t="s">
        <v>3</v>
      </c>
      <c r="D1642" s="1">
        <v>10</v>
      </c>
      <c r="E1642" s="1">
        <v>41.908000000000001</v>
      </c>
      <c r="F1642" s="1">
        <v>0.79778700000000002</v>
      </c>
      <c r="G1642" t="s">
        <v>2643</v>
      </c>
      <c r="H1642" t="s">
        <v>2644</v>
      </c>
      <c r="I1642" t="s">
        <v>5362</v>
      </c>
      <c r="J1642" t="str">
        <f>"Vascular endothelial growth factor receptor 3"</f>
        <v>Vascular endothelial growth factor receptor 3</v>
      </c>
      <c r="K1642" t="str">
        <f>"FLT4"</f>
        <v>FLT4</v>
      </c>
    </row>
    <row r="1643" spans="1:11" x14ac:dyDescent="0.25">
      <c r="A1643" s="1">
        <v>106</v>
      </c>
      <c r="B1643" s="1">
        <v>4</v>
      </c>
      <c r="C1643" s="1" t="s">
        <v>5</v>
      </c>
      <c r="D1643" s="1">
        <v>22</v>
      </c>
      <c r="E1643" s="1">
        <v>47.506</v>
      </c>
      <c r="F1643" s="1">
        <v>0.52525500000000003</v>
      </c>
      <c r="G1643" t="s">
        <v>2645</v>
      </c>
      <c r="H1643" t="s">
        <v>1075</v>
      </c>
      <c r="I1643">
        <v>268</v>
      </c>
      <c r="J1643" t="str">
        <f>""</f>
        <v/>
      </c>
      <c r="K1643" t="str">
        <f>"CTNNA1"</f>
        <v>CTNNA1</v>
      </c>
    </row>
    <row r="1644" spans="1:11" x14ac:dyDescent="0.25">
      <c r="A1644" s="1">
        <v>2155</v>
      </c>
      <c r="B1644" s="1">
        <v>3</v>
      </c>
      <c r="C1644" s="1" t="s">
        <v>3</v>
      </c>
      <c r="D1644" s="1">
        <v>19</v>
      </c>
      <c r="E1644" s="1">
        <v>47.75</v>
      </c>
      <c r="F1644" s="1">
        <v>0.90919000000000005</v>
      </c>
      <c r="G1644" t="s">
        <v>2646</v>
      </c>
      <c r="H1644" t="s">
        <v>2647</v>
      </c>
      <c r="I1644" t="s">
        <v>5363</v>
      </c>
      <c r="J1644" t="str">
        <f>"Heterogeneous nuclear ribonucleoprotein A3"</f>
        <v>Heterogeneous nuclear ribonucleoprotein A3</v>
      </c>
      <c r="K1644" t="str">
        <f>"HNRNPA3"</f>
        <v>HNRNPA3</v>
      </c>
    </row>
    <row r="1645" spans="1:11" x14ac:dyDescent="0.25">
      <c r="A1645" s="1">
        <v>1330</v>
      </c>
      <c r="B1645" s="1">
        <v>4</v>
      </c>
      <c r="C1645" s="1" t="s">
        <v>3</v>
      </c>
      <c r="D1645" s="1">
        <v>8</v>
      </c>
      <c r="E1645" s="1">
        <v>51.826999999999998</v>
      </c>
      <c r="F1645" s="1">
        <v>0.92383599999999999</v>
      </c>
      <c r="G1645" t="s">
        <v>2648</v>
      </c>
      <c r="H1645" t="s">
        <v>2649</v>
      </c>
      <c r="I1645" t="s">
        <v>5364</v>
      </c>
      <c r="J1645" t="str">
        <f>"Raftlin"</f>
        <v>Raftlin</v>
      </c>
      <c r="K1645" t="str">
        <f>"RFTN1"</f>
        <v>RFTN1</v>
      </c>
    </row>
    <row r="1646" spans="1:11" x14ac:dyDescent="0.25">
      <c r="A1646" s="1">
        <v>1785</v>
      </c>
      <c r="B1646" s="1">
        <v>4</v>
      </c>
      <c r="C1646" s="1" t="s">
        <v>3</v>
      </c>
      <c r="D1646" s="1">
        <v>3</v>
      </c>
      <c r="E1646" s="1">
        <v>56.171999999999997</v>
      </c>
      <c r="F1646" s="1">
        <v>0.912358</v>
      </c>
      <c r="G1646" t="s">
        <v>2650</v>
      </c>
      <c r="H1646" t="s">
        <v>1587</v>
      </c>
      <c r="I1646">
        <v>563</v>
      </c>
      <c r="J1646" t="str">
        <f>"Endoplasmin"</f>
        <v>Endoplasmin</v>
      </c>
      <c r="K1646" t="str">
        <f>"HSP90B1"</f>
        <v>HSP90B1</v>
      </c>
    </row>
    <row r="1647" spans="1:11" x14ac:dyDescent="0.25">
      <c r="A1647" s="1">
        <v>1555</v>
      </c>
      <c r="B1647" s="1">
        <v>2</v>
      </c>
      <c r="C1647" s="1" t="s">
        <v>3</v>
      </c>
      <c r="D1647" s="1">
        <v>6</v>
      </c>
      <c r="E1647" s="1">
        <v>92.039000000000001</v>
      </c>
      <c r="F1647" s="1">
        <v>1</v>
      </c>
      <c r="G1647" t="s">
        <v>2651</v>
      </c>
      <c r="H1647" t="s">
        <v>2652</v>
      </c>
      <c r="I1647">
        <v>69</v>
      </c>
      <c r="J1647" t="str">
        <f>"Proline synthase co-transcribed bacterial homolog protein"</f>
        <v>Proline synthase co-transcribed bacterial homolog protein</v>
      </c>
      <c r="K1647" t="str">
        <f>"PROSC"</f>
        <v>PROSC</v>
      </c>
    </row>
    <row r="1648" spans="1:11" x14ac:dyDescent="0.25">
      <c r="A1648" s="1">
        <v>2715</v>
      </c>
      <c r="B1648" s="1">
        <v>4</v>
      </c>
      <c r="C1648" s="1" t="s">
        <v>3</v>
      </c>
      <c r="D1648" s="1">
        <v>10</v>
      </c>
      <c r="E1648" s="1">
        <v>96.311999999999998</v>
      </c>
      <c r="F1648" s="1">
        <v>0.99764399999999998</v>
      </c>
      <c r="G1648" t="s">
        <v>2653</v>
      </c>
      <c r="H1648" t="s">
        <v>2654</v>
      </c>
      <c r="I1648" t="s">
        <v>5365</v>
      </c>
      <c r="J1648" t="str">
        <f>"Misshapen-like kinase 1"</f>
        <v>Misshapen-like kinase 1</v>
      </c>
      <c r="K1648" t="str">
        <f>"MINK1"</f>
        <v>MINK1</v>
      </c>
    </row>
    <row r="1649" spans="1:11" x14ac:dyDescent="0.25">
      <c r="A1649" s="1">
        <v>772</v>
      </c>
      <c r="B1649" s="1">
        <v>3</v>
      </c>
      <c r="C1649" s="1" t="s">
        <v>3</v>
      </c>
      <c r="D1649" s="1">
        <v>3</v>
      </c>
      <c r="E1649" s="1">
        <v>40.682000000000002</v>
      </c>
      <c r="F1649" s="1">
        <v>0.69862400000000002</v>
      </c>
      <c r="G1649" t="s">
        <v>2655</v>
      </c>
      <c r="H1649" t="s">
        <v>2656</v>
      </c>
      <c r="I1649" t="s">
        <v>5366</v>
      </c>
      <c r="J1649" t="str">
        <f>"Far upstream element-binding protein 2"</f>
        <v>Far upstream element-binding protein 2</v>
      </c>
      <c r="K1649" t="str">
        <f>"KHSRP"</f>
        <v>KHSRP</v>
      </c>
    </row>
    <row r="1650" spans="1:11" x14ac:dyDescent="0.25">
      <c r="A1650" s="1">
        <v>1131</v>
      </c>
      <c r="B1650" s="1">
        <v>3</v>
      </c>
      <c r="C1650" s="1" t="s">
        <v>3</v>
      </c>
      <c r="D1650" s="1">
        <v>16</v>
      </c>
      <c r="E1650" s="1">
        <v>62.192999999999998</v>
      </c>
      <c r="F1650" s="1">
        <v>0.72834500000000002</v>
      </c>
      <c r="G1650" t="s">
        <v>2657</v>
      </c>
      <c r="H1650" t="s">
        <v>143</v>
      </c>
      <c r="I1650">
        <v>335</v>
      </c>
      <c r="J1650" t="str">
        <f>""</f>
        <v/>
      </c>
      <c r="K1650" t="str">
        <f>"CTNND1"</f>
        <v>CTNND1</v>
      </c>
    </row>
    <row r="1651" spans="1:11" x14ac:dyDescent="0.25">
      <c r="A1651" s="1">
        <v>2056</v>
      </c>
      <c r="B1651" s="1">
        <v>3</v>
      </c>
      <c r="C1651" s="1" t="s">
        <v>3</v>
      </c>
      <c r="D1651" s="1">
        <v>6</v>
      </c>
      <c r="E1651" s="1">
        <v>65.373999999999995</v>
      </c>
      <c r="F1651" s="1">
        <v>0.96981799999999996</v>
      </c>
      <c r="G1651" t="s">
        <v>2658</v>
      </c>
      <c r="H1651" t="s">
        <v>237</v>
      </c>
      <c r="I1651" t="s">
        <v>5367</v>
      </c>
      <c r="J1651" t="str">
        <f>"Tyrosine-protein kinase SYK"</f>
        <v>Tyrosine-protein kinase SYK</v>
      </c>
      <c r="K1651" t="str">
        <f>"SYK"</f>
        <v>SYK</v>
      </c>
    </row>
    <row r="1652" spans="1:11" x14ac:dyDescent="0.25">
      <c r="A1652" s="1">
        <v>3065</v>
      </c>
      <c r="B1652" s="1">
        <v>3</v>
      </c>
      <c r="C1652" s="1" t="s">
        <v>3</v>
      </c>
      <c r="D1652" s="1">
        <v>10</v>
      </c>
      <c r="E1652" s="1">
        <v>57.39</v>
      </c>
      <c r="F1652" s="1">
        <v>0.88903100000000002</v>
      </c>
      <c r="G1652" t="s">
        <v>2659</v>
      </c>
      <c r="H1652" t="s">
        <v>1974</v>
      </c>
      <c r="I1652" t="s">
        <v>5368</v>
      </c>
      <c r="J1652" t="str">
        <f>"Testin"</f>
        <v>Testin</v>
      </c>
      <c r="K1652" t="str">
        <f>"TES"</f>
        <v>TES</v>
      </c>
    </row>
    <row r="1653" spans="1:11" x14ac:dyDescent="0.25">
      <c r="A1653" s="1">
        <v>1088</v>
      </c>
      <c r="B1653" s="1">
        <v>3</v>
      </c>
      <c r="C1653" s="1" t="s">
        <v>3</v>
      </c>
      <c r="D1653" s="1">
        <v>11</v>
      </c>
      <c r="E1653" s="1">
        <v>92.792000000000002</v>
      </c>
      <c r="F1653" s="1">
        <v>0.99965700000000002</v>
      </c>
      <c r="G1653" t="s">
        <v>2660</v>
      </c>
      <c r="H1653" t="s">
        <v>2661</v>
      </c>
      <c r="I1653" t="s">
        <v>5369</v>
      </c>
      <c r="J1653" t="str">
        <f>"FYVE, RhoGEF and PH domain-containing protein 5"</f>
        <v>FYVE, RhoGEF and PH domain-containing protein 5</v>
      </c>
      <c r="K1653" t="str">
        <f>"FGD5"</f>
        <v>FGD5</v>
      </c>
    </row>
    <row r="1654" spans="1:11" x14ac:dyDescent="0.25">
      <c r="A1654" s="1">
        <v>1005</v>
      </c>
      <c r="B1654" s="1">
        <v>2</v>
      </c>
      <c r="C1654" s="1" t="s">
        <v>3</v>
      </c>
      <c r="D1654" s="1">
        <v>3</v>
      </c>
      <c r="E1654" s="1">
        <v>55.261000000000003</v>
      </c>
      <c r="F1654" s="1">
        <v>0.99937100000000001</v>
      </c>
      <c r="G1654" t="s">
        <v>2662</v>
      </c>
      <c r="H1654" t="s">
        <v>2186</v>
      </c>
      <c r="I1654" t="s">
        <v>5370</v>
      </c>
      <c r="J1654" t="str">
        <f>"Rho GTPase-activating protein 32"</f>
        <v>Rho GTPase-activating protein 32</v>
      </c>
      <c r="K1654" t="str">
        <f>"ARHGAP32"</f>
        <v>ARHGAP32</v>
      </c>
    </row>
    <row r="1655" spans="1:11" x14ac:dyDescent="0.25">
      <c r="A1655" s="1">
        <v>2782</v>
      </c>
      <c r="B1655" s="1">
        <v>3</v>
      </c>
      <c r="C1655" s="1" t="s">
        <v>3</v>
      </c>
      <c r="D1655" s="1">
        <v>6</v>
      </c>
      <c r="E1655" s="1">
        <v>64.704999999999998</v>
      </c>
      <c r="F1655" s="1">
        <v>0.93922000000000005</v>
      </c>
      <c r="G1655" t="s">
        <v>2663</v>
      </c>
      <c r="H1655" t="s">
        <v>1250</v>
      </c>
      <c r="I1655">
        <v>349</v>
      </c>
      <c r="J1655" t="str">
        <f>"Fibroblast growth factor receptor substrate 2"</f>
        <v>Fibroblast growth factor receptor substrate 2</v>
      </c>
      <c r="K1655" t="str">
        <f>"FRS2"</f>
        <v>FRS2</v>
      </c>
    </row>
    <row r="1656" spans="1:11" x14ac:dyDescent="0.25">
      <c r="A1656" s="1">
        <v>1175</v>
      </c>
      <c r="B1656" s="1">
        <v>2</v>
      </c>
      <c r="C1656" s="1" t="s">
        <v>3</v>
      </c>
      <c r="D1656" s="1">
        <v>1</v>
      </c>
      <c r="E1656" s="1">
        <v>93.344999999999999</v>
      </c>
      <c r="F1656" s="1">
        <v>0.99993799999999999</v>
      </c>
      <c r="G1656" t="s">
        <v>2664</v>
      </c>
      <c r="H1656" t="s">
        <v>2665</v>
      </c>
      <c r="I1656" t="s">
        <v>5371</v>
      </c>
      <c r="J1656" t="str">
        <f>"Protein PRRC2C"</f>
        <v>Protein PRRC2C</v>
      </c>
      <c r="K1656" t="str">
        <f>"PRRC2C"</f>
        <v>PRRC2C</v>
      </c>
    </row>
    <row r="1657" spans="1:11" x14ac:dyDescent="0.25">
      <c r="A1657" s="1">
        <v>1912</v>
      </c>
      <c r="B1657" s="1">
        <v>2</v>
      </c>
      <c r="C1657" s="1" t="s">
        <v>3</v>
      </c>
      <c r="D1657" s="1">
        <v>2</v>
      </c>
      <c r="E1657" s="1">
        <v>42.598999999999997</v>
      </c>
      <c r="F1657" s="1">
        <v>1</v>
      </c>
      <c r="G1657" t="s">
        <v>2666</v>
      </c>
      <c r="H1657" t="s">
        <v>2667</v>
      </c>
      <c r="I1657" t="s">
        <v>5372</v>
      </c>
      <c r="J1657" t="str">
        <f>"ATP synthase F(0) complex subunit B1, mitochondrial"</f>
        <v>ATP synthase F(0) complex subunit B1, mitochondrial</v>
      </c>
      <c r="K1657" t="str">
        <f>"ATP5F1"</f>
        <v>ATP5F1</v>
      </c>
    </row>
    <row r="1658" spans="1:11" x14ac:dyDescent="0.25">
      <c r="A1658" s="1">
        <v>2105</v>
      </c>
      <c r="B1658" s="1">
        <v>3</v>
      </c>
      <c r="C1658" s="1" t="s">
        <v>3</v>
      </c>
      <c r="D1658" s="1">
        <v>14</v>
      </c>
      <c r="E1658" s="1">
        <v>60.061999999999998</v>
      </c>
      <c r="F1658" s="1">
        <v>0.77205199999999996</v>
      </c>
      <c r="G1658" t="s">
        <v>2668</v>
      </c>
      <c r="H1658" t="s">
        <v>2089</v>
      </c>
      <c r="I1658">
        <v>266</v>
      </c>
      <c r="J1658" t="str">
        <f>"Elongation factor Tu, mitochondrial"</f>
        <v>Elongation factor Tu, mitochondrial</v>
      </c>
      <c r="K1658" t="str">
        <f>"TUFM"</f>
        <v>TUFM</v>
      </c>
    </row>
    <row r="1659" spans="1:11" x14ac:dyDescent="0.25">
      <c r="A1659" s="1">
        <v>1474</v>
      </c>
      <c r="B1659" s="1">
        <v>2</v>
      </c>
      <c r="C1659" s="1" t="s">
        <v>3</v>
      </c>
      <c r="D1659" s="1">
        <v>2</v>
      </c>
      <c r="E1659" s="1">
        <v>73.498999999999995</v>
      </c>
      <c r="F1659" s="1">
        <v>1</v>
      </c>
      <c r="G1659" t="s">
        <v>2669</v>
      </c>
      <c r="H1659" t="s">
        <v>2670</v>
      </c>
      <c r="I1659">
        <v>1217</v>
      </c>
      <c r="J1659" t="str">
        <f>"Phospholipid-transporting ATPase IC"</f>
        <v>Phospholipid-transporting ATPase IC</v>
      </c>
      <c r="K1659" t="str">
        <f>"ATP8B1"</f>
        <v>ATP8B1</v>
      </c>
    </row>
    <row r="1660" spans="1:11" x14ac:dyDescent="0.25">
      <c r="A1660" s="1">
        <v>416</v>
      </c>
      <c r="B1660" s="1">
        <v>2</v>
      </c>
      <c r="C1660" s="1" t="s">
        <v>5</v>
      </c>
      <c r="D1660" s="1">
        <v>5</v>
      </c>
      <c r="E1660" s="1">
        <v>47.548000000000002</v>
      </c>
      <c r="F1660" s="1">
        <v>0.533528</v>
      </c>
      <c r="G1660" t="s">
        <v>2671</v>
      </c>
      <c r="H1660" t="s">
        <v>124</v>
      </c>
      <c r="I1660" t="s">
        <v>5373</v>
      </c>
      <c r="J1660" t="str">
        <f>"Plakophilin-4"</f>
        <v>Plakophilin-4</v>
      </c>
      <c r="K1660" t="str">
        <f>"PKP4"</f>
        <v>PKP4</v>
      </c>
    </row>
    <row r="1661" spans="1:11" x14ac:dyDescent="0.25">
      <c r="A1661" s="1">
        <v>1348</v>
      </c>
      <c r="B1661" s="1">
        <v>3</v>
      </c>
      <c r="C1661" s="1" t="s">
        <v>3</v>
      </c>
      <c r="D1661" s="1">
        <v>4</v>
      </c>
      <c r="E1661" s="1">
        <v>44.997999999999998</v>
      </c>
      <c r="F1661" s="1">
        <v>0.49993300000000002</v>
      </c>
      <c r="G1661" t="s">
        <v>2672</v>
      </c>
      <c r="H1661" t="s">
        <v>2673</v>
      </c>
      <c r="I1661" t="s">
        <v>5374</v>
      </c>
      <c r="J1661" t="str">
        <f>""</f>
        <v/>
      </c>
      <c r="K1661" t="str">
        <f>"MVP"</f>
        <v>MVP</v>
      </c>
    </row>
    <row r="1662" spans="1:11" x14ac:dyDescent="0.25">
      <c r="A1662" s="1">
        <v>1349</v>
      </c>
      <c r="B1662" s="1">
        <v>3</v>
      </c>
      <c r="C1662" s="1" t="s">
        <v>3</v>
      </c>
      <c r="D1662" s="1">
        <v>6</v>
      </c>
      <c r="E1662" s="1">
        <v>44.997999999999998</v>
      </c>
      <c r="F1662" s="1">
        <v>0.49993300000000002</v>
      </c>
      <c r="G1662" t="s">
        <v>2672</v>
      </c>
      <c r="H1662" t="s">
        <v>2673</v>
      </c>
      <c r="I1662" t="s">
        <v>5375</v>
      </c>
      <c r="J1662" t="str">
        <f>""</f>
        <v/>
      </c>
      <c r="K1662" t="str">
        <f>"MVP"</f>
        <v>MVP</v>
      </c>
    </row>
    <row r="1663" spans="1:11" x14ac:dyDescent="0.25">
      <c r="A1663" s="1">
        <v>1462</v>
      </c>
      <c r="B1663" s="1">
        <v>2</v>
      </c>
      <c r="C1663" s="1" t="s">
        <v>3</v>
      </c>
      <c r="D1663" s="1">
        <v>2</v>
      </c>
      <c r="E1663" s="1">
        <v>79.652000000000001</v>
      </c>
      <c r="F1663" s="1">
        <v>0.85104999999999997</v>
      </c>
      <c r="G1663" t="s">
        <v>2674</v>
      </c>
      <c r="H1663" t="s">
        <v>2675</v>
      </c>
      <c r="I1663" t="s">
        <v>5376</v>
      </c>
      <c r="J1663" t="str">
        <f>"Syntaxin-7"</f>
        <v>Syntaxin-7</v>
      </c>
      <c r="K1663" t="str">
        <f>"STX7"</f>
        <v>STX7</v>
      </c>
    </row>
    <row r="1664" spans="1:11" x14ac:dyDescent="0.25">
      <c r="A1664" s="1">
        <v>2507</v>
      </c>
      <c r="B1664" s="1">
        <v>3</v>
      </c>
      <c r="C1664" s="1" t="s">
        <v>3</v>
      </c>
      <c r="D1664" s="1">
        <v>3</v>
      </c>
      <c r="E1664" s="1">
        <v>66.137</v>
      </c>
      <c r="F1664" s="1">
        <v>0.99859399999999998</v>
      </c>
      <c r="G1664" t="s">
        <v>2676</v>
      </c>
      <c r="H1664" t="s">
        <v>2677</v>
      </c>
      <c r="I1664">
        <v>1626</v>
      </c>
      <c r="J1664" t="str">
        <f>"Kinesin-like protein KIF14"</f>
        <v>Kinesin-like protein KIF14</v>
      </c>
      <c r="K1664" t="str">
        <f>"KIF14"</f>
        <v>KIF14</v>
      </c>
    </row>
    <row r="1665" spans="1:11" x14ac:dyDescent="0.25">
      <c r="A1665" s="1">
        <v>2579</v>
      </c>
      <c r="B1665" s="1">
        <v>2</v>
      </c>
      <c r="C1665" s="1" t="s">
        <v>3</v>
      </c>
      <c r="D1665" s="1">
        <v>2</v>
      </c>
      <c r="E1665" s="1">
        <v>50.127000000000002</v>
      </c>
      <c r="F1665" s="1">
        <v>0.83358299999999996</v>
      </c>
      <c r="G1665" t="s">
        <v>2678</v>
      </c>
      <c r="H1665" t="s">
        <v>2679</v>
      </c>
      <c r="I1665" t="s">
        <v>5044</v>
      </c>
      <c r="J1665" t="str">
        <f>"Ras-related protein Rab-2B"</f>
        <v>Ras-related protein Rab-2B</v>
      </c>
      <c r="K1665" t="str">
        <f>"DKFZp313C1541;RAB2B"</f>
        <v>DKFZp313C1541;RAB2B</v>
      </c>
    </row>
    <row r="1666" spans="1:11" x14ac:dyDescent="0.25">
      <c r="A1666" s="1">
        <v>2903</v>
      </c>
      <c r="B1666" s="1">
        <v>4</v>
      </c>
      <c r="C1666" s="1" t="s">
        <v>3</v>
      </c>
      <c r="D1666" s="1">
        <v>23</v>
      </c>
      <c r="E1666" s="1">
        <v>61.03</v>
      </c>
      <c r="F1666" s="1">
        <v>0.71004500000000004</v>
      </c>
      <c r="G1666" t="s">
        <v>2680</v>
      </c>
      <c r="H1666" t="s">
        <v>124</v>
      </c>
      <c r="I1666" t="s">
        <v>5377</v>
      </c>
      <c r="J1666" t="str">
        <f>"Plakophilin-4"</f>
        <v>Plakophilin-4</v>
      </c>
      <c r="K1666" t="str">
        <f>"PKP4"</f>
        <v>PKP4</v>
      </c>
    </row>
    <row r="1667" spans="1:11" x14ac:dyDescent="0.25">
      <c r="A1667" s="1">
        <v>248</v>
      </c>
      <c r="B1667" s="1">
        <v>2</v>
      </c>
      <c r="C1667" s="1" t="s">
        <v>5</v>
      </c>
      <c r="D1667" s="1">
        <v>4</v>
      </c>
      <c r="E1667" s="1">
        <v>62.055</v>
      </c>
      <c r="F1667" s="1">
        <v>0.545373</v>
      </c>
      <c r="G1667" t="s">
        <v>2681</v>
      </c>
      <c r="H1667" t="s">
        <v>2192</v>
      </c>
      <c r="I1667" t="s">
        <v>5378</v>
      </c>
      <c r="J1667" t="str">
        <f>"Leucine-rich PPR motif-containing protein, mitochondrial"</f>
        <v>Leucine-rich PPR motif-containing protein, mitochondrial</v>
      </c>
      <c r="K1667" t="str">
        <f>"LRPPRC"</f>
        <v>LRPPRC</v>
      </c>
    </row>
    <row r="1668" spans="1:11" x14ac:dyDescent="0.25">
      <c r="A1668" s="1">
        <v>851</v>
      </c>
      <c r="B1668" s="1">
        <v>3</v>
      </c>
      <c r="C1668" s="1" t="s">
        <v>3</v>
      </c>
      <c r="D1668" s="1">
        <v>3</v>
      </c>
      <c r="E1668" s="1">
        <v>76.727999999999994</v>
      </c>
      <c r="F1668" s="1">
        <v>0.99998900000000002</v>
      </c>
      <c r="G1668" t="s">
        <v>2682</v>
      </c>
      <c r="H1668" t="s">
        <v>2683</v>
      </c>
      <c r="I1668" t="s">
        <v>5379</v>
      </c>
      <c r="J1668" t="str">
        <f>"OTU domain-containing protein 6B"</f>
        <v>OTU domain-containing protein 6B</v>
      </c>
      <c r="K1668" t="str">
        <f>"OTUD6B"</f>
        <v>OTUD6B</v>
      </c>
    </row>
    <row r="1669" spans="1:11" x14ac:dyDescent="0.25">
      <c r="A1669" s="1">
        <v>3156</v>
      </c>
      <c r="B1669" s="1">
        <v>2</v>
      </c>
      <c r="C1669" s="1" t="s">
        <v>3</v>
      </c>
      <c r="D1669" s="1">
        <v>6</v>
      </c>
      <c r="E1669" s="1">
        <v>72.2</v>
      </c>
      <c r="F1669" s="1">
        <v>0.80453300000000005</v>
      </c>
      <c r="G1669" t="s">
        <v>2684</v>
      </c>
      <c r="H1669" t="s">
        <v>2685</v>
      </c>
      <c r="I1669" t="s">
        <v>5380</v>
      </c>
      <c r="J1669" t="str">
        <f>"NADPH oxidase 1"</f>
        <v>NADPH oxidase 1</v>
      </c>
      <c r="K1669" t="str">
        <f>"NOX1"</f>
        <v>NOX1</v>
      </c>
    </row>
    <row r="1670" spans="1:11" x14ac:dyDescent="0.25">
      <c r="A1670" s="1">
        <v>2742</v>
      </c>
      <c r="B1670" s="1">
        <v>4</v>
      </c>
      <c r="C1670" s="1" t="s">
        <v>3</v>
      </c>
      <c r="D1670" s="1">
        <v>18</v>
      </c>
      <c r="E1670" s="1">
        <v>53.481000000000002</v>
      </c>
      <c r="F1670" s="1">
        <v>0.855514</v>
      </c>
      <c r="G1670" t="s">
        <v>2686</v>
      </c>
      <c r="H1670" t="s">
        <v>2687</v>
      </c>
      <c r="I1670" t="s">
        <v>5381</v>
      </c>
      <c r="J1670" t="str">
        <f>"EH domain-binding protein 1"</f>
        <v>EH domain-binding protein 1</v>
      </c>
      <c r="K1670" t="str">
        <f>"EHBP1"</f>
        <v>EHBP1</v>
      </c>
    </row>
    <row r="1671" spans="1:11" x14ac:dyDescent="0.25">
      <c r="A1671" s="1">
        <v>1341</v>
      </c>
      <c r="B1671" s="1">
        <v>3</v>
      </c>
      <c r="C1671" s="1" t="s">
        <v>3</v>
      </c>
      <c r="D1671" s="1">
        <v>12</v>
      </c>
      <c r="E1671" s="1">
        <v>95.197000000000003</v>
      </c>
      <c r="F1671" s="1">
        <v>1</v>
      </c>
      <c r="G1671" t="s">
        <v>2688</v>
      </c>
      <c r="H1671" t="s">
        <v>696</v>
      </c>
      <c r="I1671" t="s">
        <v>5382</v>
      </c>
      <c r="J1671" t="str">
        <f>"Tyrosine-protein kinase HCK"</f>
        <v>Tyrosine-protein kinase HCK</v>
      </c>
      <c r="K1671" t="str">
        <f>"HCK"</f>
        <v>HCK</v>
      </c>
    </row>
    <row r="1672" spans="1:11" x14ac:dyDescent="0.25">
      <c r="A1672" s="1">
        <v>1558</v>
      </c>
      <c r="B1672" s="1">
        <v>2</v>
      </c>
      <c r="C1672" s="1" t="s">
        <v>3</v>
      </c>
      <c r="D1672" s="1">
        <v>6</v>
      </c>
      <c r="E1672" s="1">
        <v>57.59</v>
      </c>
      <c r="F1672" s="1">
        <v>0.88341999999999998</v>
      </c>
      <c r="G1672" t="s">
        <v>2689</v>
      </c>
      <c r="H1672" t="s">
        <v>41</v>
      </c>
      <c r="I1672" t="s">
        <v>5383</v>
      </c>
      <c r="J1672" t="str">
        <f>"Glutaminase kidney isoform, mitochondrial"</f>
        <v>Glutaminase kidney isoform, mitochondrial</v>
      </c>
      <c r="K1672" t="str">
        <f>"GLS"</f>
        <v>GLS</v>
      </c>
    </row>
    <row r="1673" spans="1:11" x14ac:dyDescent="0.25">
      <c r="A1673" s="1">
        <v>1503</v>
      </c>
      <c r="B1673" s="1">
        <v>3</v>
      </c>
      <c r="C1673" s="1" t="s">
        <v>3</v>
      </c>
      <c r="D1673" s="1">
        <v>18</v>
      </c>
      <c r="E1673" s="1">
        <v>79.466999999999999</v>
      </c>
      <c r="F1673" s="1">
        <v>0.97131299999999998</v>
      </c>
      <c r="G1673" t="s">
        <v>2690</v>
      </c>
      <c r="H1673" t="s">
        <v>716</v>
      </c>
      <c r="I1673" t="s">
        <v>5384</v>
      </c>
      <c r="J1673" t="str">
        <f>"Perilipin-3"</f>
        <v>Perilipin-3</v>
      </c>
      <c r="K1673" t="str">
        <f>"PLIN3"</f>
        <v>PLIN3</v>
      </c>
    </row>
    <row r="1674" spans="1:11" x14ac:dyDescent="0.25">
      <c r="A1674" s="1">
        <v>2048</v>
      </c>
      <c r="B1674" s="1">
        <v>2</v>
      </c>
      <c r="C1674" s="1" t="s">
        <v>3</v>
      </c>
      <c r="D1674" s="1">
        <v>11</v>
      </c>
      <c r="E1674" s="1">
        <v>77.185000000000002</v>
      </c>
      <c r="F1674" s="1">
        <v>0.83668299999999995</v>
      </c>
      <c r="G1674" t="s">
        <v>2691</v>
      </c>
      <c r="H1674" t="s">
        <v>528</v>
      </c>
      <c r="I1674" t="s">
        <v>5385</v>
      </c>
      <c r="J1674" t="str">
        <f>"Tyrosine-protein kinase FRK"</f>
        <v>Tyrosine-protein kinase FRK</v>
      </c>
      <c r="K1674" t="str">
        <f>"FRK"</f>
        <v>FRK</v>
      </c>
    </row>
    <row r="1675" spans="1:11" x14ac:dyDescent="0.25">
      <c r="A1675" s="1">
        <v>3014</v>
      </c>
      <c r="B1675" s="1">
        <v>3</v>
      </c>
      <c r="C1675" s="1" t="s">
        <v>3</v>
      </c>
      <c r="D1675" s="1">
        <v>4</v>
      </c>
      <c r="E1675" s="1">
        <v>47.036999999999999</v>
      </c>
      <c r="F1675" s="1">
        <v>0.70335099999999995</v>
      </c>
      <c r="G1675" t="s">
        <v>2692</v>
      </c>
      <c r="H1675" t="s">
        <v>2693</v>
      </c>
      <c r="I1675" t="s">
        <v>5386</v>
      </c>
      <c r="J1675" t="str">
        <f>"Phenylalanine--tRNA ligase beta subunit"</f>
        <v>Phenylalanine--tRNA ligase beta subunit</v>
      </c>
      <c r="K1675" t="str">
        <f>"FARSB"</f>
        <v>FARSB</v>
      </c>
    </row>
    <row r="1676" spans="1:11" x14ac:dyDescent="0.25">
      <c r="A1676" s="1">
        <v>262</v>
      </c>
      <c r="B1676" s="1">
        <v>3</v>
      </c>
      <c r="C1676" s="1" t="s">
        <v>5</v>
      </c>
      <c r="D1676" s="1">
        <v>5</v>
      </c>
      <c r="E1676" s="1">
        <v>44.252000000000002</v>
      </c>
      <c r="F1676" s="1">
        <v>0.57454400000000005</v>
      </c>
      <c r="G1676" t="s">
        <v>2694</v>
      </c>
      <c r="H1676" t="s">
        <v>2695</v>
      </c>
      <c r="I1676">
        <v>226</v>
      </c>
      <c r="J1676" t="str">
        <f>"Cytoplasmic tyrosine-protein kinase BMX"</f>
        <v>Cytoplasmic tyrosine-protein kinase BMX</v>
      </c>
      <c r="K1676" t="str">
        <f>"BMX"</f>
        <v>BMX</v>
      </c>
    </row>
    <row r="1677" spans="1:11" x14ac:dyDescent="0.25">
      <c r="A1677" s="1">
        <v>1448</v>
      </c>
      <c r="B1677" s="1">
        <v>4</v>
      </c>
      <c r="C1677" s="1" t="s">
        <v>3</v>
      </c>
      <c r="D1677" s="1">
        <v>18</v>
      </c>
      <c r="E1677" s="1">
        <v>89.010999999999996</v>
      </c>
      <c r="F1677" s="1">
        <v>0.64419499999999996</v>
      </c>
      <c r="G1677" t="s">
        <v>2696</v>
      </c>
      <c r="H1677" t="s">
        <v>2697</v>
      </c>
      <c r="I1677">
        <v>456</v>
      </c>
      <c r="J1677" t="str">
        <f>"Protein KHNYN"</f>
        <v>Protein KHNYN</v>
      </c>
      <c r="K1677" t="str">
        <f>"KHNYN"</f>
        <v>KHNYN</v>
      </c>
    </row>
    <row r="1678" spans="1:11" x14ac:dyDescent="0.25">
      <c r="A1678" s="1">
        <v>1746</v>
      </c>
      <c r="B1678" s="1">
        <v>2</v>
      </c>
      <c r="C1678" s="1" t="s">
        <v>3</v>
      </c>
      <c r="D1678" s="1">
        <v>3</v>
      </c>
      <c r="E1678" s="1">
        <v>76.942999999999998</v>
      </c>
      <c r="F1678" s="1">
        <v>1</v>
      </c>
      <c r="G1678" t="s">
        <v>2698</v>
      </c>
      <c r="H1678" t="s">
        <v>532</v>
      </c>
      <c r="I1678">
        <v>473</v>
      </c>
      <c r="J1678" t="str">
        <f>"Glycogen phosphorylase, brain form"</f>
        <v>Glycogen phosphorylase, brain form</v>
      </c>
      <c r="K1678" t="str">
        <f>"PYGB"</f>
        <v>PYGB</v>
      </c>
    </row>
    <row r="1679" spans="1:11" x14ac:dyDescent="0.25">
      <c r="A1679" s="1">
        <v>2767</v>
      </c>
      <c r="B1679" s="1">
        <v>3</v>
      </c>
      <c r="C1679" s="1" t="s">
        <v>3</v>
      </c>
      <c r="D1679" s="1">
        <v>9</v>
      </c>
      <c r="E1679" s="1">
        <v>68.536000000000001</v>
      </c>
      <c r="F1679" s="1">
        <v>0.99602800000000002</v>
      </c>
      <c r="G1679" t="s">
        <v>2699</v>
      </c>
      <c r="H1679" t="s">
        <v>2700</v>
      </c>
      <c r="I1679" t="s">
        <v>5387</v>
      </c>
      <c r="J1679" t="str">
        <f>"Phosphatidylinositol 3,4,5-trisphosphate-dependent Rac exchanger 1 protein"</f>
        <v>Phosphatidylinositol 3,4,5-trisphosphate-dependent Rac exchanger 1 protein</v>
      </c>
      <c r="K1679" t="str">
        <f>"PREX1"</f>
        <v>PREX1</v>
      </c>
    </row>
    <row r="1680" spans="1:11" x14ac:dyDescent="0.25">
      <c r="A1680" s="1">
        <v>747</v>
      </c>
      <c r="B1680" s="1">
        <v>3</v>
      </c>
      <c r="C1680" s="1" t="s">
        <v>4</v>
      </c>
      <c r="D1680" s="1">
        <v>8</v>
      </c>
      <c r="E1680" s="1">
        <v>61.265000000000001</v>
      </c>
      <c r="F1680" s="1">
        <v>0.93266700000000002</v>
      </c>
      <c r="G1680" t="s">
        <v>2701</v>
      </c>
      <c r="H1680" t="s">
        <v>846</v>
      </c>
      <c r="I1680" t="s">
        <v>5388</v>
      </c>
      <c r="J1680" t="str">
        <f>"Brain-specific angiogenesis inhibitor 1-associated protein 2"</f>
        <v>Brain-specific angiogenesis inhibitor 1-associated protein 2</v>
      </c>
      <c r="K1680" t="str">
        <f>"BAIAP2;CCDC43"</f>
        <v>BAIAP2;CCDC43</v>
      </c>
    </row>
    <row r="1681" spans="1:11" x14ac:dyDescent="0.25">
      <c r="A1681" s="1">
        <v>2982</v>
      </c>
      <c r="B1681" s="1">
        <v>3</v>
      </c>
      <c r="C1681" s="1" t="s">
        <v>3</v>
      </c>
      <c r="D1681" s="1">
        <v>12</v>
      </c>
      <c r="E1681" s="1">
        <v>67.826999999999998</v>
      </c>
      <c r="F1681" s="1">
        <v>0.98061299999999996</v>
      </c>
      <c r="G1681" t="s">
        <v>2702</v>
      </c>
      <c r="H1681" t="s">
        <v>2703</v>
      </c>
      <c r="I1681">
        <v>191</v>
      </c>
      <c r="J1681" t="str">
        <f>"Vacuolar protein sorting-associated protein 37B"</f>
        <v>Vacuolar protein sorting-associated protein 37B</v>
      </c>
      <c r="K1681" t="str">
        <f>"VPS37B"</f>
        <v>VPS37B</v>
      </c>
    </row>
    <row r="1682" spans="1:11" x14ac:dyDescent="0.25">
      <c r="A1682" s="1">
        <v>2778</v>
      </c>
      <c r="B1682" s="1">
        <v>2</v>
      </c>
      <c r="C1682" s="1" t="s">
        <v>3</v>
      </c>
      <c r="D1682" s="1">
        <v>10</v>
      </c>
      <c r="E1682" s="1">
        <v>64.103999999999999</v>
      </c>
      <c r="F1682" s="1">
        <v>0.99824000000000002</v>
      </c>
      <c r="G1682" t="s">
        <v>2704</v>
      </c>
      <c r="H1682" t="s">
        <v>2705</v>
      </c>
      <c r="I1682">
        <v>1268</v>
      </c>
      <c r="J1682" t="str">
        <f>"Nuclear pore membrane glycoprotein 210"</f>
        <v>Nuclear pore membrane glycoprotein 210</v>
      </c>
      <c r="K1682" t="str">
        <f>"NUP210"</f>
        <v>NUP210</v>
      </c>
    </row>
    <row r="1683" spans="1:11" x14ac:dyDescent="0.25">
      <c r="A1683" s="1">
        <v>3147</v>
      </c>
      <c r="B1683" s="1">
        <v>3</v>
      </c>
      <c r="C1683" s="1" t="s">
        <v>3</v>
      </c>
      <c r="D1683" s="1">
        <v>12</v>
      </c>
      <c r="E1683" s="1">
        <v>60.029000000000003</v>
      </c>
      <c r="F1683" s="1">
        <v>0.69414500000000001</v>
      </c>
      <c r="G1683" t="s">
        <v>2706</v>
      </c>
      <c r="H1683" t="s">
        <v>898</v>
      </c>
      <c r="I1683">
        <v>653</v>
      </c>
      <c r="J1683" t="str">
        <f>"Insulin receptor substrate 2"</f>
        <v>Insulin receptor substrate 2</v>
      </c>
      <c r="K1683" t="str">
        <f>"IRS2"</f>
        <v>IRS2</v>
      </c>
    </row>
    <row r="1684" spans="1:11" x14ac:dyDescent="0.25">
      <c r="A1684" s="1">
        <v>489</v>
      </c>
      <c r="B1684" s="1">
        <v>3</v>
      </c>
      <c r="C1684" s="1" t="s">
        <v>4</v>
      </c>
      <c r="D1684" s="1">
        <v>4</v>
      </c>
      <c r="E1684" s="1">
        <v>56.817</v>
      </c>
      <c r="F1684" s="1">
        <v>0.53953499999999999</v>
      </c>
      <c r="G1684" t="s">
        <v>2707</v>
      </c>
      <c r="H1684" t="s">
        <v>1022</v>
      </c>
      <c r="I1684" t="s">
        <v>5389</v>
      </c>
      <c r="J1684" t="str">
        <f>"EH domain-containing protein 1"</f>
        <v>EH domain-containing protein 1</v>
      </c>
      <c r="K1684" t="str">
        <f>"EHD1"</f>
        <v>EHD1</v>
      </c>
    </row>
    <row r="1685" spans="1:11" x14ac:dyDescent="0.25">
      <c r="A1685" s="1">
        <v>2927</v>
      </c>
      <c r="B1685" s="1">
        <v>3</v>
      </c>
      <c r="C1685" s="1" t="s">
        <v>3</v>
      </c>
      <c r="D1685" s="1">
        <v>18</v>
      </c>
      <c r="E1685" s="1">
        <v>40.622</v>
      </c>
      <c r="F1685" s="1">
        <v>0.49993500000000002</v>
      </c>
      <c r="G1685" t="s">
        <v>2708</v>
      </c>
      <c r="H1685" t="s">
        <v>2331</v>
      </c>
      <c r="I1685" t="s">
        <v>5390</v>
      </c>
      <c r="J1685" t="str">
        <f>"Partner of Y14 and mago"</f>
        <v>Partner of Y14 and mago</v>
      </c>
      <c r="K1685" t="str">
        <f>"WIBG"</f>
        <v>WIBG</v>
      </c>
    </row>
    <row r="1686" spans="1:11" x14ac:dyDescent="0.25">
      <c r="A1686" s="1">
        <v>1741</v>
      </c>
      <c r="B1686" s="1">
        <v>3</v>
      </c>
      <c r="C1686" s="1" t="s">
        <v>3</v>
      </c>
      <c r="D1686" s="1">
        <v>12</v>
      </c>
      <c r="E1686" s="1">
        <v>48.616</v>
      </c>
      <c r="F1686" s="1">
        <v>0.712418</v>
      </c>
      <c r="G1686" t="s">
        <v>2709</v>
      </c>
      <c r="H1686" t="s">
        <v>2710</v>
      </c>
      <c r="I1686" t="s">
        <v>4194</v>
      </c>
      <c r="J1686" t="str">
        <f>"Heat shock cognate 71 kDa protein"</f>
        <v>Heat shock cognate 71 kDa protein</v>
      </c>
      <c r="K1686" t="str">
        <f>"HSPA8"</f>
        <v>HSPA8</v>
      </c>
    </row>
    <row r="1687" spans="1:11" x14ac:dyDescent="0.25">
      <c r="A1687" s="1">
        <v>2962</v>
      </c>
      <c r="B1687" s="1">
        <v>3</v>
      </c>
      <c r="C1687" s="1" t="s">
        <v>3</v>
      </c>
      <c r="D1687" s="1">
        <v>5</v>
      </c>
      <c r="E1687" s="1">
        <v>62.658000000000001</v>
      </c>
      <c r="F1687" s="1">
        <v>0.99992400000000004</v>
      </c>
      <c r="G1687" t="s">
        <v>2711</v>
      </c>
      <c r="H1687" t="s">
        <v>2712</v>
      </c>
      <c r="I1687" t="s">
        <v>5391</v>
      </c>
      <c r="J1687" t="str">
        <f>"TRIO and F-actin-binding protein"</f>
        <v>TRIO and F-actin-binding protein</v>
      </c>
      <c r="K1687" t="str">
        <f>"TRIOBP"</f>
        <v>TRIOBP</v>
      </c>
    </row>
    <row r="1688" spans="1:11" x14ac:dyDescent="0.25">
      <c r="A1688" s="1">
        <v>2885</v>
      </c>
      <c r="B1688" s="1">
        <v>3</v>
      </c>
      <c r="C1688" s="1" t="s">
        <v>3</v>
      </c>
      <c r="D1688" s="1">
        <v>6</v>
      </c>
      <c r="E1688" s="1">
        <v>129.22</v>
      </c>
      <c r="F1688" s="1">
        <v>0.999718</v>
      </c>
      <c r="G1688" t="s">
        <v>2713</v>
      </c>
      <c r="H1688" t="s">
        <v>262</v>
      </c>
      <c r="I1688" t="s">
        <v>5392</v>
      </c>
      <c r="J1688" t="str">
        <f>"Protein LAP2"</f>
        <v>Protein LAP2</v>
      </c>
      <c r="K1688" t="str">
        <f>"ERBB2IP"</f>
        <v>ERBB2IP</v>
      </c>
    </row>
    <row r="1689" spans="1:11" x14ac:dyDescent="0.25">
      <c r="A1689" s="1">
        <v>2080</v>
      </c>
      <c r="B1689" s="1">
        <v>3</v>
      </c>
      <c r="C1689" s="1" t="s">
        <v>3</v>
      </c>
      <c r="D1689" s="1">
        <v>5</v>
      </c>
      <c r="E1689" s="1">
        <v>45.436</v>
      </c>
      <c r="F1689" s="1">
        <v>0.68868700000000005</v>
      </c>
      <c r="G1689" t="s">
        <v>2714</v>
      </c>
      <c r="H1689" t="s">
        <v>2715</v>
      </c>
      <c r="I1689">
        <v>251</v>
      </c>
      <c r="J1689" t="str">
        <f>"Adapter molecule crk"</f>
        <v>Adapter molecule crk</v>
      </c>
      <c r="K1689" t="str">
        <f>"CRK"</f>
        <v>CRK</v>
      </c>
    </row>
    <row r="1690" spans="1:11" x14ac:dyDescent="0.25">
      <c r="A1690" s="1">
        <v>1127</v>
      </c>
      <c r="B1690" s="1">
        <v>3</v>
      </c>
      <c r="C1690" s="1" t="s">
        <v>3</v>
      </c>
      <c r="D1690" s="1">
        <v>9</v>
      </c>
      <c r="E1690" s="1">
        <v>50.493000000000002</v>
      </c>
      <c r="F1690" s="1">
        <v>0.99995699999999998</v>
      </c>
      <c r="G1690" t="s">
        <v>2716</v>
      </c>
      <c r="H1690" t="s">
        <v>143</v>
      </c>
      <c r="I1690">
        <v>193</v>
      </c>
      <c r="J1690" t="str">
        <f>""</f>
        <v/>
      </c>
      <c r="K1690" t="str">
        <f>"CTNND1"</f>
        <v>CTNND1</v>
      </c>
    </row>
    <row r="1691" spans="1:11" x14ac:dyDescent="0.25">
      <c r="A1691" s="1">
        <v>2940</v>
      </c>
      <c r="B1691" s="1">
        <v>3</v>
      </c>
      <c r="C1691" s="1" t="s">
        <v>3</v>
      </c>
      <c r="D1691" s="1">
        <v>19</v>
      </c>
      <c r="E1691" s="1">
        <v>42.813000000000002</v>
      </c>
      <c r="F1691" s="1">
        <v>0.66312899999999997</v>
      </c>
      <c r="G1691" t="s">
        <v>2717</v>
      </c>
      <c r="H1691" t="s">
        <v>2718</v>
      </c>
      <c r="I1691">
        <v>1214</v>
      </c>
      <c r="J1691" t="str">
        <f>"Cadherin-related family member 2"</f>
        <v>Cadherin-related family member 2</v>
      </c>
      <c r="K1691" t="str">
        <f>"CDHR2"</f>
        <v>CDHR2</v>
      </c>
    </row>
    <row r="1692" spans="1:11" x14ac:dyDescent="0.25">
      <c r="A1692" s="1">
        <v>1505</v>
      </c>
      <c r="B1692" s="1">
        <v>3</v>
      </c>
      <c r="C1692" s="1" t="s">
        <v>3</v>
      </c>
      <c r="D1692" s="1">
        <v>5</v>
      </c>
      <c r="E1692" s="1">
        <v>78.95</v>
      </c>
      <c r="F1692" s="1">
        <v>0.99955099999999997</v>
      </c>
      <c r="G1692" t="s">
        <v>2719</v>
      </c>
      <c r="H1692" t="s">
        <v>2720</v>
      </c>
      <c r="I1692" t="s">
        <v>5393</v>
      </c>
      <c r="J1692" t="str">
        <f>"Leupaxin"</f>
        <v>Leupaxin</v>
      </c>
      <c r="K1692" t="str">
        <f>"LPXN"</f>
        <v>LPXN</v>
      </c>
    </row>
    <row r="1693" spans="1:11" x14ac:dyDescent="0.25">
      <c r="A1693" s="1">
        <v>1856</v>
      </c>
      <c r="B1693" s="1">
        <v>2</v>
      </c>
      <c r="C1693" s="1" t="s">
        <v>3</v>
      </c>
      <c r="D1693" s="1">
        <v>4</v>
      </c>
      <c r="E1693" s="1">
        <v>54.898000000000003</v>
      </c>
      <c r="F1693" s="1">
        <v>0.99107299999999998</v>
      </c>
      <c r="G1693" t="s">
        <v>2721</v>
      </c>
      <c r="H1693" t="s">
        <v>2722</v>
      </c>
      <c r="I1693">
        <v>150</v>
      </c>
      <c r="J1693" t="str">
        <f>"Proteasome subunit beta type-1"</f>
        <v>Proteasome subunit beta type-1</v>
      </c>
      <c r="K1693" t="str">
        <f>"PSMB1"</f>
        <v>PSMB1</v>
      </c>
    </row>
    <row r="1694" spans="1:11" x14ac:dyDescent="0.25">
      <c r="A1694" s="1">
        <v>2252</v>
      </c>
      <c r="B1694" s="1">
        <v>3</v>
      </c>
      <c r="C1694" s="1" t="s">
        <v>3</v>
      </c>
      <c r="D1694" s="1">
        <v>6</v>
      </c>
      <c r="E1694" s="1">
        <v>59.198</v>
      </c>
      <c r="F1694" s="1">
        <v>0.99798299999999995</v>
      </c>
      <c r="G1694" t="s">
        <v>2723</v>
      </c>
      <c r="H1694" t="s">
        <v>2724</v>
      </c>
      <c r="I1694" t="s">
        <v>4872</v>
      </c>
      <c r="J1694" t="str">
        <f>"40S ribosomal protein S29"</f>
        <v>40S ribosomal protein S29</v>
      </c>
      <c r="K1694" t="str">
        <f>"RPS29"</f>
        <v>RPS29</v>
      </c>
    </row>
    <row r="1695" spans="1:11" x14ac:dyDescent="0.25">
      <c r="A1695" s="1">
        <v>532</v>
      </c>
      <c r="B1695" s="1">
        <v>2</v>
      </c>
      <c r="C1695" s="1" t="s">
        <v>4</v>
      </c>
      <c r="D1695" s="1">
        <v>13</v>
      </c>
      <c r="E1695" s="1">
        <v>120.92</v>
      </c>
      <c r="F1695" s="1">
        <v>0.65171500000000004</v>
      </c>
      <c r="G1695" t="s">
        <v>2725</v>
      </c>
      <c r="H1695" t="s">
        <v>1165</v>
      </c>
      <c r="I1695" t="s">
        <v>5394</v>
      </c>
      <c r="J1695" t="str">
        <f>"Ezrin"</f>
        <v>Ezrin</v>
      </c>
      <c r="K1695" t="str">
        <f>"EZR"</f>
        <v>EZR</v>
      </c>
    </row>
    <row r="1696" spans="1:11" x14ac:dyDescent="0.25">
      <c r="A1696" s="1">
        <v>1510</v>
      </c>
      <c r="B1696" s="1">
        <v>3</v>
      </c>
      <c r="C1696" s="1" t="s">
        <v>3</v>
      </c>
      <c r="D1696" s="1">
        <v>4</v>
      </c>
      <c r="E1696" s="1">
        <v>48.981000000000002</v>
      </c>
      <c r="F1696" s="1">
        <v>0.94737000000000005</v>
      </c>
      <c r="G1696" t="s">
        <v>2726</v>
      </c>
      <c r="H1696" t="s">
        <v>1018</v>
      </c>
      <c r="I1696" t="s">
        <v>5395</v>
      </c>
      <c r="J1696" t="str">
        <f>"Histone H2B;Histone H2B type 1-L;Histone H2B type 1-M;Histone H2B type 1-N;Histone H2B type 1-H;Histone H2B type 2-F;Histone H2B type 1-C/E/F/G/I;Histone H2B type 1-D;Histone H2B type F-S;Histone H2B type 1-K"</f>
        <v>Histone H2B;Histone H2B type 1-L;Histone H2B type 1-M;Histone H2B type 1-N;Histone H2B type 1-H;Histone H2B type 2-F;Histone H2B type 1-C/E/F/G/I;Histone H2B type 1-D;Histone H2B type F-S;Histone H2B type 1-K</v>
      </c>
      <c r="K1696" t="str">
        <f>"HIST1H2BN;HIST1H2BL;HIST1H2BM;HIST1H2BH;HIST2H2BF;HIST1H2BC;HIST1H2BD;H2BFS;HIST1H2BK"</f>
        <v>HIST1H2BN;HIST1H2BL;HIST1H2BM;HIST1H2BH;HIST2H2BF;HIST1H2BC;HIST1H2BD;H2BFS;HIST1H2BK</v>
      </c>
    </row>
    <row r="1697" spans="1:11" x14ac:dyDescent="0.25">
      <c r="A1697" s="1">
        <v>2204</v>
      </c>
      <c r="B1697" s="1">
        <v>3</v>
      </c>
      <c r="C1697" s="1" t="s">
        <v>3</v>
      </c>
      <c r="D1697" s="1">
        <v>12</v>
      </c>
      <c r="E1697" s="1">
        <v>58.692999999999998</v>
      </c>
      <c r="F1697" s="1">
        <v>0.98291700000000004</v>
      </c>
      <c r="G1697" t="s">
        <v>2727</v>
      </c>
      <c r="H1697" t="s">
        <v>187</v>
      </c>
      <c r="I1697" t="s">
        <v>5396</v>
      </c>
      <c r="J1697" t="str">
        <f>"Breast cancer anti-estrogen resistance protein 1"</f>
        <v>Breast cancer anti-estrogen resistance protein 1</v>
      </c>
      <c r="K1697" t="str">
        <f>"BCAR1"</f>
        <v>BCAR1</v>
      </c>
    </row>
    <row r="1698" spans="1:11" x14ac:dyDescent="0.25">
      <c r="A1698" s="1">
        <v>1205</v>
      </c>
      <c r="B1698" s="1">
        <v>4</v>
      </c>
      <c r="C1698" s="1" t="s">
        <v>3</v>
      </c>
      <c r="D1698" s="1">
        <v>2</v>
      </c>
      <c r="E1698" s="1">
        <v>117.62</v>
      </c>
      <c r="F1698" s="1">
        <v>1</v>
      </c>
      <c r="G1698" t="s">
        <v>2728</v>
      </c>
      <c r="H1698" t="s">
        <v>2729</v>
      </c>
      <c r="I1698" t="s">
        <v>5397</v>
      </c>
      <c r="J1698" t="str">
        <f>"Histone-binding protein RBBP7"</f>
        <v>Histone-binding protein RBBP7</v>
      </c>
      <c r="K1698" t="str">
        <f>"RBBP7"</f>
        <v>RBBP7</v>
      </c>
    </row>
    <row r="1699" spans="1:11" x14ac:dyDescent="0.25">
      <c r="A1699" s="1">
        <v>2421</v>
      </c>
      <c r="B1699" s="1">
        <v>2</v>
      </c>
      <c r="C1699" s="1" t="s">
        <v>3</v>
      </c>
      <c r="D1699" s="1">
        <v>3</v>
      </c>
      <c r="E1699" s="1">
        <v>89.301000000000002</v>
      </c>
      <c r="F1699" s="1">
        <v>0.99997599999999998</v>
      </c>
      <c r="G1699" t="s">
        <v>2730</v>
      </c>
      <c r="H1699" t="s">
        <v>2731</v>
      </c>
      <c r="I1699" t="s">
        <v>5398</v>
      </c>
      <c r="J1699" t="str">
        <f>"Golgin subfamily A member 4"</f>
        <v>Golgin subfamily A member 4</v>
      </c>
      <c r="K1699" t="str">
        <f>"GOLGA4"</f>
        <v>GOLGA4</v>
      </c>
    </row>
    <row r="1700" spans="1:11" x14ac:dyDescent="0.25">
      <c r="A1700" s="1">
        <v>2242</v>
      </c>
      <c r="B1700" s="1">
        <v>2</v>
      </c>
      <c r="C1700" s="1" t="s">
        <v>3</v>
      </c>
      <c r="D1700" s="1">
        <v>2</v>
      </c>
      <c r="E1700" s="1">
        <v>83.947999999999993</v>
      </c>
      <c r="F1700" s="1">
        <v>0.99999300000000002</v>
      </c>
      <c r="G1700" t="s">
        <v>2732</v>
      </c>
      <c r="H1700" t="s">
        <v>2733</v>
      </c>
      <c r="I1700" t="s">
        <v>5399</v>
      </c>
      <c r="J1700" t="str">
        <f>"Serine/threonine-protein phosphatase PP1-alpha catalytic subunit;Serine/threonine-protein phosphatase;Serine/threonine-protein phosphatase PP1-gamma catalytic subunit;Serine/threonine-protein phosphatase PP1-beta catalytic subunit"</f>
        <v>Serine/threonine-protein phosphatase PP1-alpha catalytic subunit;Serine/threonine-protein phosphatase;Serine/threonine-protein phosphatase PP1-gamma catalytic subunit;Serine/threonine-protein phosphatase PP1-beta catalytic subunit</v>
      </c>
      <c r="K1700" t="str">
        <f>"PPP1CA;PPP1CC;PPP1CB"</f>
        <v>PPP1CA;PPP1CC;PPP1CB</v>
      </c>
    </row>
    <row r="1701" spans="1:11" x14ac:dyDescent="0.25">
      <c r="A1701" s="1">
        <v>3085</v>
      </c>
      <c r="B1701" s="1">
        <v>3</v>
      </c>
      <c r="C1701" s="1" t="s">
        <v>3</v>
      </c>
      <c r="D1701" s="1">
        <v>6</v>
      </c>
      <c r="E1701" s="1">
        <v>96.379000000000005</v>
      </c>
      <c r="F1701" s="1">
        <v>0.99027500000000002</v>
      </c>
      <c r="G1701" t="s">
        <v>2734</v>
      </c>
      <c r="H1701" t="s">
        <v>2735</v>
      </c>
      <c r="I1701">
        <v>424</v>
      </c>
      <c r="J1701" t="str">
        <f>"A-kinase anchor protein 11"</f>
        <v>A-kinase anchor protein 11</v>
      </c>
      <c r="K1701" t="str">
        <f>"AKAP11"</f>
        <v>AKAP11</v>
      </c>
    </row>
    <row r="1702" spans="1:11" x14ac:dyDescent="0.25">
      <c r="A1702" s="1">
        <v>2711</v>
      </c>
      <c r="B1702" s="1">
        <v>3</v>
      </c>
      <c r="C1702" s="1" t="s">
        <v>3</v>
      </c>
      <c r="D1702" s="1">
        <v>12</v>
      </c>
      <c r="E1702" s="1">
        <v>47.036999999999999</v>
      </c>
      <c r="F1702" s="1">
        <v>0.99592099999999995</v>
      </c>
      <c r="G1702" t="s">
        <v>2736</v>
      </c>
      <c r="H1702" t="s">
        <v>274</v>
      </c>
      <c r="I1702" t="s">
        <v>5400</v>
      </c>
      <c r="J1702" t="str">
        <f>"MAGUK p55 subfamily member 5"</f>
        <v>MAGUK p55 subfamily member 5</v>
      </c>
      <c r="K1702" t="str">
        <f>"MPP5"</f>
        <v>MPP5</v>
      </c>
    </row>
    <row r="1703" spans="1:11" x14ac:dyDescent="0.25">
      <c r="A1703" s="1">
        <v>1367</v>
      </c>
      <c r="B1703" s="1">
        <v>4</v>
      </c>
      <c r="C1703" s="1" t="s">
        <v>3</v>
      </c>
      <c r="D1703" s="1">
        <v>1</v>
      </c>
      <c r="E1703" s="1">
        <v>68.656999999999996</v>
      </c>
      <c r="F1703" s="1">
        <v>0.97192500000000004</v>
      </c>
      <c r="G1703" t="s">
        <v>2737</v>
      </c>
      <c r="H1703" t="s">
        <v>2738</v>
      </c>
      <c r="I1703" t="s">
        <v>5401</v>
      </c>
      <c r="J1703" t="str">
        <f>"MARVEL domain-containing protein 3"</f>
        <v>MARVEL domain-containing protein 3</v>
      </c>
      <c r="K1703" t="str">
        <f>"MARVELD3"</f>
        <v>MARVELD3</v>
      </c>
    </row>
    <row r="1704" spans="1:11" x14ac:dyDescent="0.25">
      <c r="A1704" s="1">
        <v>2003</v>
      </c>
      <c r="B1704" s="1">
        <v>3</v>
      </c>
      <c r="C1704" s="1" t="s">
        <v>3</v>
      </c>
      <c r="D1704" s="1">
        <v>4</v>
      </c>
      <c r="E1704" s="1">
        <v>43.03</v>
      </c>
      <c r="F1704" s="1">
        <v>0.99383999999999995</v>
      </c>
      <c r="G1704" t="s">
        <v>2739</v>
      </c>
      <c r="H1704" t="s">
        <v>1282</v>
      </c>
      <c r="I1704" t="s">
        <v>5402</v>
      </c>
      <c r="J1704" t="str">
        <f>"Myosin-9"</f>
        <v>Myosin-9</v>
      </c>
      <c r="K1704" t="str">
        <f>"MYH9"</f>
        <v>MYH9</v>
      </c>
    </row>
    <row r="1705" spans="1:11" x14ac:dyDescent="0.25">
      <c r="A1705" s="1">
        <v>861</v>
      </c>
      <c r="B1705" s="1">
        <v>2</v>
      </c>
      <c r="C1705" s="1" t="s">
        <v>3</v>
      </c>
      <c r="D1705" s="1">
        <v>5</v>
      </c>
      <c r="E1705" s="1">
        <v>43.442</v>
      </c>
      <c r="F1705" s="1">
        <v>1</v>
      </c>
      <c r="G1705" t="s">
        <v>2740</v>
      </c>
      <c r="H1705" t="s">
        <v>2741</v>
      </c>
      <c r="I1705" t="s">
        <v>5403</v>
      </c>
      <c r="J1705" t="str">
        <f>"Ubiquitin-conjugating enzyme E2 E1;Ubiquitin-conjugating enzyme E2 E2;Ubiquitin-conjugating enzyme E2 E3"</f>
        <v>Ubiquitin-conjugating enzyme E2 E1;Ubiquitin-conjugating enzyme E2 E2;Ubiquitin-conjugating enzyme E2 E3</v>
      </c>
      <c r="K1705" t="str">
        <f>"UBE2E1;UBE2E3;UBE2E2"</f>
        <v>UBE2E1;UBE2E3;UBE2E2</v>
      </c>
    </row>
    <row r="1706" spans="1:11" x14ac:dyDescent="0.25">
      <c r="A1706" s="1">
        <v>1198</v>
      </c>
      <c r="B1706" s="1">
        <v>3</v>
      </c>
      <c r="C1706" s="1" t="s">
        <v>3</v>
      </c>
      <c r="D1706" s="1">
        <v>1</v>
      </c>
      <c r="E1706" s="1">
        <v>73.435000000000002</v>
      </c>
      <c r="F1706" s="1">
        <v>1</v>
      </c>
      <c r="G1706" t="s">
        <v>2742</v>
      </c>
      <c r="H1706" t="s">
        <v>2743</v>
      </c>
      <c r="I1706" t="s">
        <v>5404</v>
      </c>
      <c r="J1706" t="str">
        <f>"Cytoplasmic FMR1-interacting protein 2;Cytoplasmic FMR1-interacting protein 1"</f>
        <v>Cytoplasmic FMR1-interacting protein 2;Cytoplasmic FMR1-interacting protein 1</v>
      </c>
      <c r="K1706" t="str">
        <f>"CYFIP2;CYFIP1"</f>
        <v>CYFIP2;CYFIP1</v>
      </c>
    </row>
    <row r="1707" spans="1:11" x14ac:dyDescent="0.25">
      <c r="A1707" s="1">
        <v>848</v>
      </c>
      <c r="B1707" s="1">
        <v>2</v>
      </c>
      <c r="C1707" s="1" t="s">
        <v>3</v>
      </c>
      <c r="D1707" s="1">
        <v>6</v>
      </c>
      <c r="E1707" s="1">
        <v>95.417000000000002</v>
      </c>
      <c r="F1707" s="1">
        <v>0.66935299999999998</v>
      </c>
      <c r="G1707" t="s">
        <v>2744</v>
      </c>
      <c r="H1707" t="s">
        <v>724</v>
      </c>
      <c r="I1707" t="s">
        <v>5405</v>
      </c>
      <c r="J1707" t="str">
        <f>"Tight junction protein ZO-1"</f>
        <v>Tight junction protein ZO-1</v>
      </c>
      <c r="K1707" t="str">
        <f>"TJP1"</f>
        <v>TJP1</v>
      </c>
    </row>
    <row r="1708" spans="1:11" x14ac:dyDescent="0.25">
      <c r="A1708" s="1">
        <v>2060</v>
      </c>
      <c r="B1708" s="1">
        <v>4</v>
      </c>
      <c r="C1708" s="1" t="s">
        <v>3</v>
      </c>
      <c r="D1708" s="1">
        <v>2</v>
      </c>
      <c r="E1708" s="1">
        <v>40.625</v>
      </c>
      <c r="F1708" s="1">
        <v>0.96561600000000003</v>
      </c>
      <c r="G1708" t="s">
        <v>2745</v>
      </c>
      <c r="H1708" t="s">
        <v>237</v>
      </c>
      <c r="I1708" t="s">
        <v>5406</v>
      </c>
      <c r="J1708" t="str">
        <f>"Tyrosine-protein kinase SYK"</f>
        <v>Tyrosine-protein kinase SYK</v>
      </c>
      <c r="K1708" t="str">
        <f>"SYK"</f>
        <v>SYK</v>
      </c>
    </row>
    <row r="1709" spans="1:11" x14ac:dyDescent="0.25">
      <c r="A1709" s="1">
        <v>2441</v>
      </c>
      <c r="B1709" s="1">
        <v>3</v>
      </c>
      <c r="C1709" s="1" t="s">
        <v>3</v>
      </c>
      <c r="D1709" s="1">
        <v>11</v>
      </c>
      <c r="E1709" s="1">
        <v>58.246000000000002</v>
      </c>
      <c r="F1709" s="1">
        <v>0.931786</v>
      </c>
      <c r="G1709" t="s">
        <v>2746</v>
      </c>
      <c r="H1709" t="s">
        <v>1390</v>
      </c>
      <c r="I1709" t="s">
        <v>5407</v>
      </c>
      <c r="J1709" t="str">
        <f>"Four and a half LIM domains protein 1"</f>
        <v>Four and a half LIM domains protein 1</v>
      </c>
      <c r="K1709" t="str">
        <f>"FHL1"</f>
        <v>FHL1</v>
      </c>
    </row>
    <row r="1710" spans="1:11" x14ac:dyDescent="0.25">
      <c r="A1710" s="1">
        <v>3001</v>
      </c>
      <c r="B1710" s="1">
        <v>3</v>
      </c>
      <c r="C1710" s="1" t="s">
        <v>3</v>
      </c>
      <c r="D1710" s="1">
        <v>8</v>
      </c>
      <c r="E1710" s="1">
        <v>45.28</v>
      </c>
      <c r="F1710" s="1">
        <v>0.94073600000000002</v>
      </c>
      <c r="G1710" t="s">
        <v>2747</v>
      </c>
      <c r="H1710" t="s">
        <v>2748</v>
      </c>
      <c r="I1710">
        <v>511</v>
      </c>
      <c r="J1710" t="str">
        <f>"Nectin-3"</f>
        <v>Nectin-3</v>
      </c>
      <c r="K1710" t="str">
        <f>"PVRL3"</f>
        <v>PVRL3</v>
      </c>
    </row>
    <row r="1711" spans="1:11" x14ac:dyDescent="0.25">
      <c r="A1711" s="1">
        <v>2791</v>
      </c>
      <c r="B1711" s="1">
        <v>2</v>
      </c>
      <c r="C1711" s="1" t="s">
        <v>3</v>
      </c>
      <c r="D1711" s="1">
        <v>8</v>
      </c>
      <c r="E1711" s="1">
        <v>51.725999999999999</v>
      </c>
      <c r="F1711" s="1">
        <v>0.75090900000000005</v>
      </c>
      <c r="G1711" t="s">
        <v>2749</v>
      </c>
      <c r="H1711" t="s">
        <v>2750</v>
      </c>
      <c r="I1711" t="s">
        <v>5408</v>
      </c>
      <c r="J1711" t="str">
        <f>"Cytoskeleton-associated protein 2"</f>
        <v>Cytoskeleton-associated protein 2</v>
      </c>
      <c r="K1711" t="str">
        <f>"CKAP2"</f>
        <v>CKAP2</v>
      </c>
    </row>
    <row r="1712" spans="1:11" x14ac:dyDescent="0.25">
      <c r="A1712" s="1">
        <v>1898</v>
      </c>
      <c r="B1712" s="1">
        <v>2</v>
      </c>
      <c r="C1712" s="1" t="s">
        <v>3</v>
      </c>
      <c r="D1712" s="1">
        <v>1</v>
      </c>
      <c r="E1712" s="1">
        <v>60.398000000000003</v>
      </c>
      <c r="F1712" s="1">
        <v>1</v>
      </c>
      <c r="G1712" t="s">
        <v>2751</v>
      </c>
      <c r="H1712" t="s">
        <v>2752</v>
      </c>
      <c r="I1712" t="s">
        <v>5409</v>
      </c>
      <c r="J1712" t="str">
        <f>"40S ribosomal protein S3"</f>
        <v>40S ribosomal protein S3</v>
      </c>
      <c r="K1712" t="str">
        <f>"RPS3"</f>
        <v>RPS3</v>
      </c>
    </row>
    <row r="1713" spans="1:11" x14ac:dyDescent="0.25">
      <c r="A1713" s="1">
        <v>1640</v>
      </c>
      <c r="B1713" s="1">
        <v>3</v>
      </c>
      <c r="C1713" s="1" t="s">
        <v>3</v>
      </c>
      <c r="D1713" s="1">
        <v>1</v>
      </c>
      <c r="E1713" s="1">
        <v>59.539000000000001</v>
      </c>
      <c r="F1713" s="1">
        <v>0.75887000000000004</v>
      </c>
      <c r="G1713" t="s">
        <v>2753</v>
      </c>
      <c r="H1713" t="s">
        <v>524</v>
      </c>
      <c r="I1713" t="s">
        <v>5410</v>
      </c>
      <c r="J1713" t="str">
        <f>"Alpha-enolase"</f>
        <v>Alpha-enolase</v>
      </c>
      <c r="K1713" t="str">
        <f>"ENO1"</f>
        <v>ENO1</v>
      </c>
    </row>
    <row r="1714" spans="1:11" x14ac:dyDescent="0.25">
      <c r="A1714" s="1">
        <v>1249</v>
      </c>
      <c r="B1714" s="1">
        <v>3</v>
      </c>
      <c r="C1714" s="1" t="s">
        <v>3</v>
      </c>
      <c r="D1714" s="1">
        <v>15</v>
      </c>
      <c r="E1714" s="1">
        <v>63.398000000000003</v>
      </c>
      <c r="F1714" s="1">
        <v>0.72445199999999998</v>
      </c>
      <c r="G1714" t="s">
        <v>2754</v>
      </c>
      <c r="H1714" t="s">
        <v>2755</v>
      </c>
      <c r="I1714" t="s">
        <v>5411</v>
      </c>
      <c r="J1714" t="str">
        <f>"RalBP1-associated Eps domain-containing protein 1"</f>
        <v>RalBP1-associated Eps domain-containing protein 1</v>
      </c>
      <c r="K1714" t="str">
        <f>"REPS1"</f>
        <v>REPS1</v>
      </c>
    </row>
    <row r="1715" spans="1:11" x14ac:dyDescent="0.25">
      <c r="A1715" s="1">
        <v>2976</v>
      </c>
      <c r="B1715" s="1">
        <v>4</v>
      </c>
      <c r="C1715" s="1" t="s">
        <v>3</v>
      </c>
      <c r="D1715" s="1">
        <v>20</v>
      </c>
      <c r="E1715" s="1">
        <v>62.031999999999996</v>
      </c>
      <c r="F1715" s="1">
        <v>0.70031699999999997</v>
      </c>
      <c r="G1715" t="s">
        <v>2756</v>
      </c>
      <c r="H1715" t="s">
        <v>2757</v>
      </c>
      <c r="I1715">
        <v>1107</v>
      </c>
      <c r="J1715" t="str">
        <f>"Pseudopodium-enriched atypical kinase 1"</f>
        <v>Pseudopodium-enriched atypical kinase 1</v>
      </c>
      <c r="K1715" t="str">
        <f>"PEAK1"</f>
        <v>PEAK1</v>
      </c>
    </row>
    <row r="1716" spans="1:11" x14ac:dyDescent="0.25">
      <c r="A1716" s="1">
        <v>2097</v>
      </c>
      <c r="B1716" s="1">
        <v>3</v>
      </c>
      <c r="C1716" s="1" t="s">
        <v>3</v>
      </c>
      <c r="D1716" s="1">
        <v>9</v>
      </c>
      <c r="E1716" s="1">
        <v>56.404000000000003</v>
      </c>
      <c r="F1716" s="1">
        <v>0.99999400000000005</v>
      </c>
      <c r="G1716" t="s">
        <v>2758</v>
      </c>
      <c r="H1716" t="s">
        <v>2759</v>
      </c>
      <c r="I1716" t="s">
        <v>5412</v>
      </c>
      <c r="J1716" t="str">
        <f>"LIM and senescent cell antigen-like-containing domain protein 1;LIM and senescent cell antigen-like-containing domain protein 3;LIM and senescent cell antigen-like-containing domain protein 3-like"</f>
        <v>LIM and senescent cell antigen-like-containing domain protein 1;LIM and senescent cell antigen-like-containing domain protein 3;LIM and senescent cell antigen-like-containing domain protein 3-like</v>
      </c>
      <c r="K1716" t="str">
        <f>"LIMS1;LIMS3;LIMS3L"</f>
        <v>LIMS1;LIMS3;LIMS3L</v>
      </c>
    </row>
    <row r="1717" spans="1:11" x14ac:dyDescent="0.25">
      <c r="A1717" s="1">
        <v>1523</v>
      </c>
      <c r="B1717" s="1">
        <v>3</v>
      </c>
      <c r="C1717" s="1" t="s">
        <v>3</v>
      </c>
      <c r="D1717" s="1">
        <v>8</v>
      </c>
      <c r="E1717" s="1">
        <v>64.209999999999994</v>
      </c>
      <c r="F1717" s="1">
        <v>0.98374799999999996</v>
      </c>
      <c r="G1717" t="s">
        <v>2760</v>
      </c>
      <c r="H1717" t="s">
        <v>2761</v>
      </c>
      <c r="I1717" t="s">
        <v>5413</v>
      </c>
      <c r="J1717" t="str">
        <f>"Rho-associated protein kinase 2"</f>
        <v>Rho-associated protein kinase 2</v>
      </c>
      <c r="K1717" t="str">
        <f>"ROCK2"</f>
        <v>ROCK2</v>
      </c>
    </row>
    <row r="1718" spans="1:11" x14ac:dyDescent="0.25">
      <c r="A1718" s="1">
        <v>1208</v>
      </c>
      <c r="B1718" s="1">
        <v>3</v>
      </c>
      <c r="C1718" s="1" t="s">
        <v>3</v>
      </c>
      <c r="D1718" s="1">
        <v>7</v>
      </c>
      <c r="E1718" s="1">
        <v>59.728000000000002</v>
      </c>
      <c r="F1718" s="1">
        <v>0.98647799999999997</v>
      </c>
      <c r="G1718" t="s">
        <v>2762</v>
      </c>
      <c r="H1718" t="s">
        <v>2763</v>
      </c>
      <c r="I1718" t="s">
        <v>5414</v>
      </c>
      <c r="J1718" t="str">
        <f>"Heterogeneous nuclear ribonucleoprotein H;Heterogeneous nuclear ribonucleoprotein H, N-terminally processed;Heterogeneous nuclear ribonucleoprotein F;Heterogeneous nuclear ribonucleoprotein F, N-terminally processed"</f>
        <v>Heterogeneous nuclear ribonucleoprotein H;Heterogeneous nuclear ribonucleoprotein H, N-terminally processed;Heterogeneous nuclear ribonucleoprotein F;Heterogeneous nuclear ribonucleoprotein F, N-terminally processed</v>
      </c>
      <c r="K1718" t="str">
        <f>"HNRNPH1;HNRNPF"</f>
        <v>HNRNPH1;HNRNPF</v>
      </c>
    </row>
    <row r="1719" spans="1:11" x14ac:dyDescent="0.25">
      <c r="A1719" s="1">
        <v>2989</v>
      </c>
      <c r="B1719" s="1">
        <v>3</v>
      </c>
      <c r="C1719" s="1" t="s">
        <v>3</v>
      </c>
      <c r="D1719" s="1">
        <v>4</v>
      </c>
      <c r="E1719" s="1">
        <v>53.564999999999998</v>
      </c>
      <c r="F1719" s="1">
        <v>0.99554500000000001</v>
      </c>
      <c r="G1719" t="s">
        <v>2764</v>
      </c>
      <c r="H1719" t="s">
        <v>2765</v>
      </c>
      <c r="I1719">
        <v>173</v>
      </c>
      <c r="J1719" t="str">
        <f>"GrpE protein homolog 1, mitochondrial"</f>
        <v>GrpE protein homolog 1, mitochondrial</v>
      </c>
      <c r="K1719" t="str">
        <f>"GRPEL1"</f>
        <v>GRPEL1</v>
      </c>
    </row>
    <row r="1720" spans="1:11" x14ac:dyDescent="0.25">
      <c r="A1720" s="1">
        <v>2955</v>
      </c>
      <c r="B1720" s="1">
        <v>3</v>
      </c>
      <c r="C1720" s="1" t="s">
        <v>3</v>
      </c>
      <c r="D1720" s="1">
        <v>13</v>
      </c>
      <c r="E1720" s="1">
        <v>58.692999999999998</v>
      </c>
      <c r="F1720" s="1">
        <v>0.94314799999999999</v>
      </c>
      <c r="G1720" t="s">
        <v>2766</v>
      </c>
      <c r="H1720" t="s">
        <v>2767</v>
      </c>
      <c r="I1720">
        <v>136</v>
      </c>
      <c r="J1720" t="str">
        <f>"Linker for activation of T-cells family member 2"</f>
        <v>Linker for activation of T-cells family member 2</v>
      </c>
      <c r="K1720" t="str">
        <f>"LAT2"</f>
        <v>LAT2</v>
      </c>
    </row>
    <row r="1721" spans="1:11" x14ac:dyDescent="0.25">
      <c r="A1721" s="1">
        <v>2599</v>
      </c>
      <c r="B1721" s="1">
        <v>2</v>
      </c>
      <c r="C1721" s="1" t="s">
        <v>3</v>
      </c>
      <c r="D1721" s="1">
        <v>12</v>
      </c>
      <c r="E1721" s="1">
        <v>50.896999999999998</v>
      </c>
      <c r="F1721" s="1">
        <v>0.98935499999999998</v>
      </c>
      <c r="G1721" t="s">
        <v>2768</v>
      </c>
      <c r="H1721" t="s">
        <v>2769</v>
      </c>
      <c r="I1721" t="s">
        <v>5415</v>
      </c>
      <c r="J1721" t="str">
        <f>"Ras-interacting protein 1"</f>
        <v>Ras-interacting protein 1</v>
      </c>
      <c r="K1721" t="str">
        <f>"RASIP1"</f>
        <v>RASIP1</v>
      </c>
    </row>
    <row r="1722" spans="1:11" x14ac:dyDescent="0.25">
      <c r="A1722" s="1">
        <v>2892</v>
      </c>
      <c r="B1722" s="1">
        <v>3</v>
      </c>
      <c r="C1722" s="1" t="s">
        <v>3</v>
      </c>
      <c r="D1722" s="1">
        <v>2</v>
      </c>
      <c r="E1722" s="1">
        <v>83.54</v>
      </c>
      <c r="F1722" s="1">
        <v>0.99996499999999999</v>
      </c>
      <c r="G1722" t="s">
        <v>1292</v>
      </c>
      <c r="H1722" t="s">
        <v>124</v>
      </c>
      <c r="I1722" t="s">
        <v>5416</v>
      </c>
      <c r="J1722" t="str">
        <f>"Plakophilin-4"</f>
        <v>Plakophilin-4</v>
      </c>
      <c r="K1722" t="str">
        <f>"PKP4"</f>
        <v>PKP4</v>
      </c>
    </row>
    <row r="1723" spans="1:11" x14ac:dyDescent="0.25">
      <c r="A1723" s="1">
        <v>114</v>
      </c>
      <c r="B1723" s="1">
        <v>2</v>
      </c>
      <c r="C1723" s="1" t="s">
        <v>5</v>
      </c>
      <c r="D1723" s="1">
        <v>7</v>
      </c>
      <c r="E1723" s="1">
        <v>63.091000000000001</v>
      </c>
      <c r="F1723" s="1">
        <v>0.57394800000000001</v>
      </c>
      <c r="G1723" t="s">
        <v>2770</v>
      </c>
      <c r="H1723" t="s">
        <v>2771</v>
      </c>
      <c r="I1723" t="s">
        <v>5417</v>
      </c>
      <c r="J1723" t="str">
        <f>"Anthrax toxin receptor 2;Anthrax toxin receptor 1"</f>
        <v>Anthrax toxin receptor 2;Anthrax toxin receptor 1</v>
      </c>
      <c r="K1723" t="str">
        <f>"ANTXR2;ANTXR1"</f>
        <v>ANTXR2;ANTXR1</v>
      </c>
    </row>
    <row r="1724" spans="1:11" x14ac:dyDescent="0.25">
      <c r="A1724" s="1">
        <v>2676</v>
      </c>
      <c r="B1724" s="1">
        <v>3</v>
      </c>
      <c r="C1724" s="1" t="s">
        <v>3</v>
      </c>
      <c r="D1724" s="1">
        <v>2</v>
      </c>
      <c r="E1724" s="1">
        <v>119.38</v>
      </c>
      <c r="F1724" s="1">
        <v>1</v>
      </c>
      <c r="G1724" t="s">
        <v>2772</v>
      </c>
      <c r="H1724" t="s">
        <v>1343</v>
      </c>
      <c r="I1724" t="s">
        <v>5418</v>
      </c>
      <c r="J1724" t="str">
        <f>"Liprin-beta-1"</f>
        <v>Liprin-beta-1</v>
      </c>
      <c r="K1724" t="str">
        <f>"PPFIBP1"</f>
        <v>PPFIBP1</v>
      </c>
    </row>
    <row r="1725" spans="1:11" x14ac:dyDescent="0.25">
      <c r="A1725" s="1">
        <v>2039</v>
      </c>
      <c r="B1725" s="1">
        <v>3</v>
      </c>
      <c r="C1725" s="1" t="s">
        <v>3</v>
      </c>
      <c r="D1725" s="1">
        <v>8</v>
      </c>
      <c r="E1725" s="1">
        <v>58.98</v>
      </c>
      <c r="F1725" s="1">
        <v>0.80355200000000004</v>
      </c>
      <c r="G1725" t="s">
        <v>2773</v>
      </c>
      <c r="H1725" t="s">
        <v>2774</v>
      </c>
      <c r="I1725">
        <v>228</v>
      </c>
      <c r="J1725" t="str">
        <f>"Tyrosine-protein kinase Tec"</f>
        <v>Tyrosine-protein kinase Tec</v>
      </c>
      <c r="K1725" t="str">
        <f>"TEC"</f>
        <v>TEC</v>
      </c>
    </row>
    <row r="1726" spans="1:11" x14ac:dyDescent="0.25">
      <c r="A1726" s="1">
        <v>2804</v>
      </c>
      <c r="B1726" s="1">
        <v>3</v>
      </c>
      <c r="C1726" s="1" t="s">
        <v>3</v>
      </c>
      <c r="D1726" s="1">
        <v>9</v>
      </c>
      <c r="E1726" s="1">
        <v>66.387</v>
      </c>
      <c r="F1726" s="1">
        <v>0.997201</v>
      </c>
      <c r="G1726" t="s">
        <v>2775</v>
      </c>
      <c r="H1726" t="s">
        <v>2321</v>
      </c>
      <c r="I1726" t="s">
        <v>5419</v>
      </c>
      <c r="J1726" t="str">
        <f>"Protein TFG"</f>
        <v>Protein TFG</v>
      </c>
      <c r="K1726" t="str">
        <f>"TFG"</f>
        <v>TFG</v>
      </c>
    </row>
    <row r="1727" spans="1:11" x14ac:dyDescent="0.25">
      <c r="A1727" s="1">
        <v>2869</v>
      </c>
      <c r="B1727" s="1">
        <v>2</v>
      </c>
      <c r="C1727" s="1" t="s">
        <v>3</v>
      </c>
      <c r="D1727" s="1">
        <v>11</v>
      </c>
      <c r="E1727" s="1">
        <v>65.179000000000002</v>
      </c>
      <c r="F1727" s="1">
        <v>0.99860700000000002</v>
      </c>
      <c r="G1727" t="s">
        <v>2776</v>
      </c>
      <c r="H1727" t="s">
        <v>887</v>
      </c>
      <c r="I1727">
        <v>261</v>
      </c>
      <c r="J1727" t="str">
        <f>"RNA-binding protein 14"</f>
        <v>RNA-binding protein 14</v>
      </c>
      <c r="K1727" t="str">
        <f>"RBM14"</f>
        <v>RBM14</v>
      </c>
    </row>
    <row r="1728" spans="1:11" x14ac:dyDescent="0.25">
      <c r="A1728" s="1">
        <v>3115</v>
      </c>
      <c r="B1728" s="1">
        <v>3</v>
      </c>
      <c r="C1728" s="1" t="s">
        <v>3</v>
      </c>
      <c r="D1728" s="1">
        <v>3</v>
      </c>
      <c r="E1728" s="1">
        <v>44.542999999999999</v>
      </c>
      <c r="F1728" s="1">
        <v>1</v>
      </c>
      <c r="G1728" t="s">
        <v>2777</v>
      </c>
      <c r="H1728" t="s">
        <v>2778</v>
      </c>
      <c r="I1728" t="s">
        <v>5420</v>
      </c>
      <c r="J1728" t="str">
        <f>"Peptidyl-prolyl cis-trans isomerase NIMA-interacting 4"</f>
        <v>Peptidyl-prolyl cis-trans isomerase NIMA-interacting 4</v>
      </c>
      <c r="K1728" t="str">
        <f>"PIN4"</f>
        <v>PIN4</v>
      </c>
    </row>
    <row r="1729" spans="1:11" x14ac:dyDescent="0.25">
      <c r="A1729" s="1">
        <v>1652</v>
      </c>
      <c r="B1729" s="1">
        <v>2</v>
      </c>
      <c r="C1729" s="1" t="s">
        <v>3</v>
      </c>
      <c r="D1729" s="1">
        <v>8</v>
      </c>
      <c r="E1729" s="1">
        <v>52.247</v>
      </c>
      <c r="F1729" s="1">
        <v>0.95602299999999996</v>
      </c>
      <c r="G1729" t="s">
        <v>2779</v>
      </c>
      <c r="H1729" t="s">
        <v>2780</v>
      </c>
      <c r="I1729">
        <v>809</v>
      </c>
      <c r="J1729" t="str">
        <f>"Macrophage colony-stimulating factor 1 receptor"</f>
        <v>Macrophage colony-stimulating factor 1 receptor</v>
      </c>
      <c r="K1729" t="str">
        <f>"CSF1R"</f>
        <v>CSF1R</v>
      </c>
    </row>
    <row r="1730" spans="1:11" x14ac:dyDescent="0.25">
      <c r="A1730" s="1">
        <v>1564</v>
      </c>
      <c r="B1730" s="1">
        <v>3</v>
      </c>
      <c r="C1730" s="1" t="s">
        <v>3</v>
      </c>
      <c r="D1730" s="1">
        <v>8</v>
      </c>
      <c r="E1730" s="1">
        <v>40.767000000000003</v>
      </c>
      <c r="F1730" s="1">
        <v>0.98930200000000001</v>
      </c>
      <c r="G1730" t="s">
        <v>2781</v>
      </c>
      <c r="H1730" t="s">
        <v>2782</v>
      </c>
      <c r="I1730">
        <v>95</v>
      </c>
      <c r="J1730" t="str">
        <f>"NADH dehydrogenase [ubiquinone] 1 beta subcomplex subunit 6"</f>
        <v>NADH dehydrogenase [ubiquinone] 1 beta subcomplex subunit 6</v>
      </c>
      <c r="K1730" t="str">
        <f>"NDUFB6"</f>
        <v>NDUFB6</v>
      </c>
    </row>
    <row r="1731" spans="1:11" x14ac:dyDescent="0.25">
      <c r="A1731" s="1">
        <v>3043</v>
      </c>
      <c r="B1731" s="1">
        <v>3</v>
      </c>
      <c r="C1731" s="1" t="s">
        <v>3</v>
      </c>
      <c r="D1731" s="1">
        <v>8</v>
      </c>
      <c r="E1731" s="1">
        <v>56.569000000000003</v>
      </c>
      <c r="F1731" s="1">
        <v>0.94978200000000002</v>
      </c>
      <c r="G1731" t="s">
        <v>2783</v>
      </c>
      <c r="H1731" t="s">
        <v>2784</v>
      </c>
      <c r="I1731">
        <v>177</v>
      </c>
      <c r="J1731" t="str">
        <f>"39S ribosomal protein L35, mitochondrial"</f>
        <v>39S ribosomal protein L35, mitochondrial</v>
      </c>
      <c r="K1731" t="str">
        <f>"MRPL35"</f>
        <v>MRPL35</v>
      </c>
    </row>
    <row r="1732" spans="1:11" x14ac:dyDescent="0.25">
      <c r="A1732" s="1">
        <v>473</v>
      </c>
      <c r="B1732" s="1">
        <v>3</v>
      </c>
      <c r="C1732" s="1" t="s">
        <v>5</v>
      </c>
      <c r="D1732" s="1">
        <v>1</v>
      </c>
      <c r="E1732" s="1">
        <v>61.039000000000001</v>
      </c>
      <c r="F1732" s="1">
        <v>0.53231200000000001</v>
      </c>
      <c r="G1732" t="s">
        <v>2785</v>
      </c>
      <c r="H1732" t="s">
        <v>812</v>
      </c>
      <c r="I1732" t="s">
        <v>5421</v>
      </c>
      <c r="J1732" t="str">
        <f>"Signaling threshold-regulating transmembrane adapter 1"</f>
        <v>Signaling threshold-regulating transmembrane adapter 1</v>
      </c>
      <c r="K1732" t="str">
        <f>"SIT1"</f>
        <v>SIT1</v>
      </c>
    </row>
    <row r="1733" spans="1:11" x14ac:dyDescent="0.25">
      <c r="A1733" s="1">
        <v>1714</v>
      </c>
      <c r="B1733" s="1">
        <v>3</v>
      </c>
      <c r="C1733" s="1" t="s">
        <v>3</v>
      </c>
      <c r="D1733" s="1">
        <v>10</v>
      </c>
      <c r="E1733" s="1">
        <v>62.286999999999999</v>
      </c>
      <c r="F1733" s="1">
        <v>0.99997000000000003</v>
      </c>
      <c r="G1733" t="s">
        <v>2786</v>
      </c>
      <c r="H1733" t="s">
        <v>2363</v>
      </c>
      <c r="I1733">
        <v>265</v>
      </c>
      <c r="J1733" t="str">
        <f>"Fructose-1,6-bisphosphatase 1"</f>
        <v>Fructose-1,6-bisphosphatase 1</v>
      </c>
      <c r="K1733" t="str">
        <f>"FBP1"</f>
        <v>FBP1</v>
      </c>
    </row>
    <row r="1734" spans="1:11" x14ac:dyDescent="0.25">
      <c r="A1734" s="1">
        <v>46</v>
      </c>
      <c r="B1734" s="1">
        <v>2</v>
      </c>
      <c r="C1734" s="1" t="s">
        <v>5</v>
      </c>
      <c r="D1734" s="1">
        <v>6</v>
      </c>
      <c r="E1734" s="1">
        <v>82.876999999999995</v>
      </c>
      <c r="F1734" s="1">
        <v>0.81638999999999995</v>
      </c>
      <c r="G1734" t="s">
        <v>2787</v>
      </c>
      <c r="H1734" t="s">
        <v>95</v>
      </c>
      <c r="I1734">
        <v>56</v>
      </c>
      <c r="J1734" t="str">
        <f>""</f>
        <v/>
      </c>
      <c r="K1734" t="str">
        <f>"VIM"</f>
        <v>VIM</v>
      </c>
    </row>
    <row r="1735" spans="1:11" x14ac:dyDescent="0.25">
      <c r="A1735" s="1">
        <v>565</v>
      </c>
      <c r="B1735" s="1">
        <v>3</v>
      </c>
      <c r="C1735" s="1" t="s">
        <v>4</v>
      </c>
      <c r="D1735" s="1">
        <v>15</v>
      </c>
      <c r="E1735" s="1">
        <v>55.755000000000003</v>
      </c>
      <c r="F1735" s="1">
        <v>0.60510600000000003</v>
      </c>
      <c r="G1735" t="s">
        <v>2788</v>
      </c>
      <c r="H1735" t="s">
        <v>1574</v>
      </c>
      <c r="I1735" t="s">
        <v>5422</v>
      </c>
      <c r="J1735" t="str">
        <f>"Filamin-B"</f>
        <v>Filamin-B</v>
      </c>
      <c r="K1735" t="str">
        <f>"FLNB"</f>
        <v>FLNB</v>
      </c>
    </row>
    <row r="1736" spans="1:11" x14ac:dyDescent="0.25">
      <c r="A1736" s="1">
        <v>1117</v>
      </c>
      <c r="B1736" s="1">
        <v>2</v>
      </c>
      <c r="C1736" s="1" t="s">
        <v>3</v>
      </c>
      <c r="D1736" s="1">
        <v>3</v>
      </c>
      <c r="E1736" s="1">
        <v>59.908000000000001</v>
      </c>
      <c r="F1736" s="1">
        <v>1</v>
      </c>
      <c r="G1736" t="s">
        <v>2789</v>
      </c>
      <c r="H1736" t="s">
        <v>2790</v>
      </c>
      <c r="I1736" t="s">
        <v>5423</v>
      </c>
      <c r="J1736" t="str">
        <f>"Protein BUD31 homolog"</f>
        <v>Protein BUD31 homolog</v>
      </c>
      <c r="K1736" t="str">
        <f>"BUD31"</f>
        <v>BUD31</v>
      </c>
    </row>
    <row r="1737" spans="1:11" x14ac:dyDescent="0.25">
      <c r="A1737" s="1">
        <v>517</v>
      </c>
      <c r="B1737" s="1">
        <v>2</v>
      </c>
      <c r="C1737" s="1" t="s">
        <v>4</v>
      </c>
      <c r="D1737" s="1">
        <v>12</v>
      </c>
      <c r="E1737" s="1">
        <v>59.728000000000002</v>
      </c>
      <c r="F1737" s="1">
        <v>0.60675599999999996</v>
      </c>
      <c r="G1737" t="s">
        <v>2791</v>
      </c>
      <c r="H1737" t="s">
        <v>108</v>
      </c>
      <c r="I1737">
        <v>108</v>
      </c>
      <c r="J1737" t="str">
        <f>""</f>
        <v/>
      </c>
      <c r="K1737" t="str">
        <f>"MAPK14"</f>
        <v>MAPK14</v>
      </c>
    </row>
    <row r="1738" spans="1:11" x14ac:dyDescent="0.25">
      <c r="A1738" s="1">
        <v>2508</v>
      </c>
      <c r="B1738" s="1">
        <v>2</v>
      </c>
      <c r="C1738" s="1" t="s">
        <v>3</v>
      </c>
      <c r="D1738" s="1">
        <v>3</v>
      </c>
      <c r="E1738" s="1">
        <v>60.255000000000003</v>
      </c>
      <c r="F1738" s="1">
        <v>0.99992400000000004</v>
      </c>
      <c r="G1738" t="s">
        <v>2792</v>
      </c>
      <c r="H1738" t="s">
        <v>2793</v>
      </c>
      <c r="I1738">
        <v>136</v>
      </c>
      <c r="J1738" t="str">
        <f>"[Pyruvate dehydrogenase (acetyl-transferring)] kinase isozyme 1, mitochondrial"</f>
        <v>[Pyruvate dehydrogenase (acetyl-transferring)] kinase isozyme 1, mitochondrial</v>
      </c>
      <c r="K1738" t="str">
        <f>"PDK1"</f>
        <v>PDK1</v>
      </c>
    </row>
    <row r="1739" spans="1:11" x14ac:dyDescent="0.25">
      <c r="A1739" s="1">
        <v>2632</v>
      </c>
      <c r="B1739" s="1">
        <v>3</v>
      </c>
      <c r="C1739" s="1" t="s">
        <v>3</v>
      </c>
      <c r="D1739" s="1">
        <v>4</v>
      </c>
      <c r="E1739" s="1">
        <v>46.317999999999998</v>
      </c>
      <c r="F1739" s="1">
        <v>0.98763599999999996</v>
      </c>
      <c r="G1739" t="s">
        <v>2794</v>
      </c>
      <c r="H1739" t="s">
        <v>177</v>
      </c>
      <c r="I1739" t="s">
        <v>5424</v>
      </c>
      <c r="J1739" t="str">
        <f>"Polymerase I and transcript release factor"</f>
        <v>Polymerase I and transcript release factor</v>
      </c>
      <c r="K1739" t="str">
        <f>"PTRF"</f>
        <v>PTRF</v>
      </c>
    </row>
    <row r="1740" spans="1:11" x14ac:dyDescent="0.25">
      <c r="A1740" s="1">
        <v>2438</v>
      </c>
      <c r="B1740" s="1">
        <v>3</v>
      </c>
      <c r="C1740" s="1" t="s">
        <v>3</v>
      </c>
      <c r="D1740" s="1">
        <v>11</v>
      </c>
      <c r="E1740" s="1">
        <v>161.47</v>
      </c>
      <c r="F1740" s="1">
        <v>0.99912400000000001</v>
      </c>
      <c r="G1740" t="s">
        <v>2795</v>
      </c>
      <c r="H1740" t="s">
        <v>2568</v>
      </c>
      <c r="I1740" t="s">
        <v>5425</v>
      </c>
      <c r="J1740" t="str">
        <f>"Apoptosis-stimulating of p53 protein 2"</f>
        <v>Apoptosis-stimulating of p53 protein 2</v>
      </c>
      <c r="K1740" t="str">
        <f>"TP53BP2"</f>
        <v>TP53BP2</v>
      </c>
    </row>
    <row r="1741" spans="1:11" x14ac:dyDescent="0.25">
      <c r="A1741" s="1">
        <v>820</v>
      </c>
      <c r="B1741" s="1">
        <v>2</v>
      </c>
      <c r="C1741" s="1" t="s">
        <v>3</v>
      </c>
      <c r="D1741" s="1">
        <v>7</v>
      </c>
      <c r="E1741" s="1">
        <v>44.317999999999998</v>
      </c>
      <c r="F1741" s="1">
        <v>0.99417900000000003</v>
      </c>
      <c r="G1741" t="s">
        <v>2796</v>
      </c>
      <c r="H1741" t="s">
        <v>2797</v>
      </c>
      <c r="I1741" t="s">
        <v>5426</v>
      </c>
      <c r="J1741" t="str">
        <f>"Tetraspanin-6"</f>
        <v>Tetraspanin-6</v>
      </c>
      <c r="K1741" t="str">
        <f>"TSPAN6"</f>
        <v>TSPAN6</v>
      </c>
    </row>
    <row r="1742" spans="1:11" x14ac:dyDescent="0.25">
      <c r="A1742" s="1">
        <v>254</v>
      </c>
      <c r="B1742" s="1">
        <v>2</v>
      </c>
      <c r="C1742" s="1" t="s">
        <v>5</v>
      </c>
      <c r="D1742" s="1">
        <v>7</v>
      </c>
      <c r="E1742" s="1">
        <v>56.258000000000003</v>
      </c>
      <c r="F1742" s="1">
        <v>0.57295200000000002</v>
      </c>
      <c r="G1742" t="s">
        <v>2798</v>
      </c>
      <c r="H1742" t="s">
        <v>2799</v>
      </c>
      <c r="I1742" t="s">
        <v>5427</v>
      </c>
      <c r="J1742" t="str">
        <f>"Glucosamine-6-phosphate isomerase 1"</f>
        <v>Glucosamine-6-phosphate isomerase 1</v>
      </c>
      <c r="K1742" t="str">
        <f>"GNPDA1"</f>
        <v>GNPDA1</v>
      </c>
    </row>
    <row r="1743" spans="1:11" x14ac:dyDescent="0.25">
      <c r="A1743" s="1">
        <v>2806</v>
      </c>
      <c r="B1743" s="1">
        <v>3</v>
      </c>
      <c r="C1743" s="1" t="s">
        <v>3</v>
      </c>
      <c r="D1743" s="1">
        <v>1</v>
      </c>
      <c r="E1743" s="1">
        <v>81.144000000000005</v>
      </c>
      <c r="F1743" s="1">
        <v>0.82651600000000003</v>
      </c>
      <c r="G1743" t="s">
        <v>2800</v>
      </c>
      <c r="H1743" t="s">
        <v>2801</v>
      </c>
      <c r="I1743" t="s">
        <v>5428</v>
      </c>
      <c r="J1743" t="str">
        <f>"USP6 N-terminal-like protein"</f>
        <v>USP6 N-terminal-like protein</v>
      </c>
      <c r="K1743" t="str">
        <f>"USP6NL"</f>
        <v>USP6NL</v>
      </c>
    </row>
    <row r="1744" spans="1:11" x14ac:dyDescent="0.25">
      <c r="A1744" s="1">
        <v>2361</v>
      </c>
      <c r="B1744" s="1">
        <v>2</v>
      </c>
      <c r="C1744" s="1" t="s">
        <v>3</v>
      </c>
      <c r="D1744" s="1">
        <v>6</v>
      </c>
      <c r="E1744" s="1">
        <v>53.08</v>
      </c>
      <c r="F1744" s="1">
        <v>1</v>
      </c>
      <c r="G1744" t="s">
        <v>1826</v>
      </c>
      <c r="H1744" t="s">
        <v>1827</v>
      </c>
      <c r="I1744">
        <v>65</v>
      </c>
      <c r="J1744" t="str">
        <f>"Rho GTPase-activating protein 1"</f>
        <v>Rho GTPase-activating protein 1</v>
      </c>
      <c r="K1744" t="str">
        <f>"ARHGAP1"</f>
        <v>ARHGAP1</v>
      </c>
    </row>
    <row r="1745" spans="1:11" x14ac:dyDescent="0.25">
      <c r="A1745" s="1">
        <v>857</v>
      </c>
      <c r="B1745" s="1">
        <v>3</v>
      </c>
      <c r="C1745" s="1" t="s">
        <v>3</v>
      </c>
      <c r="D1745" s="1">
        <v>14</v>
      </c>
      <c r="E1745" s="1">
        <v>52.185000000000002</v>
      </c>
      <c r="F1745" s="1">
        <v>0.93727400000000005</v>
      </c>
      <c r="G1745" t="s">
        <v>2802</v>
      </c>
      <c r="H1745" t="s">
        <v>2164</v>
      </c>
      <c r="I1745" t="s">
        <v>5429</v>
      </c>
      <c r="J1745" t="str">
        <f>"Arf-GAP with coiled-coil, ANK repeat and PH domain-containing protein 2"</f>
        <v>Arf-GAP with coiled-coil, ANK repeat and PH domain-containing protein 2</v>
      </c>
      <c r="K1745" t="str">
        <f>"ACAP2"</f>
        <v>ACAP2</v>
      </c>
    </row>
    <row r="1746" spans="1:11" x14ac:dyDescent="0.25">
      <c r="A1746" s="1">
        <v>1109</v>
      </c>
      <c r="B1746" s="1">
        <v>3</v>
      </c>
      <c r="C1746" s="1" t="s">
        <v>3</v>
      </c>
      <c r="D1746" s="1">
        <v>13</v>
      </c>
      <c r="E1746" s="1">
        <v>73.927999999999997</v>
      </c>
      <c r="F1746" s="1">
        <v>0.97631500000000004</v>
      </c>
      <c r="G1746" t="s">
        <v>2803</v>
      </c>
      <c r="H1746" t="s">
        <v>2804</v>
      </c>
      <c r="I1746" t="s">
        <v>5430</v>
      </c>
      <c r="J1746" t="str">
        <f>"Zinc finger CCCH-type antiviral protein 1"</f>
        <v>Zinc finger CCCH-type antiviral protein 1</v>
      </c>
      <c r="K1746" t="str">
        <f>"ZC3HAV1"</f>
        <v>ZC3HAV1</v>
      </c>
    </row>
    <row r="1747" spans="1:11" x14ac:dyDescent="0.25">
      <c r="A1747" s="1">
        <v>1672</v>
      </c>
      <c r="B1747" s="1">
        <v>2</v>
      </c>
      <c r="C1747" s="1" t="s">
        <v>3</v>
      </c>
      <c r="D1747" s="1">
        <v>13</v>
      </c>
      <c r="E1747" s="1">
        <v>63.682000000000002</v>
      </c>
      <c r="F1747" s="1">
        <v>0.81279900000000005</v>
      </c>
      <c r="G1747" t="s">
        <v>2805</v>
      </c>
      <c r="H1747" t="s">
        <v>82</v>
      </c>
      <c r="I1747" t="s">
        <v>5431</v>
      </c>
      <c r="J1747" t="str">
        <f>"Tyrosine-protein kinase Lyn"</f>
        <v>Tyrosine-protein kinase Lyn</v>
      </c>
      <c r="K1747" t="str">
        <f>"LYN"</f>
        <v>LYN</v>
      </c>
    </row>
    <row r="1748" spans="1:11" x14ac:dyDescent="0.25">
      <c r="A1748" s="1">
        <v>460</v>
      </c>
      <c r="B1748" s="1">
        <v>3</v>
      </c>
      <c r="C1748" s="1" t="s">
        <v>5</v>
      </c>
      <c r="D1748" s="1">
        <v>7</v>
      </c>
      <c r="E1748" s="1">
        <v>65.230999999999995</v>
      </c>
      <c r="F1748" s="1">
        <v>0.54418699999999998</v>
      </c>
      <c r="G1748" t="s">
        <v>2806</v>
      </c>
      <c r="H1748" t="s">
        <v>1010</v>
      </c>
      <c r="I1748" t="s">
        <v>5432</v>
      </c>
      <c r="J1748" t="str">
        <f>"SLAM family member 5"</f>
        <v>SLAM family member 5</v>
      </c>
      <c r="K1748" t="str">
        <f>"CD84"</f>
        <v>CD84</v>
      </c>
    </row>
    <row r="1749" spans="1:11" x14ac:dyDescent="0.25">
      <c r="A1749" s="1">
        <v>2522</v>
      </c>
      <c r="B1749" s="1">
        <v>2</v>
      </c>
      <c r="C1749" s="1" t="s">
        <v>3</v>
      </c>
      <c r="D1749" s="1">
        <v>6</v>
      </c>
      <c r="E1749" s="1">
        <v>83.403999999999996</v>
      </c>
      <c r="F1749" s="1">
        <v>0.94328000000000001</v>
      </c>
      <c r="G1749" t="s">
        <v>2807</v>
      </c>
      <c r="H1749" t="s">
        <v>1572</v>
      </c>
      <c r="I1749" t="s">
        <v>5433</v>
      </c>
      <c r="J1749" t="str">
        <f>"Plectin"</f>
        <v>Plectin</v>
      </c>
      <c r="K1749" t="str">
        <f>"PLEC"</f>
        <v>PLEC</v>
      </c>
    </row>
    <row r="1750" spans="1:11" x14ac:dyDescent="0.25">
      <c r="A1750" s="1">
        <v>2875</v>
      </c>
      <c r="B1750" s="1">
        <v>3</v>
      </c>
      <c r="C1750" s="1" t="s">
        <v>3</v>
      </c>
      <c r="D1750" s="1">
        <v>5</v>
      </c>
      <c r="E1750" s="1">
        <v>77.644000000000005</v>
      </c>
      <c r="F1750" s="1">
        <v>0.97811499999999996</v>
      </c>
      <c r="G1750" t="s">
        <v>2808</v>
      </c>
      <c r="H1750" t="s">
        <v>2809</v>
      </c>
      <c r="I1750" t="s">
        <v>5434</v>
      </c>
      <c r="J1750" t="str">
        <f>"Trafficking protein particle complex subunit 9"</f>
        <v>Trafficking protein particle complex subunit 9</v>
      </c>
      <c r="K1750" t="str">
        <f>"TRAPPC9"</f>
        <v>TRAPPC9</v>
      </c>
    </row>
    <row r="1751" spans="1:11" x14ac:dyDescent="0.25">
      <c r="A1751" s="1">
        <v>1291</v>
      </c>
      <c r="B1751" s="1">
        <v>4</v>
      </c>
      <c r="C1751" s="1" t="s">
        <v>3</v>
      </c>
      <c r="D1751" s="1">
        <v>5</v>
      </c>
      <c r="E1751" s="1">
        <v>46.892000000000003</v>
      </c>
      <c r="F1751" s="1">
        <v>0.76846700000000001</v>
      </c>
      <c r="G1751" t="s">
        <v>2810</v>
      </c>
      <c r="H1751" t="s">
        <v>2811</v>
      </c>
      <c r="I1751" t="s">
        <v>5435</v>
      </c>
      <c r="J1751" t="str">
        <f>"2-oxoisovalerate dehydrogenase subunit alpha, mitochondrial"</f>
        <v>2-oxoisovalerate dehydrogenase subunit alpha, mitochondrial</v>
      </c>
      <c r="K1751" t="str">
        <f>"BCKDHA"</f>
        <v>BCKDHA</v>
      </c>
    </row>
    <row r="1752" spans="1:11" x14ac:dyDescent="0.25">
      <c r="A1752" s="1">
        <v>2779</v>
      </c>
      <c r="B1752" s="1">
        <v>3</v>
      </c>
      <c r="C1752" s="1" t="s">
        <v>3</v>
      </c>
      <c r="D1752" s="1">
        <v>1</v>
      </c>
      <c r="E1752" s="1">
        <v>82.528999999999996</v>
      </c>
      <c r="F1752" s="1">
        <v>0.84035300000000002</v>
      </c>
      <c r="G1752" t="s">
        <v>2812</v>
      </c>
      <c r="H1752" t="s">
        <v>2813</v>
      </c>
      <c r="I1752">
        <v>321</v>
      </c>
      <c r="J1752" t="str">
        <f>"Gem-associated protein 5"</f>
        <v>Gem-associated protein 5</v>
      </c>
      <c r="K1752" t="str">
        <f>"GEMIN5"</f>
        <v>GEMIN5</v>
      </c>
    </row>
    <row r="1753" spans="1:11" x14ac:dyDescent="0.25">
      <c r="A1753" s="1">
        <v>818</v>
      </c>
      <c r="B1753" s="1">
        <v>3</v>
      </c>
      <c r="C1753" s="1" t="s">
        <v>3</v>
      </c>
      <c r="D1753" s="1">
        <v>6</v>
      </c>
      <c r="E1753" s="1">
        <v>89.230999999999995</v>
      </c>
      <c r="F1753" s="1">
        <v>0.80023999999999995</v>
      </c>
      <c r="G1753" t="s">
        <v>2814</v>
      </c>
      <c r="H1753" t="s">
        <v>2336</v>
      </c>
      <c r="I1753" t="s">
        <v>5436</v>
      </c>
      <c r="J1753" t="str">
        <f>"Partitioning defective 3 homolog B"</f>
        <v>Partitioning defective 3 homolog B</v>
      </c>
      <c r="K1753" t="str">
        <f>"PARD3B"</f>
        <v>PARD3B</v>
      </c>
    </row>
    <row r="1754" spans="1:11" x14ac:dyDescent="0.25">
      <c r="A1754" s="1">
        <v>1880</v>
      </c>
      <c r="B1754" s="1">
        <v>3</v>
      </c>
      <c r="C1754" s="1" t="s">
        <v>3</v>
      </c>
      <c r="D1754" s="1">
        <v>11</v>
      </c>
      <c r="E1754" s="1">
        <v>45.915999999999997</v>
      </c>
      <c r="F1754" s="1">
        <v>0.97181700000000004</v>
      </c>
      <c r="G1754" t="s">
        <v>2815</v>
      </c>
      <c r="H1754" t="s">
        <v>2816</v>
      </c>
      <c r="I1754">
        <v>767</v>
      </c>
      <c r="J1754" t="str">
        <f>"Oxysterol-binding protein 1"</f>
        <v>Oxysterol-binding protein 1</v>
      </c>
      <c r="K1754" t="str">
        <f>"OSBP"</f>
        <v>OSBP</v>
      </c>
    </row>
    <row r="1755" spans="1:11" x14ac:dyDescent="0.25">
      <c r="A1755" s="1">
        <v>2123</v>
      </c>
      <c r="B1755" s="1">
        <v>3</v>
      </c>
      <c r="C1755" s="1" t="s">
        <v>3</v>
      </c>
      <c r="D1755" s="1">
        <v>4</v>
      </c>
      <c r="E1755" s="1">
        <v>81.346000000000004</v>
      </c>
      <c r="F1755" s="1">
        <v>0.99990500000000004</v>
      </c>
      <c r="G1755" t="s">
        <v>2817</v>
      </c>
      <c r="H1755" t="s">
        <v>1761</v>
      </c>
      <c r="I1755" t="s">
        <v>5437</v>
      </c>
      <c r="J1755" t="str">
        <f>"Emerin"</f>
        <v>Emerin</v>
      </c>
      <c r="K1755" t="str">
        <f>"EMD"</f>
        <v>EMD</v>
      </c>
    </row>
    <row r="1756" spans="1:11" x14ac:dyDescent="0.25">
      <c r="A1756" s="1">
        <v>840</v>
      </c>
      <c r="B1756" s="1">
        <v>3</v>
      </c>
      <c r="C1756" s="1" t="s">
        <v>3</v>
      </c>
      <c r="D1756" s="1">
        <v>9</v>
      </c>
      <c r="E1756" s="1">
        <v>40.277999999999999</v>
      </c>
      <c r="F1756" s="1">
        <v>0.77497099999999997</v>
      </c>
      <c r="G1756" t="s">
        <v>2818</v>
      </c>
      <c r="H1756" t="s">
        <v>724</v>
      </c>
      <c r="I1756" t="s">
        <v>5438</v>
      </c>
      <c r="J1756" t="str">
        <f>"Tight junction protein ZO-1"</f>
        <v>Tight junction protein ZO-1</v>
      </c>
      <c r="K1756" t="str">
        <f>"TJP1"</f>
        <v>TJP1</v>
      </c>
    </row>
    <row r="1757" spans="1:11" x14ac:dyDescent="0.25">
      <c r="A1757" s="1">
        <v>1478</v>
      </c>
      <c r="B1757" s="1">
        <v>2</v>
      </c>
      <c r="C1757" s="1" t="s">
        <v>3</v>
      </c>
      <c r="D1757" s="1">
        <v>8</v>
      </c>
      <c r="E1757" s="1">
        <v>45.28</v>
      </c>
      <c r="F1757" s="1">
        <v>1</v>
      </c>
      <c r="G1757" t="s">
        <v>2819</v>
      </c>
      <c r="H1757" t="s">
        <v>444</v>
      </c>
      <c r="I1757">
        <v>342</v>
      </c>
      <c r="J1757" t="str">
        <f>"Cytoplasmic protein NCK2"</f>
        <v>Cytoplasmic protein NCK2</v>
      </c>
      <c r="K1757" t="str">
        <f>"NCK2"</f>
        <v>NCK2</v>
      </c>
    </row>
    <row r="1758" spans="1:11" x14ac:dyDescent="0.25">
      <c r="A1758" s="1">
        <v>1340</v>
      </c>
      <c r="B1758" s="1">
        <v>2</v>
      </c>
      <c r="C1758" s="1" t="s">
        <v>3</v>
      </c>
      <c r="D1758" s="1">
        <v>8</v>
      </c>
      <c r="E1758" s="1">
        <v>46.844000000000001</v>
      </c>
      <c r="F1758" s="1">
        <v>0.84048</v>
      </c>
      <c r="G1758" t="s">
        <v>2820</v>
      </c>
      <c r="H1758" t="s">
        <v>696</v>
      </c>
      <c r="I1758" t="s">
        <v>5439</v>
      </c>
      <c r="J1758" t="str">
        <f>"Tyrosine-protein kinase HCK"</f>
        <v>Tyrosine-protein kinase HCK</v>
      </c>
      <c r="K1758" t="str">
        <f>"HCK"</f>
        <v>HCK</v>
      </c>
    </row>
    <row r="1759" spans="1:11" x14ac:dyDescent="0.25">
      <c r="A1759" s="1">
        <v>2587</v>
      </c>
      <c r="B1759" s="1">
        <v>3</v>
      </c>
      <c r="C1759" s="1" t="s">
        <v>3</v>
      </c>
      <c r="D1759" s="1">
        <v>11</v>
      </c>
      <c r="E1759" s="1">
        <v>65.894999999999996</v>
      </c>
      <c r="F1759" s="1">
        <v>0.74812900000000004</v>
      </c>
      <c r="G1759" t="s">
        <v>2821</v>
      </c>
      <c r="H1759" t="s">
        <v>2822</v>
      </c>
      <c r="I1759" t="s">
        <v>5440</v>
      </c>
      <c r="J1759" t="str">
        <f>"Transmembrane protein 201"</f>
        <v>Transmembrane protein 201</v>
      </c>
      <c r="K1759" t="str">
        <f>"TMEM201"</f>
        <v>TMEM201</v>
      </c>
    </row>
    <row r="1760" spans="1:11" x14ac:dyDescent="0.25">
      <c r="A1760" s="1">
        <v>1084</v>
      </c>
      <c r="B1760" s="1">
        <v>3</v>
      </c>
      <c r="C1760" s="1" t="s">
        <v>3</v>
      </c>
      <c r="D1760" s="1">
        <v>10</v>
      </c>
      <c r="E1760" s="1">
        <v>45.069000000000003</v>
      </c>
      <c r="F1760" s="1">
        <v>0.64268599999999998</v>
      </c>
      <c r="G1760" t="s">
        <v>2823</v>
      </c>
      <c r="H1760" t="s">
        <v>2824</v>
      </c>
      <c r="I1760" t="s">
        <v>5441</v>
      </c>
      <c r="J1760" t="str">
        <f>"Medium-chain specific acyl-CoA dehydrogenase, mitochondrial"</f>
        <v>Medium-chain specific acyl-CoA dehydrogenase, mitochondrial</v>
      </c>
      <c r="K1760" t="str">
        <f>"ACADM"</f>
        <v>ACADM</v>
      </c>
    </row>
    <row r="1761" spans="1:11" x14ac:dyDescent="0.25">
      <c r="A1761" s="1">
        <v>1637</v>
      </c>
      <c r="B1761" s="1">
        <v>2</v>
      </c>
      <c r="C1761" s="1" t="s">
        <v>3</v>
      </c>
      <c r="D1761" s="1">
        <v>6</v>
      </c>
      <c r="E1761" s="1">
        <v>80.316000000000003</v>
      </c>
      <c r="F1761" s="1">
        <v>0.99970800000000004</v>
      </c>
      <c r="G1761" t="s">
        <v>2825</v>
      </c>
      <c r="H1761" t="s">
        <v>2826</v>
      </c>
      <c r="I1761" t="s">
        <v>5442</v>
      </c>
      <c r="J1761" t="str">
        <f>"Gelsolin"</f>
        <v>Gelsolin</v>
      </c>
      <c r="K1761" t="str">
        <f>"GSN"</f>
        <v>GSN</v>
      </c>
    </row>
    <row r="1762" spans="1:11" x14ac:dyDescent="0.25">
      <c r="A1762" s="1">
        <v>1141</v>
      </c>
      <c r="B1762" s="1">
        <v>2</v>
      </c>
      <c r="C1762" s="1" t="s">
        <v>3</v>
      </c>
      <c r="D1762" s="1">
        <v>1</v>
      </c>
      <c r="E1762" s="1">
        <v>64.757000000000005</v>
      </c>
      <c r="F1762" s="1">
        <v>0.99529599999999996</v>
      </c>
      <c r="G1762" t="s">
        <v>2827</v>
      </c>
      <c r="H1762" t="s">
        <v>2119</v>
      </c>
      <c r="I1762" t="s">
        <v>5443</v>
      </c>
      <c r="J1762" t="str">
        <f>"Serum albumin"</f>
        <v>Serum albumin</v>
      </c>
      <c r="K1762" t="str">
        <f>"ALB"</f>
        <v>ALB</v>
      </c>
    </row>
    <row r="1763" spans="1:11" x14ac:dyDescent="0.25">
      <c r="A1763" s="1">
        <v>2629</v>
      </c>
      <c r="B1763" s="1">
        <v>3</v>
      </c>
      <c r="C1763" s="1" t="s">
        <v>3</v>
      </c>
      <c r="D1763" s="1">
        <v>6</v>
      </c>
      <c r="E1763" s="1">
        <v>70.563000000000002</v>
      </c>
      <c r="F1763" s="1">
        <v>0.67738699999999996</v>
      </c>
      <c r="G1763" t="s">
        <v>2828</v>
      </c>
      <c r="H1763" t="s">
        <v>1910</v>
      </c>
      <c r="I1763">
        <v>140</v>
      </c>
      <c r="J1763" t="str">
        <f>"Ragulator complex protein LAMTOR1"</f>
        <v>Ragulator complex protein LAMTOR1</v>
      </c>
      <c r="K1763" t="str">
        <f>"LAMTOR1"</f>
        <v>LAMTOR1</v>
      </c>
    </row>
    <row r="1764" spans="1:11" x14ac:dyDescent="0.25">
      <c r="A1764" s="1">
        <v>1675</v>
      </c>
      <c r="B1764" s="1">
        <v>3</v>
      </c>
      <c r="C1764" s="1" t="s">
        <v>3</v>
      </c>
      <c r="D1764" s="1">
        <v>11</v>
      </c>
      <c r="E1764" s="1">
        <v>88.561000000000007</v>
      </c>
      <c r="F1764" s="1">
        <v>0.82399699999999998</v>
      </c>
      <c r="G1764" t="s">
        <v>2829</v>
      </c>
      <c r="H1764" t="s">
        <v>2830</v>
      </c>
      <c r="I1764" t="s">
        <v>5444</v>
      </c>
      <c r="J1764" t="str">
        <f>"Tropomyosin beta chain"</f>
        <v>Tropomyosin beta chain</v>
      </c>
      <c r="K1764" t="str">
        <f>"TPM2"</f>
        <v>TPM2</v>
      </c>
    </row>
    <row r="1765" spans="1:11" x14ac:dyDescent="0.25">
      <c r="A1765" s="1">
        <v>429</v>
      </c>
      <c r="B1765" s="1">
        <v>3</v>
      </c>
      <c r="C1765" s="1" t="s">
        <v>5</v>
      </c>
      <c r="D1765" s="1">
        <v>8</v>
      </c>
      <c r="E1765" s="1">
        <v>47.548000000000002</v>
      </c>
      <c r="F1765" s="1">
        <v>0.53767900000000002</v>
      </c>
      <c r="G1765" t="s">
        <v>2831</v>
      </c>
      <c r="H1765" t="s">
        <v>85</v>
      </c>
      <c r="I1765" t="s">
        <v>5445</v>
      </c>
      <c r="J1765" t="str">
        <f>"Extended synaptotagmin-1"</f>
        <v>Extended synaptotagmin-1</v>
      </c>
      <c r="K1765" t="str">
        <f>"ESYT1"</f>
        <v>ESYT1</v>
      </c>
    </row>
    <row r="1766" spans="1:11" x14ac:dyDescent="0.25">
      <c r="A1766" s="1">
        <v>2764</v>
      </c>
      <c r="B1766" s="1">
        <v>3</v>
      </c>
      <c r="C1766" s="1" t="s">
        <v>3</v>
      </c>
      <c r="D1766" s="1">
        <v>4</v>
      </c>
      <c r="E1766" s="1">
        <v>79.293000000000006</v>
      </c>
      <c r="F1766" s="1">
        <v>0.81357900000000005</v>
      </c>
      <c r="G1766" t="s">
        <v>2832</v>
      </c>
      <c r="H1766" t="s">
        <v>2833</v>
      </c>
      <c r="I1766" t="s">
        <v>5157</v>
      </c>
      <c r="J1766" t="str">
        <f>"Golgin subfamily A member 5"</f>
        <v>Golgin subfamily A member 5</v>
      </c>
      <c r="K1766" t="str">
        <f>"GOLGA5"</f>
        <v>GOLGA5</v>
      </c>
    </row>
    <row r="1767" spans="1:11" x14ac:dyDescent="0.25">
      <c r="A1767" s="1">
        <v>1635</v>
      </c>
      <c r="B1767" s="1">
        <v>2</v>
      </c>
      <c r="C1767" s="1" t="s">
        <v>3</v>
      </c>
      <c r="D1767" s="1">
        <v>5</v>
      </c>
      <c r="E1767" s="1">
        <v>42.835000000000001</v>
      </c>
      <c r="F1767" s="1">
        <v>0.97864700000000004</v>
      </c>
      <c r="G1767" t="s">
        <v>2834</v>
      </c>
      <c r="H1767" t="s">
        <v>1355</v>
      </c>
      <c r="I1767" t="s">
        <v>5446</v>
      </c>
      <c r="J1767" t="str">
        <f>"Keratin, type I cytoskeletal 18"</f>
        <v>Keratin, type I cytoskeletal 18</v>
      </c>
      <c r="K1767" t="str">
        <f>"KRT18"</f>
        <v>KRT18</v>
      </c>
    </row>
    <row r="1768" spans="1:11" x14ac:dyDescent="0.25">
      <c r="A1768" s="1">
        <v>617</v>
      </c>
      <c r="B1768" s="1">
        <v>3</v>
      </c>
      <c r="C1768" s="1" t="s">
        <v>4</v>
      </c>
      <c r="D1768" s="1">
        <v>1</v>
      </c>
      <c r="E1768" s="1">
        <v>44.252000000000002</v>
      </c>
      <c r="F1768" s="1">
        <v>0.53788599999999998</v>
      </c>
      <c r="G1768" t="s">
        <v>2835</v>
      </c>
      <c r="H1768" t="s">
        <v>2836</v>
      </c>
      <c r="I1768" t="s">
        <v>5447</v>
      </c>
      <c r="J1768" t="str">
        <f>"Stress-induced-phosphoprotein 1"</f>
        <v>Stress-induced-phosphoprotein 1</v>
      </c>
      <c r="K1768" t="str">
        <f>"STIP1"</f>
        <v>STIP1</v>
      </c>
    </row>
    <row r="1769" spans="1:11" x14ac:dyDescent="0.25">
      <c r="A1769" s="1">
        <v>2154</v>
      </c>
      <c r="B1769" s="1">
        <v>2</v>
      </c>
      <c r="C1769" s="1" t="s">
        <v>3</v>
      </c>
      <c r="D1769" s="1">
        <v>6</v>
      </c>
      <c r="E1769" s="1">
        <v>55.704999999999998</v>
      </c>
      <c r="F1769" s="1">
        <v>0.94253299999999995</v>
      </c>
      <c r="G1769" t="s">
        <v>2837</v>
      </c>
      <c r="H1769" t="s">
        <v>2647</v>
      </c>
      <c r="I1769" t="s">
        <v>5448</v>
      </c>
      <c r="J1769" t="str">
        <f>"Heterogeneous nuclear ribonucleoprotein A3"</f>
        <v>Heterogeneous nuclear ribonucleoprotein A3</v>
      </c>
      <c r="K1769" t="str">
        <f>"HNRNPA3"</f>
        <v>HNRNPA3</v>
      </c>
    </row>
    <row r="1770" spans="1:11" x14ac:dyDescent="0.25">
      <c r="A1770" s="1">
        <v>927</v>
      </c>
      <c r="B1770" s="1">
        <v>2</v>
      </c>
      <c r="C1770" s="1" t="s">
        <v>3</v>
      </c>
      <c r="D1770" s="1">
        <v>8</v>
      </c>
      <c r="E1770" s="1">
        <v>58.712000000000003</v>
      </c>
      <c r="F1770" s="1">
        <v>0.991788</v>
      </c>
      <c r="G1770" t="s">
        <v>2838</v>
      </c>
      <c r="H1770" t="s">
        <v>2839</v>
      </c>
      <c r="I1770" t="s">
        <v>5449</v>
      </c>
      <c r="J1770" t="str">
        <f>"Protein sprouty homolog 4"</f>
        <v>Protein sprouty homolog 4</v>
      </c>
      <c r="K1770" t="str">
        <f>"SPRY4"</f>
        <v>SPRY4</v>
      </c>
    </row>
    <row r="1771" spans="1:11" x14ac:dyDescent="0.25">
      <c r="A1771" s="1">
        <v>2913</v>
      </c>
      <c r="B1771" s="1">
        <v>3</v>
      </c>
      <c r="C1771" s="1" t="s">
        <v>3</v>
      </c>
      <c r="D1771" s="1">
        <v>18</v>
      </c>
      <c r="E1771" s="1">
        <v>87.195999999999998</v>
      </c>
      <c r="F1771" s="1">
        <v>0.99827100000000002</v>
      </c>
      <c r="G1771" t="s">
        <v>2840</v>
      </c>
      <c r="H1771" t="s">
        <v>1298</v>
      </c>
      <c r="I1771" t="s">
        <v>5450</v>
      </c>
      <c r="J1771" t="str">
        <f>"Docking protein 1"</f>
        <v>Docking protein 1</v>
      </c>
      <c r="K1771" t="str">
        <f>"DOK1"</f>
        <v>DOK1</v>
      </c>
    </row>
    <row r="1772" spans="1:11" x14ac:dyDescent="0.25">
      <c r="A1772" s="1">
        <v>907</v>
      </c>
      <c r="B1772" s="1">
        <v>3</v>
      </c>
      <c r="C1772" s="1" t="s">
        <v>3</v>
      </c>
      <c r="D1772" s="1">
        <v>7</v>
      </c>
      <c r="E1772" s="1">
        <v>51.771000000000001</v>
      </c>
      <c r="F1772" s="1">
        <v>0.84958</v>
      </c>
      <c r="G1772" t="s">
        <v>2841</v>
      </c>
      <c r="H1772" t="s">
        <v>1280</v>
      </c>
      <c r="I1772" t="s">
        <v>5451</v>
      </c>
      <c r="J1772" t="str">
        <f>"Sodium/potassium-transporting ATPase subunit alpha-3"</f>
        <v>Sodium/potassium-transporting ATPase subunit alpha-3</v>
      </c>
      <c r="K1772" t="str">
        <f>"ATP1A3"</f>
        <v>ATP1A3</v>
      </c>
    </row>
    <row r="1773" spans="1:11" x14ac:dyDescent="0.25">
      <c r="A1773" s="1">
        <v>814</v>
      </c>
      <c r="B1773" s="1">
        <v>2</v>
      </c>
      <c r="C1773" s="1" t="s">
        <v>3</v>
      </c>
      <c r="D1773" s="1">
        <v>11</v>
      </c>
      <c r="E1773" s="1">
        <v>84.653000000000006</v>
      </c>
      <c r="F1773" s="1">
        <v>0.94342099999999995</v>
      </c>
      <c r="G1773" t="s">
        <v>2842</v>
      </c>
      <c r="H1773" t="s">
        <v>2843</v>
      </c>
      <c r="I1773" t="s">
        <v>5452</v>
      </c>
      <c r="J1773" t="str">
        <f>"YTH domain-containing family protein 2"</f>
        <v>YTH domain-containing family protein 2</v>
      </c>
      <c r="K1773" t="str">
        <f>"YTHDF2"</f>
        <v>YTHDF2</v>
      </c>
    </row>
    <row r="1774" spans="1:11" x14ac:dyDescent="0.25">
      <c r="A1774" s="1">
        <v>1401</v>
      </c>
      <c r="B1774" s="1">
        <v>2</v>
      </c>
      <c r="C1774" s="1" t="s">
        <v>3</v>
      </c>
      <c r="D1774" s="1">
        <v>7</v>
      </c>
      <c r="E1774" s="1">
        <v>68.043999999999997</v>
      </c>
      <c r="F1774" s="1">
        <v>0.99999400000000005</v>
      </c>
      <c r="G1774" t="s">
        <v>2844</v>
      </c>
      <c r="H1774" t="s">
        <v>2845</v>
      </c>
      <c r="I1774" t="s">
        <v>5453</v>
      </c>
      <c r="J1774" t="str">
        <f>"60S ribosomal protein L18a"</f>
        <v>60S ribosomal protein L18a</v>
      </c>
      <c r="K1774" t="str">
        <f>"RPL18A"</f>
        <v>RPL18A</v>
      </c>
    </row>
    <row r="1775" spans="1:11" x14ac:dyDescent="0.25">
      <c r="A1775" s="1">
        <v>1966</v>
      </c>
      <c r="B1775" s="1">
        <v>2</v>
      </c>
      <c r="C1775" s="1" t="s">
        <v>3</v>
      </c>
      <c r="D1775" s="1">
        <v>11</v>
      </c>
      <c r="E1775" s="1">
        <v>69.331000000000003</v>
      </c>
      <c r="F1775" s="1">
        <v>0.987618</v>
      </c>
      <c r="G1775" t="s">
        <v>2846</v>
      </c>
      <c r="H1775" t="s">
        <v>499</v>
      </c>
      <c r="I1775" t="s">
        <v>5454</v>
      </c>
      <c r="J1775" t="str">
        <f>"Tyrosine-protein phosphatase non-receptor type 6"</f>
        <v>Tyrosine-protein phosphatase non-receptor type 6</v>
      </c>
      <c r="K1775" t="str">
        <f>"PTPN6"</f>
        <v>PTPN6</v>
      </c>
    </row>
    <row r="1776" spans="1:11" x14ac:dyDescent="0.25">
      <c r="A1776" s="1">
        <v>1389</v>
      </c>
      <c r="B1776" s="1">
        <v>3</v>
      </c>
      <c r="C1776" s="1" t="s">
        <v>3</v>
      </c>
      <c r="D1776" s="1">
        <v>9</v>
      </c>
      <c r="E1776" s="1">
        <v>107.97</v>
      </c>
      <c r="F1776" s="1">
        <v>0.99987300000000001</v>
      </c>
      <c r="G1776" t="s">
        <v>2847</v>
      </c>
      <c r="H1776" t="s">
        <v>2848</v>
      </c>
      <c r="I1776" t="s">
        <v>5455</v>
      </c>
      <c r="J1776" t="str">
        <f>"Protein FAM32A"</f>
        <v>Protein FAM32A</v>
      </c>
      <c r="K1776" t="str">
        <f>"FAM32A"</f>
        <v>FAM32A</v>
      </c>
    </row>
    <row r="1777" spans="1:11" x14ac:dyDescent="0.25">
      <c r="A1777" s="1">
        <v>2393</v>
      </c>
      <c r="B1777" s="1">
        <v>3</v>
      </c>
      <c r="C1777" s="1" t="s">
        <v>3</v>
      </c>
      <c r="D1777" s="1">
        <v>3</v>
      </c>
      <c r="E1777" s="1">
        <v>61.408999999999999</v>
      </c>
      <c r="F1777" s="1">
        <v>0.99944900000000003</v>
      </c>
      <c r="G1777" t="s">
        <v>2849</v>
      </c>
      <c r="H1777" t="s">
        <v>1521</v>
      </c>
      <c r="I1777">
        <v>971</v>
      </c>
      <c r="J1777" t="str">
        <f>"Unconventional myosin-Ie"</f>
        <v>Unconventional myosin-Ie</v>
      </c>
      <c r="K1777" t="str">
        <f>"MYO1E"</f>
        <v>MYO1E</v>
      </c>
    </row>
    <row r="1778" spans="1:11" x14ac:dyDescent="0.25">
      <c r="A1778" s="1">
        <v>1308</v>
      </c>
      <c r="B1778" s="1">
        <v>3</v>
      </c>
      <c r="C1778" s="1" t="s">
        <v>3</v>
      </c>
      <c r="D1778" s="1">
        <v>15</v>
      </c>
      <c r="E1778" s="1">
        <v>97.94</v>
      </c>
      <c r="F1778" s="1">
        <v>0.58297500000000002</v>
      </c>
      <c r="G1778" t="s">
        <v>2850</v>
      </c>
      <c r="H1778" t="s">
        <v>2851</v>
      </c>
      <c r="I1778" t="s">
        <v>5456</v>
      </c>
      <c r="J1778" t="str">
        <f>"ARF GTPase-activating protein GIT2"</f>
        <v>ARF GTPase-activating protein GIT2</v>
      </c>
      <c r="K1778" t="str">
        <f>"GIT2"</f>
        <v>GIT2</v>
      </c>
    </row>
    <row r="1779" spans="1:11" x14ac:dyDescent="0.25">
      <c r="A1779" s="1">
        <v>2382</v>
      </c>
      <c r="B1779" s="1">
        <v>4</v>
      </c>
      <c r="C1779" s="1" t="s">
        <v>3</v>
      </c>
      <c r="D1779" s="1">
        <v>6</v>
      </c>
      <c r="E1779" s="1">
        <v>49.298000000000002</v>
      </c>
      <c r="F1779" s="1">
        <v>0.999888</v>
      </c>
      <c r="G1779" t="s">
        <v>2852</v>
      </c>
      <c r="H1779" t="s">
        <v>400</v>
      </c>
      <c r="I1779" t="s">
        <v>5457</v>
      </c>
      <c r="J1779" t="str">
        <f>"Epidermal growth factor receptor kinase substrate 8"</f>
        <v>Epidermal growth factor receptor kinase substrate 8</v>
      </c>
      <c r="K1779" t="str">
        <f>"EPS8"</f>
        <v>EPS8</v>
      </c>
    </row>
    <row r="1780" spans="1:11" x14ac:dyDescent="0.25">
      <c r="A1780" s="1">
        <v>1179</v>
      </c>
      <c r="B1780" s="1">
        <v>2</v>
      </c>
      <c r="C1780" s="1" t="s">
        <v>3</v>
      </c>
      <c r="D1780" s="1">
        <v>2</v>
      </c>
      <c r="E1780" s="1">
        <v>103.76</v>
      </c>
      <c r="F1780" s="1">
        <v>1</v>
      </c>
      <c r="G1780" t="s">
        <v>2853</v>
      </c>
      <c r="H1780" t="s">
        <v>2854</v>
      </c>
      <c r="I1780" t="s">
        <v>5458</v>
      </c>
      <c r="J1780" t="str">
        <f>"Eukaryotic initiation factor 4A-II;Eukaryotic initiation factor 4A-I"</f>
        <v>Eukaryotic initiation factor 4A-II;Eukaryotic initiation factor 4A-I</v>
      </c>
      <c r="K1780" t="str">
        <f>"EIF4A2;EIF4A1"</f>
        <v>EIF4A2;EIF4A1</v>
      </c>
    </row>
    <row r="1781" spans="1:11" x14ac:dyDescent="0.25">
      <c r="A1781" s="1">
        <v>559</v>
      </c>
      <c r="B1781" s="1">
        <v>4</v>
      </c>
      <c r="C1781" s="1" t="s">
        <v>4</v>
      </c>
      <c r="D1781" s="1">
        <v>11</v>
      </c>
      <c r="E1781" s="1">
        <v>50.878999999999998</v>
      </c>
      <c r="F1781" s="1">
        <v>0.50033099999999997</v>
      </c>
      <c r="G1781" t="s">
        <v>2855</v>
      </c>
      <c r="H1781" t="s">
        <v>2856</v>
      </c>
      <c r="I1781" t="s">
        <v>5459</v>
      </c>
      <c r="J1781" t="str">
        <f>"Arf-GAP with SH3 domain, ANK repeat and PH domain-containing protein 2"</f>
        <v>Arf-GAP with SH3 domain, ANK repeat and PH domain-containing protein 2</v>
      </c>
      <c r="K1781" t="str">
        <f>"ASAP2"</f>
        <v>ASAP2</v>
      </c>
    </row>
    <row r="1782" spans="1:11" x14ac:dyDescent="0.25">
      <c r="A1782" s="1">
        <v>2896</v>
      </c>
      <c r="B1782" s="1">
        <v>3</v>
      </c>
      <c r="C1782" s="1" t="s">
        <v>3</v>
      </c>
      <c r="D1782" s="1">
        <v>13</v>
      </c>
      <c r="E1782" s="1">
        <v>61.408999999999999</v>
      </c>
      <c r="F1782" s="1">
        <v>0.99823700000000004</v>
      </c>
      <c r="G1782" t="s">
        <v>2857</v>
      </c>
      <c r="H1782" t="s">
        <v>124</v>
      </c>
      <c r="I1782" t="s">
        <v>5460</v>
      </c>
      <c r="J1782" t="str">
        <f>"Plakophilin-4"</f>
        <v>Plakophilin-4</v>
      </c>
      <c r="K1782" t="str">
        <f>"PKP4"</f>
        <v>PKP4</v>
      </c>
    </row>
    <row r="1783" spans="1:11" x14ac:dyDescent="0.25">
      <c r="A1783" s="1">
        <v>2163</v>
      </c>
      <c r="B1783" s="1">
        <v>3</v>
      </c>
      <c r="C1783" s="1" t="s">
        <v>3</v>
      </c>
      <c r="D1783" s="1">
        <v>23</v>
      </c>
      <c r="E1783" s="1">
        <v>71.097999999999999</v>
      </c>
      <c r="F1783" s="1">
        <v>0.86346800000000001</v>
      </c>
      <c r="G1783" t="s">
        <v>2858</v>
      </c>
      <c r="H1783" t="s">
        <v>1629</v>
      </c>
      <c r="I1783">
        <v>253</v>
      </c>
      <c r="J1783" t="str">
        <f>"Heterogeneous nuclear ribonucleoprotein F;Heterogeneous nuclear ribonucleoprotein F, N-terminally processed"</f>
        <v>Heterogeneous nuclear ribonucleoprotein F;Heterogeneous nuclear ribonucleoprotein F, N-terminally processed</v>
      </c>
      <c r="K1783" t="str">
        <f>"HNRNPF"</f>
        <v>HNRNPF</v>
      </c>
    </row>
    <row r="1784" spans="1:11" x14ac:dyDescent="0.25">
      <c r="A1784" s="1">
        <v>1544</v>
      </c>
      <c r="B1784" s="1">
        <v>3</v>
      </c>
      <c r="C1784" s="1" t="s">
        <v>3</v>
      </c>
      <c r="D1784" s="1">
        <v>6</v>
      </c>
      <c r="E1784" s="1">
        <v>109.85</v>
      </c>
      <c r="F1784" s="1">
        <v>0.95067000000000002</v>
      </c>
      <c r="G1784" t="s">
        <v>2859</v>
      </c>
      <c r="H1784" t="s">
        <v>2860</v>
      </c>
      <c r="I1784">
        <v>222</v>
      </c>
      <c r="J1784" t="str">
        <f>"Carcinoembryonic antigen-related cell adhesion molecule 4"</f>
        <v>Carcinoembryonic antigen-related cell adhesion molecule 4</v>
      </c>
      <c r="K1784" t="str">
        <f>"CEACAM4"</f>
        <v>CEACAM4</v>
      </c>
    </row>
    <row r="1785" spans="1:11" x14ac:dyDescent="0.25">
      <c r="A1785" s="1">
        <v>1195</v>
      </c>
      <c r="B1785" s="1">
        <v>3</v>
      </c>
      <c r="C1785" s="1" t="s">
        <v>3</v>
      </c>
      <c r="D1785" s="1">
        <v>3</v>
      </c>
      <c r="E1785" s="1">
        <v>69.331000000000003</v>
      </c>
      <c r="F1785" s="1">
        <v>0.81504200000000004</v>
      </c>
      <c r="G1785" t="s">
        <v>2861</v>
      </c>
      <c r="H1785" t="s">
        <v>2862</v>
      </c>
      <c r="I1785" t="s">
        <v>5461</v>
      </c>
      <c r="J1785" t="str">
        <f>"Eukaryotic translation initiation factor 4 gamma 1"</f>
        <v>Eukaryotic translation initiation factor 4 gamma 1</v>
      </c>
      <c r="K1785" t="str">
        <f>"EIF4G1"</f>
        <v>EIF4G1</v>
      </c>
    </row>
    <row r="1786" spans="1:11" x14ac:dyDescent="0.25">
      <c r="A1786" s="1">
        <v>3149</v>
      </c>
      <c r="B1786" s="1">
        <v>3</v>
      </c>
      <c r="C1786" s="1" t="s">
        <v>3</v>
      </c>
      <c r="D1786" s="1">
        <v>1</v>
      </c>
      <c r="E1786" s="1">
        <v>103.9</v>
      </c>
      <c r="F1786" s="1">
        <v>0.99913099999999999</v>
      </c>
      <c r="G1786" t="s">
        <v>2863</v>
      </c>
      <c r="H1786" t="s">
        <v>2864</v>
      </c>
      <c r="I1786">
        <v>535</v>
      </c>
      <c r="J1786" t="str">
        <f>"FACT complex subunit SPT16"</f>
        <v>FACT complex subunit SPT16</v>
      </c>
      <c r="K1786" t="str">
        <f>"SUPT16H"</f>
        <v>SUPT16H</v>
      </c>
    </row>
    <row r="1787" spans="1:11" x14ac:dyDescent="0.25">
      <c r="A1787" s="1">
        <v>1831</v>
      </c>
      <c r="B1787" s="1">
        <v>3</v>
      </c>
      <c r="C1787" s="1" t="s">
        <v>3</v>
      </c>
      <c r="D1787" s="1">
        <v>8</v>
      </c>
      <c r="E1787" s="1">
        <v>70.41</v>
      </c>
      <c r="F1787" s="1">
        <v>0.99845200000000001</v>
      </c>
      <c r="G1787" t="s">
        <v>2865</v>
      </c>
      <c r="H1787" t="s">
        <v>2866</v>
      </c>
      <c r="I1787" t="s">
        <v>5462</v>
      </c>
      <c r="J1787" t="str">
        <f>"Protein SON"</f>
        <v>Protein SON</v>
      </c>
      <c r="K1787" t="str">
        <f>"SON"</f>
        <v>SON</v>
      </c>
    </row>
    <row r="1788" spans="1:11" x14ac:dyDescent="0.25">
      <c r="A1788" s="1">
        <v>1043</v>
      </c>
      <c r="B1788" s="1">
        <v>2</v>
      </c>
      <c r="C1788" s="1" t="s">
        <v>3</v>
      </c>
      <c r="D1788" s="1">
        <v>3</v>
      </c>
      <c r="E1788" s="1">
        <v>102.08</v>
      </c>
      <c r="F1788" s="1">
        <v>1</v>
      </c>
      <c r="G1788" t="s">
        <v>2867</v>
      </c>
      <c r="H1788" t="s">
        <v>2868</v>
      </c>
      <c r="I1788" t="s">
        <v>5463</v>
      </c>
      <c r="J1788" t="str">
        <f>"Serine/threonine-protein kinase PAK 1"</f>
        <v>Serine/threonine-protein kinase PAK 1</v>
      </c>
      <c r="K1788" t="str">
        <f>"PAK1"</f>
        <v>PAK1</v>
      </c>
    </row>
    <row r="1789" spans="1:11" x14ac:dyDescent="0.25">
      <c r="A1789" s="1">
        <v>566</v>
      </c>
      <c r="B1789" s="1">
        <v>2</v>
      </c>
      <c r="C1789" s="1" t="s">
        <v>4</v>
      </c>
      <c r="D1789" s="1">
        <v>5</v>
      </c>
      <c r="E1789" s="1">
        <v>66.691999999999993</v>
      </c>
      <c r="F1789" s="1">
        <v>0.99995400000000001</v>
      </c>
      <c r="G1789" t="s">
        <v>2869</v>
      </c>
      <c r="H1789" t="s">
        <v>2870</v>
      </c>
      <c r="I1789" t="s">
        <v>5464</v>
      </c>
      <c r="J1789" t="str">
        <f>"Oral-facial-digital syndrome 1 protein"</f>
        <v>Oral-facial-digital syndrome 1 protein</v>
      </c>
      <c r="K1789" t="str">
        <f>"OFD1"</f>
        <v>OFD1</v>
      </c>
    </row>
    <row r="1790" spans="1:11" x14ac:dyDescent="0.25">
      <c r="A1790" s="1">
        <v>2254</v>
      </c>
      <c r="B1790" s="1">
        <v>2</v>
      </c>
      <c r="C1790" s="1" t="s">
        <v>3</v>
      </c>
      <c r="D1790" s="1">
        <v>6</v>
      </c>
      <c r="E1790" s="1">
        <v>70.552000000000007</v>
      </c>
      <c r="F1790" s="1">
        <v>1</v>
      </c>
      <c r="G1790" t="s">
        <v>2871</v>
      </c>
      <c r="H1790" t="s">
        <v>2872</v>
      </c>
      <c r="I1790" t="s">
        <v>5465</v>
      </c>
      <c r="J1790" t="str">
        <f>"60S ribosomal protein L7a"</f>
        <v>60S ribosomal protein L7a</v>
      </c>
      <c r="K1790" t="str">
        <f>"RPL7A"</f>
        <v>RPL7A</v>
      </c>
    </row>
    <row r="1791" spans="1:11" x14ac:dyDescent="0.25">
      <c r="A1791" s="1">
        <v>238</v>
      </c>
      <c r="B1791" s="1">
        <v>2</v>
      </c>
      <c r="C1791" s="1" t="s">
        <v>5</v>
      </c>
      <c r="D1791" s="1">
        <v>7</v>
      </c>
      <c r="E1791" s="1">
        <v>66.022000000000006</v>
      </c>
      <c r="F1791" s="1">
        <v>0.54538500000000001</v>
      </c>
      <c r="G1791" t="s">
        <v>2873</v>
      </c>
      <c r="H1791" t="s">
        <v>93</v>
      </c>
      <c r="I1791" t="s">
        <v>5466</v>
      </c>
      <c r="J1791" t="str">
        <f>"SHC-transforming protein 1"</f>
        <v>SHC-transforming protein 1</v>
      </c>
      <c r="K1791" t="str">
        <f>"SHC1"</f>
        <v>SHC1</v>
      </c>
    </row>
    <row r="1792" spans="1:11" x14ac:dyDescent="0.25">
      <c r="A1792" s="1">
        <v>1619</v>
      </c>
      <c r="B1792" s="1">
        <v>2</v>
      </c>
      <c r="C1792" s="1" t="s">
        <v>3</v>
      </c>
      <c r="D1792" s="1">
        <v>11</v>
      </c>
      <c r="E1792" s="1">
        <v>70.888999999999996</v>
      </c>
      <c r="F1792" s="1">
        <v>0.79346000000000005</v>
      </c>
      <c r="G1792" t="s">
        <v>2874</v>
      </c>
      <c r="H1792" t="s">
        <v>2875</v>
      </c>
      <c r="I1792" t="s">
        <v>5467</v>
      </c>
      <c r="J1792" t="str">
        <f>"Glyceraldehyde-3-phosphate dehydrogenase"</f>
        <v>Glyceraldehyde-3-phosphate dehydrogenase</v>
      </c>
      <c r="K1792" t="str">
        <f>"GAPDH"</f>
        <v>GAPDH</v>
      </c>
    </row>
    <row r="1793" spans="1:11" x14ac:dyDescent="0.25">
      <c r="A1793" s="1">
        <v>1704</v>
      </c>
      <c r="B1793" s="1">
        <v>2</v>
      </c>
      <c r="C1793" s="1" t="s">
        <v>3</v>
      </c>
      <c r="D1793" s="1">
        <v>2</v>
      </c>
      <c r="E1793" s="1">
        <v>76.063999999999993</v>
      </c>
      <c r="F1793" s="1">
        <v>0.99983299999999997</v>
      </c>
      <c r="G1793" t="s">
        <v>2876</v>
      </c>
      <c r="H1793" t="s">
        <v>65</v>
      </c>
      <c r="I1793" t="s">
        <v>5468</v>
      </c>
      <c r="J1793" t="str">
        <f>"Annexin A5;Annexin"</f>
        <v>Annexin A5;Annexin</v>
      </c>
      <c r="K1793" t="str">
        <f>"ANXA5"</f>
        <v>ANXA5</v>
      </c>
    </row>
    <row r="1794" spans="1:11" x14ac:dyDescent="0.25">
      <c r="A1794" s="1">
        <v>380</v>
      </c>
      <c r="B1794" s="1">
        <v>3</v>
      </c>
      <c r="C1794" s="1" t="s">
        <v>5</v>
      </c>
      <c r="D1794" s="1">
        <v>11</v>
      </c>
      <c r="E1794" s="1">
        <v>71.06</v>
      </c>
      <c r="F1794" s="1">
        <v>0.97829900000000003</v>
      </c>
      <c r="G1794" t="s">
        <v>2877</v>
      </c>
      <c r="H1794" t="s">
        <v>491</v>
      </c>
      <c r="I1794">
        <v>101</v>
      </c>
      <c r="J1794" t="str">
        <f>"Protein FAM83F"</f>
        <v>Protein FAM83F</v>
      </c>
      <c r="K1794" t="str">
        <f>"FAM83F"</f>
        <v>FAM83F</v>
      </c>
    </row>
    <row r="1795" spans="1:11" x14ac:dyDescent="0.25">
      <c r="A1795" s="1">
        <v>2720</v>
      </c>
      <c r="B1795" s="1">
        <v>3</v>
      </c>
      <c r="C1795" s="1" t="s">
        <v>3</v>
      </c>
      <c r="D1795" s="1">
        <v>5</v>
      </c>
      <c r="E1795" s="1">
        <v>87.881</v>
      </c>
      <c r="F1795" s="1">
        <v>0.658022</v>
      </c>
      <c r="G1795" t="s">
        <v>2878</v>
      </c>
      <c r="H1795" t="s">
        <v>2879</v>
      </c>
      <c r="I1795" t="s">
        <v>5469</v>
      </c>
      <c r="J1795" t="str">
        <f>"SH2 domain-containing protein 3C"</f>
        <v>SH2 domain-containing protein 3C</v>
      </c>
      <c r="K1795" t="str">
        <f>"SH2D3C"</f>
        <v>SH2D3C</v>
      </c>
    </row>
    <row r="1796" spans="1:11" x14ac:dyDescent="0.25">
      <c r="A1796" s="1">
        <v>3070</v>
      </c>
      <c r="B1796" s="1">
        <v>2</v>
      </c>
      <c r="C1796" s="1" t="s">
        <v>3</v>
      </c>
      <c r="D1796" s="1">
        <v>7</v>
      </c>
      <c r="E1796" s="1">
        <v>55.314</v>
      </c>
      <c r="F1796" s="1">
        <v>0.96676200000000001</v>
      </c>
      <c r="G1796" t="s">
        <v>2880</v>
      </c>
      <c r="H1796" t="s">
        <v>2881</v>
      </c>
      <c r="I1796" t="s">
        <v>5470</v>
      </c>
      <c r="J1796" t="str">
        <f>"Prenylcysteine oxidase 1"</f>
        <v>Prenylcysteine oxidase 1</v>
      </c>
      <c r="K1796" t="str">
        <f>"PCYOX1"</f>
        <v>PCYOX1</v>
      </c>
    </row>
    <row r="1797" spans="1:11" x14ac:dyDescent="0.25">
      <c r="A1797" s="1">
        <v>1073</v>
      </c>
      <c r="B1797" s="1">
        <v>2</v>
      </c>
      <c r="C1797" s="1" t="s">
        <v>3</v>
      </c>
      <c r="D1797" s="1">
        <v>4</v>
      </c>
      <c r="E1797" s="1">
        <v>47.893999999999998</v>
      </c>
      <c r="F1797" s="1">
        <v>0.79417700000000002</v>
      </c>
      <c r="G1797" t="s">
        <v>2882</v>
      </c>
      <c r="H1797" t="s">
        <v>1167</v>
      </c>
      <c r="I1797" t="s">
        <v>5471</v>
      </c>
      <c r="J1797" t="str">
        <f>"GTP-binding nuclear protein Ran"</f>
        <v>GTP-binding nuclear protein Ran</v>
      </c>
      <c r="K1797" t="str">
        <f>"RAN"</f>
        <v>RAN</v>
      </c>
    </row>
    <row r="1798" spans="1:11" x14ac:dyDescent="0.25">
      <c r="A1798" s="1">
        <v>1885</v>
      </c>
      <c r="B1798" s="1">
        <v>3</v>
      </c>
      <c r="C1798" s="1" t="s">
        <v>3</v>
      </c>
      <c r="D1798" s="1">
        <v>10</v>
      </c>
      <c r="E1798" s="1">
        <v>51.091999999999999</v>
      </c>
      <c r="F1798" s="1">
        <v>0.99982899999999997</v>
      </c>
      <c r="G1798" t="s">
        <v>2883</v>
      </c>
      <c r="H1798" t="s">
        <v>2884</v>
      </c>
      <c r="I1798" t="s">
        <v>5472</v>
      </c>
      <c r="J1798" t="str">
        <f>"Nucleoside diphosphate kinase;Nucleoside diphosphate kinase B;Putative nucleoside diphosphate kinase"</f>
        <v>Nucleoside diphosphate kinase;Nucleoside diphosphate kinase B;Putative nucleoside diphosphate kinase</v>
      </c>
      <c r="K1798" t="str">
        <f>"NME1-NME2;NME2;NME2P1"</f>
        <v>NME1-NME2;NME2;NME2P1</v>
      </c>
    </row>
    <row r="1799" spans="1:11" x14ac:dyDescent="0.25">
      <c r="A1799" s="1">
        <v>2257</v>
      </c>
      <c r="B1799" s="1">
        <v>3</v>
      </c>
      <c r="C1799" s="1" t="s">
        <v>3</v>
      </c>
      <c r="D1799" s="1">
        <v>4</v>
      </c>
      <c r="E1799" s="1">
        <v>67.11</v>
      </c>
      <c r="F1799" s="1">
        <v>0.99999400000000005</v>
      </c>
      <c r="G1799" t="s">
        <v>2885</v>
      </c>
      <c r="H1799" t="s">
        <v>2886</v>
      </c>
      <c r="I1799" t="s">
        <v>5473</v>
      </c>
      <c r="J1799" t="str">
        <f>"Actin, aortic smooth muscle;Actin, gamma-enteric smooth muscle;Actin, alpha cardiac muscle 1"</f>
        <v>Actin, aortic smooth muscle;Actin, gamma-enteric smooth muscle;Actin, alpha cardiac muscle 1</v>
      </c>
      <c r="K1799" t="str">
        <f>"ACTA2;ACTG2;ACTC1"</f>
        <v>ACTA2;ACTG2;ACTC1</v>
      </c>
    </row>
    <row r="1800" spans="1:11" x14ac:dyDescent="0.25">
      <c r="A1800" s="1">
        <v>1335</v>
      </c>
      <c r="B1800" s="1">
        <v>3</v>
      </c>
      <c r="C1800" s="1" t="s">
        <v>3</v>
      </c>
      <c r="D1800" s="1">
        <v>12</v>
      </c>
      <c r="E1800" s="1">
        <v>71.677999999999997</v>
      </c>
      <c r="F1800" s="1">
        <v>0.99834100000000003</v>
      </c>
      <c r="G1800" t="s">
        <v>2887</v>
      </c>
      <c r="H1800" t="s">
        <v>2888</v>
      </c>
      <c r="I1800" t="s">
        <v>5474</v>
      </c>
      <c r="J1800" t="str">
        <f>"Pleckstrin homology-like domain family B member 2"</f>
        <v>Pleckstrin homology-like domain family B member 2</v>
      </c>
      <c r="K1800" t="str">
        <f>"PHLDB2"</f>
        <v>PHLDB2</v>
      </c>
    </row>
    <row r="1801" spans="1:11" x14ac:dyDescent="0.25">
      <c r="A1801" s="1">
        <v>2183</v>
      </c>
      <c r="B1801" s="1">
        <v>2</v>
      </c>
      <c r="C1801" s="1" t="s">
        <v>3</v>
      </c>
      <c r="D1801" s="1">
        <v>2</v>
      </c>
      <c r="E1801" s="1">
        <v>105.98</v>
      </c>
      <c r="F1801" s="1">
        <v>1</v>
      </c>
      <c r="G1801" t="s">
        <v>2889</v>
      </c>
      <c r="H1801" t="s">
        <v>2890</v>
      </c>
      <c r="I1801" t="s">
        <v>5475</v>
      </c>
      <c r="J1801" t="str">
        <f>"Arginine--tRNA ligase, cytoplasmic"</f>
        <v>Arginine--tRNA ligase, cytoplasmic</v>
      </c>
      <c r="K1801" t="str">
        <f>"RARS"</f>
        <v>RARS</v>
      </c>
    </row>
    <row r="1802" spans="1:11" x14ac:dyDescent="0.25">
      <c r="A1802" s="1">
        <v>2096</v>
      </c>
      <c r="B1802" s="1">
        <v>3</v>
      </c>
      <c r="C1802" s="1" t="s">
        <v>3</v>
      </c>
      <c r="D1802" s="1">
        <v>2</v>
      </c>
      <c r="E1802" s="1">
        <v>49.448</v>
      </c>
      <c r="F1802" s="1">
        <v>0.99997100000000005</v>
      </c>
      <c r="G1802" t="s">
        <v>2891</v>
      </c>
      <c r="H1802" t="s">
        <v>2759</v>
      </c>
      <c r="I1802" t="s">
        <v>5476</v>
      </c>
      <c r="J1802" t="str">
        <f>"LIM and senescent cell antigen-like-containing domain protein 1;LIM and senescent cell antigen-like-containing domain protein 3;LIM and senescent cell antigen-like-containing domain protein 3-like"</f>
        <v>LIM and senescent cell antigen-like-containing domain protein 1;LIM and senescent cell antigen-like-containing domain protein 3;LIM and senescent cell antigen-like-containing domain protein 3-like</v>
      </c>
      <c r="K1802" t="str">
        <f>"LIMS1;LIMS3;LIMS3L"</f>
        <v>LIMS1;LIMS3;LIMS3L</v>
      </c>
    </row>
    <row r="1803" spans="1:11" x14ac:dyDescent="0.25">
      <c r="A1803" s="1">
        <v>1853</v>
      </c>
      <c r="B1803" s="1">
        <v>2</v>
      </c>
      <c r="C1803" s="1" t="s">
        <v>3</v>
      </c>
      <c r="D1803" s="1">
        <v>9</v>
      </c>
      <c r="E1803" s="1">
        <v>73.834000000000003</v>
      </c>
      <c r="F1803" s="1">
        <v>0.91849800000000004</v>
      </c>
      <c r="G1803" t="s">
        <v>2892</v>
      </c>
      <c r="H1803" t="s">
        <v>2893</v>
      </c>
      <c r="I1803" t="s">
        <v>5477</v>
      </c>
      <c r="J1803" t="str">
        <f>"Plasma membrane calcium-transporting ATPase 1"</f>
        <v>Plasma membrane calcium-transporting ATPase 1</v>
      </c>
      <c r="K1803" t="str">
        <f>"ATP2B1"</f>
        <v>ATP2B1</v>
      </c>
    </row>
    <row r="1804" spans="1:11" x14ac:dyDescent="0.25">
      <c r="A1804" s="1">
        <v>992</v>
      </c>
      <c r="B1804" s="1">
        <v>3</v>
      </c>
      <c r="C1804" s="1" t="s">
        <v>3</v>
      </c>
      <c r="D1804" s="1">
        <v>11</v>
      </c>
      <c r="E1804" s="1">
        <v>56.719000000000001</v>
      </c>
      <c r="F1804" s="1">
        <v>0.898586</v>
      </c>
      <c r="G1804" t="s">
        <v>2894</v>
      </c>
      <c r="H1804" t="s">
        <v>2895</v>
      </c>
      <c r="I1804" t="s">
        <v>5478</v>
      </c>
      <c r="J1804" t="str">
        <f>"Dedicator of cytokinesis protein 11"</f>
        <v>Dedicator of cytokinesis protein 11</v>
      </c>
      <c r="K1804" t="str">
        <f>"DOCK11"</f>
        <v>DOCK11</v>
      </c>
    </row>
    <row r="1805" spans="1:11" x14ac:dyDescent="0.25">
      <c r="A1805" s="1">
        <v>2473</v>
      </c>
      <c r="B1805" s="1">
        <v>3</v>
      </c>
      <c r="C1805" s="1" t="s">
        <v>3</v>
      </c>
      <c r="D1805" s="1">
        <v>3</v>
      </c>
      <c r="E1805" s="1">
        <v>78.323999999999998</v>
      </c>
      <c r="F1805" s="1">
        <v>0.99338400000000004</v>
      </c>
      <c r="G1805" t="s">
        <v>2896</v>
      </c>
      <c r="H1805" t="s">
        <v>1663</v>
      </c>
      <c r="I1805">
        <v>497</v>
      </c>
      <c r="J1805" t="str">
        <f>"E3 ubiquitin/ISG15 ligase TRIM25"</f>
        <v>E3 ubiquitin/ISG15 ligase TRIM25</v>
      </c>
      <c r="K1805" t="str">
        <f>"TRIM25"</f>
        <v>TRIM25</v>
      </c>
    </row>
    <row r="1806" spans="1:11" x14ac:dyDescent="0.25">
      <c r="A1806" s="1">
        <v>52</v>
      </c>
      <c r="B1806" s="1">
        <v>3</v>
      </c>
      <c r="C1806" s="1" t="s">
        <v>5</v>
      </c>
      <c r="D1806" s="1">
        <v>4</v>
      </c>
      <c r="E1806" s="1">
        <v>56.22</v>
      </c>
      <c r="F1806" s="1">
        <v>0.50246100000000005</v>
      </c>
      <c r="G1806" t="s">
        <v>2897</v>
      </c>
      <c r="H1806" t="s">
        <v>643</v>
      </c>
      <c r="I1806" t="s">
        <v>5479</v>
      </c>
      <c r="J1806" t="str">
        <f>"Kin of IRRE-like protein 1"</f>
        <v>Kin of IRRE-like protein 1</v>
      </c>
      <c r="K1806" t="str">
        <f>"KIRREL"</f>
        <v>KIRREL</v>
      </c>
    </row>
    <row r="1807" spans="1:11" x14ac:dyDescent="0.25">
      <c r="A1807" s="1">
        <v>1221</v>
      </c>
      <c r="B1807" s="1">
        <v>3</v>
      </c>
      <c r="C1807" s="1" t="s">
        <v>3</v>
      </c>
      <c r="D1807" s="1">
        <v>10</v>
      </c>
      <c r="E1807" s="1">
        <v>78.95</v>
      </c>
      <c r="F1807" s="1">
        <v>0.94221200000000005</v>
      </c>
      <c r="G1807" t="s">
        <v>2898</v>
      </c>
      <c r="H1807" t="s">
        <v>270</v>
      </c>
      <c r="I1807" t="s">
        <v>5480</v>
      </c>
      <c r="J1807" t="str">
        <f>"Tensin-1"</f>
        <v>Tensin-1</v>
      </c>
      <c r="K1807" t="str">
        <f>"TNS1"</f>
        <v>TNS1</v>
      </c>
    </row>
    <row r="1808" spans="1:11" x14ac:dyDescent="0.25">
      <c r="A1808" s="1">
        <v>627</v>
      </c>
      <c r="B1808" s="1">
        <v>3</v>
      </c>
      <c r="C1808" s="1" t="s">
        <v>4</v>
      </c>
      <c r="D1808" s="1">
        <v>8</v>
      </c>
      <c r="E1808" s="1">
        <v>58.692999999999998</v>
      </c>
      <c r="F1808" s="1">
        <v>0.67832000000000003</v>
      </c>
      <c r="G1808" t="s">
        <v>2899</v>
      </c>
      <c r="H1808" t="s">
        <v>2715</v>
      </c>
      <c r="I1808">
        <v>254</v>
      </c>
      <c r="J1808" t="str">
        <f>"Adapter molecule crk"</f>
        <v>Adapter molecule crk</v>
      </c>
      <c r="K1808" t="str">
        <f>"CRK"</f>
        <v>CRK</v>
      </c>
    </row>
    <row r="1809" spans="1:11" x14ac:dyDescent="0.25">
      <c r="A1809" s="1">
        <v>307</v>
      </c>
      <c r="B1809" s="1">
        <v>4</v>
      </c>
      <c r="C1809" s="1" t="s">
        <v>5</v>
      </c>
      <c r="D1809" s="1">
        <v>15</v>
      </c>
      <c r="E1809" s="1">
        <v>53.866</v>
      </c>
      <c r="F1809" s="1">
        <v>0.68602700000000005</v>
      </c>
      <c r="G1809" t="s">
        <v>2900</v>
      </c>
      <c r="H1809" t="s">
        <v>400</v>
      </c>
      <c r="I1809" t="s">
        <v>5481</v>
      </c>
      <c r="J1809" t="str">
        <f>"Epidermal growth factor receptor kinase substrate 8"</f>
        <v>Epidermal growth factor receptor kinase substrate 8</v>
      </c>
      <c r="K1809" t="str">
        <f>"EPS8"</f>
        <v>EPS8</v>
      </c>
    </row>
    <row r="1810" spans="1:11" x14ac:dyDescent="0.25">
      <c r="A1810" s="1">
        <v>2386</v>
      </c>
      <c r="B1810" s="1">
        <v>4</v>
      </c>
      <c r="C1810" s="1" t="s">
        <v>3</v>
      </c>
      <c r="D1810" s="1">
        <v>3</v>
      </c>
      <c r="E1810" s="1">
        <v>53.866</v>
      </c>
      <c r="F1810" s="1">
        <v>0.80209799999999998</v>
      </c>
      <c r="G1810" t="s">
        <v>2900</v>
      </c>
      <c r="H1810" t="s">
        <v>400</v>
      </c>
      <c r="I1810" t="s">
        <v>5482</v>
      </c>
      <c r="J1810" t="str">
        <f>"Epidermal growth factor receptor kinase substrate 8"</f>
        <v>Epidermal growth factor receptor kinase substrate 8</v>
      </c>
      <c r="K1810" t="str">
        <f>"EPS8"</f>
        <v>EPS8</v>
      </c>
    </row>
    <row r="1811" spans="1:11" x14ac:dyDescent="0.25">
      <c r="A1811" s="1">
        <v>1372</v>
      </c>
      <c r="B1811" s="1">
        <v>3</v>
      </c>
      <c r="C1811" s="1" t="s">
        <v>3</v>
      </c>
      <c r="D1811" s="1">
        <v>6</v>
      </c>
      <c r="E1811" s="1">
        <v>57.433999999999997</v>
      </c>
      <c r="F1811" s="1">
        <v>0.84435300000000002</v>
      </c>
      <c r="G1811" t="s">
        <v>2901</v>
      </c>
      <c r="H1811" t="s">
        <v>2902</v>
      </c>
      <c r="I1811" t="s">
        <v>5483</v>
      </c>
      <c r="J1811" t="str">
        <f>"Rho GDP-dissociation inhibitor 1"</f>
        <v>Rho GDP-dissociation inhibitor 1</v>
      </c>
      <c r="K1811" t="str">
        <f>"ARHGDIA"</f>
        <v>ARHGDIA</v>
      </c>
    </row>
    <row r="1812" spans="1:11" x14ac:dyDescent="0.25">
      <c r="A1812" s="1">
        <v>1470</v>
      </c>
      <c r="B1812" s="1">
        <v>3</v>
      </c>
      <c r="C1812" s="1" t="s">
        <v>3</v>
      </c>
      <c r="D1812" s="1">
        <v>8</v>
      </c>
      <c r="E1812" s="1">
        <v>82.069000000000003</v>
      </c>
      <c r="F1812" s="1">
        <v>0.85224999999999995</v>
      </c>
      <c r="G1812" t="s">
        <v>2903</v>
      </c>
      <c r="H1812" t="s">
        <v>1434</v>
      </c>
      <c r="I1812" t="s">
        <v>5484</v>
      </c>
      <c r="J1812" t="str">
        <f>"Heterogeneous nuclear ribonucleoprotein R"</f>
        <v>Heterogeneous nuclear ribonucleoprotein R</v>
      </c>
      <c r="K1812" t="str">
        <f>"HNRNPR"</f>
        <v>HNRNPR</v>
      </c>
    </row>
    <row r="1813" spans="1:11" x14ac:dyDescent="0.25">
      <c r="A1813" s="1">
        <v>993</v>
      </c>
      <c r="B1813" s="1">
        <v>2</v>
      </c>
      <c r="C1813" s="1" t="s">
        <v>3</v>
      </c>
      <c r="D1813" s="1">
        <v>1</v>
      </c>
      <c r="E1813" s="1">
        <v>44.116999999999997</v>
      </c>
      <c r="F1813" s="1">
        <v>0.99983500000000003</v>
      </c>
      <c r="G1813" t="s">
        <v>2904</v>
      </c>
      <c r="H1813" t="s">
        <v>2905</v>
      </c>
      <c r="I1813" t="s">
        <v>5485</v>
      </c>
      <c r="J1813" t="str">
        <f>"Ubiquitin carboxyl-terminal hydrolase;Ubiquitin carboxyl-terminal hydrolase 14"</f>
        <v>Ubiquitin carboxyl-terminal hydrolase;Ubiquitin carboxyl-terminal hydrolase 14</v>
      </c>
      <c r="K1813" t="str">
        <f>"USP14"</f>
        <v>USP14</v>
      </c>
    </row>
    <row r="1814" spans="1:11" x14ac:dyDescent="0.25">
      <c r="A1814" s="1">
        <v>970</v>
      </c>
      <c r="B1814" s="1">
        <v>4</v>
      </c>
      <c r="C1814" s="1" t="s">
        <v>3</v>
      </c>
      <c r="D1814" s="1">
        <v>17</v>
      </c>
      <c r="E1814" s="1">
        <v>71.882000000000005</v>
      </c>
      <c r="F1814" s="1">
        <v>0.75627599999999995</v>
      </c>
      <c r="G1814" t="s">
        <v>2906</v>
      </c>
      <c r="H1814" t="s">
        <v>2592</v>
      </c>
      <c r="I1814" t="s">
        <v>5486</v>
      </c>
      <c r="J1814" t="str">
        <f>"Leukocyte-associated immunoglobulin-like receptor 1"</f>
        <v>Leukocyte-associated immunoglobulin-like receptor 1</v>
      </c>
      <c r="K1814" t="str">
        <f>"LAIR1"</f>
        <v>LAIR1</v>
      </c>
    </row>
    <row r="1815" spans="1:11" x14ac:dyDescent="0.25">
      <c r="A1815" s="1">
        <v>1501</v>
      </c>
      <c r="B1815" s="1">
        <v>4</v>
      </c>
      <c r="C1815" s="1" t="s">
        <v>3</v>
      </c>
      <c r="D1815" s="1">
        <v>3</v>
      </c>
      <c r="E1815" s="1">
        <v>53.997999999999998</v>
      </c>
      <c r="F1815" s="1">
        <v>0.90071199999999996</v>
      </c>
      <c r="G1815" t="s">
        <v>2907</v>
      </c>
      <c r="H1815" t="s">
        <v>2908</v>
      </c>
      <c r="I1815">
        <v>418</v>
      </c>
      <c r="J1815" t="str">
        <f>"Cyclin-T1"</f>
        <v>Cyclin-T1</v>
      </c>
      <c r="K1815" t="str">
        <f>"CCNT1"</f>
        <v>CCNT1</v>
      </c>
    </row>
    <row r="1816" spans="1:11" x14ac:dyDescent="0.25">
      <c r="A1816" s="1">
        <v>2988</v>
      </c>
      <c r="B1816" s="1">
        <v>2</v>
      </c>
      <c r="C1816" s="1" t="s">
        <v>3</v>
      </c>
      <c r="D1816" s="1">
        <v>4</v>
      </c>
      <c r="E1816" s="1">
        <v>66.27</v>
      </c>
      <c r="F1816" s="1">
        <v>0.727051</v>
      </c>
      <c r="G1816" t="s">
        <v>2909</v>
      </c>
      <c r="H1816" t="s">
        <v>2910</v>
      </c>
      <c r="I1816" t="s">
        <v>5487</v>
      </c>
      <c r="J1816" t="str">
        <f>"Pleckstrin homology domain-containing family A member 5"</f>
        <v>Pleckstrin homology domain-containing family A member 5</v>
      </c>
      <c r="K1816" t="str">
        <f>"PLEKHA5"</f>
        <v>PLEKHA5</v>
      </c>
    </row>
    <row r="1817" spans="1:11" x14ac:dyDescent="0.25">
      <c r="A1817" s="1">
        <v>2350</v>
      </c>
      <c r="B1817" s="1">
        <v>4</v>
      </c>
      <c r="C1817" s="1" t="s">
        <v>3</v>
      </c>
      <c r="D1817" s="1">
        <v>12</v>
      </c>
      <c r="E1817" s="1">
        <v>67.760000000000005</v>
      </c>
      <c r="F1817" s="1">
        <v>0.979236</v>
      </c>
      <c r="G1817" t="s">
        <v>2911</v>
      </c>
      <c r="H1817" t="s">
        <v>2912</v>
      </c>
      <c r="I1817" t="s">
        <v>5488</v>
      </c>
      <c r="J1817" t="str">
        <f>"Tyrosine-protein kinase BTK"</f>
        <v>Tyrosine-protein kinase BTK</v>
      </c>
      <c r="K1817" t="str">
        <f>"BTK"</f>
        <v>BTK</v>
      </c>
    </row>
    <row r="1818" spans="1:11" x14ac:dyDescent="0.25">
      <c r="A1818" s="1">
        <v>891</v>
      </c>
      <c r="B1818" s="1">
        <v>2</v>
      </c>
      <c r="C1818" s="1" t="s">
        <v>3</v>
      </c>
      <c r="D1818" s="1">
        <v>6</v>
      </c>
      <c r="E1818" s="1">
        <v>44.610999999999997</v>
      </c>
      <c r="F1818" s="1">
        <v>1</v>
      </c>
      <c r="G1818" t="s">
        <v>2913</v>
      </c>
      <c r="H1818" t="s">
        <v>2914</v>
      </c>
      <c r="I1818" t="s">
        <v>5489</v>
      </c>
      <c r="J1818" t="str">
        <f>"Myeloid differentiation primary response protein MyD88"</f>
        <v>Myeloid differentiation primary response protein MyD88</v>
      </c>
      <c r="K1818" t="str">
        <f>"MYD88"</f>
        <v>MYD88</v>
      </c>
    </row>
    <row r="1819" spans="1:11" x14ac:dyDescent="0.25">
      <c r="A1819" s="1">
        <v>2157</v>
      </c>
      <c r="B1819" s="1">
        <v>3</v>
      </c>
      <c r="C1819" s="1" t="s">
        <v>3</v>
      </c>
      <c r="D1819" s="1">
        <v>8</v>
      </c>
      <c r="E1819" s="1">
        <v>55.261000000000003</v>
      </c>
      <c r="F1819" s="1">
        <v>0.85046200000000005</v>
      </c>
      <c r="G1819" t="s">
        <v>2915</v>
      </c>
      <c r="H1819" t="s">
        <v>2916</v>
      </c>
      <c r="I1819" t="s">
        <v>5490</v>
      </c>
      <c r="J1819" t="str">
        <f>"Tyrosine-protein kinase JAK3"</f>
        <v>Tyrosine-protein kinase JAK3</v>
      </c>
      <c r="K1819" t="str">
        <f>"JAK3"</f>
        <v>JAK3</v>
      </c>
    </row>
    <row r="1820" spans="1:11" x14ac:dyDescent="0.25">
      <c r="A1820" s="1">
        <v>845</v>
      </c>
      <c r="B1820" s="1">
        <v>3</v>
      </c>
      <c r="C1820" s="1" t="s">
        <v>3</v>
      </c>
      <c r="D1820" s="1">
        <v>12</v>
      </c>
      <c r="E1820" s="1">
        <v>46.317999999999998</v>
      </c>
      <c r="F1820" s="1">
        <v>0.49995400000000001</v>
      </c>
      <c r="G1820" t="s">
        <v>2917</v>
      </c>
      <c r="H1820" t="s">
        <v>724</v>
      </c>
      <c r="I1820" t="s">
        <v>5491</v>
      </c>
      <c r="J1820" t="str">
        <f>"Tight junction protein ZO-1"</f>
        <v>Tight junction protein ZO-1</v>
      </c>
      <c r="K1820" t="str">
        <f>"TJP1"</f>
        <v>TJP1</v>
      </c>
    </row>
    <row r="1821" spans="1:11" x14ac:dyDescent="0.25">
      <c r="A1821" s="1">
        <v>846</v>
      </c>
      <c r="B1821" s="1">
        <v>3</v>
      </c>
      <c r="C1821" s="1" t="s">
        <v>3</v>
      </c>
      <c r="D1821" s="1">
        <v>13</v>
      </c>
      <c r="E1821" s="1">
        <v>46.317999999999998</v>
      </c>
      <c r="F1821" s="1">
        <v>0.49995400000000001</v>
      </c>
      <c r="G1821" t="s">
        <v>2917</v>
      </c>
      <c r="H1821" t="s">
        <v>724</v>
      </c>
      <c r="I1821" t="s">
        <v>5492</v>
      </c>
      <c r="J1821" t="str">
        <f>"Tight junction protein ZO-1"</f>
        <v>Tight junction protein ZO-1</v>
      </c>
      <c r="K1821" t="str">
        <f>"TJP1"</f>
        <v>TJP1</v>
      </c>
    </row>
    <row r="1822" spans="1:11" x14ac:dyDescent="0.25">
      <c r="A1822" s="1">
        <v>2356</v>
      </c>
      <c r="B1822" s="1">
        <v>2</v>
      </c>
      <c r="C1822" s="1" t="s">
        <v>3</v>
      </c>
      <c r="D1822" s="1">
        <v>6</v>
      </c>
      <c r="E1822" s="1">
        <v>40.883000000000003</v>
      </c>
      <c r="F1822" s="1">
        <v>0.99987800000000004</v>
      </c>
      <c r="G1822" t="s">
        <v>2918</v>
      </c>
      <c r="H1822" t="s">
        <v>2919</v>
      </c>
      <c r="I1822">
        <v>116</v>
      </c>
      <c r="J1822" t="str">
        <f>"Peroxiredoxin-1"</f>
        <v>Peroxiredoxin-1</v>
      </c>
      <c r="K1822" t="str">
        <f>"PRDX1"</f>
        <v>PRDX1</v>
      </c>
    </row>
    <row r="1823" spans="1:11" x14ac:dyDescent="0.25">
      <c r="A1823" s="1">
        <v>2724</v>
      </c>
      <c r="B1823" s="1">
        <v>4</v>
      </c>
      <c r="C1823" s="1" t="s">
        <v>3</v>
      </c>
      <c r="D1823" s="1">
        <v>12</v>
      </c>
      <c r="E1823" s="1">
        <v>54.280999999999999</v>
      </c>
      <c r="F1823" s="1">
        <v>1</v>
      </c>
      <c r="G1823" t="s">
        <v>2920</v>
      </c>
      <c r="H1823" t="s">
        <v>2921</v>
      </c>
      <c r="I1823" t="s">
        <v>5493</v>
      </c>
      <c r="J1823" t="str">
        <f>"Cleavage and polyadenylation specificity factor subunit 7"</f>
        <v>Cleavage and polyadenylation specificity factor subunit 7</v>
      </c>
      <c r="K1823" t="str">
        <f>"CPSF7"</f>
        <v>CPSF7</v>
      </c>
    </row>
    <row r="1824" spans="1:11" x14ac:dyDescent="0.25">
      <c r="A1824" s="1">
        <v>2863</v>
      </c>
      <c r="B1824" s="1">
        <v>3</v>
      </c>
      <c r="C1824" s="1" t="s">
        <v>3</v>
      </c>
      <c r="D1824" s="1">
        <v>7</v>
      </c>
      <c r="E1824" s="1">
        <v>89.992000000000004</v>
      </c>
      <c r="F1824" s="1">
        <v>0.99957399999999996</v>
      </c>
      <c r="G1824" t="s">
        <v>2922</v>
      </c>
      <c r="H1824" t="s">
        <v>2923</v>
      </c>
      <c r="I1824">
        <v>889</v>
      </c>
      <c r="J1824" t="str">
        <f>"Importin-9"</f>
        <v>Importin-9</v>
      </c>
      <c r="K1824" t="str">
        <f>"IPO9"</f>
        <v>IPO9</v>
      </c>
    </row>
    <row r="1825" spans="1:11" x14ac:dyDescent="0.25">
      <c r="A1825" s="1">
        <v>2050</v>
      </c>
      <c r="B1825" s="1">
        <v>3</v>
      </c>
      <c r="C1825" s="1" t="s">
        <v>3</v>
      </c>
      <c r="D1825" s="1">
        <v>4</v>
      </c>
      <c r="E1825" s="1">
        <v>50.024000000000001</v>
      </c>
      <c r="F1825" s="1">
        <v>0.90981199999999995</v>
      </c>
      <c r="G1825" t="s">
        <v>2924</v>
      </c>
      <c r="H1825" t="s">
        <v>122</v>
      </c>
      <c r="I1825">
        <v>132</v>
      </c>
      <c r="J1825" t="str">
        <f>"Tyrosine-protein kinase FRK"</f>
        <v>Tyrosine-protein kinase FRK</v>
      </c>
      <c r="K1825" t="str">
        <f>"FRK"</f>
        <v>FRK</v>
      </c>
    </row>
    <row r="1826" spans="1:11" x14ac:dyDescent="0.25">
      <c r="A1826" s="1">
        <v>2839</v>
      </c>
      <c r="B1826" s="1">
        <v>2</v>
      </c>
      <c r="C1826" s="1" t="s">
        <v>3</v>
      </c>
      <c r="D1826" s="1">
        <v>4</v>
      </c>
      <c r="E1826" s="1">
        <v>40.377000000000002</v>
      </c>
      <c r="F1826" s="1">
        <v>1</v>
      </c>
      <c r="G1826" t="s">
        <v>2925</v>
      </c>
      <c r="H1826" t="s">
        <v>2926</v>
      </c>
      <c r="I1826">
        <v>119</v>
      </c>
      <c r="J1826" t="str">
        <f>"BTB/POZ domain-containing protein KCTD12"</f>
        <v>BTB/POZ domain-containing protein KCTD12</v>
      </c>
      <c r="K1826" t="str">
        <f>"KCTD12"</f>
        <v>KCTD12</v>
      </c>
    </row>
    <row r="1827" spans="1:11" x14ac:dyDescent="0.25">
      <c r="A1827" s="1">
        <v>2186</v>
      </c>
      <c r="B1827" s="1">
        <v>3</v>
      </c>
      <c r="C1827" s="1" t="s">
        <v>3</v>
      </c>
      <c r="D1827" s="1">
        <v>11</v>
      </c>
      <c r="E1827" s="1">
        <v>44.390999999999998</v>
      </c>
      <c r="F1827" s="1">
        <v>0.84440000000000004</v>
      </c>
      <c r="G1827" t="s">
        <v>2927</v>
      </c>
      <c r="H1827" t="s">
        <v>2928</v>
      </c>
      <c r="I1827">
        <v>792</v>
      </c>
      <c r="J1827" t="str">
        <f>"Ephrin type-B receptor 3"</f>
        <v>Ephrin type-B receptor 3</v>
      </c>
      <c r="K1827" t="str">
        <f>"EPHB3"</f>
        <v>EPHB3</v>
      </c>
    </row>
    <row r="1828" spans="1:11" x14ac:dyDescent="0.25">
      <c r="A1828" s="1">
        <v>2076</v>
      </c>
      <c r="B1828" s="1">
        <v>4</v>
      </c>
      <c r="C1828" s="1" t="s">
        <v>3</v>
      </c>
      <c r="D1828" s="1">
        <v>14</v>
      </c>
      <c r="E1828" s="1">
        <v>63.869</v>
      </c>
      <c r="F1828" s="1">
        <v>0.99829100000000004</v>
      </c>
      <c r="G1828" t="s">
        <v>2929</v>
      </c>
      <c r="H1828" t="s">
        <v>1133</v>
      </c>
      <c r="I1828" t="s">
        <v>5494</v>
      </c>
      <c r="J1828" t="str">
        <f>"Nicotinamide phosphoribosyltransferase"</f>
        <v>Nicotinamide phosphoribosyltransferase</v>
      </c>
      <c r="K1828" t="str">
        <f>"NAMPT"</f>
        <v>NAMPT</v>
      </c>
    </row>
    <row r="1829" spans="1:11" x14ac:dyDescent="0.25">
      <c r="A1829" s="1">
        <v>824</v>
      </c>
      <c r="B1829" s="1">
        <v>3</v>
      </c>
      <c r="C1829" s="1" t="s">
        <v>3</v>
      </c>
      <c r="D1829" s="1">
        <v>2</v>
      </c>
      <c r="E1829" s="1">
        <v>107.99</v>
      </c>
      <c r="F1829" s="1">
        <v>0.99999499999999997</v>
      </c>
      <c r="G1829" t="s">
        <v>2930</v>
      </c>
      <c r="H1829" t="s">
        <v>2347</v>
      </c>
      <c r="I1829">
        <v>588</v>
      </c>
      <c r="J1829" t="str">
        <f>""</f>
        <v/>
      </c>
      <c r="K1829" t="str">
        <f>""</f>
        <v/>
      </c>
    </row>
    <row r="1830" spans="1:11" x14ac:dyDescent="0.25">
      <c r="A1830" s="1">
        <v>1442</v>
      </c>
      <c r="B1830" s="1">
        <v>3</v>
      </c>
      <c r="C1830" s="1" t="s">
        <v>3</v>
      </c>
      <c r="D1830" s="1">
        <v>1</v>
      </c>
      <c r="E1830" s="1">
        <v>67.646000000000001</v>
      </c>
      <c r="F1830" s="1">
        <v>0.99993399999999999</v>
      </c>
      <c r="G1830" t="s">
        <v>2931</v>
      </c>
      <c r="H1830" t="s">
        <v>2213</v>
      </c>
      <c r="I1830" t="s">
        <v>5495</v>
      </c>
      <c r="J1830" t="str">
        <f>"Protein phosphatase 1 regulatory subunit 12A"</f>
        <v>Protein phosphatase 1 regulatory subunit 12A</v>
      </c>
      <c r="K1830" t="str">
        <f>"PPP1R12A"</f>
        <v>PPP1R12A</v>
      </c>
    </row>
    <row r="1831" spans="1:11" x14ac:dyDescent="0.25">
      <c r="A1831" s="1">
        <v>3154</v>
      </c>
      <c r="B1831" s="1">
        <v>2</v>
      </c>
      <c r="C1831" s="1" t="s">
        <v>3</v>
      </c>
      <c r="D1831" s="1">
        <v>2</v>
      </c>
      <c r="E1831" s="1">
        <v>40.268000000000001</v>
      </c>
      <c r="F1831" s="1">
        <v>1</v>
      </c>
      <c r="G1831" t="s">
        <v>2932</v>
      </c>
      <c r="H1831" t="s">
        <v>2933</v>
      </c>
      <c r="I1831">
        <v>340</v>
      </c>
      <c r="J1831" t="str">
        <f>"Mannose-1-phosphate guanyltransferase beta"</f>
        <v>Mannose-1-phosphate guanyltransferase beta</v>
      </c>
      <c r="K1831" t="str">
        <f>"GMPPB"</f>
        <v>GMPPB</v>
      </c>
    </row>
    <row r="1832" spans="1:11" x14ac:dyDescent="0.25">
      <c r="A1832" s="1">
        <v>877</v>
      </c>
      <c r="B1832" s="1">
        <v>2</v>
      </c>
      <c r="C1832" s="1" t="s">
        <v>3</v>
      </c>
      <c r="D1832" s="1">
        <v>6</v>
      </c>
      <c r="E1832" s="1">
        <v>100.88</v>
      </c>
      <c r="F1832" s="1">
        <v>0.98995999999999995</v>
      </c>
      <c r="G1832" t="s">
        <v>2934</v>
      </c>
      <c r="H1832" t="s">
        <v>1721</v>
      </c>
      <c r="I1832" t="s">
        <v>5496</v>
      </c>
      <c r="J1832" t="str">
        <f>"1-phosphatidylinositol 4,5-bisphosphate phosphodiesterase gamma-2"</f>
        <v>1-phosphatidylinositol 4,5-bisphosphate phosphodiesterase gamma-2</v>
      </c>
      <c r="K1832" t="str">
        <f>"PLCG2"</f>
        <v>PLCG2</v>
      </c>
    </row>
    <row r="1833" spans="1:11" x14ac:dyDescent="0.25">
      <c r="A1833" s="1">
        <v>883</v>
      </c>
      <c r="B1833" s="1">
        <v>3</v>
      </c>
      <c r="C1833" s="1" t="s">
        <v>3</v>
      </c>
      <c r="D1833" s="1">
        <v>1</v>
      </c>
      <c r="E1833" s="1">
        <v>64.564999999999998</v>
      </c>
      <c r="F1833" s="1">
        <v>0.99933899999999998</v>
      </c>
      <c r="G1833" t="s">
        <v>2935</v>
      </c>
      <c r="H1833" t="s">
        <v>2936</v>
      </c>
      <c r="I1833" t="s">
        <v>5497</v>
      </c>
      <c r="J1833" t="str">
        <f>"Actin-binding LIM protein 1"</f>
        <v>Actin-binding LIM protein 1</v>
      </c>
      <c r="K1833" t="str">
        <f>"ABLIM1"</f>
        <v>ABLIM1</v>
      </c>
    </row>
    <row r="1834" spans="1:11" x14ac:dyDescent="0.25">
      <c r="A1834" s="1">
        <v>539</v>
      </c>
      <c r="B1834" s="1">
        <v>3</v>
      </c>
      <c r="C1834" s="1" t="s">
        <v>4</v>
      </c>
      <c r="D1834" s="1">
        <v>18</v>
      </c>
      <c r="E1834" s="1">
        <v>42.633000000000003</v>
      </c>
      <c r="F1834" s="1">
        <v>0.57137499999999997</v>
      </c>
      <c r="G1834" t="s">
        <v>2937</v>
      </c>
      <c r="H1834" t="s">
        <v>30</v>
      </c>
      <c r="I1834" t="s">
        <v>5498</v>
      </c>
      <c r="J1834" t="str">
        <f>"Mitogen-activated protein kinase;Mitogen-activated protein kinase 3"</f>
        <v>Mitogen-activated protein kinase;Mitogen-activated protein kinase 3</v>
      </c>
      <c r="K1834" t="str">
        <f>"MAPK3"</f>
        <v>MAPK3</v>
      </c>
    </row>
    <row r="1835" spans="1:11" x14ac:dyDescent="0.25">
      <c r="A1835" s="1">
        <v>1452</v>
      </c>
      <c r="B1835" s="1">
        <v>2</v>
      </c>
      <c r="C1835" s="1" t="s">
        <v>3</v>
      </c>
      <c r="D1835" s="1">
        <v>8</v>
      </c>
      <c r="E1835" s="1">
        <v>70.088999999999999</v>
      </c>
      <c r="F1835" s="1">
        <v>0.79805800000000005</v>
      </c>
      <c r="G1835" t="s">
        <v>2938</v>
      </c>
      <c r="H1835" t="s">
        <v>2939</v>
      </c>
      <c r="I1835" t="s">
        <v>5499</v>
      </c>
      <c r="J1835" t="str">
        <f>"FYN-binding protein"</f>
        <v>FYN-binding protein</v>
      </c>
      <c r="K1835" t="str">
        <f>"FYB"</f>
        <v>FYB</v>
      </c>
    </row>
    <row r="1836" spans="1:11" x14ac:dyDescent="0.25">
      <c r="A1836" s="1">
        <v>756</v>
      </c>
      <c r="B1836" s="1">
        <v>3</v>
      </c>
      <c r="C1836" s="1" t="s">
        <v>3</v>
      </c>
      <c r="D1836" s="1">
        <v>10</v>
      </c>
      <c r="E1836" s="1">
        <v>87.388000000000005</v>
      </c>
      <c r="F1836" s="1">
        <v>0.99852099999999999</v>
      </c>
      <c r="G1836" t="s">
        <v>2940</v>
      </c>
      <c r="H1836" t="s">
        <v>1022</v>
      </c>
      <c r="I1836" t="s">
        <v>5500</v>
      </c>
      <c r="J1836" t="str">
        <f>"EH domain-containing protein 1"</f>
        <v>EH domain-containing protein 1</v>
      </c>
      <c r="K1836" t="str">
        <f>"EHD1"</f>
        <v>EHD1</v>
      </c>
    </row>
    <row r="1837" spans="1:11" x14ac:dyDescent="0.25">
      <c r="A1837" s="1">
        <v>2240</v>
      </c>
      <c r="B1837" s="1">
        <v>3</v>
      </c>
      <c r="C1837" s="1" t="s">
        <v>3</v>
      </c>
      <c r="D1837" s="1">
        <v>16</v>
      </c>
      <c r="E1837" s="1">
        <v>57.484000000000002</v>
      </c>
      <c r="F1837" s="1">
        <v>0.99797599999999997</v>
      </c>
      <c r="G1837" t="s">
        <v>2941</v>
      </c>
      <c r="H1837" t="s">
        <v>1381</v>
      </c>
      <c r="I1837" t="s">
        <v>5501</v>
      </c>
      <c r="J1837" t="str">
        <f>"Heterogeneous nuclear ribonucleoprotein K"</f>
        <v>Heterogeneous nuclear ribonucleoprotein K</v>
      </c>
      <c r="K1837" t="str">
        <f>"HNRNPK"</f>
        <v>HNRNPK</v>
      </c>
    </row>
    <row r="1838" spans="1:11" x14ac:dyDescent="0.25">
      <c r="A1838" s="1">
        <v>1337</v>
      </c>
      <c r="B1838" s="1">
        <v>2</v>
      </c>
      <c r="C1838" s="1" t="s">
        <v>3</v>
      </c>
      <c r="D1838" s="1">
        <v>7</v>
      </c>
      <c r="E1838" s="1">
        <v>41.399000000000001</v>
      </c>
      <c r="F1838" s="1">
        <v>0.99941000000000002</v>
      </c>
      <c r="G1838" t="s">
        <v>2942</v>
      </c>
      <c r="H1838" t="s">
        <v>2943</v>
      </c>
      <c r="I1838" t="s">
        <v>5502</v>
      </c>
      <c r="J1838" t="str">
        <f>"Arf-GAP with Rho-GAP domain, ANK repeat and PH domain-containing protein 3"</f>
        <v>Arf-GAP with Rho-GAP domain, ANK repeat and PH domain-containing protein 3</v>
      </c>
      <c r="K1838" t="str">
        <f>"ARAP3"</f>
        <v>ARAP3</v>
      </c>
    </row>
    <row r="1839" spans="1:11" x14ac:dyDescent="0.25">
      <c r="A1839" s="1">
        <v>2172</v>
      </c>
      <c r="B1839" s="1">
        <v>3</v>
      </c>
      <c r="C1839" s="1" t="s">
        <v>3</v>
      </c>
      <c r="D1839" s="1">
        <v>25</v>
      </c>
      <c r="E1839" s="1">
        <v>65.427999999999997</v>
      </c>
      <c r="F1839" s="1">
        <v>0.62141000000000002</v>
      </c>
      <c r="G1839" t="s">
        <v>2944</v>
      </c>
      <c r="H1839" t="s">
        <v>831</v>
      </c>
      <c r="I1839" t="s">
        <v>5503</v>
      </c>
      <c r="J1839" t="str">
        <f>"Ephrin-B2;Ephrin-B1"</f>
        <v>Ephrin-B2;Ephrin-B1</v>
      </c>
      <c r="K1839" t="str">
        <f>"EFNB2;EFNB1"</f>
        <v>EFNB2;EFNB1</v>
      </c>
    </row>
    <row r="1840" spans="1:11" x14ac:dyDescent="0.25">
      <c r="A1840" s="1">
        <v>2905</v>
      </c>
      <c r="B1840" s="1">
        <v>2</v>
      </c>
      <c r="C1840" s="1" t="s">
        <v>3</v>
      </c>
      <c r="D1840" s="1">
        <v>2</v>
      </c>
      <c r="E1840" s="1">
        <v>60.436</v>
      </c>
      <c r="F1840" s="1">
        <v>0.97840800000000006</v>
      </c>
      <c r="G1840" t="s">
        <v>2945</v>
      </c>
      <c r="H1840" t="s">
        <v>124</v>
      </c>
      <c r="I1840" t="s">
        <v>5504</v>
      </c>
      <c r="J1840" t="str">
        <f>"Plakophilin-4"</f>
        <v>Plakophilin-4</v>
      </c>
      <c r="K1840" t="str">
        <f>"PKP4"</f>
        <v>PKP4</v>
      </c>
    </row>
    <row r="1841" spans="1:11" x14ac:dyDescent="0.25">
      <c r="A1841" s="1">
        <v>1626</v>
      </c>
      <c r="B1841" s="1">
        <v>2</v>
      </c>
      <c r="C1841" s="1" t="s">
        <v>3</v>
      </c>
      <c r="D1841" s="1">
        <v>14</v>
      </c>
      <c r="E1841" s="1">
        <v>57.287999999999997</v>
      </c>
      <c r="F1841" s="1">
        <v>0.94514600000000004</v>
      </c>
      <c r="G1841" t="s">
        <v>2946</v>
      </c>
      <c r="H1841" t="s">
        <v>2947</v>
      </c>
      <c r="I1841" t="s">
        <v>5505</v>
      </c>
      <c r="J1841" t="str">
        <f>"Protein kinase C gamma type;Protein kinase C alpha type"</f>
        <v>Protein kinase C gamma type;Protein kinase C alpha type</v>
      </c>
      <c r="K1841" t="str">
        <f>"PRKCG;PRKCA"</f>
        <v>PRKCG;PRKCA</v>
      </c>
    </row>
    <row r="1842" spans="1:11" x14ac:dyDescent="0.25">
      <c r="A1842" s="1">
        <v>789</v>
      </c>
      <c r="B1842" s="1">
        <v>4</v>
      </c>
      <c r="C1842" s="1" t="s">
        <v>3</v>
      </c>
      <c r="D1842" s="1">
        <v>15</v>
      </c>
      <c r="E1842" s="1">
        <v>74.028999999999996</v>
      </c>
      <c r="F1842" s="1">
        <v>0.76299600000000001</v>
      </c>
      <c r="G1842" t="s">
        <v>2948</v>
      </c>
      <c r="H1842" t="s">
        <v>739</v>
      </c>
      <c r="I1842" t="s">
        <v>5506</v>
      </c>
      <c r="J1842" t="str">
        <f>"Protocadherin Fat 1;Protocadherin Fat 1, nuclear form"</f>
        <v>Protocadherin Fat 1;Protocadherin Fat 1, nuclear form</v>
      </c>
      <c r="K1842" t="str">
        <f>"FAT1"</f>
        <v>FAT1</v>
      </c>
    </row>
    <row r="1843" spans="1:11" x14ac:dyDescent="0.25">
      <c r="A1843" s="1">
        <v>355</v>
      </c>
      <c r="B1843" s="1">
        <v>3</v>
      </c>
      <c r="C1843" s="1" t="s">
        <v>5</v>
      </c>
      <c r="D1843" s="1">
        <v>1</v>
      </c>
      <c r="E1843" s="1">
        <v>61.963000000000001</v>
      </c>
      <c r="F1843" s="1">
        <v>0.51705299999999998</v>
      </c>
      <c r="G1843" t="s">
        <v>2949</v>
      </c>
      <c r="H1843" t="s">
        <v>1497</v>
      </c>
      <c r="I1843" t="s">
        <v>5507</v>
      </c>
      <c r="J1843" t="str">
        <f>"Type-1 angiotensin II receptor-associated protein"</f>
        <v>Type-1 angiotensin II receptor-associated protein</v>
      </c>
      <c r="K1843" t="str">
        <f>"AGTRAP"</f>
        <v>AGTRAP</v>
      </c>
    </row>
    <row r="1844" spans="1:11" x14ac:dyDescent="0.25">
      <c r="A1844" s="1">
        <v>1248</v>
      </c>
      <c r="B1844" s="1">
        <v>4</v>
      </c>
      <c r="C1844" s="1" t="s">
        <v>3</v>
      </c>
      <c r="D1844" s="1">
        <v>8</v>
      </c>
      <c r="E1844" s="1">
        <v>65.423000000000002</v>
      </c>
      <c r="F1844" s="1">
        <v>0.99986600000000003</v>
      </c>
      <c r="G1844" t="s">
        <v>2950</v>
      </c>
      <c r="H1844" t="s">
        <v>344</v>
      </c>
      <c r="I1844" t="s">
        <v>5508</v>
      </c>
      <c r="J1844" t="str">
        <f>"Tyrosine-protein kinase;Non-receptor tyrosine-protein kinase TYK2"</f>
        <v>Tyrosine-protein kinase;Non-receptor tyrosine-protein kinase TYK2</v>
      </c>
      <c r="K1844" t="str">
        <f>"TYK2"</f>
        <v>TYK2</v>
      </c>
    </row>
    <row r="1845" spans="1:11" x14ac:dyDescent="0.25">
      <c r="A1845" s="1">
        <v>764</v>
      </c>
      <c r="B1845" s="1">
        <v>3</v>
      </c>
      <c r="C1845" s="1" t="s">
        <v>3</v>
      </c>
      <c r="D1845" s="1">
        <v>3</v>
      </c>
      <c r="E1845" s="1">
        <v>40.941000000000003</v>
      </c>
      <c r="F1845" s="1">
        <v>0.94228900000000004</v>
      </c>
      <c r="G1845" t="s">
        <v>2951</v>
      </c>
      <c r="H1845" t="s">
        <v>597</v>
      </c>
      <c r="I1845" t="s">
        <v>5509</v>
      </c>
      <c r="J1845" t="str">
        <f>"Thioredoxin reductase 1, cytoplasmic"</f>
        <v>Thioredoxin reductase 1, cytoplasmic</v>
      </c>
      <c r="K1845" t="str">
        <f>"GML;TXNRD1"</f>
        <v>GML;TXNRD1</v>
      </c>
    </row>
    <row r="1846" spans="1:11" x14ac:dyDescent="0.25">
      <c r="A1846" s="1">
        <v>404</v>
      </c>
      <c r="B1846" s="1">
        <v>5</v>
      </c>
      <c r="C1846" s="1" t="s">
        <v>5</v>
      </c>
      <c r="D1846" s="1">
        <v>9</v>
      </c>
      <c r="E1846" s="1">
        <v>67.760000000000005</v>
      </c>
      <c r="F1846" s="1">
        <v>0.51995899999999995</v>
      </c>
      <c r="G1846" t="s">
        <v>2952</v>
      </c>
      <c r="H1846" t="s">
        <v>207</v>
      </c>
      <c r="I1846">
        <v>74</v>
      </c>
      <c r="J1846" t="str">
        <f>"Uncharacterized protein C11orf52"</f>
        <v>Uncharacterized protein C11orf52</v>
      </c>
      <c r="K1846" t="str">
        <f>"C11orf52"</f>
        <v>C11orf52</v>
      </c>
    </row>
    <row r="1847" spans="1:11" x14ac:dyDescent="0.25">
      <c r="A1847" s="1">
        <v>2829</v>
      </c>
      <c r="B1847" s="1">
        <v>2</v>
      </c>
      <c r="C1847" s="1" t="s">
        <v>3</v>
      </c>
      <c r="D1847" s="1">
        <v>2</v>
      </c>
      <c r="E1847" s="1">
        <v>63.564999999999998</v>
      </c>
      <c r="F1847" s="1">
        <v>0.99999700000000002</v>
      </c>
      <c r="G1847" t="s">
        <v>2953</v>
      </c>
      <c r="H1847" t="s">
        <v>358</v>
      </c>
      <c r="I1847" t="s">
        <v>5510</v>
      </c>
      <c r="J1847" t="str">
        <f>"Fermitin family homolog 2"</f>
        <v>Fermitin family homolog 2</v>
      </c>
      <c r="K1847" t="str">
        <f>"FERMT2"</f>
        <v>FERMT2</v>
      </c>
    </row>
    <row r="1848" spans="1:11" x14ac:dyDescent="0.25">
      <c r="A1848" s="1">
        <v>2939</v>
      </c>
      <c r="B1848" s="1">
        <v>3</v>
      </c>
      <c r="C1848" s="1" t="s">
        <v>3</v>
      </c>
      <c r="D1848" s="1">
        <v>4</v>
      </c>
      <c r="E1848" s="1">
        <v>70.438000000000002</v>
      </c>
      <c r="F1848" s="1">
        <v>0.95550299999999999</v>
      </c>
      <c r="G1848" t="s">
        <v>2954</v>
      </c>
      <c r="H1848" t="s">
        <v>2475</v>
      </c>
      <c r="I1848">
        <v>979</v>
      </c>
      <c r="J1848" t="str">
        <f>"Uncharacterized protein KIAA1671"</f>
        <v>Uncharacterized protein KIAA1671</v>
      </c>
      <c r="K1848" t="str">
        <f>"KIAA1671"</f>
        <v>KIAA1671</v>
      </c>
    </row>
    <row r="1849" spans="1:11" x14ac:dyDescent="0.25">
      <c r="A1849" s="1">
        <v>2832</v>
      </c>
      <c r="B1849" s="1">
        <v>2</v>
      </c>
      <c r="C1849" s="1" t="s">
        <v>3</v>
      </c>
      <c r="D1849" s="1">
        <v>10</v>
      </c>
      <c r="E1849" s="1">
        <v>69.92</v>
      </c>
      <c r="F1849" s="1">
        <v>0.96271399999999996</v>
      </c>
      <c r="G1849" t="s">
        <v>2955</v>
      </c>
      <c r="H1849" t="s">
        <v>2338</v>
      </c>
      <c r="I1849">
        <v>169</v>
      </c>
      <c r="J1849" t="str">
        <f>"Protein FAM3D"</f>
        <v>Protein FAM3D</v>
      </c>
      <c r="K1849" t="str">
        <f>"FAM3D"</f>
        <v>FAM3D</v>
      </c>
    </row>
    <row r="1850" spans="1:11" x14ac:dyDescent="0.25">
      <c r="A1850" s="1">
        <v>2986</v>
      </c>
      <c r="B1850" s="1">
        <v>2</v>
      </c>
      <c r="C1850" s="1" t="s">
        <v>3</v>
      </c>
      <c r="D1850" s="1">
        <v>5</v>
      </c>
      <c r="E1850" s="1">
        <v>66.055999999999997</v>
      </c>
      <c r="F1850" s="1">
        <v>0.96879300000000002</v>
      </c>
      <c r="G1850" t="s">
        <v>2956</v>
      </c>
      <c r="H1850" t="s">
        <v>1645</v>
      </c>
      <c r="I1850" t="s">
        <v>5511</v>
      </c>
      <c r="J1850" t="str">
        <f>"Pleckstrin homology domain-containing family A member 5"</f>
        <v>Pleckstrin homology domain-containing family A member 5</v>
      </c>
      <c r="K1850" t="str">
        <f>"PLEKHA5"</f>
        <v>PLEKHA5</v>
      </c>
    </row>
    <row r="1851" spans="1:11" x14ac:dyDescent="0.25">
      <c r="A1851" s="1">
        <v>1180</v>
      </c>
      <c r="B1851" s="1">
        <v>2</v>
      </c>
      <c r="C1851" s="1" t="s">
        <v>3</v>
      </c>
      <c r="D1851" s="1">
        <v>3</v>
      </c>
      <c r="E1851" s="1">
        <v>47.96</v>
      </c>
      <c r="F1851" s="1">
        <v>1</v>
      </c>
      <c r="G1851" t="s">
        <v>2957</v>
      </c>
      <c r="H1851" t="s">
        <v>2854</v>
      </c>
      <c r="I1851" t="s">
        <v>5512</v>
      </c>
      <c r="J1851" t="str">
        <f>"Eukaryotic initiation factor 4A-II;Eukaryotic initiation factor 4A-I"</f>
        <v>Eukaryotic initiation factor 4A-II;Eukaryotic initiation factor 4A-I</v>
      </c>
      <c r="K1851" t="str">
        <f>"EIF4A2;EIF4A1"</f>
        <v>EIF4A2;EIF4A1</v>
      </c>
    </row>
    <row r="1852" spans="1:11" x14ac:dyDescent="0.25">
      <c r="A1852" s="1">
        <v>1641</v>
      </c>
      <c r="B1852" s="1">
        <v>2</v>
      </c>
      <c r="C1852" s="1" t="s">
        <v>3</v>
      </c>
      <c r="D1852" s="1">
        <v>1</v>
      </c>
      <c r="E1852" s="1">
        <v>42.843000000000004</v>
      </c>
      <c r="F1852" s="1">
        <v>0.997695</v>
      </c>
      <c r="G1852" t="s">
        <v>2958</v>
      </c>
      <c r="H1852" t="s">
        <v>524</v>
      </c>
      <c r="I1852" t="s">
        <v>5513</v>
      </c>
      <c r="J1852" t="str">
        <f>"Alpha-enolase"</f>
        <v>Alpha-enolase</v>
      </c>
      <c r="K1852" t="str">
        <f>"ENO1"</f>
        <v>ENO1</v>
      </c>
    </row>
    <row r="1853" spans="1:11" x14ac:dyDescent="0.25">
      <c r="A1853" s="1">
        <v>32</v>
      </c>
      <c r="B1853" s="1">
        <v>3</v>
      </c>
      <c r="C1853" s="1" t="s">
        <v>5</v>
      </c>
      <c r="D1853" s="1">
        <v>3</v>
      </c>
      <c r="E1853" s="1">
        <v>58.372999999999998</v>
      </c>
      <c r="F1853" s="1">
        <v>0.80832599999999999</v>
      </c>
      <c r="G1853" t="s">
        <v>2959</v>
      </c>
      <c r="H1853" t="s">
        <v>201</v>
      </c>
      <c r="I1853" t="s">
        <v>5514</v>
      </c>
      <c r="J1853" t="str">
        <f>"ARF GTPase-activating protein GIT1"</f>
        <v>ARF GTPase-activating protein GIT1</v>
      </c>
      <c r="K1853" t="str">
        <f>"GIT1"</f>
        <v>GIT1</v>
      </c>
    </row>
    <row r="1854" spans="1:11" x14ac:dyDescent="0.25">
      <c r="A1854" s="1">
        <v>783</v>
      </c>
      <c r="B1854" s="1">
        <v>3</v>
      </c>
      <c r="C1854" s="1" t="s">
        <v>3</v>
      </c>
      <c r="D1854" s="1">
        <v>4</v>
      </c>
      <c r="E1854" s="1">
        <v>56.569000000000003</v>
      </c>
      <c r="F1854" s="1">
        <v>1</v>
      </c>
      <c r="G1854" t="s">
        <v>2960</v>
      </c>
      <c r="H1854" t="s">
        <v>2961</v>
      </c>
      <c r="I1854" t="s">
        <v>5515</v>
      </c>
      <c r="J1854" t="str">
        <f>""</f>
        <v/>
      </c>
      <c r="K1854" t="str">
        <f>""</f>
        <v/>
      </c>
    </row>
    <row r="1855" spans="1:11" x14ac:dyDescent="0.25">
      <c r="A1855" s="1">
        <v>2082</v>
      </c>
      <c r="B1855" s="1">
        <v>3</v>
      </c>
      <c r="C1855" s="1" t="s">
        <v>3</v>
      </c>
      <c r="D1855" s="1">
        <v>1</v>
      </c>
      <c r="E1855" s="1">
        <v>82.177000000000007</v>
      </c>
      <c r="F1855" s="1">
        <v>0.78848399999999996</v>
      </c>
      <c r="G1855" t="s">
        <v>2962</v>
      </c>
      <c r="H1855" t="s">
        <v>1453</v>
      </c>
      <c r="I1855">
        <v>105</v>
      </c>
      <c r="J1855" t="str">
        <f>"Crk-like protein"</f>
        <v>Crk-like protein</v>
      </c>
      <c r="K1855" t="str">
        <f>"CRKL"</f>
        <v>CRKL</v>
      </c>
    </row>
    <row r="1856" spans="1:11" x14ac:dyDescent="0.25">
      <c r="A1856" s="1">
        <v>2936</v>
      </c>
      <c r="B1856" s="1">
        <v>3</v>
      </c>
      <c r="C1856" s="1" t="s">
        <v>3</v>
      </c>
      <c r="D1856" s="1">
        <v>12</v>
      </c>
      <c r="E1856" s="1">
        <v>57.287999999999997</v>
      </c>
      <c r="F1856" s="1">
        <v>0.83283099999999999</v>
      </c>
      <c r="G1856" t="s">
        <v>2963</v>
      </c>
      <c r="H1856" t="s">
        <v>2964</v>
      </c>
      <c r="I1856">
        <v>62</v>
      </c>
      <c r="J1856" t="str">
        <f>"Oxysterol-binding protein-related protein 11"</f>
        <v>Oxysterol-binding protein-related protein 11</v>
      </c>
      <c r="K1856" t="str">
        <f>"OSBPL11"</f>
        <v>OSBPL11</v>
      </c>
    </row>
    <row r="1857" spans="1:11" x14ac:dyDescent="0.25">
      <c r="A1857" s="1">
        <v>784</v>
      </c>
      <c r="B1857" s="1">
        <v>2</v>
      </c>
      <c r="C1857" s="1" t="s">
        <v>3</v>
      </c>
      <c r="D1857" s="1">
        <v>2</v>
      </c>
      <c r="E1857" s="1">
        <v>81.625</v>
      </c>
      <c r="F1857" s="1">
        <v>0.99999800000000005</v>
      </c>
      <c r="G1857" t="s">
        <v>2965</v>
      </c>
      <c r="H1857" t="s">
        <v>2966</v>
      </c>
      <c r="I1857" t="s">
        <v>5516</v>
      </c>
      <c r="J1857" t="str">
        <f>"Stromal membrane-associated protein 2"</f>
        <v>Stromal membrane-associated protein 2</v>
      </c>
      <c r="K1857" t="str">
        <f>"SMAP2"</f>
        <v>SMAP2</v>
      </c>
    </row>
    <row r="1858" spans="1:11" x14ac:dyDescent="0.25">
      <c r="A1858" s="1">
        <v>1881</v>
      </c>
      <c r="B1858" s="1">
        <v>5</v>
      </c>
      <c r="C1858" s="1" t="s">
        <v>3</v>
      </c>
      <c r="D1858" s="1">
        <v>18</v>
      </c>
      <c r="E1858" s="1">
        <v>70.003</v>
      </c>
      <c r="F1858" s="1">
        <v>0.75200100000000003</v>
      </c>
      <c r="G1858" t="s">
        <v>2967</v>
      </c>
      <c r="H1858" t="s">
        <v>1039</v>
      </c>
      <c r="I1858" t="s">
        <v>5517</v>
      </c>
      <c r="J1858" t="str">
        <f>"Cadherin-3"</f>
        <v>Cadherin-3</v>
      </c>
      <c r="K1858" t="str">
        <f>"CDH3"</f>
        <v>CDH3</v>
      </c>
    </row>
    <row r="1859" spans="1:11" x14ac:dyDescent="0.25">
      <c r="A1859" s="1">
        <v>896</v>
      </c>
      <c r="B1859" s="1">
        <v>3</v>
      </c>
      <c r="C1859" s="1" t="s">
        <v>3</v>
      </c>
      <c r="D1859" s="1">
        <v>8</v>
      </c>
      <c r="E1859" s="1">
        <v>40.475000000000001</v>
      </c>
      <c r="F1859" s="1">
        <v>1</v>
      </c>
      <c r="G1859" t="s">
        <v>2968</v>
      </c>
      <c r="H1859" t="s">
        <v>2969</v>
      </c>
      <c r="I1859" t="s">
        <v>5518</v>
      </c>
      <c r="J1859" t="str">
        <f>"Protein WWC3"</f>
        <v>Protein WWC3</v>
      </c>
      <c r="K1859" t="str">
        <f>"WWC3"</f>
        <v>WWC3</v>
      </c>
    </row>
    <row r="1860" spans="1:11" x14ac:dyDescent="0.25">
      <c r="A1860" s="1">
        <v>2388</v>
      </c>
      <c r="B1860" s="1">
        <v>3</v>
      </c>
      <c r="C1860" s="1" t="s">
        <v>3</v>
      </c>
      <c r="D1860" s="1">
        <v>2</v>
      </c>
      <c r="E1860" s="1">
        <v>69.260999999999996</v>
      </c>
      <c r="F1860" s="1">
        <v>0.99999400000000005</v>
      </c>
      <c r="G1860" t="s">
        <v>2970</v>
      </c>
      <c r="H1860" t="s">
        <v>2971</v>
      </c>
      <c r="I1860">
        <v>252</v>
      </c>
      <c r="J1860" t="str">
        <f>"Epidermal growth factor receptor kinase substrate 8"</f>
        <v>Epidermal growth factor receptor kinase substrate 8</v>
      </c>
      <c r="K1860" t="str">
        <f>"EPS8"</f>
        <v>EPS8</v>
      </c>
    </row>
    <row r="1861" spans="1:11" x14ac:dyDescent="0.25">
      <c r="A1861" s="1">
        <v>894</v>
      </c>
      <c r="B1861" s="1">
        <v>3</v>
      </c>
      <c r="C1861" s="1" t="s">
        <v>3</v>
      </c>
      <c r="D1861" s="1">
        <v>1</v>
      </c>
      <c r="E1861" s="1">
        <v>84.165999999999997</v>
      </c>
      <c r="F1861" s="1">
        <v>0.99968699999999999</v>
      </c>
      <c r="G1861" t="s">
        <v>2972</v>
      </c>
      <c r="H1861" t="s">
        <v>2973</v>
      </c>
      <c r="I1861" t="s">
        <v>5519</v>
      </c>
      <c r="J1861" t="str">
        <f>"Plastin-3"</f>
        <v>Plastin-3</v>
      </c>
      <c r="K1861" t="str">
        <f>"PLS3"</f>
        <v>PLS3</v>
      </c>
    </row>
    <row r="1862" spans="1:11" x14ac:dyDescent="0.25">
      <c r="A1862" s="1">
        <v>2413</v>
      </c>
      <c r="B1862" s="1">
        <v>4</v>
      </c>
      <c r="C1862" s="1" t="s">
        <v>3</v>
      </c>
      <c r="D1862" s="1">
        <v>3</v>
      </c>
      <c r="E1862" s="1">
        <v>45.098999999999997</v>
      </c>
      <c r="F1862" s="1">
        <v>0.76005900000000004</v>
      </c>
      <c r="G1862" t="s">
        <v>2974</v>
      </c>
      <c r="H1862" t="s">
        <v>640</v>
      </c>
      <c r="I1862" t="s">
        <v>5520</v>
      </c>
      <c r="J1862" t="str">
        <f>"Transcription intermediary factor 1-beta"</f>
        <v>Transcription intermediary factor 1-beta</v>
      </c>
      <c r="K1862" t="str">
        <f>"TRIM28"</f>
        <v>TRIM28</v>
      </c>
    </row>
    <row r="1863" spans="1:11" x14ac:dyDescent="0.25">
      <c r="A1863" s="1">
        <v>1194</v>
      </c>
      <c r="B1863" s="1">
        <v>3</v>
      </c>
      <c r="C1863" s="1" t="s">
        <v>3</v>
      </c>
      <c r="D1863" s="1">
        <v>14</v>
      </c>
      <c r="E1863" s="1">
        <v>61.127000000000002</v>
      </c>
      <c r="F1863" s="1">
        <v>0.64879100000000001</v>
      </c>
      <c r="G1863" t="s">
        <v>2975</v>
      </c>
      <c r="H1863" t="s">
        <v>2862</v>
      </c>
      <c r="I1863" t="s">
        <v>5521</v>
      </c>
      <c r="J1863" t="str">
        <f>"Eukaryotic translation initiation factor 4 gamma 1"</f>
        <v>Eukaryotic translation initiation factor 4 gamma 1</v>
      </c>
      <c r="K1863" t="str">
        <f>"EIF4G1"</f>
        <v>EIF4G1</v>
      </c>
    </row>
    <row r="1864" spans="1:11" x14ac:dyDescent="0.25">
      <c r="A1864" s="1">
        <v>2296</v>
      </c>
      <c r="B1864" s="1">
        <v>3</v>
      </c>
      <c r="C1864" s="1" t="s">
        <v>3</v>
      </c>
      <c r="D1864" s="1">
        <v>7</v>
      </c>
      <c r="E1864" s="1">
        <v>43.591999999999999</v>
      </c>
      <c r="F1864" s="1">
        <v>0.91318100000000002</v>
      </c>
      <c r="G1864" t="s">
        <v>2976</v>
      </c>
      <c r="H1864" t="s">
        <v>559</v>
      </c>
      <c r="I1864">
        <v>4635</v>
      </c>
      <c r="J1864" t="str">
        <f>"Low-density lipoprotein receptor-related protein 2"</f>
        <v>Low-density lipoprotein receptor-related protein 2</v>
      </c>
      <c r="K1864" t="str">
        <f>"LRP2"</f>
        <v>LRP2</v>
      </c>
    </row>
    <row r="1865" spans="1:11" x14ac:dyDescent="0.25">
      <c r="A1865" s="1">
        <v>864</v>
      </c>
      <c r="B1865" s="1">
        <v>3</v>
      </c>
      <c r="C1865" s="1" t="s">
        <v>3</v>
      </c>
      <c r="D1865" s="1">
        <v>10</v>
      </c>
      <c r="E1865" s="1">
        <v>74.296000000000006</v>
      </c>
      <c r="F1865" s="1">
        <v>0.98649399999999998</v>
      </c>
      <c r="G1865" t="s">
        <v>2977</v>
      </c>
      <c r="H1865" t="s">
        <v>2978</v>
      </c>
      <c r="I1865" t="s">
        <v>5522</v>
      </c>
      <c r="J1865" t="str">
        <f>"E3 ubiquitin-protein ligase HECTD1"</f>
        <v>E3 ubiquitin-protein ligase HECTD1</v>
      </c>
      <c r="K1865" t="str">
        <f>"HECTD1"</f>
        <v>HECTD1</v>
      </c>
    </row>
    <row r="1866" spans="1:11" x14ac:dyDescent="0.25">
      <c r="A1866" s="1">
        <v>2669</v>
      </c>
      <c r="B1866" s="1">
        <v>2</v>
      </c>
      <c r="C1866" s="1" t="s">
        <v>3</v>
      </c>
      <c r="D1866" s="1">
        <v>8</v>
      </c>
      <c r="E1866" s="1">
        <v>56.569000000000003</v>
      </c>
      <c r="F1866" s="1">
        <v>0.648617</v>
      </c>
      <c r="G1866" t="s">
        <v>2979</v>
      </c>
      <c r="H1866" t="s">
        <v>2980</v>
      </c>
      <c r="I1866">
        <v>81</v>
      </c>
      <c r="J1866" t="str">
        <f>"Suppressor APC domain-containing protein 2"</f>
        <v>Suppressor APC domain-containing protein 2</v>
      </c>
      <c r="K1866" t="str">
        <f>"SAPCD2"</f>
        <v>SAPCD2</v>
      </c>
    </row>
    <row r="1867" spans="1:11" x14ac:dyDescent="0.25">
      <c r="A1867" s="1">
        <v>1660</v>
      </c>
      <c r="B1867" s="1">
        <v>2</v>
      </c>
      <c r="C1867" s="1" t="s">
        <v>3</v>
      </c>
      <c r="D1867" s="1">
        <v>5</v>
      </c>
      <c r="E1867" s="1">
        <v>43.761000000000003</v>
      </c>
      <c r="F1867" s="1">
        <v>0.79791999999999996</v>
      </c>
      <c r="G1867" t="s">
        <v>2981</v>
      </c>
      <c r="H1867" t="s">
        <v>1808</v>
      </c>
      <c r="I1867" t="s">
        <v>5523</v>
      </c>
      <c r="J1867" t="str">
        <f>"Tubulin beta chain"</f>
        <v>Tubulin beta chain</v>
      </c>
      <c r="K1867" t="str">
        <f>"TUBB"</f>
        <v>TUBB</v>
      </c>
    </row>
    <row r="1868" spans="1:11" x14ac:dyDescent="0.25">
      <c r="A1868" s="1">
        <v>2878</v>
      </c>
      <c r="B1868" s="1">
        <v>3</v>
      </c>
      <c r="C1868" s="1" t="s">
        <v>3</v>
      </c>
      <c r="D1868" s="1">
        <v>22</v>
      </c>
      <c r="E1868" s="1">
        <v>73.573999999999998</v>
      </c>
      <c r="F1868" s="1">
        <v>0.683222</v>
      </c>
      <c r="G1868" t="s">
        <v>2982</v>
      </c>
      <c r="H1868" t="s">
        <v>111</v>
      </c>
      <c r="I1868" t="s">
        <v>5524</v>
      </c>
      <c r="J1868" t="str">
        <f>"Sodium-coupled neutral amino acid transporter 2"</f>
        <v>Sodium-coupled neutral amino acid transporter 2</v>
      </c>
      <c r="K1868" t="str">
        <f>"SLC38A2"</f>
        <v>SLC38A2</v>
      </c>
    </row>
    <row r="1869" spans="1:11" x14ac:dyDescent="0.25">
      <c r="A1869" s="1">
        <v>2251</v>
      </c>
      <c r="B1869" s="1">
        <v>3</v>
      </c>
      <c r="C1869" s="1" t="s">
        <v>3</v>
      </c>
      <c r="D1869" s="1">
        <v>9</v>
      </c>
      <c r="E1869" s="1">
        <v>67.227000000000004</v>
      </c>
      <c r="F1869" s="1">
        <v>0.89663899999999996</v>
      </c>
      <c r="G1869" t="s">
        <v>2983</v>
      </c>
      <c r="H1869" t="s">
        <v>2984</v>
      </c>
      <c r="I1869" t="s">
        <v>4728</v>
      </c>
      <c r="J1869" t="str">
        <f>"40S ribosomal protein S14"</f>
        <v>40S ribosomal protein S14</v>
      </c>
      <c r="K1869" t="str">
        <f>"RPS14"</f>
        <v>RPS14</v>
      </c>
    </row>
    <row r="1870" spans="1:11" x14ac:dyDescent="0.25">
      <c r="A1870" s="1">
        <v>2403</v>
      </c>
      <c r="B1870" s="1">
        <v>3</v>
      </c>
      <c r="C1870" s="1" t="s">
        <v>3</v>
      </c>
      <c r="D1870" s="1">
        <v>2</v>
      </c>
      <c r="E1870" s="1">
        <v>84.165999999999997</v>
      </c>
      <c r="F1870" s="1">
        <v>0.96978900000000001</v>
      </c>
      <c r="G1870" t="s">
        <v>2985</v>
      </c>
      <c r="H1870" t="s">
        <v>2986</v>
      </c>
      <c r="I1870" t="s">
        <v>5525</v>
      </c>
      <c r="J1870" t="str">
        <f>"Calcium-binding and coiled-coil domain-containing protein 2"</f>
        <v>Calcium-binding and coiled-coil domain-containing protein 2</v>
      </c>
      <c r="K1870" t="str">
        <f>"CALCOCO2"</f>
        <v>CALCOCO2</v>
      </c>
    </row>
    <row r="1871" spans="1:11" x14ac:dyDescent="0.25">
      <c r="A1871" s="1">
        <v>2461</v>
      </c>
      <c r="B1871" s="1">
        <v>3</v>
      </c>
      <c r="C1871" s="1" t="s">
        <v>3</v>
      </c>
      <c r="D1871" s="1">
        <v>2</v>
      </c>
      <c r="E1871" s="1">
        <v>52.527000000000001</v>
      </c>
      <c r="F1871" s="1">
        <v>0.99194199999999999</v>
      </c>
      <c r="G1871" t="s">
        <v>2987</v>
      </c>
      <c r="H1871" t="s">
        <v>2988</v>
      </c>
      <c r="I1871">
        <v>308</v>
      </c>
      <c r="J1871" t="str">
        <f>"Tubulin--tyrosine ligase-like protein 12"</f>
        <v>Tubulin--tyrosine ligase-like protein 12</v>
      </c>
      <c r="K1871" t="str">
        <f>"TTLL12"</f>
        <v>TTLL12</v>
      </c>
    </row>
    <row r="1872" spans="1:11" x14ac:dyDescent="0.25">
      <c r="A1872" s="1">
        <v>1491</v>
      </c>
      <c r="B1872" s="1">
        <v>4</v>
      </c>
      <c r="C1872" s="1" t="s">
        <v>3</v>
      </c>
      <c r="D1872" s="1">
        <v>9</v>
      </c>
      <c r="E1872" s="1">
        <v>51.088999999999999</v>
      </c>
      <c r="F1872" s="1">
        <v>0.92486800000000002</v>
      </c>
      <c r="G1872" t="s">
        <v>2989</v>
      </c>
      <c r="H1872" t="s">
        <v>2990</v>
      </c>
      <c r="I1872" t="s">
        <v>5526</v>
      </c>
      <c r="J1872" t="str">
        <f>"Long-chain-fatty-acid--CoA ligase 4"</f>
        <v>Long-chain-fatty-acid--CoA ligase 4</v>
      </c>
      <c r="K1872" t="str">
        <f>"ACSL4"</f>
        <v>ACSL4</v>
      </c>
    </row>
    <row r="1873" spans="1:11" x14ac:dyDescent="0.25">
      <c r="A1873" s="1">
        <v>166</v>
      </c>
      <c r="B1873" s="1">
        <v>3</v>
      </c>
      <c r="C1873" s="1" t="s">
        <v>5</v>
      </c>
      <c r="D1873" s="1">
        <v>9</v>
      </c>
      <c r="E1873" s="1">
        <v>70.093999999999994</v>
      </c>
      <c r="F1873" s="1">
        <v>0.79783400000000004</v>
      </c>
      <c r="G1873" t="s">
        <v>2991</v>
      </c>
      <c r="H1873" t="s">
        <v>1399</v>
      </c>
      <c r="I1873" t="s">
        <v>5527</v>
      </c>
      <c r="J1873" t="str">
        <f>"Tyrosine-protein kinase ABL1"</f>
        <v>Tyrosine-protein kinase ABL1</v>
      </c>
      <c r="K1873" t="str">
        <f>"ABL1"</f>
        <v>ABL1</v>
      </c>
    </row>
    <row r="1874" spans="1:11" x14ac:dyDescent="0.25">
      <c r="A1874" s="1">
        <v>1300</v>
      </c>
      <c r="B1874" s="1">
        <v>2</v>
      </c>
      <c r="C1874" s="1" t="s">
        <v>3</v>
      </c>
      <c r="D1874" s="1">
        <v>4</v>
      </c>
      <c r="E1874" s="1">
        <v>45.433</v>
      </c>
      <c r="F1874" s="1">
        <v>0.994259</v>
      </c>
      <c r="G1874" t="s">
        <v>2992</v>
      </c>
      <c r="H1874" t="s">
        <v>2993</v>
      </c>
      <c r="I1874" t="s">
        <v>5528</v>
      </c>
      <c r="J1874" t="str">
        <f>"Destrin"</f>
        <v>Destrin</v>
      </c>
      <c r="K1874" t="str">
        <f>"DSTN"</f>
        <v>DSTN</v>
      </c>
    </row>
    <row r="1875" spans="1:11" x14ac:dyDescent="0.25">
      <c r="A1875" s="1">
        <v>3161</v>
      </c>
      <c r="B1875" s="1">
        <v>3</v>
      </c>
      <c r="C1875" s="1" t="s">
        <v>3</v>
      </c>
      <c r="D1875" s="1">
        <v>5</v>
      </c>
      <c r="E1875" s="1">
        <v>50.305</v>
      </c>
      <c r="F1875" s="1">
        <v>0.81401599999999996</v>
      </c>
      <c r="G1875" t="s">
        <v>2994</v>
      </c>
      <c r="H1875" t="s">
        <v>2995</v>
      </c>
      <c r="I1875">
        <v>565</v>
      </c>
      <c r="J1875" t="str">
        <f>"Coatomer subunit gamma-1"</f>
        <v>Coatomer subunit gamma-1</v>
      </c>
      <c r="K1875" t="str">
        <f>"COPG1"</f>
        <v>COPG1</v>
      </c>
    </row>
    <row r="1876" spans="1:11" x14ac:dyDescent="0.25">
      <c r="A1876" s="1">
        <v>1167</v>
      </c>
      <c r="B1876" s="1">
        <v>2</v>
      </c>
      <c r="C1876" s="1" t="s">
        <v>3</v>
      </c>
      <c r="D1876" s="1">
        <v>8</v>
      </c>
      <c r="E1876" s="1">
        <v>88.706000000000003</v>
      </c>
      <c r="F1876" s="1">
        <v>0.96921800000000002</v>
      </c>
      <c r="G1876" t="s">
        <v>2996</v>
      </c>
      <c r="H1876" t="s">
        <v>2997</v>
      </c>
      <c r="I1876" t="s">
        <v>5529</v>
      </c>
      <c r="J1876" t="str">
        <f>"Flotillin-2"</f>
        <v>Flotillin-2</v>
      </c>
      <c r="K1876" t="str">
        <f>"FLOT2"</f>
        <v>FLOT2</v>
      </c>
    </row>
    <row r="1877" spans="1:11" x14ac:dyDescent="0.25">
      <c r="A1877" s="1">
        <v>2703</v>
      </c>
      <c r="B1877" s="1">
        <v>3</v>
      </c>
      <c r="C1877" s="1" t="s">
        <v>3</v>
      </c>
      <c r="D1877" s="1">
        <v>10</v>
      </c>
      <c r="E1877" s="1">
        <v>55.453000000000003</v>
      </c>
      <c r="F1877" s="1">
        <v>0.80873600000000001</v>
      </c>
      <c r="G1877" t="s">
        <v>2998</v>
      </c>
      <c r="H1877" t="s">
        <v>2999</v>
      </c>
      <c r="I1877" t="s">
        <v>5530</v>
      </c>
      <c r="J1877" t="str">
        <f>"Poly [ADP-ribose] polymerase 9"</f>
        <v>Poly [ADP-ribose] polymerase 9</v>
      </c>
      <c r="K1877" t="str">
        <f>"PARP9"</f>
        <v>PARP9</v>
      </c>
    </row>
    <row r="1878" spans="1:11" x14ac:dyDescent="0.25">
      <c r="A1878" s="1">
        <v>1072</v>
      </c>
      <c r="B1878" s="1">
        <v>3</v>
      </c>
      <c r="C1878" s="1" t="s">
        <v>3</v>
      </c>
      <c r="D1878" s="1">
        <v>13</v>
      </c>
      <c r="E1878" s="1">
        <v>93.775999999999996</v>
      </c>
      <c r="F1878" s="1">
        <v>0.57429200000000002</v>
      </c>
      <c r="G1878" t="s">
        <v>3000</v>
      </c>
      <c r="H1878" t="s">
        <v>365</v>
      </c>
      <c r="I1878" t="s">
        <v>5531</v>
      </c>
      <c r="J1878" t="str">
        <f>"Coronin;Coronin-1C"</f>
        <v>Coronin;Coronin-1C</v>
      </c>
      <c r="K1878" t="str">
        <f>"CORO1C"</f>
        <v>CORO1C</v>
      </c>
    </row>
    <row r="1879" spans="1:11" x14ac:dyDescent="0.25">
      <c r="A1879" s="1">
        <v>2550</v>
      </c>
      <c r="B1879" s="1">
        <v>3</v>
      </c>
      <c r="C1879" s="1" t="s">
        <v>3</v>
      </c>
      <c r="D1879" s="1">
        <v>9</v>
      </c>
      <c r="E1879" s="1">
        <v>88.075000000000003</v>
      </c>
      <c r="F1879" s="1">
        <v>0.96476700000000004</v>
      </c>
      <c r="G1879" t="s">
        <v>3001</v>
      </c>
      <c r="H1879" t="s">
        <v>3002</v>
      </c>
      <c r="I1879">
        <v>174</v>
      </c>
      <c r="J1879" t="str">
        <f>"MAP kinase-activated protein kinase 3"</f>
        <v>MAP kinase-activated protein kinase 3</v>
      </c>
      <c r="K1879" t="str">
        <f>"MAPKAPK3"</f>
        <v>MAPKAPK3</v>
      </c>
    </row>
    <row r="1880" spans="1:11" x14ac:dyDescent="0.25">
      <c r="A1880" s="1">
        <v>1540</v>
      </c>
      <c r="B1880" s="1">
        <v>3</v>
      </c>
      <c r="C1880" s="1" t="s">
        <v>3</v>
      </c>
      <c r="D1880" s="1">
        <v>13</v>
      </c>
      <c r="E1880" s="1">
        <v>68.844999999999999</v>
      </c>
      <c r="F1880" s="1">
        <v>0.87915200000000004</v>
      </c>
      <c r="G1880" t="s">
        <v>3003</v>
      </c>
      <c r="H1880" t="s">
        <v>3004</v>
      </c>
      <c r="I1880" t="s">
        <v>5532</v>
      </c>
      <c r="J1880" t="str">
        <f>"Cell division cycle protein 123 homolog"</f>
        <v>Cell division cycle protein 123 homolog</v>
      </c>
      <c r="K1880" t="str">
        <f>"CDC123"</f>
        <v>CDC123</v>
      </c>
    </row>
    <row r="1881" spans="1:11" x14ac:dyDescent="0.25">
      <c r="A1881" s="1">
        <v>2165</v>
      </c>
      <c r="B1881" s="1">
        <v>3</v>
      </c>
      <c r="C1881" s="1" t="s">
        <v>3</v>
      </c>
      <c r="D1881" s="1">
        <v>11</v>
      </c>
      <c r="E1881" s="1">
        <v>40.941000000000003</v>
      </c>
      <c r="F1881" s="1">
        <v>0.94102200000000003</v>
      </c>
      <c r="G1881" t="s">
        <v>3005</v>
      </c>
      <c r="H1881" t="s">
        <v>2117</v>
      </c>
      <c r="I1881" t="s">
        <v>5533</v>
      </c>
      <c r="J1881" t="str">
        <f>"Guanine nucleotide exchange factor VAV2"</f>
        <v>Guanine nucleotide exchange factor VAV2</v>
      </c>
      <c r="K1881" t="str">
        <f>"VAV2"</f>
        <v>VAV2</v>
      </c>
    </row>
    <row r="1882" spans="1:11" x14ac:dyDescent="0.25">
      <c r="A1882" s="1">
        <v>964</v>
      </c>
      <c r="B1882" s="1">
        <v>3</v>
      </c>
      <c r="C1882" s="1" t="s">
        <v>3</v>
      </c>
      <c r="D1882" s="1">
        <v>14</v>
      </c>
      <c r="E1882" s="1">
        <v>76.899000000000001</v>
      </c>
      <c r="F1882" s="1">
        <v>0.93599699999999997</v>
      </c>
      <c r="G1882" t="s">
        <v>3006</v>
      </c>
      <c r="H1882" t="s">
        <v>3007</v>
      </c>
      <c r="I1882" t="s">
        <v>5534</v>
      </c>
      <c r="J1882" t="str">
        <f>""</f>
        <v/>
      </c>
      <c r="K1882" t="str">
        <f>"HSPA1A"</f>
        <v>HSPA1A</v>
      </c>
    </row>
    <row r="1883" spans="1:11" x14ac:dyDescent="0.25">
      <c r="A1883" s="1">
        <v>584</v>
      </c>
      <c r="B1883" s="1">
        <v>3</v>
      </c>
      <c r="C1883" s="1" t="s">
        <v>4</v>
      </c>
      <c r="D1883" s="1">
        <v>15</v>
      </c>
      <c r="E1883" s="1">
        <v>48.287999999999997</v>
      </c>
      <c r="F1883" s="1">
        <v>0.53495499999999996</v>
      </c>
      <c r="G1883" t="s">
        <v>3008</v>
      </c>
      <c r="H1883" t="s">
        <v>869</v>
      </c>
      <c r="I1883" t="s">
        <v>5107</v>
      </c>
      <c r="J1883" t="str">
        <f>"Aldose reductase"</f>
        <v>Aldose reductase</v>
      </c>
      <c r="K1883" t="str">
        <f>"AKR1B1"</f>
        <v>AKR1B1</v>
      </c>
    </row>
    <row r="1884" spans="1:11" x14ac:dyDescent="0.25">
      <c r="A1884" s="1">
        <v>1140</v>
      </c>
      <c r="B1884" s="1">
        <v>3</v>
      </c>
      <c r="C1884" s="1" t="s">
        <v>3</v>
      </c>
      <c r="D1884" s="1">
        <v>6</v>
      </c>
      <c r="E1884" s="1">
        <v>59.709000000000003</v>
      </c>
      <c r="F1884" s="1">
        <v>0.83938000000000001</v>
      </c>
      <c r="G1884" t="s">
        <v>3009</v>
      </c>
      <c r="H1884" t="s">
        <v>2326</v>
      </c>
      <c r="I1884" t="s">
        <v>5535</v>
      </c>
      <c r="J1884" t="str">
        <f>"Serum albumin"</f>
        <v>Serum albumin</v>
      </c>
      <c r="K1884" t="str">
        <f>"ALB"</f>
        <v>ALB</v>
      </c>
    </row>
    <row r="1885" spans="1:11" x14ac:dyDescent="0.25">
      <c r="A1885" s="1">
        <v>1718</v>
      </c>
      <c r="B1885" s="1">
        <v>2</v>
      </c>
      <c r="C1885" s="1" t="s">
        <v>3</v>
      </c>
      <c r="D1885" s="1">
        <v>5</v>
      </c>
      <c r="E1885" s="1">
        <v>65.179000000000002</v>
      </c>
      <c r="F1885" s="1">
        <v>0.99994099999999997</v>
      </c>
      <c r="G1885" t="s">
        <v>3010</v>
      </c>
      <c r="H1885" t="s">
        <v>3011</v>
      </c>
      <c r="I1885">
        <v>678</v>
      </c>
      <c r="J1885" t="str">
        <f>"Platelet-derived growth factor receptor beta"</f>
        <v>Platelet-derived growth factor receptor beta</v>
      </c>
      <c r="K1885" t="str">
        <f>"PDGFRB"</f>
        <v>PDGFRB</v>
      </c>
    </row>
    <row r="1886" spans="1:11" x14ac:dyDescent="0.25">
      <c r="A1886" s="1">
        <v>2302</v>
      </c>
      <c r="B1886" s="1">
        <v>3</v>
      </c>
      <c r="C1886" s="1" t="s">
        <v>3</v>
      </c>
      <c r="D1886" s="1">
        <v>2</v>
      </c>
      <c r="E1886" s="1">
        <v>50.222000000000001</v>
      </c>
      <c r="F1886" s="1">
        <v>0.99986600000000003</v>
      </c>
      <c r="G1886" t="s">
        <v>3012</v>
      </c>
      <c r="H1886" t="s">
        <v>1594</v>
      </c>
      <c r="I1886" t="s">
        <v>5536</v>
      </c>
      <c r="J1886" t="str">
        <f>"Heterogeneous nuclear ribonucleoprotein U"</f>
        <v>Heterogeneous nuclear ribonucleoprotein U</v>
      </c>
      <c r="K1886" t="str">
        <f>"HNRNPU"</f>
        <v>HNRNPU</v>
      </c>
    </row>
    <row r="1887" spans="1:11" x14ac:dyDescent="0.25">
      <c r="A1887" s="1">
        <v>2845</v>
      </c>
      <c r="B1887" s="1">
        <v>3</v>
      </c>
      <c r="C1887" s="1" t="s">
        <v>3</v>
      </c>
      <c r="D1887" s="1">
        <v>2</v>
      </c>
      <c r="E1887" s="1">
        <v>63.923000000000002</v>
      </c>
      <c r="F1887" s="1">
        <v>0.99794300000000002</v>
      </c>
      <c r="G1887" t="s">
        <v>3013</v>
      </c>
      <c r="H1887" t="s">
        <v>3014</v>
      </c>
      <c r="I1887" t="s">
        <v>5537</v>
      </c>
      <c r="J1887" t="str">
        <f>"Copine-2"</f>
        <v>Copine-2</v>
      </c>
      <c r="K1887" t="str">
        <f>"CPNE2"</f>
        <v>CPNE2</v>
      </c>
    </row>
    <row r="1888" spans="1:11" x14ac:dyDescent="0.25">
      <c r="A1888" s="1">
        <v>1887</v>
      </c>
      <c r="B1888" s="1">
        <v>3</v>
      </c>
      <c r="C1888" s="1" t="s">
        <v>3</v>
      </c>
      <c r="D1888" s="1">
        <v>24</v>
      </c>
      <c r="E1888" s="1">
        <v>68.073999999999998</v>
      </c>
      <c r="F1888" s="1">
        <v>0.93936600000000003</v>
      </c>
      <c r="G1888" t="s">
        <v>3015</v>
      </c>
      <c r="H1888" t="s">
        <v>547</v>
      </c>
      <c r="I1888" t="s">
        <v>5538</v>
      </c>
      <c r="J1888" t="str">
        <f>"Heterogeneous nuclear ribonucleoproteins A2/B1"</f>
        <v>Heterogeneous nuclear ribonucleoproteins A2/B1</v>
      </c>
      <c r="K1888" t="str">
        <f>"HNRNPA2B1"</f>
        <v>HNRNPA2B1</v>
      </c>
    </row>
    <row r="1889" spans="1:11" x14ac:dyDescent="0.25">
      <c r="A1889" s="1">
        <v>1076</v>
      </c>
      <c r="B1889" s="1">
        <v>3</v>
      </c>
      <c r="C1889" s="1" t="s">
        <v>3</v>
      </c>
      <c r="D1889" s="1">
        <v>8</v>
      </c>
      <c r="E1889" s="1">
        <v>69.92</v>
      </c>
      <c r="F1889" s="1">
        <v>0.98940099999999997</v>
      </c>
      <c r="G1889" t="s">
        <v>3016</v>
      </c>
      <c r="H1889" t="s">
        <v>3017</v>
      </c>
      <c r="I1889" t="s">
        <v>5539</v>
      </c>
      <c r="J1889" t="str">
        <f>"DNA excision repair protein ERCC-6-like"</f>
        <v>DNA excision repair protein ERCC-6-like</v>
      </c>
      <c r="K1889" t="str">
        <f>"ERCC6L"</f>
        <v>ERCC6L</v>
      </c>
    </row>
    <row r="1890" spans="1:11" x14ac:dyDescent="0.25">
      <c r="A1890" s="1">
        <v>2763</v>
      </c>
      <c r="B1890" s="1">
        <v>3</v>
      </c>
      <c r="C1890" s="1" t="s">
        <v>3</v>
      </c>
      <c r="D1890" s="1">
        <v>11</v>
      </c>
      <c r="E1890" s="1">
        <v>52.171999999999997</v>
      </c>
      <c r="F1890" s="1">
        <v>1</v>
      </c>
      <c r="G1890" t="s">
        <v>3018</v>
      </c>
      <c r="H1890" t="s">
        <v>3019</v>
      </c>
      <c r="I1890">
        <v>166</v>
      </c>
      <c r="J1890" t="str">
        <f>"Growth arrest and DNA damage-inducible proteins-interacting protein 1"</f>
        <v>Growth arrest and DNA damage-inducible proteins-interacting protein 1</v>
      </c>
      <c r="K1890" t="str">
        <f>"GADD45GIP1"</f>
        <v>GADD45GIP1</v>
      </c>
    </row>
    <row r="1891" spans="1:11" x14ac:dyDescent="0.25">
      <c r="A1891" s="1">
        <v>2736</v>
      </c>
      <c r="B1891" s="1">
        <v>2</v>
      </c>
      <c r="C1891" s="1" t="s">
        <v>3</v>
      </c>
      <c r="D1891" s="1">
        <v>5</v>
      </c>
      <c r="E1891" s="1">
        <v>41.892000000000003</v>
      </c>
      <c r="F1891" s="1">
        <v>0.99654399999999999</v>
      </c>
      <c r="G1891" t="s">
        <v>3020</v>
      </c>
      <c r="H1891" t="s">
        <v>3021</v>
      </c>
      <c r="I1891">
        <v>263</v>
      </c>
      <c r="J1891" t="str">
        <f>"Keratinocyte-associated transmembrane protein 2"</f>
        <v>Keratinocyte-associated transmembrane protein 2</v>
      </c>
      <c r="K1891" t="str">
        <f>"KCT2"</f>
        <v>KCT2</v>
      </c>
    </row>
    <row r="1892" spans="1:11" x14ac:dyDescent="0.25">
      <c r="A1892" s="1">
        <v>3108</v>
      </c>
      <c r="B1892" s="1">
        <v>3</v>
      </c>
      <c r="C1892" s="1" t="s">
        <v>3</v>
      </c>
      <c r="D1892" s="1">
        <v>1</v>
      </c>
      <c r="E1892" s="1">
        <v>77.745999999999995</v>
      </c>
      <c r="F1892" s="1">
        <v>0.85045800000000005</v>
      </c>
      <c r="G1892" t="s">
        <v>3022</v>
      </c>
      <c r="H1892" t="s">
        <v>3023</v>
      </c>
      <c r="I1892" t="s">
        <v>5540</v>
      </c>
      <c r="J1892" t="str">
        <f>"Brain-specific angiogenesis inhibitor 1-associated protein 2"</f>
        <v>Brain-specific angiogenesis inhibitor 1-associated protein 2</v>
      </c>
      <c r="K1892" t="str">
        <f>"BAIAP2;CCDC43"</f>
        <v>BAIAP2;CCDC43</v>
      </c>
    </row>
    <row r="1893" spans="1:11" x14ac:dyDescent="0.25">
      <c r="A1893" s="1">
        <v>2164</v>
      </c>
      <c r="B1893" s="1">
        <v>3</v>
      </c>
      <c r="C1893" s="1" t="s">
        <v>3</v>
      </c>
      <c r="D1893" s="1">
        <v>1</v>
      </c>
      <c r="E1893" s="1">
        <v>71.685000000000002</v>
      </c>
      <c r="F1893" s="1">
        <v>0.99805100000000002</v>
      </c>
      <c r="G1893" t="s">
        <v>3024</v>
      </c>
      <c r="H1893" t="s">
        <v>1629</v>
      </c>
      <c r="I1893">
        <v>276</v>
      </c>
      <c r="J1893" t="str">
        <f>"Heterogeneous nuclear ribonucleoprotein F;Heterogeneous nuclear ribonucleoprotein F, N-terminally processed"</f>
        <v>Heterogeneous nuclear ribonucleoprotein F;Heterogeneous nuclear ribonucleoprotein F, N-terminally processed</v>
      </c>
      <c r="K1893" t="str">
        <f>"HNRNPF"</f>
        <v>HNRNPF</v>
      </c>
    </row>
    <row r="1894" spans="1:11" x14ac:dyDescent="0.25">
      <c r="A1894" s="1">
        <v>3121</v>
      </c>
      <c r="B1894" s="1">
        <v>2</v>
      </c>
      <c r="C1894" s="1" t="s">
        <v>3</v>
      </c>
      <c r="D1894" s="1">
        <v>3</v>
      </c>
      <c r="E1894" s="1">
        <v>46.000999999999998</v>
      </c>
      <c r="F1894" s="1">
        <v>0.99984600000000001</v>
      </c>
      <c r="G1894" t="s">
        <v>3025</v>
      </c>
      <c r="H1894" t="s">
        <v>1705</v>
      </c>
      <c r="I1894">
        <v>94</v>
      </c>
      <c r="J1894" t="str">
        <f>"Thyroid hormone receptor-associated protein 3"</f>
        <v>Thyroid hormone receptor-associated protein 3</v>
      </c>
      <c r="K1894" t="str">
        <f>"THRAP3"</f>
        <v>THRAP3</v>
      </c>
    </row>
    <row r="1895" spans="1:11" x14ac:dyDescent="0.25">
      <c r="A1895" s="1">
        <v>2933</v>
      </c>
      <c r="B1895" s="1">
        <v>3</v>
      </c>
      <c r="C1895" s="1" t="s">
        <v>3</v>
      </c>
      <c r="D1895" s="1">
        <v>10</v>
      </c>
      <c r="E1895" s="1">
        <v>50.357999999999997</v>
      </c>
      <c r="F1895" s="1">
        <v>0.97859600000000002</v>
      </c>
      <c r="G1895" t="s">
        <v>3026</v>
      </c>
      <c r="H1895" t="s">
        <v>3027</v>
      </c>
      <c r="I1895">
        <v>163</v>
      </c>
      <c r="J1895" t="str">
        <f>"Uncharacterized protein C1orf50"</f>
        <v>Uncharacterized protein C1orf50</v>
      </c>
      <c r="K1895" t="str">
        <f>"C1orf50"</f>
        <v>C1orf50</v>
      </c>
    </row>
    <row r="1896" spans="1:11" x14ac:dyDescent="0.25">
      <c r="A1896" s="1">
        <v>3015</v>
      </c>
      <c r="B1896" s="1">
        <v>3</v>
      </c>
      <c r="C1896" s="1" t="s">
        <v>3</v>
      </c>
      <c r="D1896" s="1">
        <v>10</v>
      </c>
      <c r="E1896" s="1">
        <v>50.177999999999997</v>
      </c>
      <c r="F1896" s="1">
        <v>0.99770400000000004</v>
      </c>
      <c r="G1896" t="s">
        <v>3028</v>
      </c>
      <c r="H1896" t="s">
        <v>3029</v>
      </c>
      <c r="I1896">
        <v>260</v>
      </c>
      <c r="J1896" t="str">
        <f>"Isoleucine--tRNA ligase, mitochondrial"</f>
        <v>Isoleucine--tRNA ligase, mitochondrial</v>
      </c>
      <c r="K1896" t="str">
        <f>"IARS2"</f>
        <v>IARS2</v>
      </c>
    </row>
    <row r="1897" spans="1:11" x14ac:dyDescent="0.25">
      <c r="A1897" s="1">
        <v>739</v>
      </c>
      <c r="B1897" s="1">
        <v>3</v>
      </c>
      <c r="C1897" s="1" t="s">
        <v>4</v>
      </c>
      <c r="D1897" s="1">
        <v>15</v>
      </c>
      <c r="E1897" s="1">
        <v>83.54</v>
      </c>
      <c r="F1897" s="1">
        <v>0.65590400000000004</v>
      </c>
      <c r="G1897" t="s">
        <v>3030</v>
      </c>
      <c r="H1897" t="s">
        <v>2408</v>
      </c>
      <c r="I1897">
        <v>182</v>
      </c>
      <c r="J1897" t="str">
        <f>"Gem-associated protein 8"</f>
        <v>Gem-associated protein 8</v>
      </c>
      <c r="K1897" t="str">
        <f>"GEMIN8"</f>
        <v>GEMIN8</v>
      </c>
    </row>
    <row r="1898" spans="1:11" x14ac:dyDescent="0.25">
      <c r="A1898" s="1">
        <v>200</v>
      </c>
      <c r="B1898" s="1">
        <v>3</v>
      </c>
      <c r="C1898" s="1" t="s">
        <v>5</v>
      </c>
      <c r="D1898" s="1">
        <v>6</v>
      </c>
      <c r="E1898" s="1">
        <v>63.978999999999999</v>
      </c>
      <c r="F1898" s="1">
        <v>0.51599200000000001</v>
      </c>
      <c r="G1898" t="s">
        <v>3031</v>
      </c>
      <c r="H1898" t="s">
        <v>319</v>
      </c>
      <c r="I1898">
        <v>130</v>
      </c>
      <c r="J1898" t="str">
        <f>"Tyrosine-protein kinase Fgr"</f>
        <v>Tyrosine-protein kinase Fgr</v>
      </c>
      <c r="K1898" t="str">
        <f>"FGR"</f>
        <v>FGR</v>
      </c>
    </row>
    <row r="1899" spans="1:11" x14ac:dyDescent="0.25">
      <c r="A1899" s="1">
        <v>800</v>
      </c>
      <c r="B1899" s="1">
        <v>2</v>
      </c>
      <c r="C1899" s="1" t="s">
        <v>3</v>
      </c>
      <c r="D1899" s="1">
        <v>6</v>
      </c>
      <c r="E1899" s="1">
        <v>61.344000000000001</v>
      </c>
      <c r="F1899" s="1">
        <v>1</v>
      </c>
      <c r="G1899" t="s">
        <v>3032</v>
      </c>
      <c r="H1899" t="s">
        <v>3033</v>
      </c>
      <c r="I1899" t="s">
        <v>5147</v>
      </c>
      <c r="J1899" t="str">
        <f>"Endophilin-B1"</f>
        <v>Endophilin-B1</v>
      </c>
      <c r="K1899" t="str">
        <f>"SH3GLB1"</f>
        <v>SH3GLB1</v>
      </c>
    </row>
    <row r="1900" spans="1:11" x14ac:dyDescent="0.25">
      <c r="A1900" s="1">
        <v>885</v>
      </c>
      <c r="B1900" s="1">
        <v>2</v>
      </c>
      <c r="C1900" s="1" t="s">
        <v>3</v>
      </c>
      <c r="D1900" s="1">
        <v>6</v>
      </c>
      <c r="E1900" s="1">
        <v>59.198</v>
      </c>
      <c r="F1900" s="1">
        <v>0.79083499999999995</v>
      </c>
      <c r="G1900" t="s">
        <v>3034</v>
      </c>
      <c r="H1900" t="s">
        <v>116</v>
      </c>
      <c r="I1900" t="s">
        <v>5541</v>
      </c>
      <c r="J1900" t="str">
        <f>"Abl interactor 1"</f>
        <v>Abl interactor 1</v>
      </c>
      <c r="K1900" t="str">
        <f>"ABI1"</f>
        <v>ABI1</v>
      </c>
    </row>
    <row r="1901" spans="1:11" x14ac:dyDescent="0.25">
      <c r="A1901" s="1">
        <v>2104</v>
      </c>
      <c r="B1901" s="1">
        <v>3</v>
      </c>
      <c r="C1901" s="1" t="s">
        <v>3</v>
      </c>
      <c r="D1901" s="1">
        <v>3</v>
      </c>
      <c r="E1901" s="1">
        <v>63.375999999999998</v>
      </c>
      <c r="F1901" s="1">
        <v>0.97977099999999995</v>
      </c>
      <c r="G1901" t="s">
        <v>3035</v>
      </c>
      <c r="H1901" t="s">
        <v>3036</v>
      </c>
      <c r="I1901">
        <v>277</v>
      </c>
      <c r="J1901" t="s">
        <v>5542</v>
      </c>
      <c r="K1901" t="str">
        <f>"FASN"</f>
        <v>FASN</v>
      </c>
    </row>
    <row r="1902" spans="1:11" x14ac:dyDescent="0.25">
      <c r="A1902" s="1">
        <v>1855</v>
      </c>
      <c r="B1902" s="1">
        <v>2</v>
      </c>
      <c r="C1902" s="1" t="s">
        <v>3</v>
      </c>
      <c r="D1902" s="1">
        <v>1</v>
      </c>
      <c r="E1902" s="1">
        <v>43.308</v>
      </c>
      <c r="F1902" s="1">
        <v>0.99849399999999999</v>
      </c>
      <c r="G1902" t="s">
        <v>3037</v>
      </c>
      <c r="H1902" t="s">
        <v>3038</v>
      </c>
      <c r="I1902" t="s">
        <v>5543</v>
      </c>
      <c r="J1902" t="str">
        <f>"Ras-related protein Rab-5A;Ras-related protein Rab-5C;Ras-related protein Rab-5B"</f>
        <v>Ras-related protein Rab-5A;Ras-related protein Rab-5C;Ras-related protein Rab-5B</v>
      </c>
      <c r="K1902" t="str">
        <f>"RAB5A;RAB5C;RAB5B"</f>
        <v>RAB5A;RAB5C;RAB5B</v>
      </c>
    </row>
    <row r="1903" spans="1:11" x14ac:dyDescent="0.25">
      <c r="A1903" s="1">
        <v>3047</v>
      </c>
      <c r="B1903" s="1">
        <v>2</v>
      </c>
      <c r="C1903" s="1" t="s">
        <v>3</v>
      </c>
      <c r="D1903" s="1">
        <v>4</v>
      </c>
      <c r="E1903" s="1">
        <v>58.32</v>
      </c>
      <c r="F1903" s="1">
        <v>0.921543</v>
      </c>
      <c r="G1903" t="s">
        <v>3039</v>
      </c>
      <c r="H1903" t="s">
        <v>3040</v>
      </c>
      <c r="I1903" t="s">
        <v>5544</v>
      </c>
      <c r="J1903" t="str">
        <f>"[Pyruvate dehydrogenase [acetyl-transferring]]-phosphatase 1, mitochondrial"</f>
        <v>[Pyruvate dehydrogenase [acetyl-transferring]]-phosphatase 1, mitochondrial</v>
      </c>
      <c r="K1903" t="str">
        <f>"PDP1"</f>
        <v>PDP1</v>
      </c>
    </row>
    <row r="1904" spans="1:11" x14ac:dyDescent="0.25">
      <c r="A1904" s="1">
        <v>2013</v>
      </c>
      <c r="B1904" s="1">
        <v>2</v>
      </c>
      <c r="C1904" s="1" t="s">
        <v>3</v>
      </c>
      <c r="D1904" s="1">
        <v>6</v>
      </c>
      <c r="E1904" s="1">
        <v>60.255000000000003</v>
      </c>
      <c r="F1904" s="1">
        <v>0.99177300000000002</v>
      </c>
      <c r="G1904" t="s">
        <v>3041</v>
      </c>
      <c r="H1904" t="s">
        <v>3042</v>
      </c>
      <c r="I1904" t="s">
        <v>5545</v>
      </c>
      <c r="J1904" t="str">
        <f>"Signal recognition particle 14 kDa protein"</f>
        <v>Signal recognition particle 14 kDa protein</v>
      </c>
      <c r="K1904" t="str">
        <f>"SRP14"</f>
        <v>SRP14</v>
      </c>
    </row>
    <row r="1905" spans="1:11" x14ac:dyDescent="0.25">
      <c r="A1905" s="1">
        <v>25</v>
      </c>
      <c r="B1905" s="1">
        <v>4</v>
      </c>
      <c r="C1905" s="1" t="s">
        <v>5</v>
      </c>
      <c r="D1905" s="1">
        <v>24</v>
      </c>
      <c r="E1905" s="1">
        <v>53.679000000000002</v>
      </c>
      <c r="F1905" s="1">
        <v>0.51994399999999996</v>
      </c>
      <c r="G1905" t="s">
        <v>3043</v>
      </c>
      <c r="H1905" t="s">
        <v>3044</v>
      </c>
      <c r="I1905" t="s">
        <v>5546</v>
      </c>
      <c r="J1905" t="str">
        <f>"Protein SEC13 homolog"</f>
        <v>Protein SEC13 homolog</v>
      </c>
      <c r="K1905" t="str">
        <f>"SEC13"</f>
        <v>SEC13</v>
      </c>
    </row>
    <row r="1906" spans="1:11" x14ac:dyDescent="0.25">
      <c r="A1906" s="1">
        <v>2802</v>
      </c>
      <c r="B1906" s="1">
        <v>2</v>
      </c>
      <c r="C1906" s="1" t="s">
        <v>3</v>
      </c>
      <c r="D1906" s="1">
        <v>3</v>
      </c>
      <c r="E1906" s="1">
        <v>45.28</v>
      </c>
      <c r="F1906" s="1">
        <v>0.99964500000000001</v>
      </c>
      <c r="G1906" t="s">
        <v>3045</v>
      </c>
      <c r="H1906" t="s">
        <v>853</v>
      </c>
      <c r="I1906">
        <v>568</v>
      </c>
      <c r="J1906" t="str">
        <f>"Ankyrin repeat and SAM domain-containing protein 1A"</f>
        <v>Ankyrin repeat and SAM domain-containing protein 1A</v>
      </c>
      <c r="K1906" t="str">
        <f>"ANKS1A"</f>
        <v>ANKS1A</v>
      </c>
    </row>
    <row r="1907" spans="1:11" x14ac:dyDescent="0.25">
      <c r="A1907" s="1">
        <v>2571</v>
      </c>
      <c r="B1907" s="1">
        <v>3</v>
      </c>
      <c r="C1907" s="1" t="s">
        <v>3</v>
      </c>
      <c r="D1907" s="1">
        <v>7</v>
      </c>
      <c r="E1907" s="1">
        <v>41.542000000000002</v>
      </c>
      <c r="F1907" s="1">
        <v>0.67069500000000004</v>
      </c>
      <c r="G1907" t="s">
        <v>3046</v>
      </c>
      <c r="H1907" t="s">
        <v>3047</v>
      </c>
      <c r="I1907" t="s">
        <v>5547</v>
      </c>
      <c r="J1907" t="str">
        <f>"PDZ and LIM domain protein 3"</f>
        <v>PDZ and LIM domain protein 3</v>
      </c>
      <c r="K1907" t="str">
        <f>"PDLIM3"</f>
        <v>PDLIM3</v>
      </c>
    </row>
    <row r="1908" spans="1:11" x14ac:dyDescent="0.25">
      <c r="A1908" s="1">
        <v>2641</v>
      </c>
      <c r="B1908" s="1">
        <v>2</v>
      </c>
      <c r="C1908" s="1" t="s">
        <v>3</v>
      </c>
      <c r="D1908" s="1">
        <v>12</v>
      </c>
      <c r="E1908" s="1">
        <v>54.276000000000003</v>
      </c>
      <c r="F1908" s="1">
        <v>0.98965000000000003</v>
      </c>
      <c r="G1908" t="s">
        <v>3048</v>
      </c>
      <c r="H1908" t="s">
        <v>3049</v>
      </c>
      <c r="I1908" t="s">
        <v>5548</v>
      </c>
      <c r="J1908" t="str">
        <f>"Layilin"</f>
        <v>Layilin</v>
      </c>
      <c r="K1908" t="str">
        <f>"LAYN"</f>
        <v>LAYN</v>
      </c>
    </row>
    <row r="1909" spans="1:11" x14ac:dyDescent="0.25">
      <c r="A1909" s="1">
        <v>1285</v>
      </c>
      <c r="B1909" s="1">
        <v>2</v>
      </c>
      <c r="C1909" s="1" t="s">
        <v>3</v>
      </c>
      <c r="D1909" s="1">
        <v>11</v>
      </c>
      <c r="E1909" s="1">
        <v>99.5</v>
      </c>
      <c r="F1909" s="1">
        <v>0.99704000000000004</v>
      </c>
      <c r="G1909" t="s">
        <v>3050</v>
      </c>
      <c r="H1909" t="s">
        <v>3051</v>
      </c>
      <c r="I1909" t="s">
        <v>5549</v>
      </c>
      <c r="J1909" t="str">
        <f>"Tumor protein D52"</f>
        <v>Tumor protein D52</v>
      </c>
      <c r="K1909" t="str">
        <f>"TPD52"</f>
        <v>TPD52</v>
      </c>
    </row>
    <row r="1910" spans="1:11" x14ac:dyDescent="0.25">
      <c r="A1910" s="1">
        <v>1267</v>
      </c>
      <c r="B1910" s="1">
        <v>3</v>
      </c>
      <c r="C1910" s="1" t="s">
        <v>3</v>
      </c>
      <c r="D1910" s="1">
        <v>6</v>
      </c>
      <c r="E1910" s="1">
        <v>47.774000000000001</v>
      </c>
      <c r="F1910" s="1">
        <v>0.98999099999999995</v>
      </c>
      <c r="G1910" t="s">
        <v>3052</v>
      </c>
      <c r="H1910" t="s">
        <v>3053</v>
      </c>
      <c r="I1910" t="s">
        <v>5550</v>
      </c>
      <c r="J1910" t="str">
        <f>"DNA damage-binding protein 1"</f>
        <v>DNA damage-binding protein 1</v>
      </c>
      <c r="K1910" t="str">
        <f>"DDB1"</f>
        <v>DDB1</v>
      </c>
    </row>
    <row r="1911" spans="1:11" x14ac:dyDescent="0.25">
      <c r="A1911" s="1">
        <v>318</v>
      </c>
      <c r="B1911" s="1">
        <v>3</v>
      </c>
      <c r="C1911" s="1" t="s">
        <v>5</v>
      </c>
      <c r="D1911" s="1">
        <v>4</v>
      </c>
      <c r="E1911" s="1">
        <v>58.692999999999998</v>
      </c>
      <c r="F1911" s="1">
        <v>0.53837000000000002</v>
      </c>
      <c r="G1911" t="s">
        <v>3054</v>
      </c>
      <c r="H1911" t="s">
        <v>2174</v>
      </c>
      <c r="I1911" t="s">
        <v>5551</v>
      </c>
      <c r="J1911" t="str">
        <f>"Sequestosome-1"</f>
        <v>Sequestosome-1</v>
      </c>
      <c r="K1911" t="str">
        <f>"SQSTM1"</f>
        <v>SQSTM1</v>
      </c>
    </row>
    <row r="1912" spans="1:11" x14ac:dyDescent="0.25">
      <c r="A1912" s="1">
        <v>356</v>
      </c>
      <c r="B1912" s="1">
        <v>3</v>
      </c>
      <c r="C1912" s="1" t="s">
        <v>5</v>
      </c>
      <c r="D1912" s="1">
        <v>22</v>
      </c>
      <c r="E1912" s="1">
        <v>52.97</v>
      </c>
      <c r="F1912" s="1">
        <v>0.63371900000000003</v>
      </c>
      <c r="G1912" t="s">
        <v>3055</v>
      </c>
      <c r="H1912" t="s">
        <v>3056</v>
      </c>
      <c r="I1912" t="s">
        <v>5552</v>
      </c>
      <c r="J1912" t="str">
        <f>"SLP adapter and CSK-interacting membrane protein"</f>
        <v>SLP adapter and CSK-interacting membrane protein</v>
      </c>
      <c r="K1912" t="str">
        <f>"SCIMP"</f>
        <v>SCIMP</v>
      </c>
    </row>
    <row r="1913" spans="1:11" x14ac:dyDescent="0.25">
      <c r="A1913" s="1">
        <v>878</v>
      </c>
      <c r="B1913" s="1">
        <v>2</v>
      </c>
      <c r="C1913" s="1" t="s">
        <v>3</v>
      </c>
      <c r="D1913" s="1">
        <v>6</v>
      </c>
      <c r="E1913" s="1">
        <v>49.448</v>
      </c>
      <c r="F1913" s="1">
        <v>0.954345</v>
      </c>
      <c r="G1913" t="s">
        <v>3057</v>
      </c>
      <c r="H1913" t="s">
        <v>1721</v>
      </c>
      <c r="I1913" t="s">
        <v>5553</v>
      </c>
      <c r="J1913" t="str">
        <f>"1-phosphatidylinositol 4,5-bisphosphate phosphodiesterase gamma-2"</f>
        <v>1-phosphatidylinositol 4,5-bisphosphate phosphodiesterase gamma-2</v>
      </c>
      <c r="K1913" t="str">
        <f>"PLCG2"</f>
        <v>PLCG2</v>
      </c>
    </row>
    <row r="1914" spans="1:11" x14ac:dyDescent="0.25">
      <c r="A1914" s="1">
        <v>2468</v>
      </c>
      <c r="B1914" s="1">
        <v>3</v>
      </c>
      <c r="C1914" s="1" t="s">
        <v>3</v>
      </c>
      <c r="D1914" s="1">
        <v>19</v>
      </c>
      <c r="E1914" s="1">
        <v>73.057000000000002</v>
      </c>
      <c r="F1914" s="1">
        <v>0.99998600000000004</v>
      </c>
      <c r="G1914" t="s">
        <v>3058</v>
      </c>
      <c r="H1914" t="s">
        <v>534</v>
      </c>
      <c r="I1914" t="s">
        <v>5554</v>
      </c>
      <c r="J1914" t="str">
        <f>"Src substrate cortactin"</f>
        <v>Src substrate cortactin</v>
      </c>
      <c r="K1914" t="str">
        <f>"CTTN"</f>
        <v>CTTN</v>
      </c>
    </row>
    <row r="1915" spans="1:11" x14ac:dyDescent="0.25">
      <c r="A1915" s="1">
        <v>441</v>
      </c>
      <c r="B1915" s="1">
        <v>3</v>
      </c>
      <c r="C1915" s="1" t="s">
        <v>5</v>
      </c>
      <c r="D1915" s="1">
        <v>13</v>
      </c>
      <c r="E1915" s="1">
        <v>47.548000000000002</v>
      </c>
      <c r="F1915" s="1">
        <v>0.57380900000000001</v>
      </c>
      <c r="G1915" t="s">
        <v>3059</v>
      </c>
      <c r="H1915" t="s">
        <v>3060</v>
      </c>
      <c r="I1915">
        <v>55</v>
      </c>
      <c r="J1915" t="str">
        <f>"Phosphorylated adapter RNA export protein"</f>
        <v>Phosphorylated adapter RNA export protein</v>
      </c>
      <c r="K1915" t="str">
        <f>"PHAX"</f>
        <v>PHAX</v>
      </c>
    </row>
    <row r="1916" spans="1:11" x14ac:dyDescent="0.25">
      <c r="A1916" s="1">
        <v>2151</v>
      </c>
      <c r="B1916" s="1">
        <v>4</v>
      </c>
      <c r="C1916" s="1" t="s">
        <v>3</v>
      </c>
      <c r="D1916" s="1">
        <v>7</v>
      </c>
      <c r="E1916" s="1">
        <v>60.133000000000003</v>
      </c>
      <c r="F1916" s="1">
        <v>0.99092999999999998</v>
      </c>
      <c r="G1916" t="s">
        <v>3061</v>
      </c>
      <c r="H1916" t="s">
        <v>629</v>
      </c>
      <c r="I1916" t="s">
        <v>5555</v>
      </c>
      <c r="J1916" t="str">
        <f>"Calponin-1"</f>
        <v>Calponin-1</v>
      </c>
      <c r="K1916" t="str">
        <f>"CNN1"</f>
        <v>CNN1</v>
      </c>
    </row>
    <row r="1917" spans="1:11" x14ac:dyDescent="0.25">
      <c r="A1917" s="1">
        <v>1447</v>
      </c>
      <c r="B1917" s="1">
        <v>3</v>
      </c>
      <c r="C1917" s="1" t="s">
        <v>3</v>
      </c>
      <c r="D1917" s="1">
        <v>7</v>
      </c>
      <c r="E1917" s="1">
        <v>44.683</v>
      </c>
      <c r="F1917" s="1">
        <v>0.65147900000000003</v>
      </c>
      <c r="G1917" t="s">
        <v>3062</v>
      </c>
      <c r="H1917" t="s">
        <v>3063</v>
      </c>
      <c r="I1917">
        <v>796</v>
      </c>
      <c r="J1917" t="str">
        <f>"Zinc finger protein 609"</f>
        <v>Zinc finger protein 609</v>
      </c>
      <c r="K1917" t="str">
        <f>"ZNF609"</f>
        <v>ZNF609</v>
      </c>
    </row>
    <row r="1918" spans="1:11" x14ac:dyDescent="0.25">
      <c r="A1918" s="1">
        <v>981</v>
      </c>
      <c r="B1918" s="1">
        <v>3</v>
      </c>
      <c r="C1918" s="1" t="s">
        <v>3</v>
      </c>
      <c r="D1918" s="1">
        <v>2</v>
      </c>
      <c r="E1918" s="1">
        <v>71.176000000000002</v>
      </c>
      <c r="F1918" s="1">
        <v>0.96834699999999996</v>
      </c>
      <c r="G1918" t="s">
        <v>3064</v>
      </c>
      <c r="H1918" t="s">
        <v>1536</v>
      </c>
      <c r="I1918" t="s">
        <v>5556</v>
      </c>
      <c r="J1918" t="str">
        <f>"MARVEL domain-containing protein 2"</f>
        <v>MARVEL domain-containing protein 2</v>
      </c>
      <c r="K1918" t="str">
        <f>"MARVELD2"</f>
        <v>MARVELD2</v>
      </c>
    </row>
    <row r="1919" spans="1:11" x14ac:dyDescent="0.25">
      <c r="A1919" s="1">
        <v>1297</v>
      </c>
      <c r="B1919" s="1">
        <v>2</v>
      </c>
      <c r="C1919" s="1" t="s">
        <v>3</v>
      </c>
      <c r="D1919" s="1">
        <v>1</v>
      </c>
      <c r="E1919" s="1">
        <v>54.981999999999999</v>
      </c>
      <c r="F1919" s="1">
        <v>1</v>
      </c>
      <c r="G1919" t="s">
        <v>3065</v>
      </c>
      <c r="H1919" t="s">
        <v>3066</v>
      </c>
      <c r="I1919" t="s">
        <v>5557</v>
      </c>
      <c r="J1919" t="str">
        <f>"Unconventional myosin-Ic"</f>
        <v>Unconventional myosin-Ic</v>
      </c>
      <c r="K1919" t="str">
        <f>"MYO1C"</f>
        <v>MYO1C</v>
      </c>
    </row>
    <row r="1920" spans="1:11" x14ac:dyDescent="0.25">
      <c r="A1920" s="1">
        <v>1184</v>
      </c>
      <c r="B1920" s="1">
        <v>2</v>
      </c>
      <c r="C1920" s="1" t="s">
        <v>3</v>
      </c>
      <c r="D1920" s="1">
        <v>1</v>
      </c>
      <c r="E1920" s="1">
        <v>90.793000000000006</v>
      </c>
      <c r="F1920" s="1">
        <v>0.999892</v>
      </c>
      <c r="G1920" t="s">
        <v>3067</v>
      </c>
      <c r="H1920" t="s">
        <v>3068</v>
      </c>
      <c r="I1920" t="s">
        <v>5558</v>
      </c>
      <c r="J1920" t="str">
        <f>"Aspartyl aminopeptidase"</f>
        <v>Aspartyl aminopeptidase</v>
      </c>
      <c r="K1920" t="str">
        <f>"DNPEP"</f>
        <v>DNPEP</v>
      </c>
    </row>
    <row r="1921" spans="1:11" x14ac:dyDescent="0.25">
      <c r="A1921" s="1">
        <v>935</v>
      </c>
      <c r="B1921" s="1">
        <v>2</v>
      </c>
      <c r="C1921" s="1" t="s">
        <v>3</v>
      </c>
      <c r="D1921" s="1">
        <v>7</v>
      </c>
      <c r="E1921" s="1">
        <v>49.594999999999999</v>
      </c>
      <c r="F1921" s="1">
        <v>0.77059599999999995</v>
      </c>
      <c r="G1921" t="s">
        <v>3069</v>
      </c>
      <c r="H1921" t="s">
        <v>871</v>
      </c>
      <c r="I1921" t="s">
        <v>5559</v>
      </c>
      <c r="J1921" t="str">
        <f>"G-protein coupled receptor family C group 5 member C"</f>
        <v>G-protein coupled receptor family C group 5 member C</v>
      </c>
      <c r="K1921" t="str">
        <f>"GPRC5C"</f>
        <v>GPRC5C</v>
      </c>
    </row>
    <row r="1922" spans="1:11" x14ac:dyDescent="0.25">
      <c r="A1922" s="1">
        <v>3013</v>
      </c>
      <c r="B1922" s="1">
        <v>3</v>
      </c>
      <c r="C1922" s="1" t="s">
        <v>3</v>
      </c>
      <c r="D1922" s="1">
        <v>16</v>
      </c>
      <c r="E1922" s="1">
        <v>56.121000000000002</v>
      </c>
      <c r="F1922" s="1">
        <v>0.81969199999999998</v>
      </c>
      <c r="G1922" t="s">
        <v>3070</v>
      </c>
      <c r="H1922" t="s">
        <v>3071</v>
      </c>
      <c r="I1922">
        <v>295</v>
      </c>
      <c r="J1922" t="str">
        <f>"LanC-like protein 2"</f>
        <v>LanC-like protein 2</v>
      </c>
      <c r="K1922" t="str">
        <f>"LANCL2"</f>
        <v>LANCL2</v>
      </c>
    </row>
    <row r="1923" spans="1:11" x14ac:dyDescent="0.25">
      <c r="A1923" s="1">
        <v>1307</v>
      </c>
      <c r="B1923" s="1">
        <v>4</v>
      </c>
      <c r="C1923" s="1" t="s">
        <v>3</v>
      </c>
      <c r="D1923" s="1">
        <v>8</v>
      </c>
      <c r="E1923" s="1">
        <v>44.158000000000001</v>
      </c>
      <c r="F1923" s="1">
        <v>0.97690999999999995</v>
      </c>
      <c r="G1923" t="s">
        <v>3072</v>
      </c>
      <c r="H1923" t="s">
        <v>2851</v>
      </c>
      <c r="I1923" t="s">
        <v>5560</v>
      </c>
      <c r="J1923" t="str">
        <f>"ARF GTPase-activating protein GIT2"</f>
        <v>ARF GTPase-activating protein GIT2</v>
      </c>
      <c r="K1923" t="str">
        <f>"GIT2"</f>
        <v>GIT2</v>
      </c>
    </row>
    <row r="1924" spans="1:11" x14ac:dyDescent="0.25">
      <c r="A1924" s="1">
        <v>1765</v>
      </c>
      <c r="B1924" s="1">
        <v>2</v>
      </c>
      <c r="C1924" s="1" t="s">
        <v>3</v>
      </c>
      <c r="D1924" s="1">
        <v>3</v>
      </c>
      <c r="E1924" s="1">
        <v>78.323999999999998</v>
      </c>
      <c r="F1924" s="1">
        <v>0.99437399999999998</v>
      </c>
      <c r="G1924" t="s">
        <v>3073</v>
      </c>
      <c r="H1924" t="s">
        <v>3074</v>
      </c>
      <c r="I1924">
        <v>8</v>
      </c>
      <c r="J1924" t="str">
        <f>"Uracil-DNA glycosylase"</f>
        <v>Uracil-DNA glycosylase</v>
      </c>
      <c r="K1924" t="str">
        <f>"UNG"</f>
        <v>UNG</v>
      </c>
    </row>
    <row r="1925" spans="1:11" x14ac:dyDescent="0.25">
      <c r="A1925" s="1">
        <v>2862</v>
      </c>
      <c r="B1925" s="1">
        <v>3</v>
      </c>
      <c r="C1925" s="1" t="s">
        <v>3</v>
      </c>
      <c r="D1925" s="1">
        <v>8</v>
      </c>
      <c r="E1925" s="1">
        <v>41.399000000000001</v>
      </c>
      <c r="F1925" s="1">
        <v>0.99192999999999998</v>
      </c>
      <c r="G1925" t="s">
        <v>3075</v>
      </c>
      <c r="H1925" t="s">
        <v>3076</v>
      </c>
      <c r="I1925">
        <v>133</v>
      </c>
      <c r="J1925" t="str">
        <f>"Dehydrogenase/reductase SDR family member 1"</f>
        <v>Dehydrogenase/reductase SDR family member 1</v>
      </c>
      <c r="K1925" t="str">
        <f>"DHRS1"</f>
        <v>DHRS1</v>
      </c>
    </row>
    <row r="1926" spans="1:11" x14ac:dyDescent="0.25">
      <c r="A1926" s="1">
        <v>3063</v>
      </c>
      <c r="B1926" s="1">
        <v>3</v>
      </c>
      <c r="C1926" s="1" t="s">
        <v>3</v>
      </c>
      <c r="D1926" s="1">
        <v>4</v>
      </c>
      <c r="E1926" s="1">
        <v>64.944999999999993</v>
      </c>
      <c r="F1926" s="1">
        <v>0.99783900000000003</v>
      </c>
      <c r="G1926" t="s">
        <v>3077</v>
      </c>
      <c r="H1926" t="s">
        <v>3078</v>
      </c>
      <c r="I1926" t="s">
        <v>5561</v>
      </c>
      <c r="J1926" t="str">
        <f>"Vesicle transport through interaction with t-SNAREs homolog 1B"</f>
        <v>Vesicle transport through interaction with t-SNAREs homolog 1B</v>
      </c>
      <c r="K1926" t="str">
        <f>"VTI1B"</f>
        <v>VTI1B</v>
      </c>
    </row>
    <row r="1927" spans="1:11" x14ac:dyDescent="0.25">
      <c r="A1927" s="1">
        <v>357</v>
      </c>
      <c r="B1927" s="1">
        <v>3</v>
      </c>
      <c r="C1927" s="1" t="s">
        <v>5</v>
      </c>
      <c r="D1927" s="1">
        <v>14</v>
      </c>
      <c r="E1927" s="1">
        <v>72.989999999999995</v>
      </c>
      <c r="F1927" s="1">
        <v>0.88393900000000003</v>
      </c>
      <c r="G1927" t="s">
        <v>3079</v>
      </c>
      <c r="H1927" t="s">
        <v>677</v>
      </c>
      <c r="I1927" t="s">
        <v>5562</v>
      </c>
      <c r="J1927" t="str">
        <f>"Phosphoinositide 3-kinase adapter protein 1"</f>
        <v>Phosphoinositide 3-kinase adapter protein 1</v>
      </c>
      <c r="K1927" t="str">
        <f>"PIK3AP1"</f>
        <v>PIK3AP1</v>
      </c>
    </row>
    <row r="1928" spans="1:11" x14ac:dyDescent="0.25">
      <c r="A1928" s="1">
        <v>33</v>
      </c>
      <c r="B1928" s="1">
        <v>3</v>
      </c>
      <c r="C1928" s="1" t="s">
        <v>5</v>
      </c>
      <c r="D1928" s="1">
        <v>16</v>
      </c>
      <c r="E1928" s="1">
        <v>50.201999999999998</v>
      </c>
      <c r="F1928" s="1">
        <v>0.58050000000000002</v>
      </c>
      <c r="G1928" t="s">
        <v>3080</v>
      </c>
      <c r="H1928" t="s">
        <v>201</v>
      </c>
      <c r="I1928" t="s">
        <v>5563</v>
      </c>
      <c r="J1928" t="str">
        <f>"ARF GTPase-activating protein GIT1"</f>
        <v>ARF GTPase-activating protein GIT1</v>
      </c>
      <c r="K1928" t="str">
        <f>"GIT1"</f>
        <v>GIT1</v>
      </c>
    </row>
    <row r="1929" spans="1:11" x14ac:dyDescent="0.25">
      <c r="A1929" s="1">
        <v>1365</v>
      </c>
      <c r="B1929" s="1">
        <v>3</v>
      </c>
      <c r="C1929" s="1" t="s">
        <v>3</v>
      </c>
      <c r="D1929" s="1">
        <v>4</v>
      </c>
      <c r="E1929" s="1">
        <v>44.44</v>
      </c>
      <c r="F1929" s="1">
        <v>0.52801900000000002</v>
      </c>
      <c r="G1929" t="s">
        <v>3081</v>
      </c>
      <c r="H1929" t="s">
        <v>3082</v>
      </c>
      <c r="I1929" t="s">
        <v>5564</v>
      </c>
      <c r="J1929" t="str">
        <f>"C-type lectin domain family 10 member A"</f>
        <v>C-type lectin domain family 10 member A</v>
      </c>
      <c r="K1929" t="str">
        <f>"CLEC10A"</f>
        <v>CLEC10A</v>
      </c>
    </row>
    <row r="1930" spans="1:11" x14ac:dyDescent="0.25">
      <c r="A1930" s="1">
        <v>858</v>
      </c>
      <c r="B1930" s="1">
        <v>2</v>
      </c>
      <c r="C1930" s="1" t="s">
        <v>3</v>
      </c>
      <c r="D1930" s="1">
        <v>11</v>
      </c>
      <c r="E1930" s="1">
        <v>48.567999999999998</v>
      </c>
      <c r="F1930" s="1">
        <v>0.99991799999999997</v>
      </c>
      <c r="G1930" t="s">
        <v>3083</v>
      </c>
      <c r="H1930" t="s">
        <v>2164</v>
      </c>
      <c r="I1930" t="s">
        <v>5565</v>
      </c>
      <c r="J1930" t="str">
        <f>"Arf-GAP with coiled-coil, ANK repeat and PH domain-containing protein 2"</f>
        <v>Arf-GAP with coiled-coil, ANK repeat and PH domain-containing protein 2</v>
      </c>
      <c r="K1930" t="str">
        <f>"ACAP2"</f>
        <v>ACAP2</v>
      </c>
    </row>
    <row r="1931" spans="1:11" x14ac:dyDescent="0.25">
      <c r="A1931" s="1">
        <v>2625</v>
      </c>
      <c r="B1931" s="1">
        <v>3</v>
      </c>
      <c r="C1931" s="1" t="s">
        <v>3</v>
      </c>
      <c r="D1931" s="1">
        <v>10</v>
      </c>
      <c r="E1931" s="1">
        <v>64.704999999999998</v>
      </c>
      <c r="F1931" s="1">
        <v>0.773447</v>
      </c>
      <c r="G1931" t="s">
        <v>3084</v>
      </c>
      <c r="H1931" t="s">
        <v>439</v>
      </c>
      <c r="I1931" t="s">
        <v>5566</v>
      </c>
      <c r="J1931" t="str">
        <f>"Tensin-3"</f>
        <v>Tensin-3</v>
      </c>
      <c r="K1931" t="str">
        <f>"TNS3"</f>
        <v>TNS3</v>
      </c>
    </row>
    <row r="1932" spans="1:11" x14ac:dyDescent="0.25">
      <c r="A1932" s="1">
        <v>1353</v>
      </c>
      <c r="B1932" s="1">
        <v>2</v>
      </c>
      <c r="C1932" s="1" t="s">
        <v>3</v>
      </c>
      <c r="D1932" s="1">
        <v>4</v>
      </c>
      <c r="E1932" s="1">
        <v>46.462000000000003</v>
      </c>
      <c r="F1932" s="1">
        <v>1</v>
      </c>
      <c r="G1932" t="s">
        <v>3085</v>
      </c>
      <c r="H1932" t="s">
        <v>3086</v>
      </c>
      <c r="I1932" t="s">
        <v>5567</v>
      </c>
      <c r="J1932" t="str">
        <f>"Phosphomannomutase;Phosphomannomutase 2"</f>
        <v>Phosphomannomutase;Phosphomannomutase 2</v>
      </c>
      <c r="K1932" t="str">
        <f>"PMM2"</f>
        <v>PMM2</v>
      </c>
    </row>
    <row r="1933" spans="1:11" x14ac:dyDescent="0.25">
      <c r="A1933" s="1">
        <v>2185</v>
      </c>
      <c r="B1933" s="1">
        <v>3</v>
      </c>
      <c r="C1933" s="1" t="s">
        <v>3</v>
      </c>
      <c r="D1933" s="1">
        <v>12</v>
      </c>
      <c r="E1933" s="1">
        <v>120.4</v>
      </c>
      <c r="F1933" s="1">
        <v>0.92891400000000002</v>
      </c>
      <c r="G1933" t="s">
        <v>3087</v>
      </c>
      <c r="H1933" t="s">
        <v>3088</v>
      </c>
      <c r="I1933">
        <v>16</v>
      </c>
      <c r="J1933" t="str">
        <f>"Heat shock-related 70 kDa protein 2"</f>
        <v>Heat shock-related 70 kDa protein 2</v>
      </c>
      <c r="K1933" t="str">
        <f>"HSPA2"</f>
        <v>HSPA2</v>
      </c>
    </row>
    <row r="1934" spans="1:11" x14ac:dyDescent="0.25">
      <c r="A1934" s="1">
        <v>1527</v>
      </c>
      <c r="B1934" s="1">
        <v>2</v>
      </c>
      <c r="C1934" s="1" t="s">
        <v>3</v>
      </c>
      <c r="D1934" s="1">
        <v>2</v>
      </c>
      <c r="E1934" s="1">
        <v>62.338000000000001</v>
      </c>
      <c r="F1934" s="1">
        <v>1</v>
      </c>
      <c r="G1934" t="s">
        <v>3089</v>
      </c>
      <c r="H1934" t="s">
        <v>3090</v>
      </c>
      <c r="I1934">
        <v>2</v>
      </c>
      <c r="J1934" t="str">
        <f>"Transmembrane protein 127"</f>
        <v>Transmembrane protein 127</v>
      </c>
      <c r="K1934" t="str">
        <f>"TMEM127"</f>
        <v>TMEM127</v>
      </c>
    </row>
    <row r="1935" spans="1:11" x14ac:dyDescent="0.25">
      <c r="A1935" s="1">
        <v>1098</v>
      </c>
      <c r="B1935" s="1">
        <v>2</v>
      </c>
      <c r="C1935" s="1" t="s">
        <v>3</v>
      </c>
      <c r="D1935" s="1">
        <v>4</v>
      </c>
      <c r="E1935" s="1">
        <v>46.015999999999998</v>
      </c>
      <c r="F1935" s="1">
        <v>1</v>
      </c>
      <c r="G1935" t="s">
        <v>3091</v>
      </c>
      <c r="H1935" t="s">
        <v>340</v>
      </c>
      <c r="I1935" t="s">
        <v>5568</v>
      </c>
      <c r="J1935" t="str">
        <f>"Activated CDC42 kinase 1"</f>
        <v>Activated CDC42 kinase 1</v>
      </c>
      <c r="K1935" t="str">
        <f>"TNK2"</f>
        <v>TNK2</v>
      </c>
    </row>
    <row r="1936" spans="1:11" x14ac:dyDescent="0.25">
      <c r="A1936" s="1">
        <v>2810</v>
      </c>
      <c r="B1936" s="1">
        <v>2</v>
      </c>
      <c r="C1936" s="1" t="s">
        <v>3</v>
      </c>
      <c r="D1936" s="1">
        <v>8</v>
      </c>
      <c r="E1936" s="1">
        <v>60.436</v>
      </c>
      <c r="F1936" s="1">
        <v>0.99999899999999997</v>
      </c>
      <c r="G1936" t="s">
        <v>3092</v>
      </c>
      <c r="H1936" t="s">
        <v>3093</v>
      </c>
      <c r="I1936" t="s">
        <v>5569</v>
      </c>
      <c r="J1936" t="str">
        <f>"Phosphatidylinositol 3,4,5-trisphosphate 5-phosphatase 1"</f>
        <v>Phosphatidylinositol 3,4,5-trisphosphate 5-phosphatase 1</v>
      </c>
      <c r="K1936" t="str">
        <f>"INPP5D"</f>
        <v>INPP5D</v>
      </c>
    </row>
    <row r="1937" spans="1:11" x14ac:dyDescent="0.25">
      <c r="A1937" s="1">
        <v>2144</v>
      </c>
      <c r="B1937" s="1">
        <v>2</v>
      </c>
      <c r="C1937" s="1" t="s">
        <v>3</v>
      </c>
      <c r="D1937" s="1">
        <v>1</v>
      </c>
      <c r="E1937" s="1">
        <v>71.176000000000002</v>
      </c>
      <c r="F1937" s="1">
        <v>0.49996800000000002</v>
      </c>
      <c r="G1937" t="s">
        <v>3094</v>
      </c>
      <c r="H1937" t="s">
        <v>2319</v>
      </c>
      <c r="I1937">
        <v>682</v>
      </c>
      <c r="J1937" t="str">
        <f>"Signal transducer and activator of transcription 5B"</f>
        <v>Signal transducer and activator of transcription 5B</v>
      </c>
      <c r="K1937" t="str">
        <f>"STAT5B"</f>
        <v>STAT5B</v>
      </c>
    </row>
    <row r="1938" spans="1:11" x14ac:dyDescent="0.25">
      <c r="A1938" s="1">
        <v>2145</v>
      </c>
      <c r="B1938" s="1">
        <v>2</v>
      </c>
      <c r="C1938" s="1" t="s">
        <v>3</v>
      </c>
      <c r="D1938" s="1">
        <v>2</v>
      </c>
      <c r="E1938" s="1">
        <v>71.176000000000002</v>
      </c>
      <c r="F1938" s="1">
        <v>0.49996800000000002</v>
      </c>
      <c r="G1938" t="s">
        <v>3094</v>
      </c>
      <c r="H1938" t="s">
        <v>2319</v>
      </c>
      <c r="I1938">
        <v>683</v>
      </c>
      <c r="J1938" t="str">
        <f>"Signal transducer and activator of transcription 5B"</f>
        <v>Signal transducer and activator of transcription 5B</v>
      </c>
      <c r="K1938" t="str">
        <f>"STAT5B"</f>
        <v>STAT5B</v>
      </c>
    </row>
    <row r="1939" spans="1:11" x14ac:dyDescent="0.25">
      <c r="A1939" s="1">
        <v>1526</v>
      </c>
      <c r="B1939" s="1">
        <v>3</v>
      </c>
      <c r="C1939" s="1" t="s">
        <v>3</v>
      </c>
      <c r="D1939" s="1">
        <v>10</v>
      </c>
      <c r="E1939" s="1">
        <v>73.498000000000005</v>
      </c>
      <c r="F1939" s="1">
        <v>0.99961900000000004</v>
      </c>
      <c r="G1939" t="s">
        <v>3095</v>
      </c>
      <c r="H1939" t="s">
        <v>3096</v>
      </c>
      <c r="I1939">
        <v>1641</v>
      </c>
      <c r="J1939" t="str">
        <f>"DnaJ homolog subfamily C member 13"</f>
        <v>DnaJ homolog subfamily C member 13</v>
      </c>
      <c r="K1939" t="str">
        <f>"DNAJC13"</f>
        <v>DNAJC13</v>
      </c>
    </row>
    <row r="1940" spans="1:11" x14ac:dyDescent="0.25">
      <c r="A1940" s="1">
        <v>1920</v>
      </c>
      <c r="B1940" s="1">
        <v>3</v>
      </c>
      <c r="C1940" s="1" t="s">
        <v>3</v>
      </c>
      <c r="D1940" s="1">
        <v>13</v>
      </c>
      <c r="E1940" s="1">
        <v>46.317999999999998</v>
      </c>
      <c r="F1940" s="1">
        <v>0.94109399999999999</v>
      </c>
      <c r="G1940" t="s">
        <v>3097</v>
      </c>
      <c r="H1940" t="s">
        <v>3098</v>
      </c>
      <c r="I1940">
        <v>420</v>
      </c>
      <c r="J1940" t="str">
        <f>"Proteinase-activated receptor 1"</f>
        <v>Proteinase-activated receptor 1</v>
      </c>
      <c r="K1940" t="str">
        <f>"F2R"</f>
        <v>F2R</v>
      </c>
    </row>
    <row r="1941" spans="1:11" x14ac:dyDescent="0.25">
      <c r="A1941" s="1">
        <v>1753</v>
      </c>
      <c r="B1941" s="1">
        <v>2</v>
      </c>
      <c r="C1941" s="1" t="s">
        <v>3</v>
      </c>
      <c r="D1941" s="1">
        <v>1</v>
      </c>
      <c r="E1941" s="1">
        <v>63.564999999999998</v>
      </c>
      <c r="F1941" s="1">
        <v>1</v>
      </c>
      <c r="G1941" t="s">
        <v>3099</v>
      </c>
      <c r="H1941" t="s">
        <v>3100</v>
      </c>
      <c r="I1941">
        <v>211</v>
      </c>
      <c r="J1941" t="str">
        <f>"Proliferating cell nuclear antigen"</f>
        <v>Proliferating cell nuclear antigen</v>
      </c>
      <c r="K1941" t="str">
        <f>"PCNA"</f>
        <v>PCNA</v>
      </c>
    </row>
    <row r="1942" spans="1:11" x14ac:dyDescent="0.25">
      <c r="A1942" s="1">
        <v>2147</v>
      </c>
      <c r="B1942" s="1">
        <v>3</v>
      </c>
      <c r="C1942" s="1" t="s">
        <v>3</v>
      </c>
      <c r="D1942" s="1">
        <v>3</v>
      </c>
      <c r="E1942" s="1">
        <v>54.811999999999998</v>
      </c>
      <c r="F1942" s="1">
        <v>0.90689699999999995</v>
      </c>
      <c r="G1942" t="s">
        <v>3101</v>
      </c>
      <c r="H1942" t="s">
        <v>2695</v>
      </c>
      <c r="I1942">
        <v>224</v>
      </c>
      <c r="J1942" t="str">
        <f>"Cytoplasmic tyrosine-protein kinase BMX"</f>
        <v>Cytoplasmic tyrosine-protein kinase BMX</v>
      </c>
      <c r="K1942" t="str">
        <f>"BMX"</f>
        <v>BMX</v>
      </c>
    </row>
    <row r="1943" spans="1:11" x14ac:dyDescent="0.25">
      <c r="A1943" s="1">
        <v>1778</v>
      </c>
      <c r="B1943" s="1">
        <v>2</v>
      </c>
      <c r="C1943" s="1" t="s">
        <v>3</v>
      </c>
      <c r="D1943" s="1">
        <v>7</v>
      </c>
      <c r="E1943" s="1">
        <v>61.756999999999998</v>
      </c>
      <c r="F1943" s="1">
        <v>0.78864999999999996</v>
      </c>
      <c r="G1943" t="s">
        <v>3102</v>
      </c>
      <c r="H1943" t="s">
        <v>3103</v>
      </c>
      <c r="I1943" t="s">
        <v>5570</v>
      </c>
      <c r="J1943" t="str">
        <f>"Neutrophil cytosol factor 1;Putative neutrophil cytosol factor 1B"</f>
        <v>Neutrophil cytosol factor 1;Putative neutrophil cytosol factor 1B</v>
      </c>
      <c r="K1943" t="str">
        <f>"NCF1;NCF1B"</f>
        <v>NCF1;NCF1B</v>
      </c>
    </row>
    <row r="1944" spans="1:11" x14ac:dyDescent="0.25">
      <c r="A1944" s="1">
        <v>2671</v>
      </c>
      <c r="B1944" s="1">
        <v>2</v>
      </c>
      <c r="C1944" s="1" t="s">
        <v>3</v>
      </c>
      <c r="D1944" s="1">
        <v>6</v>
      </c>
      <c r="E1944" s="1">
        <v>61.344000000000001</v>
      </c>
      <c r="F1944" s="1">
        <v>0.99307900000000005</v>
      </c>
      <c r="G1944" t="s">
        <v>3104</v>
      </c>
      <c r="H1944" t="s">
        <v>3105</v>
      </c>
      <c r="I1944" t="s">
        <v>5571</v>
      </c>
      <c r="J1944" t="str">
        <f>"Protein FAM83A"</f>
        <v>Protein FAM83A</v>
      </c>
      <c r="K1944" t="str">
        <f>"FAM83A"</f>
        <v>FAM83A</v>
      </c>
    </row>
    <row r="1945" spans="1:11" x14ac:dyDescent="0.25">
      <c r="A1945" s="1">
        <v>653</v>
      </c>
      <c r="B1945" s="1">
        <v>3</v>
      </c>
      <c r="C1945" s="1" t="s">
        <v>4</v>
      </c>
      <c r="D1945" s="1">
        <v>4</v>
      </c>
      <c r="E1945" s="1">
        <v>58.024000000000001</v>
      </c>
      <c r="F1945" s="1">
        <v>0.53780499999999998</v>
      </c>
      <c r="G1945" t="s">
        <v>3106</v>
      </c>
      <c r="H1945" t="s">
        <v>3107</v>
      </c>
      <c r="I1945" t="s">
        <v>5572</v>
      </c>
      <c r="J1945" t="str">
        <f>"Guanine nucleotide-binding protein subunit beta-2-like 1;Guanine nucleotide-binding protein subunit beta-2-like 1, N-terminally processed"</f>
        <v>Guanine nucleotide-binding protein subunit beta-2-like 1;Guanine nucleotide-binding protein subunit beta-2-like 1, N-terminally processed</v>
      </c>
      <c r="K1945" t="str">
        <f>"GNB2L1"</f>
        <v>GNB2L1</v>
      </c>
    </row>
    <row r="1946" spans="1:11" x14ac:dyDescent="0.25">
      <c r="A1946" s="1">
        <v>2735</v>
      </c>
      <c r="B1946" s="1">
        <v>2</v>
      </c>
      <c r="C1946" s="1" t="s">
        <v>3</v>
      </c>
      <c r="D1946" s="1">
        <v>4</v>
      </c>
      <c r="E1946" s="1">
        <v>64.566999999999993</v>
      </c>
      <c r="F1946" s="1">
        <v>0.89721499999999998</v>
      </c>
      <c r="G1946" t="s">
        <v>3108</v>
      </c>
      <c r="H1946" t="s">
        <v>3109</v>
      </c>
      <c r="I1946">
        <v>58</v>
      </c>
      <c r="J1946" t="str">
        <f>"Zinc finger protein 579"</f>
        <v>Zinc finger protein 579</v>
      </c>
      <c r="K1946" t="str">
        <f>"ZNF579"</f>
        <v>ZNF579</v>
      </c>
    </row>
    <row r="1947" spans="1:11" x14ac:dyDescent="0.25">
      <c r="A1947" s="1">
        <v>66</v>
      </c>
      <c r="B1947" s="1">
        <v>3</v>
      </c>
      <c r="C1947" s="1" t="s">
        <v>5</v>
      </c>
      <c r="D1947" s="1">
        <v>6</v>
      </c>
      <c r="E1947" s="1">
        <v>42.628999999999998</v>
      </c>
      <c r="F1947" s="1">
        <v>0.55419600000000002</v>
      </c>
      <c r="G1947" t="s">
        <v>3110</v>
      </c>
      <c r="H1947" t="s">
        <v>2085</v>
      </c>
      <c r="I1947" t="s">
        <v>5573</v>
      </c>
      <c r="J1947" t="str">
        <f>"Serum albumin"</f>
        <v>Serum albumin</v>
      </c>
      <c r="K1947" t="str">
        <f>"ALB"</f>
        <v>ALB</v>
      </c>
    </row>
    <row r="1948" spans="1:11" x14ac:dyDescent="0.25">
      <c r="A1948" s="1">
        <v>260</v>
      </c>
      <c r="B1948" s="1">
        <v>3</v>
      </c>
      <c r="C1948" s="1" t="s">
        <v>5</v>
      </c>
      <c r="D1948" s="1">
        <v>1</v>
      </c>
      <c r="E1948" s="1">
        <v>56.872</v>
      </c>
      <c r="F1948" s="1">
        <v>0.55076800000000004</v>
      </c>
      <c r="G1948" t="s">
        <v>3111</v>
      </c>
      <c r="H1948" t="s">
        <v>1223</v>
      </c>
      <c r="I1948" t="s">
        <v>5574</v>
      </c>
      <c r="J1948" t="str">
        <f>"Annexin A11"</f>
        <v>Annexin A11</v>
      </c>
      <c r="K1948" t="str">
        <f>"ANXA11"</f>
        <v>ANXA11</v>
      </c>
    </row>
    <row r="1949" spans="1:11" x14ac:dyDescent="0.25">
      <c r="A1949" s="1">
        <v>1440</v>
      </c>
      <c r="B1949" s="1">
        <v>2</v>
      </c>
      <c r="C1949" s="1" t="s">
        <v>3</v>
      </c>
      <c r="D1949" s="1">
        <v>6</v>
      </c>
      <c r="E1949" s="1">
        <v>61.161000000000001</v>
      </c>
      <c r="F1949" s="1">
        <v>0.97973600000000005</v>
      </c>
      <c r="G1949" t="s">
        <v>3112</v>
      </c>
      <c r="H1949" t="s">
        <v>1322</v>
      </c>
      <c r="I1949" t="s">
        <v>5575</v>
      </c>
      <c r="J1949" t="str">
        <f>"Hepatocyte growth factor-regulated tyrosine kinase substrate"</f>
        <v>Hepatocyte growth factor-regulated tyrosine kinase substrate</v>
      </c>
      <c r="K1949" t="str">
        <f>"HGS"</f>
        <v>HGS</v>
      </c>
    </row>
    <row r="1950" spans="1:11" x14ac:dyDescent="0.25">
      <c r="A1950" s="1">
        <v>1316</v>
      </c>
      <c r="B1950" s="1">
        <v>2</v>
      </c>
      <c r="C1950" s="1" t="s">
        <v>3</v>
      </c>
      <c r="D1950" s="1">
        <v>6</v>
      </c>
      <c r="E1950" s="1">
        <v>74.789000000000001</v>
      </c>
      <c r="F1950" s="1">
        <v>0.99337799999999998</v>
      </c>
      <c r="G1950" t="s">
        <v>3113</v>
      </c>
      <c r="H1950" t="s">
        <v>3114</v>
      </c>
      <c r="I1950">
        <v>705</v>
      </c>
      <c r="J1950" t="str">
        <f>""</f>
        <v/>
      </c>
      <c r="K1950" t="str">
        <f>"CLASP1"</f>
        <v>CLASP1</v>
      </c>
    </row>
    <row r="1951" spans="1:11" x14ac:dyDescent="0.25">
      <c r="A1951" s="1">
        <v>813</v>
      </c>
      <c r="B1951" s="1">
        <v>3</v>
      </c>
      <c r="C1951" s="1" t="s">
        <v>3</v>
      </c>
      <c r="D1951" s="1">
        <v>8</v>
      </c>
      <c r="E1951" s="1">
        <v>81.593999999999994</v>
      </c>
      <c r="F1951" s="1">
        <v>0.98639699999999997</v>
      </c>
      <c r="G1951" t="s">
        <v>3115</v>
      </c>
      <c r="H1951" t="s">
        <v>3116</v>
      </c>
      <c r="I1951" t="s">
        <v>5576</v>
      </c>
      <c r="J1951" t="str">
        <f>"5'-AMP-activated protein kinase catalytic subunit alpha-2;5'-AMP-activated protein kinase catalytic subunit alpha-1"</f>
        <v>5'-AMP-activated protein kinase catalytic subunit alpha-2;5'-AMP-activated protein kinase catalytic subunit alpha-1</v>
      </c>
      <c r="K1951" t="str">
        <f>"PRKAA2;PRKAA1"</f>
        <v>PRKAA2;PRKAA1</v>
      </c>
    </row>
    <row r="1952" spans="1:11" x14ac:dyDescent="0.25">
      <c r="A1952" s="1">
        <v>817</v>
      </c>
      <c r="B1952" s="1">
        <v>3</v>
      </c>
      <c r="C1952" s="1" t="s">
        <v>3</v>
      </c>
      <c r="D1952" s="1">
        <v>15</v>
      </c>
      <c r="E1952" s="1">
        <v>45.915999999999997</v>
      </c>
      <c r="F1952" s="1">
        <v>0.84706000000000004</v>
      </c>
      <c r="G1952" t="s">
        <v>3117</v>
      </c>
      <c r="H1952" t="s">
        <v>3118</v>
      </c>
      <c r="I1952" t="s">
        <v>5577</v>
      </c>
      <c r="J1952" t="str">
        <f>"Nuclear mitotic apparatus protein 1"</f>
        <v>Nuclear mitotic apparatus protein 1</v>
      </c>
      <c r="K1952" t="str">
        <f>"NUMA1"</f>
        <v>NUMA1</v>
      </c>
    </row>
    <row r="1953" spans="1:11" x14ac:dyDescent="0.25">
      <c r="A1953" s="1">
        <v>1360</v>
      </c>
      <c r="B1953" s="1">
        <v>2</v>
      </c>
      <c r="C1953" s="1" t="s">
        <v>3</v>
      </c>
      <c r="D1953" s="1">
        <v>6</v>
      </c>
      <c r="E1953" s="1">
        <v>44.317999999999998</v>
      </c>
      <c r="F1953" s="1">
        <v>0.999946</v>
      </c>
      <c r="G1953" t="s">
        <v>3119</v>
      </c>
      <c r="H1953" t="s">
        <v>3120</v>
      </c>
      <c r="I1953" t="s">
        <v>5578</v>
      </c>
      <c r="J1953" t="str">
        <f>"Phosphatidylinositol 4-kinase alpha"</f>
        <v>Phosphatidylinositol 4-kinase alpha</v>
      </c>
      <c r="K1953" t="str">
        <f>"PI4KA"</f>
        <v>PI4KA</v>
      </c>
    </row>
    <row r="1954" spans="1:11" x14ac:dyDescent="0.25">
      <c r="A1954" s="1">
        <v>2860</v>
      </c>
      <c r="B1954" s="1">
        <v>5</v>
      </c>
      <c r="C1954" s="1" t="s">
        <v>3</v>
      </c>
      <c r="D1954" s="1">
        <v>2</v>
      </c>
      <c r="E1954" s="1">
        <v>40.622</v>
      </c>
      <c r="F1954" s="1">
        <v>0.99798399999999998</v>
      </c>
      <c r="G1954" t="s">
        <v>3121</v>
      </c>
      <c r="H1954" t="s">
        <v>1180</v>
      </c>
      <c r="I1954" t="s">
        <v>5579</v>
      </c>
      <c r="J1954" t="str">
        <f>"Cytosolic non-specific dipeptidase"</f>
        <v>Cytosolic non-specific dipeptidase</v>
      </c>
      <c r="K1954" t="str">
        <f>"CNDP2"</f>
        <v>CNDP2</v>
      </c>
    </row>
    <row r="1955" spans="1:11" x14ac:dyDescent="0.25">
      <c r="A1955" s="1">
        <v>1157</v>
      </c>
      <c r="B1955" s="1">
        <v>3</v>
      </c>
      <c r="C1955" s="1" t="s">
        <v>3</v>
      </c>
      <c r="D1955" s="1">
        <v>6</v>
      </c>
      <c r="E1955" s="1">
        <v>48.527000000000001</v>
      </c>
      <c r="F1955" s="1">
        <v>0.98943400000000004</v>
      </c>
      <c r="G1955" t="s">
        <v>3122</v>
      </c>
      <c r="H1955" t="s">
        <v>1755</v>
      </c>
      <c r="I1955" t="s">
        <v>5580</v>
      </c>
      <c r="J1955" t="str">
        <f>"40S ribosomal protein S3a"</f>
        <v>40S ribosomal protein S3a</v>
      </c>
      <c r="K1955" t="str">
        <f>"RPS3A"</f>
        <v>RPS3A</v>
      </c>
    </row>
    <row r="1956" spans="1:11" x14ac:dyDescent="0.25">
      <c r="A1956" s="1">
        <v>2140</v>
      </c>
      <c r="B1956" s="1">
        <v>2</v>
      </c>
      <c r="C1956" s="1" t="s">
        <v>3</v>
      </c>
      <c r="D1956" s="1">
        <v>5</v>
      </c>
      <c r="E1956" s="1">
        <v>74.611000000000004</v>
      </c>
      <c r="F1956" s="1">
        <v>0.99415600000000004</v>
      </c>
      <c r="G1956" t="s">
        <v>3123</v>
      </c>
      <c r="H1956" t="s">
        <v>3124</v>
      </c>
      <c r="I1956" t="s">
        <v>5545</v>
      </c>
      <c r="J1956" t="str">
        <f>"Ras-related protein Rab-27A"</f>
        <v>Ras-related protein Rab-27A</v>
      </c>
      <c r="K1956" t="str">
        <f>"RAB27A"</f>
        <v>RAB27A</v>
      </c>
    </row>
    <row r="1957" spans="1:11" x14ac:dyDescent="0.25">
      <c r="A1957" s="1">
        <v>2078</v>
      </c>
      <c r="B1957" s="1">
        <v>3</v>
      </c>
      <c r="C1957" s="1" t="s">
        <v>3</v>
      </c>
      <c r="D1957" s="1">
        <v>1</v>
      </c>
      <c r="E1957" s="1">
        <v>83.691999999999993</v>
      </c>
      <c r="F1957" s="1">
        <v>0.99999300000000002</v>
      </c>
      <c r="G1957" t="s">
        <v>3125</v>
      </c>
      <c r="H1957" t="s">
        <v>3126</v>
      </c>
      <c r="I1957" t="s">
        <v>5581</v>
      </c>
      <c r="J1957" t="str">
        <f>"Ubiquitin carboxyl-terminal hydrolase 5"</f>
        <v>Ubiquitin carboxyl-terminal hydrolase 5</v>
      </c>
      <c r="K1957" t="str">
        <f>"USP5"</f>
        <v>USP5</v>
      </c>
    </row>
    <row r="1958" spans="1:11" x14ac:dyDescent="0.25">
      <c r="A1958" s="1">
        <v>2527</v>
      </c>
      <c r="B1958" s="1">
        <v>5</v>
      </c>
      <c r="C1958" s="1" t="s">
        <v>3</v>
      </c>
      <c r="D1958" s="1">
        <v>6</v>
      </c>
      <c r="E1958" s="1">
        <v>50.271000000000001</v>
      </c>
      <c r="F1958" s="1">
        <v>0.88970800000000005</v>
      </c>
      <c r="G1958" t="s">
        <v>3127</v>
      </c>
      <c r="H1958" t="s">
        <v>2471</v>
      </c>
      <c r="I1958" t="s">
        <v>5582</v>
      </c>
      <c r="J1958" t="str">
        <f>"Reticulocalbin-1"</f>
        <v>Reticulocalbin-1</v>
      </c>
      <c r="K1958" t="str">
        <f>"RCN1"</f>
        <v>RCN1</v>
      </c>
    </row>
    <row r="1959" spans="1:11" x14ac:dyDescent="0.25">
      <c r="A1959" s="1">
        <v>656</v>
      </c>
      <c r="B1959" s="1">
        <v>3</v>
      </c>
      <c r="C1959" s="1" t="s">
        <v>4</v>
      </c>
      <c r="D1959" s="1">
        <v>10</v>
      </c>
      <c r="E1959" s="1">
        <v>67.997</v>
      </c>
      <c r="F1959" s="1">
        <v>0.54441399999999995</v>
      </c>
      <c r="G1959" t="s">
        <v>3128</v>
      </c>
      <c r="H1959" t="s">
        <v>867</v>
      </c>
      <c r="I1959" t="s">
        <v>5583</v>
      </c>
      <c r="J1959" t="str">
        <f>"Elongation factor 1-alpha 1;Putative elongation factor 1-alpha-like 3"</f>
        <v>Elongation factor 1-alpha 1;Putative elongation factor 1-alpha-like 3</v>
      </c>
      <c r="K1959" t="str">
        <f>"EEF1A1;EEF1A1P5"</f>
        <v>EEF1A1;EEF1A1P5</v>
      </c>
    </row>
    <row r="1960" spans="1:11" x14ac:dyDescent="0.25">
      <c r="A1960" s="1">
        <v>2006</v>
      </c>
      <c r="B1960" s="1">
        <v>3</v>
      </c>
      <c r="C1960" s="1" t="s">
        <v>3</v>
      </c>
      <c r="D1960" s="1">
        <v>11</v>
      </c>
      <c r="E1960" s="1">
        <v>41.241999999999997</v>
      </c>
      <c r="F1960" s="1">
        <v>0.80944400000000005</v>
      </c>
      <c r="G1960" t="s">
        <v>3129</v>
      </c>
      <c r="H1960" t="s">
        <v>3130</v>
      </c>
      <c r="I1960">
        <v>25</v>
      </c>
      <c r="J1960" t="str">
        <f>"Glutaredoxin-1"</f>
        <v>Glutaredoxin-1</v>
      </c>
      <c r="K1960" t="str">
        <f>"GLRX"</f>
        <v>GLRX</v>
      </c>
    </row>
    <row r="1961" spans="1:11" x14ac:dyDescent="0.25">
      <c r="A1961" s="1">
        <v>3084</v>
      </c>
      <c r="B1961" s="1">
        <v>3</v>
      </c>
      <c r="C1961" s="1" t="s">
        <v>3</v>
      </c>
      <c r="D1961" s="1">
        <v>9</v>
      </c>
      <c r="E1961" s="1">
        <v>45.618000000000002</v>
      </c>
      <c r="F1961" s="1">
        <v>0.91450299999999995</v>
      </c>
      <c r="G1961" t="s">
        <v>3131</v>
      </c>
      <c r="H1961" t="s">
        <v>2735</v>
      </c>
      <c r="I1961">
        <v>485</v>
      </c>
      <c r="J1961" t="str">
        <f>"A-kinase anchor protein 11"</f>
        <v>A-kinase anchor protein 11</v>
      </c>
      <c r="K1961" t="str">
        <f>"AKAP11"</f>
        <v>AKAP11</v>
      </c>
    </row>
    <row r="1962" spans="1:11" x14ac:dyDescent="0.25">
      <c r="A1962" s="1">
        <v>3019</v>
      </c>
      <c r="B1962" s="1">
        <v>2</v>
      </c>
      <c r="C1962" s="1" t="s">
        <v>3</v>
      </c>
      <c r="D1962" s="1">
        <v>7</v>
      </c>
      <c r="E1962" s="1">
        <v>43.591999999999999</v>
      </c>
      <c r="F1962" s="1">
        <v>0.97201499999999996</v>
      </c>
      <c r="G1962" t="s">
        <v>3132</v>
      </c>
      <c r="H1962" t="s">
        <v>3133</v>
      </c>
      <c r="I1962" t="s">
        <v>5584</v>
      </c>
      <c r="J1962" t="str">
        <f>"Mycophenolic acid acyl-glucuronide esterase, mitochondrial"</f>
        <v>Mycophenolic acid acyl-glucuronide esterase, mitochondrial</v>
      </c>
      <c r="K1962" t="str">
        <f>"ABHD10"</f>
        <v>ABHD10</v>
      </c>
    </row>
    <row r="1963" spans="1:11" x14ac:dyDescent="0.25">
      <c r="A1963" s="1">
        <v>2083</v>
      </c>
      <c r="B1963" s="1">
        <v>2</v>
      </c>
      <c r="C1963" s="1" t="s">
        <v>3</v>
      </c>
      <c r="D1963" s="1">
        <v>8</v>
      </c>
      <c r="E1963" s="1">
        <v>67.334000000000003</v>
      </c>
      <c r="F1963" s="1">
        <v>1</v>
      </c>
      <c r="G1963" t="s">
        <v>3134</v>
      </c>
      <c r="H1963" t="s">
        <v>3135</v>
      </c>
      <c r="I1963">
        <v>66</v>
      </c>
      <c r="J1963" t="str">
        <f>"60S ribosomal protein L5"</f>
        <v>60S ribosomal protein L5</v>
      </c>
      <c r="K1963" t="str">
        <f>"RPL5"</f>
        <v>RPL5</v>
      </c>
    </row>
    <row r="1964" spans="1:11" x14ac:dyDescent="0.25">
      <c r="A1964" s="1">
        <v>2851</v>
      </c>
      <c r="B1964" s="1">
        <v>2</v>
      </c>
      <c r="C1964" s="1" t="s">
        <v>3</v>
      </c>
      <c r="D1964" s="1">
        <v>4</v>
      </c>
      <c r="E1964" s="1">
        <v>57.174999999999997</v>
      </c>
      <c r="F1964" s="1">
        <v>0.99985400000000002</v>
      </c>
      <c r="G1964" t="s">
        <v>3136</v>
      </c>
      <c r="H1964" t="s">
        <v>3137</v>
      </c>
      <c r="I1964" t="s">
        <v>5585</v>
      </c>
      <c r="J1964" t="str">
        <f>"PDZ and LIM domain protein 5"</f>
        <v>PDZ and LIM domain protein 5</v>
      </c>
      <c r="K1964" t="str">
        <f>"PDLIM5"</f>
        <v>PDLIM5</v>
      </c>
    </row>
    <row r="1965" spans="1:11" x14ac:dyDescent="0.25">
      <c r="A1965" s="1">
        <v>2059</v>
      </c>
      <c r="B1965" s="1">
        <v>2</v>
      </c>
      <c r="C1965" s="1" t="s">
        <v>3</v>
      </c>
      <c r="D1965" s="1">
        <v>6</v>
      </c>
      <c r="E1965" s="1">
        <v>88.155000000000001</v>
      </c>
      <c r="F1965" s="1">
        <v>0.96340499999999996</v>
      </c>
      <c r="G1965" t="s">
        <v>3138</v>
      </c>
      <c r="H1965" t="s">
        <v>237</v>
      </c>
      <c r="I1965" t="s">
        <v>5586</v>
      </c>
      <c r="J1965" t="str">
        <f>"Tyrosine-protein kinase SYK"</f>
        <v>Tyrosine-protein kinase SYK</v>
      </c>
      <c r="K1965" t="str">
        <f>"SYK"</f>
        <v>SYK</v>
      </c>
    </row>
    <row r="1966" spans="1:11" x14ac:dyDescent="0.25">
      <c r="A1966" s="1">
        <v>2540</v>
      </c>
      <c r="B1966" s="1">
        <v>3</v>
      </c>
      <c r="C1966" s="1" t="s">
        <v>3</v>
      </c>
      <c r="D1966" s="1">
        <v>3</v>
      </c>
      <c r="E1966" s="1">
        <v>40.941000000000003</v>
      </c>
      <c r="F1966" s="1">
        <v>0.93205899999999997</v>
      </c>
      <c r="G1966" t="s">
        <v>3139</v>
      </c>
      <c r="H1966" t="s">
        <v>1819</v>
      </c>
      <c r="I1966">
        <v>450</v>
      </c>
      <c r="J1966" t="str">
        <f>"Transforming growth factor-beta-induced protein ig-h3"</f>
        <v>Transforming growth factor-beta-induced protein ig-h3</v>
      </c>
      <c r="K1966" t="str">
        <f>"TGFBI"</f>
        <v>TGFBI</v>
      </c>
    </row>
    <row r="1967" spans="1:11" x14ac:dyDescent="0.25">
      <c r="A1967" s="1">
        <v>2366</v>
      </c>
      <c r="B1967" s="1">
        <v>3</v>
      </c>
      <c r="C1967" s="1" t="s">
        <v>3</v>
      </c>
      <c r="D1967" s="1">
        <v>8</v>
      </c>
      <c r="E1967" s="1">
        <v>50.896999999999998</v>
      </c>
      <c r="F1967" s="1">
        <v>1</v>
      </c>
      <c r="G1967" t="s">
        <v>3140</v>
      </c>
      <c r="H1967" t="s">
        <v>3141</v>
      </c>
      <c r="I1967" t="s">
        <v>5587</v>
      </c>
      <c r="J1967" t="str">
        <f>"Acyl-coenzyme A synthetase ACSM2A, mitochondrial;Acyl-coenzyme A synthetase ACSM2B, mitochondrial"</f>
        <v>Acyl-coenzyme A synthetase ACSM2A, mitochondrial;Acyl-coenzyme A synthetase ACSM2B, mitochondrial</v>
      </c>
      <c r="K1967" t="str">
        <f>"ACSM2A;ACSM2B"</f>
        <v>ACSM2A;ACSM2B</v>
      </c>
    </row>
    <row r="1968" spans="1:11" x14ac:dyDescent="0.25">
      <c r="A1968" s="1">
        <v>3020</v>
      </c>
      <c r="B1968" s="1">
        <v>2</v>
      </c>
      <c r="C1968" s="1" t="s">
        <v>3</v>
      </c>
      <c r="D1968" s="1">
        <v>6</v>
      </c>
      <c r="E1968" s="1">
        <v>59.198</v>
      </c>
      <c r="F1968" s="1">
        <v>0.96689899999999995</v>
      </c>
      <c r="G1968" t="s">
        <v>3142</v>
      </c>
      <c r="H1968" t="s">
        <v>3143</v>
      </c>
      <c r="I1968" t="s">
        <v>5588</v>
      </c>
      <c r="J1968" t="str">
        <f>"Integrator complex subunit 7"</f>
        <v>Integrator complex subunit 7</v>
      </c>
      <c r="K1968" t="str">
        <f>"INTS7"</f>
        <v>INTS7</v>
      </c>
    </row>
    <row r="1969" spans="1:11" x14ac:dyDescent="0.25">
      <c r="A1969" s="1">
        <v>3109</v>
      </c>
      <c r="B1969" s="1">
        <v>3</v>
      </c>
      <c r="C1969" s="1" t="s">
        <v>3</v>
      </c>
      <c r="D1969" s="1">
        <v>8</v>
      </c>
      <c r="E1969" s="1">
        <v>79.652000000000001</v>
      </c>
      <c r="F1969" s="1">
        <v>0.99995999999999996</v>
      </c>
      <c r="G1969" t="s">
        <v>3144</v>
      </c>
      <c r="H1969" t="s">
        <v>3023</v>
      </c>
      <c r="I1969" t="s">
        <v>5589</v>
      </c>
      <c r="J1969" t="str">
        <f>"Brain-specific angiogenesis inhibitor 1-associated protein 2"</f>
        <v>Brain-specific angiogenesis inhibitor 1-associated protein 2</v>
      </c>
      <c r="K1969" t="str">
        <f>"BAIAP2;CCDC43"</f>
        <v>BAIAP2;CCDC43</v>
      </c>
    </row>
    <row r="1970" spans="1:11" x14ac:dyDescent="0.25">
      <c r="A1970" s="1">
        <v>1930</v>
      </c>
      <c r="B1970" s="1">
        <v>2</v>
      </c>
      <c r="C1970" s="1" t="s">
        <v>3</v>
      </c>
      <c r="D1970" s="1">
        <v>4</v>
      </c>
      <c r="E1970" s="1">
        <v>54.343000000000004</v>
      </c>
      <c r="F1970" s="1">
        <v>0.783188</v>
      </c>
      <c r="G1970" t="s">
        <v>3145</v>
      </c>
      <c r="H1970" t="s">
        <v>3146</v>
      </c>
      <c r="I1970" t="s">
        <v>5590</v>
      </c>
      <c r="J1970" t="str">
        <f>"Adenylate kinase 4, mitochondrial"</f>
        <v>Adenylate kinase 4, mitochondrial</v>
      </c>
      <c r="K1970" t="str">
        <f>"AK4"</f>
        <v>AK4</v>
      </c>
    </row>
    <row r="1971" spans="1:11" x14ac:dyDescent="0.25">
      <c r="A1971" s="1">
        <v>1090</v>
      </c>
      <c r="B1971" s="1">
        <v>2</v>
      </c>
      <c r="C1971" s="1" t="s">
        <v>3</v>
      </c>
      <c r="D1971" s="1">
        <v>11</v>
      </c>
      <c r="E1971" s="1">
        <v>51.725999999999999</v>
      </c>
      <c r="F1971" s="1">
        <v>0.54758099999999998</v>
      </c>
      <c r="G1971" t="s">
        <v>3147</v>
      </c>
      <c r="H1971" t="s">
        <v>1236</v>
      </c>
      <c r="I1971" t="s">
        <v>5180</v>
      </c>
      <c r="J1971" t="str">
        <f>"Plakophilin-2"</f>
        <v>Plakophilin-2</v>
      </c>
      <c r="K1971" t="str">
        <f>"PKP2"</f>
        <v>PKP2</v>
      </c>
    </row>
    <row r="1972" spans="1:11" x14ac:dyDescent="0.25">
      <c r="A1972" s="1">
        <v>2914</v>
      </c>
      <c r="B1972" s="1">
        <v>3</v>
      </c>
      <c r="C1972" s="1" t="s">
        <v>3</v>
      </c>
      <c r="D1972" s="1">
        <v>10</v>
      </c>
      <c r="E1972" s="1">
        <v>40.848999999999997</v>
      </c>
      <c r="F1972" s="1">
        <v>0.68757199999999996</v>
      </c>
      <c r="G1972" t="s">
        <v>3148</v>
      </c>
      <c r="H1972" t="s">
        <v>1298</v>
      </c>
      <c r="I1972" t="s">
        <v>5591</v>
      </c>
      <c r="J1972" t="str">
        <f>"Docking protein 1"</f>
        <v>Docking protein 1</v>
      </c>
      <c r="K1972" t="str">
        <f>"DOK1"</f>
        <v>DOK1</v>
      </c>
    </row>
    <row r="1973" spans="1:11" x14ac:dyDescent="0.25">
      <c r="A1973" s="1">
        <v>2915</v>
      </c>
      <c r="B1973" s="1">
        <v>3</v>
      </c>
      <c r="C1973" s="1" t="s">
        <v>3</v>
      </c>
      <c r="D1973" s="1">
        <v>25</v>
      </c>
      <c r="E1973" s="1">
        <v>40.848999999999997</v>
      </c>
      <c r="F1973" s="1">
        <v>0.99992999999999999</v>
      </c>
      <c r="G1973" t="s">
        <v>3148</v>
      </c>
      <c r="H1973" t="s">
        <v>1298</v>
      </c>
      <c r="I1973" t="s">
        <v>5592</v>
      </c>
      <c r="J1973" t="str">
        <f>"Docking protein 1"</f>
        <v>Docking protein 1</v>
      </c>
      <c r="K1973" t="str">
        <f>"DOK1"</f>
        <v>DOK1</v>
      </c>
    </row>
    <row r="1974" spans="1:11" x14ac:dyDescent="0.25">
      <c r="A1974" s="1">
        <v>892</v>
      </c>
      <c r="B1974" s="1">
        <v>3</v>
      </c>
      <c r="C1974" s="1" t="s">
        <v>3</v>
      </c>
      <c r="D1974" s="1">
        <v>14</v>
      </c>
      <c r="E1974" s="1">
        <v>42.058999999999997</v>
      </c>
      <c r="F1974" s="1">
        <v>0.82639399999999996</v>
      </c>
      <c r="G1974" t="s">
        <v>3149</v>
      </c>
      <c r="H1974" t="s">
        <v>3150</v>
      </c>
      <c r="I1974" t="s">
        <v>5593</v>
      </c>
      <c r="J1974" t="str">
        <f>"Four and a half LIM domains protein 2"</f>
        <v>Four and a half LIM domains protein 2</v>
      </c>
      <c r="K1974" t="str">
        <f>"FHL2"</f>
        <v>FHL2</v>
      </c>
    </row>
    <row r="1975" spans="1:11" x14ac:dyDescent="0.25">
      <c r="A1975" s="1">
        <v>681</v>
      </c>
      <c r="B1975" s="1">
        <v>5</v>
      </c>
      <c r="C1975" s="1" t="s">
        <v>4</v>
      </c>
      <c r="D1975" s="1">
        <v>11</v>
      </c>
      <c r="E1975" s="1">
        <v>88.241</v>
      </c>
      <c r="F1975" s="1">
        <v>0.53252100000000002</v>
      </c>
      <c r="G1975" t="s">
        <v>3151</v>
      </c>
      <c r="H1975" t="s">
        <v>1367</v>
      </c>
      <c r="I1975">
        <v>211</v>
      </c>
      <c r="J1975" t="str">
        <f>"Poly(rC)-binding protein 1"</f>
        <v>Poly(rC)-binding protein 1</v>
      </c>
      <c r="K1975" t="str">
        <f>"PCBP1"</f>
        <v>PCBP1</v>
      </c>
    </row>
    <row r="1976" spans="1:11" x14ac:dyDescent="0.25">
      <c r="A1976" s="1">
        <v>699</v>
      </c>
      <c r="B1976" s="1">
        <v>3</v>
      </c>
      <c r="C1976" s="1" t="s">
        <v>4</v>
      </c>
      <c r="D1976" s="1">
        <v>16</v>
      </c>
      <c r="E1976" s="1">
        <v>61.276000000000003</v>
      </c>
      <c r="F1976" s="1">
        <v>0.65513600000000005</v>
      </c>
      <c r="G1976" t="s">
        <v>3152</v>
      </c>
      <c r="H1976" t="s">
        <v>287</v>
      </c>
      <c r="I1976">
        <v>602</v>
      </c>
      <c r="J1976" t="str">
        <f>"Discoidin, CUB and LCCL domain-containing protein 1"</f>
        <v>Discoidin, CUB and LCCL domain-containing protein 1</v>
      </c>
      <c r="K1976" t="str">
        <f>"DCBLD1"</f>
        <v>DCBLD1</v>
      </c>
    </row>
    <row r="1977" spans="1:11" x14ac:dyDescent="0.25">
      <c r="A1977" s="1">
        <v>2146</v>
      </c>
      <c r="B1977" s="1">
        <v>4</v>
      </c>
      <c r="C1977" s="1" t="s">
        <v>3</v>
      </c>
      <c r="D1977" s="1">
        <v>18</v>
      </c>
      <c r="E1977" s="1">
        <v>80.102000000000004</v>
      </c>
      <c r="F1977" s="1">
        <v>0.99049799999999999</v>
      </c>
      <c r="G1977" t="s">
        <v>3153</v>
      </c>
      <c r="H1977" t="s">
        <v>3154</v>
      </c>
      <c r="I1977">
        <v>356</v>
      </c>
      <c r="J1977" t="str">
        <f>"Ribosomal protein S6 kinase alpha-3"</f>
        <v>Ribosomal protein S6 kinase alpha-3</v>
      </c>
      <c r="K1977" t="str">
        <f>"RPS6KA3"</f>
        <v>RPS6KA3</v>
      </c>
    </row>
    <row r="1978" spans="1:11" x14ac:dyDescent="0.25">
      <c r="A1978" s="1">
        <v>482</v>
      </c>
      <c r="B1978" s="1">
        <v>3</v>
      </c>
      <c r="C1978" s="1" t="s">
        <v>5</v>
      </c>
      <c r="D1978" s="1">
        <v>5</v>
      </c>
      <c r="E1978" s="1">
        <v>53.625</v>
      </c>
      <c r="F1978" s="1">
        <v>0.559087</v>
      </c>
      <c r="G1978" t="s">
        <v>3155</v>
      </c>
      <c r="H1978" t="s">
        <v>1324</v>
      </c>
      <c r="I1978">
        <v>542</v>
      </c>
      <c r="J1978" t="str">
        <f>"CD2-associated protein"</f>
        <v>CD2-associated protein</v>
      </c>
      <c r="K1978" t="str">
        <f>"CD2AP"</f>
        <v>CD2AP</v>
      </c>
    </row>
    <row r="1979" spans="1:11" x14ac:dyDescent="0.25">
      <c r="A1979" s="1">
        <v>2612</v>
      </c>
      <c r="B1979" s="1">
        <v>3</v>
      </c>
      <c r="C1979" s="1" t="s">
        <v>3</v>
      </c>
      <c r="D1979" s="1">
        <v>4</v>
      </c>
      <c r="E1979" s="1">
        <v>51.494999999999997</v>
      </c>
      <c r="F1979" s="1">
        <v>0.79906699999999997</v>
      </c>
      <c r="G1979" t="s">
        <v>3156</v>
      </c>
      <c r="H1979" t="s">
        <v>557</v>
      </c>
      <c r="I1979" t="s">
        <v>5594</v>
      </c>
      <c r="J1979" t="str">
        <f>"Partitioning defective 3 homolog"</f>
        <v>Partitioning defective 3 homolog</v>
      </c>
      <c r="K1979" t="str">
        <f>"PARD3"</f>
        <v>PARD3</v>
      </c>
    </row>
    <row r="1980" spans="1:11" x14ac:dyDescent="0.25">
      <c r="A1980" s="1">
        <v>1454</v>
      </c>
      <c r="B1980" s="1">
        <v>2</v>
      </c>
      <c r="C1980" s="1" t="s">
        <v>3</v>
      </c>
      <c r="D1980" s="1">
        <v>8</v>
      </c>
      <c r="E1980" s="1">
        <v>47.712000000000003</v>
      </c>
      <c r="F1980" s="1">
        <v>0.99996799999999997</v>
      </c>
      <c r="G1980" t="s">
        <v>3157</v>
      </c>
      <c r="H1980" t="s">
        <v>3158</v>
      </c>
      <c r="I1980" t="s">
        <v>5595</v>
      </c>
      <c r="J1980" t="str">
        <f>"Membrane-associated progesterone receptor component 2"</f>
        <v>Membrane-associated progesterone receptor component 2</v>
      </c>
      <c r="K1980" t="str">
        <f>"PGRMC2"</f>
        <v>PGRMC2</v>
      </c>
    </row>
    <row r="1981" spans="1:11" x14ac:dyDescent="0.25">
      <c r="A1981" s="1">
        <v>2149</v>
      </c>
      <c r="B1981" s="1">
        <v>2</v>
      </c>
      <c r="C1981" s="1" t="s">
        <v>3</v>
      </c>
      <c r="D1981" s="1">
        <v>4</v>
      </c>
      <c r="E1981" s="1">
        <v>48.567999999999998</v>
      </c>
      <c r="F1981" s="1">
        <v>0.98627200000000004</v>
      </c>
      <c r="G1981" t="s">
        <v>3159</v>
      </c>
      <c r="H1981" t="s">
        <v>3160</v>
      </c>
      <c r="I1981">
        <v>12</v>
      </c>
      <c r="J1981" t="str">
        <f>"Calponin-1"</f>
        <v>Calponin-1</v>
      </c>
      <c r="K1981" t="str">
        <f>"CNN1"</f>
        <v>CNN1</v>
      </c>
    </row>
    <row r="1982" spans="1:11" x14ac:dyDescent="0.25">
      <c r="A1982" s="1">
        <v>1132</v>
      </c>
      <c r="B1982" s="1">
        <v>2</v>
      </c>
      <c r="C1982" s="1" t="s">
        <v>3</v>
      </c>
      <c r="D1982" s="1">
        <v>7</v>
      </c>
      <c r="E1982" s="1">
        <v>49.773000000000003</v>
      </c>
      <c r="F1982" s="1">
        <v>0.77371999999999996</v>
      </c>
      <c r="G1982" t="s">
        <v>3161</v>
      </c>
      <c r="H1982" t="s">
        <v>143</v>
      </c>
      <c r="I1982">
        <v>865</v>
      </c>
      <c r="J1982" t="str">
        <f>""</f>
        <v/>
      </c>
      <c r="K1982" t="str">
        <f>"CTNND1"</f>
        <v>CTNND1</v>
      </c>
    </row>
    <row r="1983" spans="1:11" x14ac:dyDescent="0.25">
      <c r="A1983" s="1">
        <v>2272</v>
      </c>
      <c r="B1983" s="1">
        <v>3</v>
      </c>
      <c r="C1983" s="1" t="s">
        <v>3</v>
      </c>
      <c r="D1983" s="1">
        <v>3</v>
      </c>
      <c r="E1983" s="1">
        <v>86.8</v>
      </c>
      <c r="F1983" s="1">
        <v>0.83758299999999997</v>
      </c>
      <c r="G1983" t="s">
        <v>3162</v>
      </c>
      <c r="H1983" t="s">
        <v>3107</v>
      </c>
      <c r="I1983" t="s">
        <v>5596</v>
      </c>
      <c r="J1983" t="str">
        <f>"Guanine nucleotide-binding protein subunit beta-2-like 1;Guanine nucleotide-binding protein subunit beta-2-like 1, N-terminally processed"</f>
        <v>Guanine nucleotide-binding protein subunit beta-2-like 1;Guanine nucleotide-binding protein subunit beta-2-like 1, N-terminally processed</v>
      </c>
      <c r="K1983" t="str">
        <f>"GNB2L1"</f>
        <v>GNB2L1</v>
      </c>
    </row>
    <row r="1984" spans="1:11" x14ac:dyDescent="0.25">
      <c r="A1984" s="1">
        <v>2019</v>
      </c>
      <c r="B1984" s="1">
        <v>2</v>
      </c>
      <c r="C1984" s="1" t="s">
        <v>3</v>
      </c>
      <c r="D1984" s="1">
        <v>9</v>
      </c>
      <c r="E1984" s="1">
        <v>96.143000000000001</v>
      </c>
      <c r="F1984" s="1">
        <v>0.99949100000000002</v>
      </c>
      <c r="G1984" t="s">
        <v>3163</v>
      </c>
      <c r="H1984" t="s">
        <v>3164</v>
      </c>
      <c r="I1984" t="s">
        <v>5597</v>
      </c>
      <c r="J1984" t="str">
        <f>"T-complex protein 1 subunit zeta;T-complex protein 1 subunit zeta-2"</f>
        <v>T-complex protein 1 subunit zeta;T-complex protein 1 subunit zeta-2</v>
      </c>
      <c r="K1984" t="str">
        <f>"CCT6A;CCT6B"</f>
        <v>CCT6A;CCT6B</v>
      </c>
    </row>
    <row r="1985" spans="1:11" x14ac:dyDescent="0.25">
      <c r="A1985" s="1">
        <v>202</v>
      </c>
      <c r="B1985" s="1">
        <v>3</v>
      </c>
      <c r="C1985" s="1" t="s">
        <v>5</v>
      </c>
      <c r="D1985" s="1">
        <v>15</v>
      </c>
      <c r="E1985" s="1">
        <v>69.978999999999999</v>
      </c>
      <c r="F1985" s="1">
        <v>0.52899499999999999</v>
      </c>
      <c r="G1985" t="s">
        <v>3165</v>
      </c>
      <c r="H1985" t="s">
        <v>3166</v>
      </c>
      <c r="I1985">
        <v>508</v>
      </c>
      <c r="J1985" t="str">
        <f>"Inosine-5'-monophosphate dehydrogenase 2"</f>
        <v>Inosine-5'-monophosphate dehydrogenase 2</v>
      </c>
      <c r="K1985" t="str">
        <f>"IMPDH2"</f>
        <v>IMPDH2</v>
      </c>
    </row>
    <row r="1986" spans="1:11" x14ac:dyDescent="0.25">
      <c r="A1986" s="1">
        <v>560</v>
      </c>
      <c r="B1986" s="1">
        <v>2</v>
      </c>
      <c r="C1986" s="1" t="s">
        <v>4</v>
      </c>
      <c r="D1986" s="1">
        <v>7</v>
      </c>
      <c r="E1986" s="1">
        <v>42.469000000000001</v>
      </c>
      <c r="F1986" s="1">
        <v>0.63260799999999995</v>
      </c>
      <c r="G1986" t="s">
        <v>3167</v>
      </c>
      <c r="H1986" t="s">
        <v>2234</v>
      </c>
      <c r="I1986" t="s">
        <v>5598</v>
      </c>
      <c r="J1986" t="str">
        <f>"Regulator of G-protein signaling 10"</f>
        <v>Regulator of G-protein signaling 10</v>
      </c>
      <c r="K1986" t="str">
        <f>"RGS10"</f>
        <v>RGS10</v>
      </c>
    </row>
    <row r="1987" spans="1:11" x14ac:dyDescent="0.25">
      <c r="A1987" s="1">
        <v>1764</v>
      </c>
      <c r="B1987" s="1">
        <v>3</v>
      </c>
      <c r="C1987" s="1" t="s">
        <v>3</v>
      </c>
      <c r="D1987" s="1">
        <v>8</v>
      </c>
      <c r="E1987" s="1">
        <v>46.88</v>
      </c>
      <c r="F1987" s="1">
        <v>0.99759600000000004</v>
      </c>
      <c r="G1987" t="s">
        <v>3168</v>
      </c>
      <c r="H1987" t="s">
        <v>2366</v>
      </c>
      <c r="I1987" t="s">
        <v>5599</v>
      </c>
      <c r="J1987" t="str">
        <f>"Proto-oncogene tyrosine-protein kinase Src"</f>
        <v>Proto-oncogene tyrosine-protein kinase Src</v>
      </c>
      <c r="K1987" t="str">
        <f>"SRC"</f>
        <v>SRC</v>
      </c>
    </row>
    <row r="1988" spans="1:11" x14ac:dyDescent="0.25">
      <c r="A1988" s="1">
        <v>178</v>
      </c>
      <c r="B1988" s="1">
        <v>4</v>
      </c>
      <c r="C1988" s="1" t="s">
        <v>5</v>
      </c>
      <c r="D1988" s="1">
        <v>22</v>
      </c>
      <c r="E1988" s="1">
        <v>43.500999999999998</v>
      </c>
      <c r="F1988" s="1">
        <v>0.99968900000000005</v>
      </c>
      <c r="G1988" t="s">
        <v>3169</v>
      </c>
      <c r="H1988" t="s">
        <v>563</v>
      </c>
      <c r="I1988" t="s">
        <v>5600</v>
      </c>
      <c r="J1988" t="str">
        <f>"Nucleophosmin"</f>
        <v>Nucleophosmin</v>
      </c>
      <c r="K1988" t="str">
        <f>"NPM1"</f>
        <v>NPM1</v>
      </c>
    </row>
    <row r="1989" spans="1:11" x14ac:dyDescent="0.25">
      <c r="A1989" s="1">
        <v>836</v>
      </c>
      <c r="B1989" s="1">
        <v>2</v>
      </c>
      <c r="C1989" s="1" t="s">
        <v>3</v>
      </c>
      <c r="D1989" s="1">
        <v>6</v>
      </c>
      <c r="E1989" s="1">
        <v>43.68</v>
      </c>
      <c r="F1989" s="1">
        <v>0.63219199999999998</v>
      </c>
      <c r="G1989" t="s">
        <v>3170</v>
      </c>
      <c r="H1989" t="s">
        <v>3171</v>
      </c>
      <c r="I1989" t="s">
        <v>5601</v>
      </c>
      <c r="J1989" t="str">
        <f>"Cyclin-dependent kinase 16;Cyclin-dependent kinase 17"</f>
        <v>Cyclin-dependent kinase 16;Cyclin-dependent kinase 17</v>
      </c>
      <c r="K1989" t="str">
        <f>"CDK17;CDK16"</f>
        <v>CDK17;CDK16</v>
      </c>
    </row>
    <row r="1990" spans="1:11" x14ac:dyDescent="0.25">
      <c r="A1990" s="1">
        <v>2575</v>
      </c>
      <c r="B1990" s="1">
        <v>3</v>
      </c>
      <c r="C1990" s="1" t="s">
        <v>3</v>
      </c>
      <c r="D1990" s="1">
        <v>12</v>
      </c>
      <c r="E1990" s="1">
        <v>56.121000000000002</v>
      </c>
      <c r="F1990" s="1">
        <v>0.98399400000000004</v>
      </c>
      <c r="G1990" t="s">
        <v>3172</v>
      </c>
      <c r="H1990" t="s">
        <v>134</v>
      </c>
      <c r="I1990">
        <v>138</v>
      </c>
      <c r="J1990" t="str">
        <f>"Putative heat shock protein HSP 90-beta 2"</f>
        <v>Putative heat shock protein HSP 90-beta 2</v>
      </c>
      <c r="K1990" t="str">
        <f>"HSP90AB2P"</f>
        <v>HSP90AB2P</v>
      </c>
    </row>
    <row r="1991" spans="1:11" x14ac:dyDescent="0.25">
      <c r="A1991" s="1">
        <v>870</v>
      </c>
      <c r="B1991" s="1">
        <v>3</v>
      </c>
      <c r="C1991" s="1" t="s">
        <v>3</v>
      </c>
      <c r="D1991" s="1">
        <v>17</v>
      </c>
      <c r="E1991" s="1">
        <v>46.953000000000003</v>
      </c>
      <c r="F1991" s="1">
        <v>0.75055799999999995</v>
      </c>
      <c r="G1991" t="s">
        <v>3173</v>
      </c>
      <c r="H1991" t="s">
        <v>3174</v>
      </c>
      <c r="I1991" t="s">
        <v>5602</v>
      </c>
      <c r="J1991" t="str">
        <f>"Rap guanine nucleotide exchange factor 6"</f>
        <v>Rap guanine nucleotide exchange factor 6</v>
      </c>
      <c r="K1991" t="str">
        <f>"RAPGEF6"</f>
        <v>RAPGEF6</v>
      </c>
    </row>
    <row r="1992" spans="1:11" x14ac:dyDescent="0.25">
      <c r="A1992" s="1">
        <v>1058</v>
      </c>
      <c r="B1992" s="1">
        <v>3</v>
      </c>
      <c r="C1992" s="1" t="s">
        <v>3</v>
      </c>
      <c r="D1992" s="1">
        <v>29</v>
      </c>
      <c r="E1992" s="1">
        <v>51.323</v>
      </c>
      <c r="F1992" s="1">
        <v>0.58232700000000004</v>
      </c>
      <c r="G1992" t="s">
        <v>3175</v>
      </c>
      <c r="H1992" t="s">
        <v>643</v>
      </c>
      <c r="I1992" t="s">
        <v>5603</v>
      </c>
      <c r="J1992" t="str">
        <f>"Kin of IRRE-like protein 1"</f>
        <v>Kin of IRRE-like protein 1</v>
      </c>
      <c r="K1992" t="str">
        <f>"KIRREL"</f>
        <v>KIRREL</v>
      </c>
    </row>
    <row r="1993" spans="1:11" x14ac:dyDescent="0.25">
      <c r="A1993" s="1">
        <v>1219</v>
      </c>
      <c r="B1993" s="1">
        <v>3</v>
      </c>
      <c r="C1993" s="1" t="s">
        <v>3</v>
      </c>
      <c r="D1993" s="1">
        <v>7</v>
      </c>
      <c r="E1993" s="1">
        <v>58.32</v>
      </c>
      <c r="F1993" s="1">
        <v>0.96211000000000002</v>
      </c>
      <c r="G1993" t="s">
        <v>3176</v>
      </c>
      <c r="H1993" t="s">
        <v>270</v>
      </c>
      <c r="I1993" t="s">
        <v>5604</v>
      </c>
      <c r="J1993" t="str">
        <f>"Tensin-1"</f>
        <v>Tensin-1</v>
      </c>
      <c r="K1993" t="str">
        <f>"TNS1"</f>
        <v>TNS1</v>
      </c>
    </row>
    <row r="1994" spans="1:11" x14ac:dyDescent="0.25">
      <c r="A1994" s="1">
        <v>2657</v>
      </c>
      <c r="B1994" s="1">
        <v>3</v>
      </c>
      <c r="C1994" s="1" t="s">
        <v>3</v>
      </c>
      <c r="D1994" s="1">
        <v>14</v>
      </c>
      <c r="E1994" s="1">
        <v>45.618000000000002</v>
      </c>
      <c r="F1994" s="1">
        <v>0.87537100000000001</v>
      </c>
      <c r="G1994" t="s">
        <v>3177</v>
      </c>
      <c r="H1994" t="s">
        <v>3178</v>
      </c>
      <c r="I1994">
        <v>214</v>
      </c>
      <c r="J1994" t="str">
        <f>"Monocarboxylate transporter 9"</f>
        <v>Monocarboxylate transporter 9</v>
      </c>
      <c r="K1994" t="str">
        <f>"SLC16A9"</f>
        <v>SLC16A9</v>
      </c>
    </row>
    <row r="1995" spans="1:11" x14ac:dyDescent="0.25">
      <c r="A1995" s="1">
        <v>948</v>
      </c>
      <c r="B1995" s="1">
        <v>3</v>
      </c>
      <c r="C1995" s="1" t="s">
        <v>3</v>
      </c>
      <c r="D1995" s="1">
        <v>6</v>
      </c>
      <c r="E1995" s="1">
        <v>101.53</v>
      </c>
      <c r="F1995" s="1">
        <v>0.99221700000000002</v>
      </c>
      <c r="G1995" t="s">
        <v>3179</v>
      </c>
      <c r="H1995" t="s">
        <v>3180</v>
      </c>
      <c r="I1995" t="s">
        <v>5605</v>
      </c>
      <c r="J1995" t="str">
        <f>"Membrane-associated guanylate kinase, WW and PDZ domain-containing protein 2"</f>
        <v>Membrane-associated guanylate kinase, WW and PDZ domain-containing protein 2</v>
      </c>
      <c r="K1995" t="str">
        <f>"MAGI2"</f>
        <v>MAGI2</v>
      </c>
    </row>
    <row r="1996" spans="1:11" x14ac:dyDescent="0.25">
      <c r="A1996" s="1">
        <v>1750</v>
      </c>
      <c r="B1996" s="1">
        <v>2</v>
      </c>
      <c r="C1996" s="1" t="s">
        <v>3</v>
      </c>
      <c r="D1996" s="1">
        <v>1</v>
      </c>
      <c r="E1996" s="1">
        <v>44.252000000000002</v>
      </c>
      <c r="F1996" s="1">
        <v>0.99971299999999996</v>
      </c>
      <c r="G1996" t="s">
        <v>3181</v>
      </c>
      <c r="H1996" t="s">
        <v>2420</v>
      </c>
      <c r="I1996" t="s">
        <v>5606</v>
      </c>
      <c r="J1996" t="str">
        <f>"C-1-tetrahydrofolate synthase, cytoplasmic;Methylenetetrahydrofolate dehydrogenase;Methenyltetrahydrofolate cyclohydrolase;Formyltetrahydrofolate synthetase;C-1-tetrahydrofolate synthase, cytoplasmic, N-terminally processed"</f>
        <v>C-1-tetrahydrofolate synthase, cytoplasmic;Methylenetetrahydrofolate dehydrogenase;Methenyltetrahydrofolate cyclohydrolase;Formyltetrahydrofolate synthetase;C-1-tetrahydrofolate synthase, cytoplasmic, N-terminally processed</v>
      </c>
      <c r="K1996" t="str">
        <f>"MTHFD1"</f>
        <v>MTHFD1</v>
      </c>
    </row>
    <row r="1997" spans="1:11" x14ac:dyDescent="0.25">
      <c r="A1997" s="1">
        <v>38</v>
      </c>
      <c r="B1997" s="1">
        <v>2</v>
      </c>
      <c r="C1997" s="1" t="s">
        <v>5</v>
      </c>
      <c r="D1997" s="1">
        <v>4</v>
      </c>
      <c r="E1997" s="1">
        <v>42.317</v>
      </c>
      <c r="F1997" s="1">
        <v>0.60946199999999995</v>
      </c>
      <c r="G1997" t="s">
        <v>3182</v>
      </c>
      <c r="H1997" t="s">
        <v>2440</v>
      </c>
      <c r="I1997" t="s">
        <v>5607</v>
      </c>
      <c r="J1997" t="str">
        <f>"Heat shock cognate 71 kDa protein;Heat shock-related 70 kDa protein 2"</f>
        <v>Heat shock cognate 71 kDa protein;Heat shock-related 70 kDa protein 2</v>
      </c>
      <c r="K1997" t="str">
        <f>"HSPA8;HSPA2"</f>
        <v>HSPA8;HSPA2</v>
      </c>
    </row>
    <row r="1998" spans="1:11" x14ac:dyDescent="0.25">
      <c r="A1998" s="1">
        <v>674</v>
      </c>
      <c r="B1998" s="1">
        <v>3</v>
      </c>
      <c r="C1998" s="1" t="s">
        <v>4</v>
      </c>
      <c r="D1998" s="1">
        <v>19</v>
      </c>
      <c r="E1998" s="1">
        <v>50.357999999999997</v>
      </c>
      <c r="F1998" s="1">
        <v>0.59323199999999998</v>
      </c>
      <c r="G1998" t="s">
        <v>3183</v>
      </c>
      <c r="H1998" t="s">
        <v>175</v>
      </c>
      <c r="I1998" t="s">
        <v>5608</v>
      </c>
      <c r="J1998" t="str">
        <f>"Mitogen-activated protein kinase 7"</f>
        <v>Mitogen-activated protein kinase 7</v>
      </c>
      <c r="K1998" t="str">
        <f>"MAPK7"</f>
        <v>MAPK7</v>
      </c>
    </row>
    <row r="1999" spans="1:11" x14ac:dyDescent="0.25">
      <c r="A1999" s="1">
        <v>1605</v>
      </c>
      <c r="B1999" s="1">
        <v>3</v>
      </c>
      <c r="C1999" s="1" t="s">
        <v>3</v>
      </c>
      <c r="D1999" s="1">
        <v>17</v>
      </c>
      <c r="E1999" s="1">
        <v>72.209999999999994</v>
      </c>
      <c r="F1999" s="1">
        <v>0.57443200000000005</v>
      </c>
      <c r="G1999" t="s">
        <v>3184</v>
      </c>
      <c r="H1999" t="s">
        <v>657</v>
      </c>
      <c r="I1999" t="s">
        <v>5609</v>
      </c>
      <c r="J1999" t="str">
        <f>"Low-density lipoprotein receptor"</f>
        <v>Low-density lipoprotein receptor</v>
      </c>
      <c r="K1999" t="str">
        <f>"LDLR"</f>
        <v>LDLR</v>
      </c>
    </row>
    <row r="2000" spans="1:11" x14ac:dyDescent="0.25">
      <c r="A2000" s="1">
        <v>1021</v>
      </c>
      <c r="B2000" s="1">
        <v>3</v>
      </c>
      <c r="C2000" s="1" t="s">
        <v>3</v>
      </c>
      <c r="D2000" s="1">
        <v>10</v>
      </c>
      <c r="E2000" s="1">
        <v>58.246000000000002</v>
      </c>
      <c r="F2000" s="1">
        <v>0.94820199999999999</v>
      </c>
      <c r="G2000" t="s">
        <v>3185</v>
      </c>
      <c r="H2000" t="s">
        <v>2600</v>
      </c>
      <c r="I2000" t="s">
        <v>5610</v>
      </c>
      <c r="J2000" t="str">
        <f>"Unconventional myosin-Ig;Minor histocompatibility antigen HA-2"</f>
        <v>Unconventional myosin-Ig;Minor histocompatibility antigen HA-2</v>
      </c>
      <c r="K2000" t="str">
        <f>"MYO1G"</f>
        <v>MYO1G</v>
      </c>
    </row>
    <row r="2001" spans="1:11" x14ac:dyDescent="0.25">
      <c r="A2001" s="1">
        <v>2733</v>
      </c>
      <c r="B2001" s="1">
        <v>2</v>
      </c>
      <c r="C2001" s="1" t="s">
        <v>3</v>
      </c>
      <c r="D2001" s="1">
        <v>2</v>
      </c>
      <c r="E2001" s="1">
        <v>71.614000000000004</v>
      </c>
      <c r="F2001" s="1">
        <v>0.999996</v>
      </c>
      <c r="G2001" t="s">
        <v>3186</v>
      </c>
      <c r="H2001" t="s">
        <v>3187</v>
      </c>
      <c r="I2001" t="s">
        <v>5611</v>
      </c>
      <c r="J2001" t="str">
        <f>"Tandem C2 domains nuclear protein"</f>
        <v>Tandem C2 domains nuclear protein</v>
      </c>
      <c r="K2001" t="str">
        <f>"TC2N"</f>
        <v>TC2N</v>
      </c>
    </row>
    <row r="2002" spans="1:11" x14ac:dyDescent="0.25">
      <c r="A2002" s="1">
        <v>3075</v>
      </c>
      <c r="B2002" s="1">
        <v>2</v>
      </c>
      <c r="C2002" s="1" t="s">
        <v>3</v>
      </c>
      <c r="D2002" s="1">
        <v>3</v>
      </c>
      <c r="E2002" s="1">
        <v>63.624000000000002</v>
      </c>
      <c r="F2002" s="1">
        <v>0.98911300000000002</v>
      </c>
      <c r="G2002" t="s">
        <v>3188</v>
      </c>
      <c r="H2002" t="s">
        <v>1010</v>
      </c>
      <c r="I2002" t="s">
        <v>5612</v>
      </c>
      <c r="J2002" t="str">
        <f>"SLAM family member 5"</f>
        <v>SLAM family member 5</v>
      </c>
      <c r="K2002" t="str">
        <f>"CD84"</f>
        <v>CD84</v>
      </c>
    </row>
    <row r="2003" spans="1:11" x14ac:dyDescent="0.25">
      <c r="A2003" s="1">
        <v>1917</v>
      </c>
      <c r="B2003" s="1">
        <v>2</v>
      </c>
      <c r="C2003" s="1" t="s">
        <v>3</v>
      </c>
      <c r="D2003" s="1">
        <v>5</v>
      </c>
      <c r="E2003" s="1">
        <v>69.671999999999997</v>
      </c>
      <c r="F2003" s="1">
        <v>0.99989799999999995</v>
      </c>
      <c r="G2003" t="s">
        <v>3189</v>
      </c>
      <c r="H2003" t="s">
        <v>3190</v>
      </c>
      <c r="I2003" t="s">
        <v>5613</v>
      </c>
      <c r="J2003" t="str">
        <f>"Myosin regulatory light polypeptide 9"</f>
        <v>Myosin regulatory light polypeptide 9</v>
      </c>
      <c r="K2003" t="str">
        <f>"MYL9"</f>
        <v>MYL9</v>
      </c>
    </row>
    <row r="2004" spans="1:11" x14ac:dyDescent="0.25">
      <c r="A2004" s="1">
        <v>1909</v>
      </c>
      <c r="B2004" s="1">
        <v>3</v>
      </c>
      <c r="C2004" s="1" t="s">
        <v>3</v>
      </c>
      <c r="D2004" s="1">
        <v>10</v>
      </c>
      <c r="E2004" s="1">
        <v>49.298000000000002</v>
      </c>
      <c r="F2004" s="1">
        <v>0.59455400000000003</v>
      </c>
      <c r="G2004" t="s">
        <v>3191</v>
      </c>
      <c r="H2004" t="s">
        <v>3192</v>
      </c>
      <c r="I2004">
        <v>508</v>
      </c>
      <c r="J2004" t="str">
        <f>"Carnitine O-palmitoyltransferase 2, mitochondrial"</f>
        <v>Carnitine O-palmitoyltransferase 2, mitochondrial</v>
      </c>
      <c r="K2004" t="str">
        <f>"CPT2"</f>
        <v>CPT2</v>
      </c>
    </row>
    <row r="2005" spans="1:11" x14ac:dyDescent="0.25">
      <c r="A2005" s="1">
        <v>1299</v>
      </c>
      <c r="B2005" s="1">
        <v>3</v>
      </c>
      <c r="C2005" s="1" t="s">
        <v>3</v>
      </c>
      <c r="D2005" s="1">
        <v>10</v>
      </c>
      <c r="E2005" s="1">
        <v>80.311999999999998</v>
      </c>
      <c r="F2005" s="1">
        <v>0.97191499999999997</v>
      </c>
      <c r="G2005" t="s">
        <v>3193</v>
      </c>
      <c r="H2005" t="s">
        <v>3194</v>
      </c>
      <c r="I2005" t="s">
        <v>5614</v>
      </c>
      <c r="J2005" t="str">
        <f>"Ras GTPase-activating-like protein IQGAP2"</f>
        <v>Ras GTPase-activating-like protein IQGAP2</v>
      </c>
      <c r="K2005" t="str">
        <f>"IQGAP2"</f>
        <v>IQGAP2</v>
      </c>
    </row>
    <row r="2006" spans="1:11" x14ac:dyDescent="0.25">
      <c r="A2006" s="1">
        <v>1480</v>
      </c>
      <c r="B2006" s="1">
        <v>3</v>
      </c>
      <c r="C2006" s="1" t="s">
        <v>3</v>
      </c>
      <c r="D2006" s="1">
        <v>15</v>
      </c>
      <c r="E2006" s="1">
        <v>48.597000000000001</v>
      </c>
      <c r="F2006" s="1">
        <v>0.65969599999999995</v>
      </c>
      <c r="G2006" t="s">
        <v>3195</v>
      </c>
      <c r="H2006" t="s">
        <v>3196</v>
      </c>
      <c r="I2006" t="s">
        <v>5615</v>
      </c>
      <c r="J2006" t="str">
        <f>"Mitotic checkpoint protein BUB3"</f>
        <v>Mitotic checkpoint protein BUB3</v>
      </c>
      <c r="K2006" t="str">
        <f>"BUB3"</f>
        <v>BUB3</v>
      </c>
    </row>
    <row r="2007" spans="1:11" x14ac:dyDescent="0.25">
      <c r="A2007" s="1">
        <v>1188</v>
      </c>
      <c r="B2007" s="1">
        <v>2</v>
      </c>
      <c r="C2007" s="1" t="s">
        <v>3</v>
      </c>
      <c r="D2007" s="1">
        <v>5</v>
      </c>
      <c r="E2007" s="1">
        <v>48.622999999999998</v>
      </c>
      <c r="F2007" s="1">
        <v>0.66122700000000001</v>
      </c>
      <c r="G2007" t="s">
        <v>3197</v>
      </c>
      <c r="H2007" t="s">
        <v>1375</v>
      </c>
      <c r="I2007" t="s">
        <v>5616</v>
      </c>
      <c r="J2007" t="str">
        <f>"Arf-GAP with Rho-GAP domain, ANK repeat and PH domain-containing protein 1"</f>
        <v>Arf-GAP with Rho-GAP domain, ANK repeat and PH domain-containing protein 1</v>
      </c>
      <c r="K2007" t="str">
        <f>"ARAP1"</f>
        <v>ARAP1</v>
      </c>
    </row>
    <row r="2008" spans="1:11" x14ac:dyDescent="0.25">
      <c r="A2008" s="1">
        <v>1399</v>
      </c>
      <c r="B2008" s="1">
        <v>3</v>
      </c>
      <c r="C2008" s="1" t="s">
        <v>3</v>
      </c>
      <c r="D2008" s="1">
        <v>12</v>
      </c>
      <c r="E2008" s="1">
        <v>40.798000000000002</v>
      </c>
      <c r="F2008" s="1">
        <v>0.98763900000000004</v>
      </c>
      <c r="G2008" t="s">
        <v>3198</v>
      </c>
      <c r="H2008" t="s">
        <v>1262</v>
      </c>
      <c r="I2008" t="s">
        <v>5617</v>
      </c>
      <c r="J2008" t="str">
        <f>"Tyrosine-protein kinase receptor UFO"</f>
        <v>Tyrosine-protein kinase receptor UFO</v>
      </c>
      <c r="K2008" t="str">
        <f>"AXL"</f>
        <v>AXL</v>
      </c>
    </row>
    <row r="2009" spans="1:11" x14ac:dyDescent="0.25">
      <c r="A2009" s="1">
        <v>1322</v>
      </c>
      <c r="B2009" s="1">
        <v>3</v>
      </c>
      <c r="C2009" s="1" t="s">
        <v>3</v>
      </c>
      <c r="D2009" s="1">
        <v>9</v>
      </c>
      <c r="E2009" s="1">
        <v>49.188000000000002</v>
      </c>
      <c r="F2009" s="1">
        <v>0.99992499999999995</v>
      </c>
      <c r="G2009" t="s">
        <v>3199</v>
      </c>
      <c r="H2009" t="s">
        <v>3200</v>
      </c>
      <c r="I2009" t="s">
        <v>5618</v>
      </c>
      <c r="J2009" t="str">
        <f>"cTAGE family member 5"</f>
        <v>cTAGE family member 5</v>
      </c>
      <c r="K2009" t="str">
        <f>"CTAGE5"</f>
        <v>CTAGE5</v>
      </c>
    </row>
    <row r="2010" spans="1:11" x14ac:dyDescent="0.25">
      <c r="A2010" s="1">
        <v>2450</v>
      </c>
      <c r="B2010" s="1">
        <v>4</v>
      </c>
      <c r="C2010" s="1" t="s">
        <v>3</v>
      </c>
      <c r="D2010" s="1">
        <v>12</v>
      </c>
      <c r="E2010" s="1">
        <v>44.720999999999997</v>
      </c>
      <c r="F2010" s="1">
        <v>0.75280800000000003</v>
      </c>
      <c r="G2010" t="s">
        <v>3201</v>
      </c>
      <c r="H2010" t="s">
        <v>3202</v>
      </c>
      <c r="I2010" t="s">
        <v>5619</v>
      </c>
      <c r="J2010" t="str">
        <f>"Rap guanine nucleotide exchange factor 1"</f>
        <v>Rap guanine nucleotide exchange factor 1</v>
      </c>
      <c r="K2010" t="str">
        <f>"RAPGEF1"</f>
        <v>RAPGEF1</v>
      </c>
    </row>
    <row r="2011" spans="1:11" x14ac:dyDescent="0.25">
      <c r="A2011" s="1">
        <v>1849</v>
      </c>
      <c r="B2011" s="1">
        <v>3</v>
      </c>
      <c r="C2011" s="1" t="s">
        <v>3</v>
      </c>
      <c r="D2011" s="1">
        <v>4</v>
      </c>
      <c r="E2011" s="1">
        <v>42.843000000000004</v>
      </c>
      <c r="F2011" s="1">
        <v>0.99989399999999995</v>
      </c>
      <c r="G2011" t="s">
        <v>3203</v>
      </c>
      <c r="H2011" t="s">
        <v>2032</v>
      </c>
      <c r="I2011">
        <v>13</v>
      </c>
      <c r="J2011" t="str">
        <f>"Casein kinase II subunit alpha'"</f>
        <v>Casein kinase II subunit alpha'</v>
      </c>
      <c r="K2011" t="str">
        <f>"CSNK2A2"</f>
        <v>CSNK2A2</v>
      </c>
    </row>
    <row r="2012" spans="1:11" x14ac:dyDescent="0.25">
      <c r="A2012" s="1">
        <v>2387</v>
      </c>
      <c r="B2012" s="1">
        <v>3</v>
      </c>
      <c r="C2012" s="1" t="s">
        <v>3</v>
      </c>
      <c r="D2012" s="1">
        <v>10</v>
      </c>
      <c r="E2012" s="1">
        <v>81.593999999999994</v>
      </c>
      <c r="F2012" s="1">
        <v>0.91585000000000005</v>
      </c>
      <c r="G2012" t="s">
        <v>3204</v>
      </c>
      <c r="H2012" t="s">
        <v>400</v>
      </c>
      <c r="I2012" t="s">
        <v>5620</v>
      </c>
      <c r="J2012" t="str">
        <f>"Epidermal growth factor receptor kinase substrate 8"</f>
        <v>Epidermal growth factor receptor kinase substrate 8</v>
      </c>
      <c r="K2012" t="str">
        <f>"EPS8"</f>
        <v>EPS8</v>
      </c>
    </row>
    <row r="2013" spans="1:11" x14ac:dyDescent="0.25">
      <c r="A2013" s="1">
        <v>889</v>
      </c>
      <c r="B2013" s="1">
        <v>3</v>
      </c>
      <c r="C2013" s="1" t="s">
        <v>3</v>
      </c>
      <c r="D2013" s="1">
        <v>17</v>
      </c>
      <c r="E2013" s="1">
        <v>47.68</v>
      </c>
      <c r="F2013" s="1">
        <v>0.78429599999999999</v>
      </c>
      <c r="G2013" t="s">
        <v>3205</v>
      </c>
      <c r="H2013" t="s">
        <v>3206</v>
      </c>
      <c r="I2013" t="s">
        <v>5621</v>
      </c>
      <c r="J2013" t="str">
        <f>""</f>
        <v/>
      </c>
      <c r="K2013" t="str">
        <f>""</f>
        <v/>
      </c>
    </row>
    <row r="2014" spans="1:11" x14ac:dyDescent="0.25">
      <c r="A2014" s="1">
        <v>1507</v>
      </c>
      <c r="B2014" s="1">
        <v>3</v>
      </c>
      <c r="C2014" s="1" t="s">
        <v>3</v>
      </c>
      <c r="D2014" s="1">
        <v>1</v>
      </c>
      <c r="E2014" s="1">
        <v>50.088000000000001</v>
      </c>
      <c r="F2014" s="1">
        <v>0.85684199999999999</v>
      </c>
      <c r="G2014" t="s">
        <v>3207</v>
      </c>
      <c r="H2014" t="s">
        <v>3208</v>
      </c>
      <c r="I2014" t="s">
        <v>5622</v>
      </c>
      <c r="J2014" t="str">
        <f>"Sorting nexin-2"</f>
        <v>Sorting nexin-2</v>
      </c>
      <c r="K2014" t="str">
        <f>"SNX2"</f>
        <v>SNX2</v>
      </c>
    </row>
    <row r="2015" spans="1:11" x14ac:dyDescent="0.25">
      <c r="A2015" s="1">
        <v>92</v>
      </c>
      <c r="B2015" s="1">
        <v>3</v>
      </c>
      <c r="C2015" s="1" t="s">
        <v>5</v>
      </c>
      <c r="D2015" s="1">
        <v>1</v>
      </c>
      <c r="E2015" s="1">
        <v>79.382000000000005</v>
      </c>
      <c r="F2015" s="1">
        <v>0.53381000000000001</v>
      </c>
      <c r="G2015" t="s">
        <v>3209</v>
      </c>
      <c r="H2015" t="s">
        <v>588</v>
      </c>
      <c r="I2015" t="s">
        <v>5623</v>
      </c>
      <c r="J2015" t="str">
        <f>"Receptor-type tyrosine-protein phosphatase kappa"</f>
        <v>Receptor-type tyrosine-protein phosphatase kappa</v>
      </c>
      <c r="K2015" t="str">
        <f>"PTPRK"</f>
        <v>PTPRK</v>
      </c>
    </row>
    <row r="2016" spans="1:11" x14ac:dyDescent="0.25">
      <c r="A2016" s="1">
        <v>2199</v>
      </c>
      <c r="B2016" s="1">
        <v>3</v>
      </c>
      <c r="C2016" s="1" t="s">
        <v>3</v>
      </c>
      <c r="D2016" s="1">
        <v>9</v>
      </c>
      <c r="E2016" s="1">
        <v>58.692999999999998</v>
      </c>
      <c r="F2016" s="1">
        <v>0.71412699999999996</v>
      </c>
      <c r="G2016" t="s">
        <v>3210</v>
      </c>
      <c r="H2016" t="s">
        <v>3211</v>
      </c>
      <c r="I2016" t="s">
        <v>5624</v>
      </c>
      <c r="J2016" t="str">
        <f>"Eukaryotic translation initiation factor 3 subunit B"</f>
        <v>Eukaryotic translation initiation factor 3 subunit B</v>
      </c>
      <c r="K2016" t="str">
        <f>"EIF3B"</f>
        <v>EIF3B</v>
      </c>
    </row>
    <row r="2017" spans="1:11" x14ac:dyDescent="0.25">
      <c r="A2017" s="1">
        <v>618</v>
      </c>
      <c r="B2017" s="1">
        <v>3</v>
      </c>
      <c r="C2017" s="1" t="s">
        <v>4</v>
      </c>
      <c r="D2017" s="1">
        <v>8</v>
      </c>
      <c r="E2017" s="1">
        <v>45.884999999999998</v>
      </c>
      <c r="F2017" s="1">
        <v>0.52863300000000002</v>
      </c>
      <c r="G2017" t="s">
        <v>3212</v>
      </c>
      <c r="H2017" t="s">
        <v>3213</v>
      </c>
      <c r="I2017">
        <v>513</v>
      </c>
      <c r="J2017" t="str">
        <f>"Kinesin-1 heavy chain"</f>
        <v>Kinesin-1 heavy chain</v>
      </c>
      <c r="K2017" t="str">
        <f>"KIF5B"</f>
        <v>KIF5B</v>
      </c>
    </row>
    <row r="2018" spans="1:11" x14ac:dyDescent="0.25">
      <c r="A2018" s="1">
        <v>2961</v>
      </c>
      <c r="B2018" s="1">
        <v>3</v>
      </c>
      <c r="C2018" s="1" t="s">
        <v>3</v>
      </c>
      <c r="D2018" s="1">
        <v>3</v>
      </c>
      <c r="E2018" s="1">
        <v>53.625</v>
      </c>
      <c r="F2018" s="1">
        <v>0.93388499999999997</v>
      </c>
      <c r="G2018" t="s">
        <v>3214</v>
      </c>
      <c r="H2018" t="s">
        <v>3215</v>
      </c>
      <c r="I2018" t="s">
        <v>5625</v>
      </c>
      <c r="J2018" t="str">
        <f>"WD repeat-containing protein 13"</f>
        <v>WD repeat-containing protein 13</v>
      </c>
      <c r="K2018" t="str">
        <f>"WDR13"</f>
        <v>WDR13</v>
      </c>
    </row>
    <row r="2019" spans="1:11" x14ac:dyDescent="0.25">
      <c r="A2019" s="1">
        <v>1449</v>
      </c>
      <c r="B2019" s="1">
        <v>2</v>
      </c>
      <c r="C2019" s="1" t="s">
        <v>3</v>
      </c>
      <c r="D2019" s="1">
        <v>6</v>
      </c>
      <c r="E2019" s="1">
        <v>61.11</v>
      </c>
      <c r="F2019" s="1">
        <v>0.94530899999999995</v>
      </c>
      <c r="G2019" t="s">
        <v>3216</v>
      </c>
      <c r="H2019" t="s">
        <v>3217</v>
      </c>
      <c r="I2019">
        <v>83</v>
      </c>
      <c r="J2019" t="str">
        <f>"NEDD4-binding protein 3"</f>
        <v>NEDD4-binding protein 3</v>
      </c>
      <c r="K2019" t="str">
        <f>"N4BP3"</f>
        <v>N4BP3</v>
      </c>
    </row>
    <row r="2020" spans="1:11" x14ac:dyDescent="0.25">
      <c r="A2020" s="1">
        <v>1255</v>
      </c>
      <c r="B2020" s="1">
        <v>4</v>
      </c>
      <c r="C2020" s="1" t="s">
        <v>3</v>
      </c>
      <c r="D2020" s="1">
        <v>13</v>
      </c>
      <c r="E2020" s="1">
        <v>50.627000000000002</v>
      </c>
      <c r="F2020" s="1">
        <v>0.99412</v>
      </c>
      <c r="G2020" t="s">
        <v>3218</v>
      </c>
      <c r="H2020" t="s">
        <v>3219</v>
      </c>
      <c r="I2020" t="s">
        <v>5626</v>
      </c>
      <c r="J2020" t="str">
        <f>"mRNA export factor"</f>
        <v>mRNA export factor</v>
      </c>
      <c r="K2020" t="str">
        <f>"RAE1"</f>
        <v>RAE1</v>
      </c>
    </row>
    <row r="2021" spans="1:11" x14ac:dyDescent="0.25">
      <c r="A2021" s="1">
        <v>2077</v>
      </c>
      <c r="B2021" s="1">
        <v>2</v>
      </c>
      <c r="C2021" s="1" t="s">
        <v>3</v>
      </c>
      <c r="D2021" s="1">
        <v>4</v>
      </c>
      <c r="E2021" s="1">
        <v>57.174999999999997</v>
      </c>
      <c r="F2021" s="1">
        <v>0.98747799999999997</v>
      </c>
      <c r="G2021" t="s">
        <v>3220</v>
      </c>
      <c r="H2021" t="s">
        <v>3221</v>
      </c>
      <c r="I2021" t="s">
        <v>5627</v>
      </c>
      <c r="J2021" t="str">
        <f>"Voltage-dependent anion-selective channel protein 2"</f>
        <v>Voltage-dependent anion-selective channel protein 2</v>
      </c>
      <c r="K2021" t="str">
        <f>"VDAC2"</f>
        <v>VDAC2</v>
      </c>
    </row>
    <row r="2022" spans="1:11" x14ac:dyDescent="0.25">
      <c r="A2022" s="1">
        <v>342</v>
      </c>
      <c r="B2022" s="1">
        <v>2</v>
      </c>
      <c r="C2022" s="1" t="s">
        <v>5</v>
      </c>
      <c r="D2022" s="1">
        <v>13</v>
      </c>
      <c r="E2022" s="1">
        <v>47.774000000000001</v>
      </c>
      <c r="F2022" s="1">
        <v>0.69176700000000002</v>
      </c>
      <c r="G2022" t="s">
        <v>3222</v>
      </c>
      <c r="H2022" t="s">
        <v>1077</v>
      </c>
      <c r="I2022" t="s">
        <v>5628</v>
      </c>
      <c r="J2022" t="str">
        <f>"Pleckstrin homology domain-containing family N member 1"</f>
        <v>Pleckstrin homology domain-containing family N member 1</v>
      </c>
      <c r="K2022" t="str">
        <f>"PLEKHN1"</f>
        <v>PLEKHN1</v>
      </c>
    </row>
    <row r="2023" spans="1:11" x14ac:dyDescent="0.25">
      <c r="A2023" s="1">
        <v>2270</v>
      </c>
      <c r="B2023" s="1">
        <v>3</v>
      </c>
      <c r="C2023" s="1" t="s">
        <v>3</v>
      </c>
      <c r="D2023" s="1">
        <v>5</v>
      </c>
      <c r="E2023" s="1">
        <v>66.266999999999996</v>
      </c>
      <c r="F2023" s="1">
        <v>0.98815900000000001</v>
      </c>
      <c r="G2023" t="s">
        <v>3223</v>
      </c>
      <c r="H2023" t="s">
        <v>3224</v>
      </c>
      <c r="I2023" t="s">
        <v>4626</v>
      </c>
      <c r="J2023" t="str">
        <f>"Dynein light chain 2, cytoplasmic;Dynein light chain 1, cytoplasmic"</f>
        <v>Dynein light chain 2, cytoplasmic;Dynein light chain 1, cytoplasmic</v>
      </c>
      <c r="K2023" t="str">
        <f>"DYNLL2;DYNLL1"</f>
        <v>DYNLL2;DYNLL1</v>
      </c>
    </row>
    <row r="2024" spans="1:11" x14ac:dyDescent="0.25">
      <c r="A2024" s="1">
        <v>2803</v>
      </c>
      <c r="B2024" s="1">
        <v>3</v>
      </c>
      <c r="C2024" s="1" t="s">
        <v>3</v>
      </c>
      <c r="D2024" s="1">
        <v>1</v>
      </c>
      <c r="E2024" s="1">
        <v>47.774000000000001</v>
      </c>
      <c r="F2024" s="1">
        <v>0.99982599999999999</v>
      </c>
      <c r="G2024" t="s">
        <v>3225</v>
      </c>
      <c r="H2024" t="s">
        <v>853</v>
      </c>
      <c r="I2024">
        <v>427</v>
      </c>
      <c r="J2024" t="str">
        <f>"Ankyrin repeat and SAM domain-containing protein 1A"</f>
        <v>Ankyrin repeat and SAM domain-containing protein 1A</v>
      </c>
      <c r="K2024" t="str">
        <f>"ANKS1A"</f>
        <v>ANKS1A</v>
      </c>
    </row>
    <row r="2025" spans="1:11" x14ac:dyDescent="0.25">
      <c r="A2025" s="1">
        <v>1093</v>
      </c>
      <c r="B2025" s="1">
        <v>3</v>
      </c>
      <c r="C2025" s="1" t="s">
        <v>3</v>
      </c>
      <c r="D2025" s="1">
        <v>5</v>
      </c>
      <c r="E2025" s="1">
        <v>51.03</v>
      </c>
      <c r="F2025" s="1">
        <v>1</v>
      </c>
      <c r="G2025" t="s">
        <v>3226</v>
      </c>
      <c r="H2025" t="s">
        <v>1236</v>
      </c>
      <c r="I2025" t="s">
        <v>5629</v>
      </c>
      <c r="J2025" t="str">
        <f>"Plakophilin-2"</f>
        <v>Plakophilin-2</v>
      </c>
      <c r="K2025" t="str">
        <f>"PKP2"</f>
        <v>PKP2</v>
      </c>
    </row>
    <row r="2026" spans="1:11" x14ac:dyDescent="0.25">
      <c r="A2026" s="1">
        <v>2765</v>
      </c>
      <c r="B2026" s="1">
        <v>3</v>
      </c>
      <c r="C2026" s="1" t="s">
        <v>3</v>
      </c>
      <c r="D2026" s="1">
        <v>15</v>
      </c>
      <c r="E2026" s="1">
        <v>44.734999999999999</v>
      </c>
      <c r="F2026" s="1">
        <v>0.99974799999999997</v>
      </c>
      <c r="G2026" t="s">
        <v>3227</v>
      </c>
      <c r="H2026" t="s">
        <v>3228</v>
      </c>
      <c r="I2026" t="s">
        <v>5630</v>
      </c>
      <c r="J2026" t="str">
        <f>"TBC1 domain family member 15"</f>
        <v>TBC1 domain family member 15</v>
      </c>
      <c r="K2026" t="str">
        <f>"TBC1D15"</f>
        <v>TBC1D15</v>
      </c>
    </row>
    <row r="2027" spans="1:11" x14ac:dyDescent="0.25">
      <c r="A2027" s="1">
        <v>308</v>
      </c>
      <c r="B2027" s="1">
        <v>3</v>
      </c>
      <c r="C2027" s="1" t="s">
        <v>5</v>
      </c>
      <c r="D2027" s="1">
        <v>19</v>
      </c>
      <c r="E2027" s="1">
        <v>45.347000000000001</v>
      </c>
      <c r="F2027" s="1">
        <v>0.56953299999999996</v>
      </c>
      <c r="G2027" t="s">
        <v>3229</v>
      </c>
      <c r="H2027" t="s">
        <v>2519</v>
      </c>
      <c r="I2027" t="s">
        <v>5631</v>
      </c>
      <c r="J2027" t="str">
        <f>"Heat shock protein 75 kDa, mitochondrial"</f>
        <v>Heat shock protein 75 kDa, mitochondrial</v>
      </c>
      <c r="K2027" t="str">
        <f>"TRAP1"</f>
        <v>TRAP1</v>
      </c>
    </row>
    <row r="2028" spans="1:11" x14ac:dyDescent="0.25">
      <c r="A2028" s="1">
        <v>869</v>
      </c>
      <c r="B2028" s="1">
        <v>3</v>
      </c>
      <c r="C2028" s="1" t="s">
        <v>3</v>
      </c>
      <c r="D2028" s="1">
        <v>19</v>
      </c>
      <c r="E2028" s="1">
        <v>83.394999999999996</v>
      </c>
      <c r="F2028" s="1">
        <v>0.63499099999999997</v>
      </c>
      <c r="G2028" t="s">
        <v>3230</v>
      </c>
      <c r="H2028" t="s">
        <v>3174</v>
      </c>
      <c r="I2028" t="s">
        <v>5632</v>
      </c>
      <c r="J2028" t="str">
        <f>"Rap guanine nucleotide exchange factor 6"</f>
        <v>Rap guanine nucleotide exchange factor 6</v>
      </c>
      <c r="K2028" t="str">
        <f>"RAPGEF6"</f>
        <v>RAPGEF6</v>
      </c>
    </row>
    <row r="2029" spans="1:11" x14ac:dyDescent="0.25">
      <c r="A2029" s="1">
        <v>3111</v>
      </c>
      <c r="B2029" s="1">
        <v>2</v>
      </c>
      <c r="C2029" s="1" t="s">
        <v>3</v>
      </c>
      <c r="D2029" s="1">
        <v>14</v>
      </c>
      <c r="E2029" s="1">
        <v>56.817</v>
      </c>
      <c r="F2029" s="1">
        <v>0.759633</v>
      </c>
      <c r="G2029" t="s">
        <v>3231</v>
      </c>
      <c r="H2029" t="s">
        <v>1689</v>
      </c>
      <c r="I2029" t="s">
        <v>5633</v>
      </c>
      <c r="J2029" t="str">
        <f>"GRB2-associated-binding protein 2"</f>
        <v>GRB2-associated-binding protein 2</v>
      </c>
      <c r="K2029" t="str">
        <f>"GAB2"</f>
        <v>GAB2</v>
      </c>
    </row>
    <row r="2030" spans="1:11" x14ac:dyDescent="0.25">
      <c r="A2030" s="1">
        <v>1977</v>
      </c>
      <c r="B2030" s="1">
        <v>2</v>
      </c>
      <c r="C2030" s="1" t="s">
        <v>3</v>
      </c>
      <c r="D2030" s="1">
        <v>6</v>
      </c>
      <c r="E2030" s="1">
        <v>70.784000000000006</v>
      </c>
      <c r="F2030" s="1">
        <v>0.99613600000000002</v>
      </c>
      <c r="G2030" t="s">
        <v>3232</v>
      </c>
      <c r="H2030" t="s">
        <v>3233</v>
      </c>
      <c r="I2030">
        <v>132</v>
      </c>
      <c r="J2030" t="str">
        <f>"Wee1-like protein kinase"</f>
        <v>Wee1-like protein kinase</v>
      </c>
      <c r="K2030" t="str">
        <f>"WEE1"</f>
        <v>WEE1</v>
      </c>
    </row>
    <row r="2031" spans="1:11" x14ac:dyDescent="0.25">
      <c r="A2031" s="1">
        <v>1460</v>
      </c>
      <c r="B2031" s="1">
        <v>3</v>
      </c>
      <c r="C2031" s="1" t="s">
        <v>3</v>
      </c>
      <c r="D2031" s="1">
        <v>9</v>
      </c>
      <c r="E2031" s="1">
        <v>65.043000000000006</v>
      </c>
      <c r="F2031" s="1">
        <v>0.79227300000000001</v>
      </c>
      <c r="G2031" t="s">
        <v>3234</v>
      </c>
      <c r="H2031" t="s">
        <v>1641</v>
      </c>
      <c r="I2031" t="s">
        <v>5634</v>
      </c>
      <c r="J2031" t="str">
        <f>"Eukaryotic translation initiation factor 3 subunit D"</f>
        <v>Eukaryotic translation initiation factor 3 subunit D</v>
      </c>
      <c r="K2031" t="str">
        <f>"EIF3D"</f>
        <v>EIF3D</v>
      </c>
    </row>
    <row r="2032" spans="1:11" x14ac:dyDescent="0.25">
      <c r="A2032" s="1">
        <v>3049</v>
      </c>
      <c r="B2032" s="1">
        <v>3</v>
      </c>
      <c r="C2032" s="1" t="s">
        <v>3</v>
      </c>
      <c r="D2032" s="1">
        <v>1</v>
      </c>
      <c r="E2032" s="1">
        <v>62.055</v>
      </c>
      <c r="F2032" s="1">
        <v>0.83493499999999998</v>
      </c>
      <c r="G2032" t="s">
        <v>3235</v>
      </c>
      <c r="H2032" t="s">
        <v>3236</v>
      </c>
      <c r="I2032">
        <v>98</v>
      </c>
      <c r="J2032" t="str">
        <f>"Disco-interacting protein 2 homolog B"</f>
        <v>Disco-interacting protein 2 homolog B</v>
      </c>
      <c r="K2032" t="str">
        <f>"DIP2B"</f>
        <v>DIP2B</v>
      </c>
    </row>
    <row r="2033" spans="1:11" x14ac:dyDescent="0.25">
      <c r="A2033" s="1">
        <v>646</v>
      </c>
      <c r="B2033" s="1">
        <v>3</v>
      </c>
      <c r="C2033" s="1" t="s">
        <v>4</v>
      </c>
      <c r="D2033" s="1">
        <v>15</v>
      </c>
      <c r="E2033" s="1">
        <v>64.522000000000006</v>
      </c>
      <c r="F2033" s="1">
        <v>0.99974300000000005</v>
      </c>
      <c r="G2033" t="s">
        <v>3237</v>
      </c>
      <c r="H2033" t="s">
        <v>608</v>
      </c>
      <c r="I2033" t="s">
        <v>5635</v>
      </c>
      <c r="J2033" t="str">
        <f>"Serine/threonine-protein phosphatase PP1-alpha catalytic subunit"</f>
        <v>Serine/threonine-protein phosphatase PP1-alpha catalytic subunit</v>
      </c>
      <c r="K2033" t="str">
        <f>"PPP1CA"</f>
        <v>PPP1CA</v>
      </c>
    </row>
    <row r="2034" spans="1:11" x14ac:dyDescent="0.25">
      <c r="A2034" s="1">
        <v>1204</v>
      </c>
      <c r="B2034" s="1">
        <v>3</v>
      </c>
      <c r="C2034" s="1" t="s">
        <v>3</v>
      </c>
      <c r="D2034" s="1">
        <v>11</v>
      </c>
      <c r="E2034" s="1">
        <v>42.067999999999998</v>
      </c>
      <c r="F2034" s="1">
        <v>0.99987199999999998</v>
      </c>
      <c r="G2034" t="s">
        <v>3238</v>
      </c>
      <c r="H2034" t="s">
        <v>3239</v>
      </c>
      <c r="I2034" t="s">
        <v>5636</v>
      </c>
      <c r="J2034" t="str">
        <f>"Rab11 family-interacting protein 1"</f>
        <v>Rab11 family-interacting protein 1</v>
      </c>
      <c r="K2034" t="str">
        <f>"RAB11FIP1"</f>
        <v>RAB11FIP1</v>
      </c>
    </row>
    <row r="2035" spans="1:11" x14ac:dyDescent="0.25">
      <c r="A2035" s="1">
        <v>1806</v>
      </c>
      <c r="B2035" s="1">
        <v>3</v>
      </c>
      <c r="C2035" s="1" t="s">
        <v>3</v>
      </c>
      <c r="D2035" s="1">
        <v>12</v>
      </c>
      <c r="E2035" s="1">
        <v>43.793999999999997</v>
      </c>
      <c r="F2035" s="1">
        <v>0.72529500000000002</v>
      </c>
      <c r="G2035" t="s">
        <v>3240</v>
      </c>
      <c r="H2035" t="s">
        <v>555</v>
      </c>
      <c r="I2035" t="s">
        <v>5637</v>
      </c>
      <c r="J2035" t="str">
        <f>"Integrin beta-4"</f>
        <v>Integrin beta-4</v>
      </c>
      <c r="K2035" t="str">
        <f>"ITGB4"</f>
        <v>ITGB4</v>
      </c>
    </row>
    <row r="2036" spans="1:11" x14ac:dyDescent="0.25">
      <c r="A2036" s="1">
        <v>2872</v>
      </c>
      <c r="B2036" s="1">
        <v>2</v>
      </c>
      <c r="C2036" s="1" t="s">
        <v>3</v>
      </c>
      <c r="D2036" s="1">
        <v>8</v>
      </c>
      <c r="E2036" s="1">
        <v>61.957999999999998</v>
      </c>
      <c r="F2036" s="1">
        <v>0.99677700000000002</v>
      </c>
      <c r="G2036" t="s">
        <v>3241</v>
      </c>
      <c r="H2036" t="s">
        <v>887</v>
      </c>
      <c r="I2036">
        <v>655</v>
      </c>
      <c r="J2036" t="str">
        <f>"RNA-binding protein 14"</f>
        <v>RNA-binding protein 14</v>
      </c>
      <c r="K2036" t="str">
        <f>"RBM14"</f>
        <v>RBM14</v>
      </c>
    </row>
    <row r="2037" spans="1:11" x14ac:dyDescent="0.25">
      <c r="A2037" s="1">
        <v>3122</v>
      </c>
      <c r="B2037" s="1">
        <v>2</v>
      </c>
      <c r="C2037" s="1" t="s">
        <v>3</v>
      </c>
      <c r="D2037" s="1">
        <v>4</v>
      </c>
      <c r="E2037" s="1">
        <v>70.941999999999993</v>
      </c>
      <c r="F2037" s="1">
        <v>0.97315600000000002</v>
      </c>
      <c r="G2037" t="s">
        <v>3242</v>
      </c>
      <c r="H2037" t="s">
        <v>3243</v>
      </c>
      <c r="I2037">
        <v>272</v>
      </c>
      <c r="J2037" t="str">
        <f>"Nucleolar protein 58"</f>
        <v>Nucleolar protein 58</v>
      </c>
      <c r="K2037" t="str">
        <f>"NOP58"</f>
        <v>NOP58</v>
      </c>
    </row>
    <row r="2038" spans="1:11" x14ac:dyDescent="0.25">
      <c r="A2038" s="1">
        <v>1875</v>
      </c>
      <c r="B2038" s="1">
        <v>3</v>
      </c>
      <c r="C2038" s="1" t="s">
        <v>3</v>
      </c>
      <c r="D2038" s="1">
        <v>6</v>
      </c>
      <c r="E2038" s="1">
        <v>65.832999999999998</v>
      </c>
      <c r="F2038" s="1">
        <v>0.99995299999999998</v>
      </c>
      <c r="G2038" t="s">
        <v>3244</v>
      </c>
      <c r="H2038" t="s">
        <v>840</v>
      </c>
      <c r="I2038">
        <v>599</v>
      </c>
      <c r="J2038" t="str">
        <f>"Ephrin type-A receptor 1"</f>
        <v>Ephrin type-A receptor 1</v>
      </c>
      <c r="K2038" t="str">
        <f>"EPHA1"</f>
        <v>EPHA1</v>
      </c>
    </row>
    <row r="2039" spans="1:11" x14ac:dyDescent="0.25">
      <c r="A2039" s="1">
        <v>394</v>
      </c>
      <c r="B2039" s="1">
        <v>4</v>
      </c>
      <c r="C2039" s="1" t="s">
        <v>5</v>
      </c>
      <c r="D2039" s="1">
        <v>28</v>
      </c>
      <c r="E2039" s="1">
        <v>69.551000000000002</v>
      </c>
      <c r="F2039" s="1">
        <v>0.55675699999999995</v>
      </c>
      <c r="G2039" t="s">
        <v>3245</v>
      </c>
      <c r="H2039" t="s">
        <v>3246</v>
      </c>
      <c r="I2039" t="s">
        <v>5638</v>
      </c>
      <c r="J2039" t="str">
        <f>"Caskin-2"</f>
        <v>Caskin-2</v>
      </c>
      <c r="K2039" t="str">
        <f>"CASKIN2"</f>
        <v>CASKIN2</v>
      </c>
    </row>
    <row r="2040" spans="1:11" x14ac:dyDescent="0.25">
      <c r="A2040" s="1">
        <v>1556</v>
      </c>
      <c r="B2040" s="1">
        <v>2</v>
      </c>
      <c r="C2040" s="1" t="s">
        <v>3</v>
      </c>
      <c r="D2040" s="1">
        <v>6</v>
      </c>
      <c r="E2040" s="1">
        <v>61.56</v>
      </c>
      <c r="F2040" s="1">
        <v>0.84883900000000001</v>
      </c>
      <c r="G2040" t="s">
        <v>3247</v>
      </c>
      <c r="H2040" t="s">
        <v>3248</v>
      </c>
      <c r="I2040" t="s">
        <v>5639</v>
      </c>
      <c r="J2040" t="str">
        <f>"Latrophilin-1"</f>
        <v>Latrophilin-1</v>
      </c>
      <c r="K2040" t="str">
        <f>"LPHN1"</f>
        <v>LPHN1</v>
      </c>
    </row>
    <row r="2041" spans="1:11" x14ac:dyDescent="0.25">
      <c r="A2041" s="1">
        <v>2578</v>
      </c>
      <c r="B2041" s="1">
        <v>2</v>
      </c>
      <c r="C2041" s="1" t="s">
        <v>3</v>
      </c>
      <c r="D2041" s="1">
        <v>8</v>
      </c>
      <c r="E2041" s="1">
        <v>72.290000000000006</v>
      </c>
      <c r="F2041" s="1">
        <v>0.97012699999999996</v>
      </c>
      <c r="G2041" t="s">
        <v>3249</v>
      </c>
      <c r="H2041" t="s">
        <v>3250</v>
      </c>
      <c r="I2041" t="s">
        <v>5640</v>
      </c>
      <c r="J2041" t="str">
        <f>"Shugoshin-like 1"</f>
        <v>Shugoshin-like 1</v>
      </c>
      <c r="K2041" t="str">
        <f>"SGOL1"</f>
        <v>SGOL1</v>
      </c>
    </row>
    <row r="2042" spans="1:11" x14ac:dyDescent="0.25">
      <c r="A2042" s="1">
        <v>3130</v>
      </c>
      <c r="B2042" s="1">
        <v>3</v>
      </c>
      <c r="C2042" s="1" t="s">
        <v>3</v>
      </c>
      <c r="D2042" s="1">
        <v>10</v>
      </c>
      <c r="E2042" s="1">
        <v>66.004000000000005</v>
      </c>
      <c r="F2042" s="1">
        <v>1</v>
      </c>
      <c r="G2042" t="s">
        <v>3251</v>
      </c>
      <c r="H2042" t="s">
        <v>3252</v>
      </c>
      <c r="I2042" t="s">
        <v>5641</v>
      </c>
      <c r="J2042" t="str">
        <f>"Deoxynucleoside triphosphate triphosphohydrolase SAMHD1"</f>
        <v>Deoxynucleoside triphosphate triphosphohydrolase SAMHD1</v>
      </c>
      <c r="K2042" t="str">
        <f>"SAMHD1"</f>
        <v>SAMHD1</v>
      </c>
    </row>
    <row r="2043" spans="1:11" x14ac:dyDescent="0.25">
      <c r="A2043" s="1">
        <v>1925</v>
      </c>
      <c r="B2043" s="1">
        <v>3</v>
      </c>
      <c r="C2043" s="1" t="s">
        <v>3</v>
      </c>
      <c r="D2043" s="1">
        <v>7</v>
      </c>
      <c r="E2043" s="1">
        <v>62.588999999999999</v>
      </c>
      <c r="F2043" s="1">
        <v>0.80001699999999998</v>
      </c>
      <c r="G2043" t="s">
        <v>3253</v>
      </c>
      <c r="H2043" t="s">
        <v>1182</v>
      </c>
      <c r="I2043" t="s">
        <v>5642</v>
      </c>
      <c r="J2043" t="str">
        <f>"Proteasome subunit alpha type-2"</f>
        <v>Proteasome subunit alpha type-2</v>
      </c>
      <c r="K2043" t="str">
        <f>"PSMA2"</f>
        <v>PSMA2</v>
      </c>
    </row>
    <row r="2044" spans="1:11" x14ac:dyDescent="0.25">
      <c r="A2044" s="1">
        <v>2005</v>
      </c>
      <c r="B2044" s="1">
        <v>2</v>
      </c>
      <c r="C2044" s="1" t="s">
        <v>3</v>
      </c>
      <c r="D2044" s="1">
        <v>4</v>
      </c>
      <c r="E2044" s="1">
        <v>67.325999999999993</v>
      </c>
      <c r="F2044" s="1">
        <v>0.99997599999999998</v>
      </c>
      <c r="G2044" t="s">
        <v>3254</v>
      </c>
      <c r="H2044" t="s">
        <v>3255</v>
      </c>
      <c r="I2044" t="s">
        <v>5643</v>
      </c>
      <c r="J2044" t="str">
        <f>"Myosin-10"</f>
        <v>Myosin-10</v>
      </c>
      <c r="K2044" t="str">
        <f>"MYH10"</f>
        <v>MYH10</v>
      </c>
    </row>
    <row r="2045" spans="1:11" x14ac:dyDescent="0.25">
      <c r="A2045" s="1">
        <v>2746</v>
      </c>
      <c r="B2045" s="1">
        <v>3</v>
      </c>
      <c r="C2045" s="1" t="s">
        <v>3</v>
      </c>
      <c r="D2045" s="1">
        <v>8</v>
      </c>
      <c r="E2045" s="1">
        <v>49.298000000000002</v>
      </c>
      <c r="F2045" s="1">
        <v>0.93641300000000005</v>
      </c>
      <c r="G2045" t="s">
        <v>3256</v>
      </c>
      <c r="H2045" t="s">
        <v>3257</v>
      </c>
      <c r="I2045" t="s">
        <v>5644</v>
      </c>
      <c r="J2045" t="str">
        <f>"Phospholipase DDHD1"</f>
        <v>Phospholipase DDHD1</v>
      </c>
      <c r="K2045" t="str">
        <f>"DDHD1"</f>
        <v>DDHD1</v>
      </c>
    </row>
    <row r="2046" spans="1:11" x14ac:dyDescent="0.25">
      <c r="A2046" s="1">
        <v>1871</v>
      </c>
      <c r="B2046" s="1">
        <v>3</v>
      </c>
      <c r="C2046" s="1" t="s">
        <v>3</v>
      </c>
      <c r="D2046" s="1">
        <v>1</v>
      </c>
      <c r="E2046" s="1">
        <v>46.069000000000003</v>
      </c>
      <c r="F2046" s="1">
        <v>0.99743199999999999</v>
      </c>
      <c r="G2046" t="s">
        <v>3258</v>
      </c>
      <c r="H2046" t="s">
        <v>78</v>
      </c>
      <c r="I2046" t="s">
        <v>5645</v>
      </c>
      <c r="J2046" t="str">
        <f>"Filamin-A"</f>
        <v>Filamin-A</v>
      </c>
      <c r="K2046" t="str">
        <f>"FLNA"</f>
        <v>FLNA</v>
      </c>
    </row>
    <row r="2047" spans="1:11" x14ac:dyDescent="0.25">
      <c r="A2047" s="1">
        <v>884</v>
      </c>
      <c r="B2047" s="1">
        <v>3</v>
      </c>
      <c r="C2047" s="1" t="s">
        <v>3</v>
      </c>
      <c r="D2047" s="1">
        <v>5</v>
      </c>
      <c r="E2047" s="1">
        <v>48.899000000000001</v>
      </c>
      <c r="F2047" s="1">
        <v>0.78664400000000001</v>
      </c>
      <c r="G2047" t="s">
        <v>3259</v>
      </c>
      <c r="H2047" t="s">
        <v>3260</v>
      </c>
      <c r="I2047" t="s">
        <v>5646</v>
      </c>
      <c r="J2047" t="str">
        <f>"Unconventional myosin-VI"</f>
        <v>Unconventional myosin-VI</v>
      </c>
      <c r="K2047" t="str">
        <f>"MYO6"</f>
        <v>MYO6</v>
      </c>
    </row>
    <row r="2048" spans="1:11" x14ac:dyDescent="0.25">
      <c r="A2048" s="1">
        <v>2772</v>
      </c>
      <c r="B2048" s="1">
        <v>3</v>
      </c>
      <c r="C2048" s="1" t="s">
        <v>3</v>
      </c>
      <c r="D2048" s="1">
        <v>3</v>
      </c>
      <c r="E2048" s="1">
        <v>85.536000000000001</v>
      </c>
      <c r="F2048" s="1">
        <v>1</v>
      </c>
      <c r="G2048" t="s">
        <v>3261</v>
      </c>
      <c r="H2048" t="s">
        <v>3262</v>
      </c>
      <c r="I2048" t="s">
        <v>5647</v>
      </c>
      <c r="J2048" t="str">
        <f>"Protein-methionine sulfoxide oxidase MICAL1"</f>
        <v>Protein-methionine sulfoxide oxidase MICAL1</v>
      </c>
      <c r="K2048" t="str">
        <f>"MICAL1"</f>
        <v>MICAL1</v>
      </c>
    </row>
    <row r="2049" spans="1:11" x14ac:dyDescent="0.25">
      <c r="A2049" s="1">
        <v>2613</v>
      </c>
      <c r="B2049" s="1">
        <v>2</v>
      </c>
      <c r="C2049" s="1" t="s">
        <v>3</v>
      </c>
      <c r="D2049" s="1">
        <v>2</v>
      </c>
      <c r="E2049" s="1">
        <v>103.91</v>
      </c>
      <c r="F2049" s="1">
        <v>0.89116200000000001</v>
      </c>
      <c r="G2049" t="s">
        <v>3263</v>
      </c>
      <c r="H2049" t="s">
        <v>37</v>
      </c>
      <c r="I2049" t="s">
        <v>5648</v>
      </c>
      <c r="J2049" t="str">
        <f>"Partitioning defective 3 homolog"</f>
        <v>Partitioning defective 3 homolog</v>
      </c>
      <c r="K2049" t="str">
        <f>"PARD3"</f>
        <v>PARD3</v>
      </c>
    </row>
    <row r="2050" spans="1:11" x14ac:dyDescent="0.25">
      <c r="A2050" s="1">
        <v>506</v>
      </c>
      <c r="B2050" s="1">
        <v>3</v>
      </c>
      <c r="C2050" s="1" t="s">
        <v>4</v>
      </c>
      <c r="D2050" s="1">
        <v>11</v>
      </c>
      <c r="E2050" s="1">
        <v>55.453000000000003</v>
      </c>
      <c r="F2050" s="1">
        <v>0.52743499999999999</v>
      </c>
      <c r="G2050" t="s">
        <v>3264</v>
      </c>
      <c r="H2050" t="s">
        <v>2553</v>
      </c>
      <c r="I2050" t="s">
        <v>5649</v>
      </c>
      <c r="J2050" t="str">
        <f>"Leukocyte immunoglobulin-like receptor subfamily B member 5"</f>
        <v>Leukocyte immunoglobulin-like receptor subfamily B member 5</v>
      </c>
      <c r="K2050" t="str">
        <f>"LILRB5"</f>
        <v>LILRB5</v>
      </c>
    </row>
    <row r="2051" spans="1:11" x14ac:dyDescent="0.25">
      <c r="A2051" s="1">
        <v>962</v>
      </c>
      <c r="B2051" s="1">
        <v>3</v>
      </c>
      <c r="C2051" s="1" t="s">
        <v>3</v>
      </c>
      <c r="D2051" s="1">
        <v>15</v>
      </c>
      <c r="E2051" s="1">
        <v>63.302</v>
      </c>
      <c r="F2051" s="1">
        <v>0.77122500000000005</v>
      </c>
      <c r="G2051" t="s">
        <v>3265</v>
      </c>
      <c r="H2051" t="s">
        <v>1264</v>
      </c>
      <c r="I2051" t="s">
        <v>5650</v>
      </c>
      <c r="J2051" t="str">
        <f>"Protein diaphanous homolog 1"</f>
        <v>Protein diaphanous homolog 1</v>
      </c>
      <c r="K2051" t="str">
        <f>"DIAPH1"</f>
        <v>DIAPH1</v>
      </c>
    </row>
    <row r="2052" spans="1:11" x14ac:dyDescent="0.25">
      <c r="A2052" s="1">
        <v>2509</v>
      </c>
      <c r="B2052" s="1">
        <v>3</v>
      </c>
      <c r="C2052" s="1" t="s">
        <v>3</v>
      </c>
      <c r="D2052" s="1">
        <v>6</v>
      </c>
      <c r="E2052" s="1">
        <v>100.28</v>
      </c>
      <c r="F2052" s="1">
        <v>0.96607100000000001</v>
      </c>
      <c r="G2052" t="s">
        <v>3266</v>
      </c>
      <c r="H2052" t="s">
        <v>3267</v>
      </c>
      <c r="I2052" t="s">
        <v>5651</v>
      </c>
      <c r="J2052" t="str">
        <f>"[Pyruvate dehydrogenase (acetyl-transferring)] kinase isozyme 1, mitochondrial"</f>
        <v>[Pyruvate dehydrogenase (acetyl-transferring)] kinase isozyme 1, mitochondrial</v>
      </c>
      <c r="K2052" t="str">
        <f>"PDK1"</f>
        <v>PDK1</v>
      </c>
    </row>
    <row r="2053" spans="1:11" x14ac:dyDescent="0.25">
      <c r="A2053" s="1">
        <v>1405</v>
      </c>
      <c r="B2053" s="1">
        <v>3</v>
      </c>
      <c r="C2053" s="1" t="s">
        <v>3</v>
      </c>
      <c r="D2053" s="1">
        <v>9</v>
      </c>
      <c r="E2053" s="1">
        <v>44.997999999999998</v>
      </c>
      <c r="F2053" s="1">
        <v>0.99694300000000002</v>
      </c>
      <c r="G2053" t="s">
        <v>3268</v>
      </c>
      <c r="H2053" t="s">
        <v>1874</v>
      </c>
      <c r="I2053">
        <v>321</v>
      </c>
      <c r="J2053" t="str">
        <f>"PDZ and LIM domain protein 1"</f>
        <v>PDZ and LIM domain protein 1</v>
      </c>
      <c r="K2053" t="str">
        <f>"PDLIM1"</f>
        <v>PDLIM1</v>
      </c>
    </row>
    <row r="2054" spans="1:11" x14ac:dyDescent="0.25">
      <c r="A2054" s="1">
        <v>2179</v>
      </c>
      <c r="B2054" s="1">
        <v>3</v>
      </c>
      <c r="C2054" s="1" t="s">
        <v>3</v>
      </c>
      <c r="D2054" s="1">
        <v>9</v>
      </c>
      <c r="E2054" s="1">
        <v>40.493000000000002</v>
      </c>
      <c r="F2054" s="1">
        <v>0.85062400000000005</v>
      </c>
      <c r="G2054" t="s">
        <v>3269</v>
      </c>
      <c r="H2054" t="s">
        <v>1084</v>
      </c>
      <c r="I2054" t="s">
        <v>4350</v>
      </c>
      <c r="J2054" t="str">
        <f>"Coatomer subunit alpha;Xenin;Proxenin"</f>
        <v>Coatomer subunit alpha;Xenin;Proxenin</v>
      </c>
      <c r="K2054" t="str">
        <f>"COPA"</f>
        <v>COPA</v>
      </c>
    </row>
    <row r="2055" spans="1:11" x14ac:dyDescent="0.25">
      <c r="A2055" s="1">
        <v>37</v>
      </c>
      <c r="B2055" s="1">
        <v>3</v>
      </c>
      <c r="C2055" s="1" t="s">
        <v>5</v>
      </c>
      <c r="D2055" s="1">
        <v>11</v>
      </c>
      <c r="E2055" s="1">
        <v>69.578000000000003</v>
      </c>
      <c r="F2055" s="1">
        <v>0.53226600000000002</v>
      </c>
      <c r="G2055" t="s">
        <v>3270</v>
      </c>
      <c r="H2055" t="s">
        <v>3007</v>
      </c>
      <c r="I2055" t="s">
        <v>5652</v>
      </c>
      <c r="J2055" t="str">
        <f>""</f>
        <v/>
      </c>
      <c r="K2055" t="str">
        <f>"HSPA1A"</f>
        <v>HSPA1A</v>
      </c>
    </row>
    <row r="2056" spans="1:11" x14ac:dyDescent="0.25">
      <c r="A2056" s="1">
        <v>455</v>
      </c>
      <c r="B2056" s="1">
        <v>3</v>
      </c>
      <c r="C2056" s="1" t="s">
        <v>5</v>
      </c>
      <c r="D2056" s="1">
        <v>6</v>
      </c>
      <c r="E2056" s="1">
        <v>62.338000000000001</v>
      </c>
      <c r="F2056" s="1">
        <v>0.56317200000000001</v>
      </c>
      <c r="G2056" t="s">
        <v>3271</v>
      </c>
      <c r="H2056" t="s">
        <v>2361</v>
      </c>
      <c r="I2056" t="s">
        <v>5653</v>
      </c>
      <c r="J2056" t="str">
        <f>"WW domain binding protein 1-like"</f>
        <v>WW domain binding protein 1-like</v>
      </c>
      <c r="K2056" t="str">
        <f>"WBP1L"</f>
        <v>WBP1L</v>
      </c>
    </row>
    <row r="2057" spans="1:11" x14ac:dyDescent="0.25">
      <c r="A2057" s="1">
        <v>2353</v>
      </c>
      <c r="B2057" s="1">
        <v>2</v>
      </c>
      <c r="C2057" s="1" t="s">
        <v>3</v>
      </c>
      <c r="D2057" s="1">
        <v>5</v>
      </c>
      <c r="E2057" s="1">
        <v>69.188000000000002</v>
      </c>
      <c r="F2057" s="1">
        <v>0.98759600000000003</v>
      </c>
      <c r="G2057" t="s">
        <v>3272</v>
      </c>
      <c r="H2057" t="s">
        <v>3273</v>
      </c>
      <c r="I2057" t="s">
        <v>5654</v>
      </c>
      <c r="J2057" t="str">
        <f>"Tyrosine-protein kinase BTK"</f>
        <v>Tyrosine-protein kinase BTK</v>
      </c>
      <c r="K2057" t="str">
        <f>"BTK"</f>
        <v>BTK</v>
      </c>
    </row>
    <row r="2058" spans="1:11" x14ac:dyDescent="0.25">
      <c r="A2058" s="1">
        <v>2975</v>
      </c>
      <c r="B2058" s="1">
        <v>3</v>
      </c>
      <c r="C2058" s="1" t="s">
        <v>3</v>
      </c>
      <c r="D2058" s="1">
        <v>24</v>
      </c>
      <c r="E2058" s="1">
        <v>46.558</v>
      </c>
      <c r="F2058" s="1">
        <v>0.91673400000000005</v>
      </c>
      <c r="G2058" t="s">
        <v>3274</v>
      </c>
      <c r="H2058" t="s">
        <v>211</v>
      </c>
      <c r="I2058" t="s">
        <v>5655</v>
      </c>
      <c r="J2058" t="str">
        <f>"Pseudopodium-enriched atypical kinase 1"</f>
        <v>Pseudopodium-enriched atypical kinase 1</v>
      </c>
      <c r="K2058" t="str">
        <f>"PEAK1"</f>
        <v>PEAK1</v>
      </c>
    </row>
    <row r="2059" spans="1:11" x14ac:dyDescent="0.25">
      <c r="A2059" s="1">
        <v>2981</v>
      </c>
      <c r="B2059" s="1">
        <v>3</v>
      </c>
      <c r="C2059" s="1" t="s">
        <v>3</v>
      </c>
      <c r="D2059" s="1">
        <v>10</v>
      </c>
      <c r="E2059" s="1">
        <v>88.176000000000002</v>
      </c>
      <c r="F2059" s="1">
        <v>0.98866699999999996</v>
      </c>
      <c r="G2059" t="s">
        <v>3275</v>
      </c>
      <c r="H2059" t="s">
        <v>3276</v>
      </c>
      <c r="I2059" t="s">
        <v>5656</v>
      </c>
      <c r="J2059" t="str">
        <f>"Proline-serine-threonine phosphatase-interacting protein 2"</f>
        <v>Proline-serine-threonine phosphatase-interacting protein 2</v>
      </c>
      <c r="K2059" t="str">
        <f>"PSTPIP2"</f>
        <v>PSTPIP2</v>
      </c>
    </row>
    <row r="2060" spans="1:11" x14ac:dyDescent="0.25">
      <c r="A2060" s="1">
        <v>822</v>
      </c>
      <c r="B2060" s="1">
        <v>2</v>
      </c>
      <c r="C2060" s="1" t="s">
        <v>3</v>
      </c>
      <c r="D2060" s="1">
        <v>3</v>
      </c>
      <c r="E2060" s="1">
        <v>60.018999999999998</v>
      </c>
      <c r="F2060" s="1">
        <v>0.99988500000000002</v>
      </c>
      <c r="G2060" t="s">
        <v>3277</v>
      </c>
      <c r="H2060" t="s">
        <v>3278</v>
      </c>
      <c r="I2060" t="s">
        <v>5657</v>
      </c>
      <c r="J2060" t="str">
        <f>"Beta-parvin;Alpha-parvin"</f>
        <v>Beta-parvin;Alpha-parvin</v>
      </c>
      <c r="K2060" t="str">
        <f>"PARVB;PARVA"</f>
        <v>PARVB;PARVA</v>
      </c>
    </row>
    <row r="2061" spans="1:11" x14ac:dyDescent="0.25">
      <c r="A2061" s="1">
        <v>1918</v>
      </c>
      <c r="B2061" s="1">
        <v>2</v>
      </c>
      <c r="C2061" s="1" t="s">
        <v>3</v>
      </c>
      <c r="D2061" s="1">
        <v>4</v>
      </c>
      <c r="E2061" s="1">
        <v>60.156999999999996</v>
      </c>
      <c r="F2061" s="1">
        <v>0.99985500000000005</v>
      </c>
      <c r="G2061" t="s">
        <v>3279</v>
      </c>
      <c r="H2061" t="s">
        <v>3280</v>
      </c>
      <c r="I2061" t="s">
        <v>5658</v>
      </c>
      <c r="J2061" t="str">
        <f>"Adenomatous polyposis coli protein"</f>
        <v>Adenomatous polyposis coli protein</v>
      </c>
      <c r="K2061" t="str">
        <f>"APC"</f>
        <v>APC</v>
      </c>
    </row>
    <row r="2062" spans="1:11" x14ac:dyDescent="0.25">
      <c r="A2062" s="1">
        <v>2040</v>
      </c>
      <c r="B2062" s="1">
        <v>3</v>
      </c>
      <c r="C2062" s="1" t="s">
        <v>3</v>
      </c>
      <c r="D2062" s="1">
        <v>7</v>
      </c>
      <c r="E2062" s="1">
        <v>83.855999999999995</v>
      </c>
      <c r="F2062" s="1">
        <v>0.99957799999999997</v>
      </c>
      <c r="G2062" t="s">
        <v>3281</v>
      </c>
      <c r="H2062" t="s">
        <v>3282</v>
      </c>
      <c r="I2062" t="s">
        <v>5659</v>
      </c>
      <c r="J2062" t="str">
        <f>"Abelson tyrosine-protein kinase 2"</f>
        <v>Abelson tyrosine-protein kinase 2</v>
      </c>
      <c r="K2062" t="str">
        <f>"ABL2"</f>
        <v>ABL2</v>
      </c>
    </row>
    <row r="2063" spans="1:11" x14ac:dyDescent="0.25">
      <c r="A2063" s="1">
        <v>2783</v>
      </c>
      <c r="B2063" s="1">
        <v>3</v>
      </c>
      <c r="C2063" s="1" t="s">
        <v>3</v>
      </c>
      <c r="D2063" s="1">
        <v>4</v>
      </c>
      <c r="E2063" s="1">
        <v>55.353000000000002</v>
      </c>
      <c r="F2063" s="1">
        <v>0.99575999999999998</v>
      </c>
      <c r="G2063" t="s">
        <v>3283</v>
      </c>
      <c r="H2063" t="s">
        <v>3284</v>
      </c>
      <c r="I2063">
        <v>39</v>
      </c>
      <c r="J2063" t="str">
        <f>"Peptidyl-prolyl cis-trans isomerase-like 4"</f>
        <v>Peptidyl-prolyl cis-trans isomerase-like 4</v>
      </c>
      <c r="K2063" t="str">
        <f>"PPIL4"</f>
        <v>PPIL4</v>
      </c>
    </row>
    <row r="2064" spans="1:11" x14ac:dyDescent="0.25">
      <c r="A2064" s="1">
        <v>235</v>
      </c>
      <c r="B2064" s="1">
        <v>2</v>
      </c>
      <c r="C2064" s="1" t="s">
        <v>5</v>
      </c>
      <c r="D2064" s="1">
        <v>6</v>
      </c>
      <c r="E2064" s="1">
        <v>44.238</v>
      </c>
      <c r="F2064" s="1">
        <v>0.50291699999999995</v>
      </c>
      <c r="G2064" t="s">
        <v>3285</v>
      </c>
      <c r="H2064" t="s">
        <v>499</v>
      </c>
      <c r="I2064" t="s">
        <v>5660</v>
      </c>
      <c r="J2064" t="str">
        <f>"Tyrosine-protein phosphatase non-receptor type 6"</f>
        <v>Tyrosine-protein phosphatase non-receptor type 6</v>
      </c>
      <c r="K2064" t="str">
        <f>"PTPN6"</f>
        <v>PTPN6</v>
      </c>
    </row>
    <row r="2065" spans="1:11" x14ac:dyDescent="0.25">
      <c r="A2065" s="1">
        <v>3050</v>
      </c>
      <c r="B2065" s="1">
        <v>3</v>
      </c>
      <c r="C2065" s="1" t="s">
        <v>3</v>
      </c>
      <c r="D2065" s="1">
        <v>18</v>
      </c>
      <c r="E2065" s="1">
        <v>58.951999999999998</v>
      </c>
      <c r="F2065" s="1">
        <v>0.85748899999999995</v>
      </c>
      <c r="G2065" t="s">
        <v>3286</v>
      </c>
      <c r="H2065" t="s">
        <v>1100</v>
      </c>
      <c r="I2065">
        <v>397</v>
      </c>
      <c r="J2065" t="str">
        <f>"Junctional protein associated with coronary artery disease"</f>
        <v>Junctional protein associated with coronary artery disease</v>
      </c>
      <c r="K2065" t="str">
        <f>"KIAA1462"</f>
        <v>KIAA1462</v>
      </c>
    </row>
    <row r="2066" spans="1:11" x14ac:dyDescent="0.25">
      <c r="A2066" s="1">
        <v>54</v>
      </c>
      <c r="B2066" s="1">
        <v>2</v>
      </c>
      <c r="C2066" s="1" t="s">
        <v>5</v>
      </c>
      <c r="D2066" s="1">
        <v>9</v>
      </c>
      <c r="E2066" s="1">
        <v>66.245999999999995</v>
      </c>
      <c r="F2066" s="1">
        <v>0.52781100000000003</v>
      </c>
      <c r="G2066" t="s">
        <v>3287</v>
      </c>
      <c r="H2066" t="s">
        <v>336</v>
      </c>
      <c r="I2066" t="s">
        <v>5661</v>
      </c>
      <c r="J2066" t="str">
        <f>"GRB2-associated-binding protein 1"</f>
        <v>GRB2-associated-binding protein 1</v>
      </c>
      <c r="K2066" t="str">
        <f>"GAB1"</f>
        <v>GAB1</v>
      </c>
    </row>
    <row r="2067" spans="1:11" x14ac:dyDescent="0.25">
      <c r="A2067" s="1">
        <v>2843</v>
      </c>
      <c r="B2067" s="1">
        <v>3</v>
      </c>
      <c r="C2067" s="1" t="s">
        <v>3</v>
      </c>
      <c r="D2067" s="1">
        <v>11</v>
      </c>
      <c r="E2067" s="1">
        <v>40.856999999999999</v>
      </c>
      <c r="F2067" s="1">
        <v>0.84802500000000003</v>
      </c>
      <c r="G2067" t="s">
        <v>3288</v>
      </c>
      <c r="H2067" t="s">
        <v>3289</v>
      </c>
      <c r="I2067">
        <v>419</v>
      </c>
      <c r="J2067" t="str">
        <f>"Sodium/bile acid cotransporter 4"</f>
        <v>Sodium/bile acid cotransporter 4</v>
      </c>
      <c r="K2067" t="str">
        <f>"SLC10A4"</f>
        <v>SLC10A4</v>
      </c>
    </row>
    <row r="2068" spans="1:11" x14ac:dyDescent="0.25">
      <c r="A2068" s="1">
        <v>288</v>
      </c>
      <c r="B2068" s="1">
        <v>2</v>
      </c>
      <c r="C2068" s="1" t="s">
        <v>5</v>
      </c>
      <c r="D2068" s="1">
        <v>7</v>
      </c>
      <c r="E2068" s="1">
        <v>45.28</v>
      </c>
      <c r="F2068" s="1">
        <v>0.62666100000000002</v>
      </c>
      <c r="G2068" t="s">
        <v>3290</v>
      </c>
      <c r="H2068" t="s">
        <v>509</v>
      </c>
      <c r="I2068" t="s">
        <v>5662</v>
      </c>
      <c r="J2068" t="str">
        <f>"Spectrin beta chain, non-erythrocytic 1"</f>
        <v>Spectrin beta chain, non-erythrocytic 1</v>
      </c>
      <c r="K2068" t="str">
        <f>"SPTBN1"</f>
        <v>SPTBN1</v>
      </c>
    </row>
    <row r="2069" spans="1:11" x14ac:dyDescent="0.25">
      <c r="A2069" s="1">
        <v>1876</v>
      </c>
      <c r="B2069" s="1">
        <v>2</v>
      </c>
      <c r="C2069" s="1" t="s">
        <v>3</v>
      </c>
      <c r="D2069" s="1">
        <v>2</v>
      </c>
      <c r="E2069" s="1">
        <v>62.658999999999999</v>
      </c>
      <c r="F2069" s="1">
        <v>1</v>
      </c>
      <c r="G2069" t="s">
        <v>3291</v>
      </c>
      <c r="H2069" t="s">
        <v>2354</v>
      </c>
      <c r="I2069">
        <v>22</v>
      </c>
      <c r="J2069" t="str">
        <f>"Voltage-dependent anion-selective channel protein 1"</f>
        <v>Voltage-dependent anion-selective channel protein 1</v>
      </c>
      <c r="K2069" t="str">
        <f>"VDAC1"</f>
        <v>VDAC1</v>
      </c>
    </row>
    <row r="2070" spans="1:11" x14ac:dyDescent="0.25">
      <c r="A2070" s="1">
        <v>193</v>
      </c>
      <c r="B2070" s="1">
        <v>3</v>
      </c>
      <c r="C2070" s="1" t="s">
        <v>5</v>
      </c>
      <c r="D2070" s="1">
        <v>1</v>
      </c>
      <c r="E2070" s="1">
        <v>44.238</v>
      </c>
      <c r="F2070" s="1">
        <v>0.52821300000000004</v>
      </c>
      <c r="G2070" t="s">
        <v>3292</v>
      </c>
      <c r="H2070" t="s">
        <v>3293</v>
      </c>
      <c r="I2070">
        <v>143</v>
      </c>
      <c r="J2070" t="str">
        <f>"Guanine nucleotide-binding protein G(k) subunit alpha"</f>
        <v>Guanine nucleotide-binding protein G(k) subunit alpha</v>
      </c>
      <c r="K2070" t="str">
        <f>"GNAI3"</f>
        <v>GNAI3</v>
      </c>
    </row>
    <row r="2071" spans="1:11" x14ac:dyDescent="0.25">
      <c r="A2071" s="1">
        <v>2414</v>
      </c>
      <c r="B2071" s="1">
        <v>3</v>
      </c>
      <c r="C2071" s="1" t="s">
        <v>3</v>
      </c>
      <c r="D2071" s="1">
        <v>2</v>
      </c>
      <c r="E2071" s="1">
        <v>85.676000000000002</v>
      </c>
      <c r="F2071" s="1">
        <v>1</v>
      </c>
      <c r="G2071" t="s">
        <v>3294</v>
      </c>
      <c r="H2071" t="s">
        <v>3295</v>
      </c>
      <c r="I2071">
        <v>125</v>
      </c>
      <c r="J2071" t="str">
        <f>"Ras GTPase-activating protein-binding protein 1"</f>
        <v>Ras GTPase-activating protein-binding protein 1</v>
      </c>
      <c r="K2071" t="str">
        <f>"G3BP1"</f>
        <v>G3BP1</v>
      </c>
    </row>
    <row r="2072" spans="1:11" x14ac:dyDescent="0.25">
      <c r="A2072" s="1">
        <v>841</v>
      </c>
      <c r="B2072" s="1">
        <v>3</v>
      </c>
      <c r="C2072" s="1" t="s">
        <v>3</v>
      </c>
      <c r="D2072" s="1">
        <v>14</v>
      </c>
      <c r="E2072" s="1">
        <v>59.709000000000003</v>
      </c>
      <c r="F2072" s="1">
        <v>0.99156900000000003</v>
      </c>
      <c r="G2072" t="s">
        <v>3296</v>
      </c>
      <c r="H2072" t="s">
        <v>3297</v>
      </c>
      <c r="I2072" t="s">
        <v>5663</v>
      </c>
      <c r="J2072" t="str">
        <f>"Tight junction protein ZO-1"</f>
        <v>Tight junction protein ZO-1</v>
      </c>
      <c r="K2072" t="str">
        <f>"TJP1"</f>
        <v>TJP1</v>
      </c>
    </row>
    <row r="2073" spans="1:11" x14ac:dyDescent="0.25">
      <c r="A2073" s="1">
        <v>1292</v>
      </c>
      <c r="B2073" s="1">
        <v>3</v>
      </c>
      <c r="C2073" s="1" t="s">
        <v>3</v>
      </c>
      <c r="D2073" s="1">
        <v>7</v>
      </c>
      <c r="E2073" s="1">
        <v>58.98</v>
      </c>
      <c r="F2073" s="1">
        <v>0.99967399999999995</v>
      </c>
      <c r="G2073" t="s">
        <v>3298</v>
      </c>
      <c r="H2073" t="s">
        <v>2811</v>
      </c>
      <c r="I2073" t="s">
        <v>5664</v>
      </c>
      <c r="J2073" t="str">
        <f>"2-oxoisovalerate dehydrogenase subunit alpha, mitochondrial"</f>
        <v>2-oxoisovalerate dehydrogenase subunit alpha, mitochondrial</v>
      </c>
      <c r="K2073" t="str">
        <f>"BCKDHA"</f>
        <v>BCKDHA</v>
      </c>
    </row>
    <row r="2074" spans="1:11" x14ac:dyDescent="0.25">
      <c r="A2074" s="1">
        <v>788</v>
      </c>
      <c r="B2074" s="1">
        <v>3</v>
      </c>
      <c r="C2074" s="1" t="s">
        <v>3</v>
      </c>
      <c r="D2074" s="1">
        <v>9</v>
      </c>
      <c r="E2074" s="1">
        <v>54.103000000000002</v>
      </c>
      <c r="F2074" s="1">
        <v>0.59977599999999998</v>
      </c>
      <c r="G2074" t="s">
        <v>3299</v>
      </c>
      <c r="H2074" t="s">
        <v>3300</v>
      </c>
      <c r="I2074" t="s">
        <v>5665</v>
      </c>
      <c r="J2074" t="str">
        <f>"Dual specificity protein kinase CLK1"</f>
        <v>Dual specificity protein kinase CLK1</v>
      </c>
      <c r="K2074" t="str">
        <f>"CLK1"</f>
        <v>CLK1</v>
      </c>
    </row>
    <row r="2075" spans="1:11" x14ac:dyDescent="0.25">
      <c r="A2075" s="1">
        <v>1873</v>
      </c>
      <c r="B2075" s="1">
        <v>3</v>
      </c>
      <c r="C2075" s="1" t="s">
        <v>3</v>
      </c>
      <c r="D2075" s="1">
        <v>1</v>
      </c>
      <c r="E2075" s="1">
        <v>42.52</v>
      </c>
      <c r="F2075" s="1">
        <v>0.99976299999999996</v>
      </c>
      <c r="G2075" t="s">
        <v>3301</v>
      </c>
      <c r="H2075" t="s">
        <v>78</v>
      </c>
      <c r="I2075" t="s">
        <v>5666</v>
      </c>
      <c r="J2075" t="str">
        <f>"Filamin-A"</f>
        <v>Filamin-A</v>
      </c>
      <c r="K2075" t="str">
        <f>"FLNA"</f>
        <v>FLNA</v>
      </c>
    </row>
    <row r="2076" spans="1:11" x14ac:dyDescent="0.25">
      <c r="A2076" s="1">
        <v>589</v>
      </c>
      <c r="B2076" s="1">
        <v>3</v>
      </c>
      <c r="C2076" s="1" t="s">
        <v>4</v>
      </c>
      <c r="D2076" s="1">
        <v>9</v>
      </c>
      <c r="E2076" s="1">
        <v>55.723999999999997</v>
      </c>
      <c r="F2076" s="1">
        <v>0.54735599999999995</v>
      </c>
      <c r="G2076" t="s">
        <v>3302</v>
      </c>
      <c r="H2076" t="s">
        <v>151</v>
      </c>
      <c r="I2076" t="s">
        <v>5667</v>
      </c>
      <c r="J2076" t="str">
        <f>"Protein SON"</f>
        <v>Protein SON</v>
      </c>
      <c r="K2076" t="str">
        <f>"SON"</f>
        <v>SON</v>
      </c>
    </row>
    <row r="2077" spans="1:11" x14ac:dyDescent="0.25">
      <c r="A2077" s="1">
        <v>3058</v>
      </c>
      <c r="B2077" s="1">
        <v>2</v>
      </c>
      <c r="C2077" s="1" t="s">
        <v>3</v>
      </c>
      <c r="D2077" s="1">
        <v>3</v>
      </c>
      <c r="E2077" s="1">
        <v>52.247</v>
      </c>
      <c r="F2077" s="1">
        <v>0.95658600000000005</v>
      </c>
      <c r="G2077" t="s">
        <v>3303</v>
      </c>
      <c r="H2077" t="s">
        <v>3304</v>
      </c>
      <c r="I2077" t="s">
        <v>5668</v>
      </c>
      <c r="J2077" t="str">
        <f>"Alpha-catulin"</f>
        <v>Alpha-catulin</v>
      </c>
      <c r="K2077" t="str">
        <f>"CTNNAL1"</f>
        <v>CTNNAL1</v>
      </c>
    </row>
    <row r="2078" spans="1:11" x14ac:dyDescent="0.25">
      <c r="A2078" s="1">
        <v>1339</v>
      </c>
      <c r="B2078" s="1">
        <v>2</v>
      </c>
      <c r="C2078" s="1" t="s">
        <v>3</v>
      </c>
      <c r="D2078" s="1">
        <v>3</v>
      </c>
      <c r="E2078" s="1">
        <v>46.351999999999997</v>
      </c>
      <c r="F2078" s="1">
        <v>0.99987400000000004</v>
      </c>
      <c r="G2078" t="s">
        <v>3305</v>
      </c>
      <c r="H2078" t="s">
        <v>696</v>
      </c>
      <c r="I2078" t="s">
        <v>5669</v>
      </c>
      <c r="J2078" t="str">
        <f>"Tyrosine-protein kinase HCK"</f>
        <v>Tyrosine-protein kinase HCK</v>
      </c>
      <c r="K2078" t="str">
        <f>"HCK"</f>
        <v>HCK</v>
      </c>
    </row>
    <row r="2079" spans="1:11" x14ac:dyDescent="0.25">
      <c r="A2079" s="1">
        <v>2092</v>
      </c>
      <c r="B2079" s="1">
        <v>2</v>
      </c>
      <c r="C2079" s="1" t="s">
        <v>3</v>
      </c>
      <c r="D2079" s="1">
        <v>2</v>
      </c>
      <c r="E2079" s="1">
        <v>41.448</v>
      </c>
      <c r="F2079" s="1">
        <v>1</v>
      </c>
      <c r="G2079" t="s">
        <v>3306</v>
      </c>
      <c r="H2079" t="s">
        <v>3307</v>
      </c>
      <c r="I2079">
        <v>535</v>
      </c>
      <c r="J2079" t="str">
        <f>"Cytosolic phospholipase A2;Phospholipase A2;Lysophospholipase"</f>
        <v>Cytosolic phospholipase A2;Phospholipase A2;Lysophospholipase</v>
      </c>
      <c r="K2079" t="str">
        <f>"PLA2G4A"</f>
        <v>PLA2G4A</v>
      </c>
    </row>
    <row r="2080" spans="1:11" x14ac:dyDescent="0.25">
      <c r="A2080" s="1">
        <v>2521</v>
      </c>
      <c r="B2080" s="1">
        <v>2</v>
      </c>
      <c r="C2080" s="1" t="s">
        <v>3</v>
      </c>
      <c r="D2080" s="1">
        <v>2</v>
      </c>
      <c r="E2080" s="1">
        <v>76.378</v>
      </c>
      <c r="F2080" s="1">
        <v>0.97180699999999998</v>
      </c>
      <c r="G2080" t="s">
        <v>3308</v>
      </c>
      <c r="H2080" t="s">
        <v>1572</v>
      </c>
      <c r="I2080" t="s">
        <v>5670</v>
      </c>
      <c r="J2080" t="str">
        <f>"Plectin"</f>
        <v>Plectin</v>
      </c>
      <c r="K2080" t="str">
        <f>"PLEC"</f>
        <v>PLEC</v>
      </c>
    </row>
    <row r="2081" spans="1:11" x14ac:dyDescent="0.25">
      <c r="A2081" s="1">
        <v>2119</v>
      </c>
      <c r="B2081" s="1">
        <v>2</v>
      </c>
      <c r="C2081" s="1" t="s">
        <v>3</v>
      </c>
      <c r="D2081" s="1">
        <v>2</v>
      </c>
      <c r="E2081" s="1">
        <v>72.34</v>
      </c>
      <c r="F2081" s="1">
        <v>0.853939</v>
      </c>
      <c r="G2081" t="s">
        <v>3309</v>
      </c>
      <c r="H2081" t="s">
        <v>3310</v>
      </c>
      <c r="I2081" t="s">
        <v>5671</v>
      </c>
      <c r="J2081" t="str">
        <f>"GMP synthase [glutamine-hydrolyzing]"</f>
        <v>GMP synthase [glutamine-hydrolyzing]</v>
      </c>
      <c r="K2081" t="str">
        <f>"GMPS"</f>
        <v>GMPS</v>
      </c>
    </row>
    <row r="2082" spans="1:11" x14ac:dyDescent="0.25">
      <c r="A2082" s="1">
        <v>826</v>
      </c>
      <c r="B2082" s="1">
        <v>3</v>
      </c>
      <c r="C2082" s="1" t="s">
        <v>3</v>
      </c>
      <c r="D2082" s="1">
        <v>17</v>
      </c>
      <c r="E2082" s="1">
        <v>63.978999999999999</v>
      </c>
      <c r="F2082" s="1">
        <v>0.99500500000000003</v>
      </c>
      <c r="G2082" t="s">
        <v>3311</v>
      </c>
      <c r="H2082" t="s">
        <v>3312</v>
      </c>
      <c r="I2082" t="s">
        <v>5672</v>
      </c>
      <c r="J2082" t="str">
        <f>"Lipoma-preferred partner"</f>
        <v>Lipoma-preferred partner</v>
      </c>
      <c r="K2082" t="str">
        <f>"LPP"</f>
        <v>LPP</v>
      </c>
    </row>
    <row r="2083" spans="1:11" x14ac:dyDescent="0.25">
      <c r="A2083" s="1">
        <v>1703</v>
      </c>
      <c r="B2083" s="1">
        <v>2</v>
      </c>
      <c r="C2083" s="1" t="s">
        <v>3</v>
      </c>
      <c r="D2083" s="1">
        <v>6</v>
      </c>
      <c r="E2083" s="1">
        <v>49.988</v>
      </c>
      <c r="F2083" s="1">
        <v>0.96982100000000004</v>
      </c>
      <c r="G2083" t="s">
        <v>3313</v>
      </c>
      <c r="H2083" t="s">
        <v>3293</v>
      </c>
      <c r="I2083">
        <v>167</v>
      </c>
      <c r="J2083" t="str">
        <f>"Guanine nucleotide-binding protein G(k) subunit alpha"</f>
        <v>Guanine nucleotide-binding protein G(k) subunit alpha</v>
      </c>
      <c r="K2083" t="str">
        <f>"GNAI3"</f>
        <v>GNAI3</v>
      </c>
    </row>
    <row r="2084" spans="1:11" x14ac:dyDescent="0.25">
      <c r="A2084" s="1">
        <v>1689</v>
      </c>
      <c r="B2084" s="1">
        <v>2</v>
      </c>
      <c r="C2084" s="1" t="s">
        <v>3</v>
      </c>
      <c r="D2084" s="1">
        <v>5</v>
      </c>
      <c r="E2084" s="1">
        <v>105.46</v>
      </c>
      <c r="F2084" s="1">
        <v>0.98926599999999998</v>
      </c>
      <c r="G2084" t="s">
        <v>3314</v>
      </c>
      <c r="H2084" t="s">
        <v>2236</v>
      </c>
      <c r="I2084" t="s">
        <v>5673</v>
      </c>
      <c r="J2084" t="str">
        <f>"Matrix Gla protein"</f>
        <v>Matrix Gla protein</v>
      </c>
      <c r="K2084" t="str">
        <f>"MGP"</f>
        <v>MGP</v>
      </c>
    </row>
    <row r="2085" spans="1:11" x14ac:dyDescent="0.25">
      <c r="A2085" s="1">
        <v>1435</v>
      </c>
      <c r="B2085" s="1">
        <v>3</v>
      </c>
      <c r="C2085" s="1" t="s">
        <v>3</v>
      </c>
      <c r="D2085" s="1">
        <v>7</v>
      </c>
      <c r="E2085" s="1">
        <v>54.343000000000004</v>
      </c>
      <c r="F2085" s="1">
        <v>0.99995400000000001</v>
      </c>
      <c r="G2085" t="s">
        <v>3315</v>
      </c>
      <c r="H2085" t="s">
        <v>3316</v>
      </c>
      <c r="I2085">
        <v>116</v>
      </c>
      <c r="J2085" t="str">
        <f>"Interferon-induced protein with tetratricopeptide repeats 3"</f>
        <v>Interferon-induced protein with tetratricopeptide repeats 3</v>
      </c>
      <c r="K2085" t="str">
        <f>"IFIT3"</f>
        <v>IFIT3</v>
      </c>
    </row>
    <row r="2086" spans="1:11" x14ac:dyDescent="0.25">
      <c r="A2086" s="1">
        <v>3081</v>
      </c>
      <c r="B2086" s="1">
        <v>2</v>
      </c>
      <c r="C2086" s="1" t="s">
        <v>3</v>
      </c>
      <c r="D2086" s="1">
        <v>9</v>
      </c>
      <c r="E2086" s="1">
        <v>69.721000000000004</v>
      </c>
      <c r="F2086" s="1">
        <v>1</v>
      </c>
      <c r="G2086" t="s">
        <v>3317</v>
      </c>
      <c r="H2086" t="s">
        <v>3318</v>
      </c>
      <c r="I2086" t="s">
        <v>5674</v>
      </c>
      <c r="J2086" t="str">
        <f>"Drebrin-like protein"</f>
        <v>Drebrin-like protein</v>
      </c>
      <c r="K2086" t="str">
        <f>"DBNL"</f>
        <v>DBNL</v>
      </c>
    </row>
    <row r="2087" spans="1:11" x14ac:dyDescent="0.25">
      <c r="A2087" s="1">
        <v>2960</v>
      </c>
      <c r="B2087" s="1">
        <v>3</v>
      </c>
      <c r="C2087" s="1" t="s">
        <v>3</v>
      </c>
      <c r="D2087" s="1">
        <v>1</v>
      </c>
      <c r="E2087" s="1">
        <v>64.120999999999995</v>
      </c>
      <c r="F2087" s="1">
        <v>0.86090100000000003</v>
      </c>
      <c r="G2087" t="s">
        <v>3319</v>
      </c>
      <c r="H2087" t="s">
        <v>3320</v>
      </c>
      <c r="I2087">
        <v>114</v>
      </c>
      <c r="J2087" t="str">
        <f>"DNA-directed RNA polymerase III subunit RPC6"</f>
        <v>DNA-directed RNA polymerase III subunit RPC6</v>
      </c>
      <c r="K2087" t="str">
        <f>"POLR3F"</f>
        <v>POLR3F</v>
      </c>
    </row>
    <row r="2088" spans="1:11" x14ac:dyDescent="0.25">
      <c r="A2088" s="1">
        <v>2996</v>
      </c>
      <c r="B2088" s="1">
        <v>3</v>
      </c>
      <c r="C2088" s="1" t="s">
        <v>3</v>
      </c>
      <c r="D2088" s="1">
        <v>5</v>
      </c>
      <c r="E2088" s="1">
        <v>75.819000000000003</v>
      </c>
      <c r="F2088" s="1">
        <v>0.94033599999999995</v>
      </c>
      <c r="G2088" t="s">
        <v>3321</v>
      </c>
      <c r="H2088" t="s">
        <v>3322</v>
      </c>
      <c r="I2088" t="s">
        <v>5675</v>
      </c>
      <c r="J2088" t="str">
        <f>"Manganese-transporting ATPase 13A1"</f>
        <v>Manganese-transporting ATPase 13A1</v>
      </c>
      <c r="K2088" t="str">
        <f>"ATP13A1"</f>
        <v>ATP13A1</v>
      </c>
    </row>
    <row r="2089" spans="1:11" x14ac:dyDescent="0.25">
      <c r="A2089" s="1">
        <v>3106</v>
      </c>
      <c r="B2089" s="1">
        <v>3</v>
      </c>
      <c r="C2089" s="1" t="s">
        <v>3</v>
      </c>
      <c r="D2089" s="1">
        <v>21</v>
      </c>
      <c r="E2089" s="1">
        <v>51.966000000000001</v>
      </c>
      <c r="F2089" s="1">
        <v>0.74324100000000004</v>
      </c>
      <c r="G2089" t="s">
        <v>3323</v>
      </c>
      <c r="H2089" t="s">
        <v>846</v>
      </c>
      <c r="I2089" t="s">
        <v>5676</v>
      </c>
      <c r="J2089" t="str">
        <f>"Brain-specific angiogenesis inhibitor 1-associated protein 2"</f>
        <v>Brain-specific angiogenesis inhibitor 1-associated protein 2</v>
      </c>
      <c r="K2089" t="str">
        <f>"BAIAP2;CCDC43"</f>
        <v>BAIAP2;CCDC43</v>
      </c>
    </row>
    <row r="2090" spans="1:11" x14ac:dyDescent="0.25">
      <c r="A2090" s="1">
        <v>2114</v>
      </c>
      <c r="B2090" s="1">
        <v>4</v>
      </c>
      <c r="C2090" s="1" t="s">
        <v>3</v>
      </c>
      <c r="D2090" s="1">
        <v>14</v>
      </c>
      <c r="E2090" s="1">
        <v>51.31</v>
      </c>
      <c r="F2090" s="1">
        <v>0.92711699999999997</v>
      </c>
      <c r="G2090" t="s">
        <v>3324</v>
      </c>
      <c r="H2090" t="s">
        <v>3325</v>
      </c>
      <c r="I2090">
        <v>109</v>
      </c>
      <c r="J2090" t="str">
        <f>"Histidine triad nucleotide-binding protein 1"</f>
        <v>Histidine triad nucleotide-binding protein 1</v>
      </c>
      <c r="K2090" t="str">
        <f>"HINT1"</f>
        <v>HINT1</v>
      </c>
    </row>
    <row r="2091" spans="1:11" x14ac:dyDescent="0.25">
      <c r="A2091" s="1">
        <v>1983</v>
      </c>
      <c r="B2091" s="1">
        <v>3</v>
      </c>
      <c r="C2091" s="1" t="s">
        <v>3</v>
      </c>
      <c r="D2091" s="1">
        <v>8</v>
      </c>
      <c r="E2091" s="1">
        <v>42.843000000000004</v>
      </c>
      <c r="F2091" s="1">
        <v>1</v>
      </c>
      <c r="G2091" t="s">
        <v>3326</v>
      </c>
      <c r="H2091" t="s">
        <v>89</v>
      </c>
      <c r="I2091" t="s">
        <v>5677</v>
      </c>
      <c r="J2091" t="str">
        <f>"Bifunctional purine biosynthesis protein PURH;Phosphoribosylaminoimidazolecarboxamide formyltransferase;IMP cyclohydrolase"</f>
        <v>Bifunctional purine biosynthesis protein PURH;Phosphoribosylaminoimidazolecarboxamide formyltransferase;IMP cyclohydrolase</v>
      </c>
      <c r="K2091" t="str">
        <f>"ATIC"</f>
        <v>ATIC</v>
      </c>
    </row>
    <row r="2092" spans="1:11" x14ac:dyDescent="0.25">
      <c r="A2092" s="1">
        <v>1438</v>
      </c>
      <c r="B2092" s="1">
        <v>4</v>
      </c>
      <c r="C2092" s="1" t="s">
        <v>3</v>
      </c>
      <c r="D2092" s="1">
        <v>5</v>
      </c>
      <c r="E2092" s="1">
        <v>41.911000000000001</v>
      </c>
      <c r="F2092" s="1">
        <v>0.76665000000000005</v>
      </c>
      <c r="G2092" t="s">
        <v>3327</v>
      </c>
      <c r="H2092" t="s">
        <v>3328</v>
      </c>
      <c r="I2092" t="s">
        <v>5678</v>
      </c>
      <c r="J2092" t="str">
        <f>"Microsomal glutathione S-transferase 3"</f>
        <v>Microsomal glutathione S-transferase 3</v>
      </c>
      <c r="K2092" t="str">
        <f>"MGST3"</f>
        <v>MGST3</v>
      </c>
    </row>
    <row r="2093" spans="1:11" x14ac:dyDescent="0.25">
      <c r="A2093" s="1">
        <v>278</v>
      </c>
      <c r="B2093" s="1">
        <v>3</v>
      </c>
      <c r="C2093" s="1" t="s">
        <v>5</v>
      </c>
      <c r="D2093" s="1">
        <v>5</v>
      </c>
      <c r="E2093" s="1">
        <v>42.317</v>
      </c>
      <c r="F2093" s="1">
        <v>0.53963300000000003</v>
      </c>
      <c r="G2093" t="s">
        <v>3329</v>
      </c>
      <c r="H2093" t="s">
        <v>681</v>
      </c>
      <c r="I2093" t="s">
        <v>5679</v>
      </c>
      <c r="J2093" t="str">
        <f>"Protein mago nashi homolog;Protein mago nashi homolog 2"</f>
        <v>Protein mago nashi homolog;Protein mago nashi homolog 2</v>
      </c>
      <c r="K2093" t="str">
        <f>"MAGOH;MAGOHB"</f>
        <v>MAGOH;MAGOHB</v>
      </c>
    </row>
    <row r="2094" spans="1:11" x14ac:dyDescent="0.25">
      <c r="A2094" s="1">
        <v>585</v>
      </c>
      <c r="B2094" s="1">
        <v>2</v>
      </c>
      <c r="C2094" s="1" t="s">
        <v>4</v>
      </c>
      <c r="D2094" s="1">
        <v>1</v>
      </c>
      <c r="E2094" s="1">
        <v>43.896999999999998</v>
      </c>
      <c r="F2094" s="1">
        <v>0.548261</v>
      </c>
      <c r="G2094" t="s">
        <v>3330</v>
      </c>
      <c r="H2094" t="s">
        <v>2404</v>
      </c>
      <c r="I2094" t="s">
        <v>5680</v>
      </c>
      <c r="J2094" t="str">
        <f>"40S ribosomal protein S2"</f>
        <v>40S ribosomal protein S2</v>
      </c>
      <c r="K2094" t="str">
        <f>"RPS2"</f>
        <v>RPS2</v>
      </c>
    </row>
    <row r="2095" spans="1:11" x14ac:dyDescent="0.25">
      <c r="A2095" s="1">
        <v>898</v>
      </c>
      <c r="B2095" s="1">
        <v>3</v>
      </c>
      <c r="C2095" s="1" t="s">
        <v>3</v>
      </c>
      <c r="D2095" s="1">
        <v>15</v>
      </c>
      <c r="E2095" s="1">
        <v>50.201999999999998</v>
      </c>
      <c r="F2095" s="1">
        <v>0.92663099999999998</v>
      </c>
      <c r="G2095" t="s">
        <v>3331</v>
      </c>
      <c r="H2095" t="s">
        <v>3332</v>
      </c>
      <c r="I2095" t="s">
        <v>5681</v>
      </c>
      <c r="J2095" t="str">
        <f>"Aldo-keto reductase family 1 member C3;Aldo-keto reductase family 1 member C4"</f>
        <v>Aldo-keto reductase family 1 member C3;Aldo-keto reductase family 1 member C4</v>
      </c>
      <c r="K2095" t="str">
        <f>"AKR1C3;AKR1C4"</f>
        <v>AKR1C3;AKR1C4</v>
      </c>
    </row>
    <row r="2096" spans="1:11" x14ac:dyDescent="0.25">
      <c r="A2096" s="1">
        <v>730</v>
      </c>
      <c r="B2096" s="1">
        <v>3</v>
      </c>
      <c r="C2096" s="1" t="s">
        <v>4</v>
      </c>
      <c r="D2096" s="1">
        <v>16</v>
      </c>
      <c r="E2096" s="1">
        <v>47.68</v>
      </c>
      <c r="F2096" s="1">
        <v>0.53431499999999998</v>
      </c>
      <c r="G2096" t="s">
        <v>3333</v>
      </c>
      <c r="H2096" t="s">
        <v>2475</v>
      </c>
      <c r="I2096">
        <v>699</v>
      </c>
      <c r="J2096" t="str">
        <f>"Uncharacterized protein KIAA1671"</f>
        <v>Uncharacterized protein KIAA1671</v>
      </c>
      <c r="K2096" t="str">
        <f>"KIAA1671"</f>
        <v>KIAA1671</v>
      </c>
    </row>
    <row r="2097" spans="1:11" x14ac:dyDescent="0.25">
      <c r="A2097" s="1">
        <v>3022</v>
      </c>
      <c r="B2097" s="1">
        <v>3</v>
      </c>
      <c r="C2097" s="1" t="s">
        <v>3</v>
      </c>
      <c r="D2097" s="1">
        <v>1</v>
      </c>
      <c r="E2097" s="1">
        <v>103.04</v>
      </c>
      <c r="F2097" s="1">
        <v>0.49995099999999998</v>
      </c>
      <c r="G2097" t="s">
        <v>3334</v>
      </c>
      <c r="H2097" t="s">
        <v>3335</v>
      </c>
      <c r="I2097">
        <v>129</v>
      </c>
      <c r="J2097" t="str">
        <f>"Transmembrane protein 51"</f>
        <v>Transmembrane protein 51</v>
      </c>
      <c r="K2097" t="str">
        <f>"TMEM51"</f>
        <v>TMEM51</v>
      </c>
    </row>
    <row r="2098" spans="1:11" x14ac:dyDescent="0.25">
      <c r="A2098" s="1">
        <v>3023</v>
      </c>
      <c r="B2098" s="1">
        <v>3</v>
      </c>
      <c r="C2098" s="1" t="s">
        <v>3</v>
      </c>
      <c r="D2098" s="1">
        <v>2</v>
      </c>
      <c r="E2098" s="1">
        <v>103.04</v>
      </c>
      <c r="F2098" s="1">
        <v>0.49995099999999998</v>
      </c>
      <c r="G2098" t="s">
        <v>3334</v>
      </c>
      <c r="H2098" t="s">
        <v>3335</v>
      </c>
      <c r="I2098">
        <v>130</v>
      </c>
      <c r="J2098" t="str">
        <f>"Transmembrane protein 51"</f>
        <v>Transmembrane protein 51</v>
      </c>
      <c r="K2098" t="str">
        <f>"TMEM51"</f>
        <v>TMEM51</v>
      </c>
    </row>
    <row r="2099" spans="1:11" x14ac:dyDescent="0.25">
      <c r="A2099" s="1">
        <v>2107</v>
      </c>
      <c r="B2099" s="1">
        <v>3</v>
      </c>
      <c r="C2099" s="1" t="s">
        <v>3</v>
      </c>
      <c r="D2099" s="1">
        <v>11</v>
      </c>
      <c r="E2099" s="1">
        <v>75.018000000000001</v>
      </c>
      <c r="F2099" s="1">
        <v>0.64938700000000005</v>
      </c>
      <c r="G2099" t="s">
        <v>3336</v>
      </c>
      <c r="H2099" t="s">
        <v>2089</v>
      </c>
      <c r="I2099">
        <v>115</v>
      </c>
      <c r="J2099" t="str">
        <f>"Elongation factor Tu, mitochondrial"</f>
        <v>Elongation factor Tu, mitochondrial</v>
      </c>
      <c r="K2099" t="str">
        <f>"TUFM"</f>
        <v>TUFM</v>
      </c>
    </row>
    <row r="2100" spans="1:11" x14ac:dyDescent="0.25">
      <c r="A2100" s="1">
        <v>641</v>
      </c>
      <c r="B2100" s="1">
        <v>2</v>
      </c>
      <c r="C2100" s="1" t="s">
        <v>4</v>
      </c>
      <c r="D2100" s="1">
        <v>6</v>
      </c>
      <c r="E2100" s="1">
        <v>41.241999999999997</v>
      </c>
      <c r="F2100" s="1">
        <v>0.54400400000000004</v>
      </c>
      <c r="G2100" t="s">
        <v>3337</v>
      </c>
      <c r="H2100" t="s">
        <v>187</v>
      </c>
      <c r="I2100" t="s">
        <v>5682</v>
      </c>
      <c r="J2100" t="str">
        <f>"Breast cancer anti-estrogen resistance protein 1"</f>
        <v>Breast cancer anti-estrogen resistance protein 1</v>
      </c>
      <c r="K2100" t="str">
        <f>"BCAR1"</f>
        <v>BCAR1</v>
      </c>
    </row>
    <row r="2101" spans="1:11" x14ac:dyDescent="0.25">
      <c r="A2101" s="1">
        <v>330</v>
      </c>
      <c r="B2101" s="1">
        <v>4</v>
      </c>
      <c r="C2101" s="1" t="s">
        <v>5</v>
      </c>
      <c r="D2101" s="1">
        <v>4</v>
      </c>
      <c r="E2101" s="1">
        <v>79.382000000000005</v>
      </c>
      <c r="F2101" s="1">
        <v>0.49990499999999999</v>
      </c>
      <c r="G2101" t="s">
        <v>3338</v>
      </c>
      <c r="H2101" t="s">
        <v>394</v>
      </c>
      <c r="I2101" t="s">
        <v>5683</v>
      </c>
      <c r="J2101" t="str">
        <f>"Enhancer of filamentation 1;Enhancer of filamentation 1 p55"</f>
        <v>Enhancer of filamentation 1;Enhancer of filamentation 1 p55</v>
      </c>
      <c r="K2101" t="str">
        <f>"NEDD9"</f>
        <v>NEDD9</v>
      </c>
    </row>
    <row r="2102" spans="1:11" x14ac:dyDescent="0.25">
      <c r="A2102" s="1">
        <v>331</v>
      </c>
      <c r="B2102" s="1">
        <v>4</v>
      </c>
      <c r="C2102" s="1" t="s">
        <v>5</v>
      </c>
      <c r="D2102" s="1">
        <v>6</v>
      </c>
      <c r="E2102" s="1">
        <v>79.382000000000005</v>
      </c>
      <c r="F2102" s="1">
        <v>0.49990499999999999</v>
      </c>
      <c r="G2102" t="s">
        <v>3338</v>
      </c>
      <c r="H2102" t="s">
        <v>394</v>
      </c>
      <c r="I2102" t="s">
        <v>5684</v>
      </c>
      <c r="J2102" t="str">
        <f>"Enhancer of filamentation 1;Enhancer of filamentation 1 p55"</f>
        <v>Enhancer of filamentation 1;Enhancer of filamentation 1 p55</v>
      </c>
      <c r="K2102" t="str">
        <f>"NEDD9"</f>
        <v>NEDD9</v>
      </c>
    </row>
    <row r="2103" spans="1:11" x14ac:dyDescent="0.25">
      <c r="A2103" s="1">
        <v>474</v>
      </c>
      <c r="B2103" s="1">
        <v>3</v>
      </c>
      <c r="C2103" s="1" t="s">
        <v>5</v>
      </c>
      <c r="D2103" s="1">
        <v>4</v>
      </c>
      <c r="E2103" s="1">
        <v>92.518000000000001</v>
      </c>
      <c r="F2103" s="1">
        <v>0.82519299999999995</v>
      </c>
      <c r="G2103" t="s">
        <v>3339</v>
      </c>
      <c r="H2103" t="s">
        <v>812</v>
      </c>
      <c r="I2103" t="s">
        <v>5685</v>
      </c>
      <c r="J2103" t="str">
        <f>"Signaling threshold-regulating transmembrane adapter 1"</f>
        <v>Signaling threshold-regulating transmembrane adapter 1</v>
      </c>
      <c r="K2103" t="str">
        <f>"SIT1"</f>
        <v>SIT1</v>
      </c>
    </row>
    <row r="2104" spans="1:11" x14ac:dyDescent="0.25">
      <c r="A2104" s="1">
        <v>1104</v>
      </c>
      <c r="B2104" s="1">
        <v>3</v>
      </c>
      <c r="C2104" s="1" t="s">
        <v>3</v>
      </c>
      <c r="D2104" s="1">
        <v>4</v>
      </c>
      <c r="E2104" s="1">
        <v>44.997999999999998</v>
      </c>
      <c r="F2104" s="1">
        <v>1</v>
      </c>
      <c r="G2104" t="s">
        <v>3340</v>
      </c>
      <c r="H2104" t="s">
        <v>3341</v>
      </c>
      <c r="I2104" t="s">
        <v>5686</v>
      </c>
      <c r="J2104" t="str">
        <f>"DNA-directed RNA polymerase;DNA-directed RNA polymerase II subunit RPB2"</f>
        <v>DNA-directed RNA polymerase;DNA-directed RNA polymerase II subunit RPB2</v>
      </c>
      <c r="K2104" t="str">
        <f>"POLR2B"</f>
        <v>POLR2B</v>
      </c>
    </row>
    <row r="2105" spans="1:11" x14ac:dyDescent="0.25">
      <c r="A2105" s="1">
        <v>839</v>
      </c>
      <c r="B2105" s="1">
        <v>3</v>
      </c>
      <c r="C2105" s="1" t="s">
        <v>3</v>
      </c>
      <c r="D2105" s="1">
        <v>14</v>
      </c>
      <c r="E2105" s="1">
        <v>63.436</v>
      </c>
      <c r="F2105" s="1">
        <v>0.88034000000000001</v>
      </c>
      <c r="G2105" t="s">
        <v>3342</v>
      </c>
      <c r="H2105" t="s">
        <v>724</v>
      </c>
      <c r="I2105" t="s">
        <v>5687</v>
      </c>
      <c r="J2105" t="str">
        <f>"Tight junction protein ZO-1"</f>
        <v>Tight junction protein ZO-1</v>
      </c>
      <c r="K2105" t="str">
        <f>"TJP1"</f>
        <v>TJP1</v>
      </c>
    </row>
    <row r="2106" spans="1:11" x14ac:dyDescent="0.25">
      <c r="A2106" s="1">
        <v>758</v>
      </c>
      <c r="B2106" s="1">
        <v>2</v>
      </c>
      <c r="C2106" s="1" t="s">
        <v>3</v>
      </c>
      <c r="D2106" s="1">
        <v>3</v>
      </c>
      <c r="E2106" s="1">
        <v>96.341999999999999</v>
      </c>
      <c r="F2106" s="1">
        <v>0.99829699999999999</v>
      </c>
      <c r="G2106" t="s">
        <v>3343</v>
      </c>
      <c r="H2106" t="s">
        <v>3344</v>
      </c>
      <c r="I2106" t="s">
        <v>5688</v>
      </c>
      <c r="J2106" t="str">
        <f>"Diablo homolog, mitochondrial"</f>
        <v>Diablo homolog, mitochondrial</v>
      </c>
      <c r="K2106" t="str">
        <f>"hCG_1782202;DIABLO"</f>
        <v>hCG_1782202;DIABLO</v>
      </c>
    </row>
    <row r="2107" spans="1:11" x14ac:dyDescent="0.25">
      <c r="A2107" s="1">
        <v>1304</v>
      </c>
      <c r="B2107" s="1">
        <v>2</v>
      </c>
      <c r="C2107" s="1" t="s">
        <v>3</v>
      </c>
      <c r="D2107" s="1">
        <v>10</v>
      </c>
      <c r="E2107" s="1">
        <v>48.567999999999998</v>
      </c>
      <c r="F2107" s="1">
        <v>0.81667500000000004</v>
      </c>
      <c r="G2107" t="s">
        <v>3345</v>
      </c>
      <c r="H2107" t="s">
        <v>3346</v>
      </c>
      <c r="I2107" t="s">
        <v>5689</v>
      </c>
      <c r="J2107" t="str">
        <f>"CAD protein;Glutamine-dependent carbamoyl-phosphate synthase;Aspartate carbamoyltransferase;Dihydroorotase"</f>
        <v>CAD protein;Glutamine-dependent carbamoyl-phosphate synthase;Aspartate carbamoyltransferase;Dihydroorotase</v>
      </c>
      <c r="K2107" t="str">
        <f>"CAD"</f>
        <v>CAD</v>
      </c>
    </row>
    <row r="2108" spans="1:11" x14ac:dyDescent="0.25">
      <c r="A2108" s="1">
        <v>1752</v>
      </c>
      <c r="B2108" s="1">
        <v>2</v>
      </c>
      <c r="C2108" s="1" t="s">
        <v>3</v>
      </c>
      <c r="D2108" s="1">
        <v>7</v>
      </c>
      <c r="E2108" s="1">
        <v>57.859000000000002</v>
      </c>
      <c r="F2108" s="1">
        <v>0.99999700000000002</v>
      </c>
      <c r="G2108" t="s">
        <v>3347</v>
      </c>
      <c r="H2108" t="s">
        <v>3348</v>
      </c>
      <c r="I2108" t="s">
        <v>5690</v>
      </c>
      <c r="J2108" t="str">
        <f>"Polyadenylate-binding protein 1;Polyadenylate-binding protein 1-like"</f>
        <v>Polyadenylate-binding protein 1;Polyadenylate-binding protein 1-like</v>
      </c>
      <c r="K2108" t="str">
        <f>"PABPC1;PABPC1L"</f>
        <v>PABPC1;PABPC1L</v>
      </c>
    </row>
    <row r="2109" spans="1:11" x14ac:dyDescent="0.25">
      <c r="A2109" s="1">
        <v>3141</v>
      </c>
      <c r="B2109" s="1">
        <v>3</v>
      </c>
      <c r="C2109" s="1" t="s">
        <v>3</v>
      </c>
      <c r="D2109" s="1">
        <v>1</v>
      </c>
      <c r="E2109" s="1">
        <v>47.774000000000001</v>
      </c>
      <c r="F2109" s="1">
        <v>0.99971100000000002</v>
      </c>
      <c r="G2109" t="s">
        <v>3349</v>
      </c>
      <c r="H2109" t="s">
        <v>3350</v>
      </c>
      <c r="I2109" t="s">
        <v>5691</v>
      </c>
      <c r="J2109" t="str">
        <f>"Plexin-D1"</f>
        <v>Plexin-D1</v>
      </c>
      <c r="K2109" t="str">
        <f>"PLXND1"</f>
        <v>PLXND1</v>
      </c>
    </row>
    <row r="2110" spans="1:11" x14ac:dyDescent="0.25">
      <c r="A2110" s="1">
        <v>963</v>
      </c>
      <c r="B2110" s="1">
        <v>3</v>
      </c>
      <c r="C2110" s="1" t="s">
        <v>3</v>
      </c>
      <c r="D2110" s="1">
        <v>12</v>
      </c>
      <c r="E2110" s="1">
        <v>45.237000000000002</v>
      </c>
      <c r="F2110" s="1">
        <v>0.68323199999999995</v>
      </c>
      <c r="G2110" t="s">
        <v>3351</v>
      </c>
      <c r="H2110" t="s">
        <v>3007</v>
      </c>
      <c r="I2110" t="s">
        <v>5692</v>
      </c>
      <c r="J2110" t="str">
        <f>""</f>
        <v/>
      </c>
      <c r="K2110" t="str">
        <f>"HSPA1A"</f>
        <v>HSPA1A</v>
      </c>
    </row>
    <row r="2111" spans="1:11" x14ac:dyDescent="0.25">
      <c r="A2111" s="1">
        <v>3000</v>
      </c>
      <c r="B2111" s="1">
        <v>2</v>
      </c>
      <c r="C2111" s="1" t="s">
        <v>3</v>
      </c>
      <c r="D2111" s="1">
        <v>7</v>
      </c>
      <c r="E2111" s="1">
        <v>54.343000000000004</v>
      </c>
      <c r="F2111" s="1">
        <v>0.5</v>
      </c>
      <c r="G2111" t="s">
        <v>3352</v>
      </c>
      <c r="H2111" t="s">
        <v>2748</v>
      </c>
      <c r="I2111">
        <v>510</v>
      </c>
      <c r="J2111" t="str">
        <f>"Nectin-3"</f>
        <v>Nectin-3</v>
      </c>
      <c r="K2111" t="str">
        <f>"PVRL3"</f>
        <v>PVRL3</v>
      </c>
    </row>
    <row r="2112" spans="1:11" x14ac:dyDescent="0.25">
      <c r="A2112" s="1">
        <v>2498</v>
      </c>
      <c r="B2112" s="1">
        <v>4</v>
      </c>
      <c r="C2112" s="1" t="s">
        <v>3</v>
      </c>
      <c r="D2112" s="1">
        <v>11</v>
      </c>
      <c r="E2112" s="1">
        <v>43.37</v>
      </c>
      <c r="F2112" s="1">
        <v>0.98996700000000004</v>
      </c>
      <c r="G2112" t="s">
        <v>3353</v>
      </c>
      <c r="H2112" t="s">
        <v>3354</v>
      </c>
      <c r="I2112" t="s">
        <v>5693</v>
      </c>
      <c r="J2112" t="str">
        <f>"Zinc finger protein 460;Zinc finger protein 543;Zinc finger protein 264"</f>
        <v>Zinc finger protein 460;Zinc finger protein 543;Zinc finger protein 264</v>
      </c>
      <c r="K2112" t="str">
        <f>"ZNF460;ZNF543;ZNF264"</f>
        <v>ZNF460;ZNF543;ZNF264</v>
      </c>
    </row>
    <row r="2113" spans="1:11" x14ac:dyDescent="0.25">
      <c r="A2113" s="1">
        <v>1693</v>
      </c>
      <c r="B2113" s="1">
        <v>3</v>
      </c>
      <c r="C2113" s="1" t="s">
        <v>3</v>
      </c>
      <c r="D2113" s="1">
        <v>5</v>
      </c>
      <c r="E2113" s="1">
        <v>43.731999999999999</v>
      </c>
      <c r="F2113" s="1">
        <v>0.69378600000000001</v>
      </c>
      <c r="G2113" t="s">
        <v>3355</v>
      </c>
      <c r="H2113" t="s">
        <v>99</v>
      </c>
      <c r="I2113" t="s">
        <v>5694</v>
      </c>
      <c r="J2113" t="str">
        <f>"Hepatocyte growth factor receptor"</f>
        <v>Hepatocyte growth factor receptor</v>
      </c>
      <c r="K2113" t="str">
        <f>"MET"</f>
        <v>MET</v>
      </c>
    </row>
    <row r="2114" spans="1:11" x14ac:dyDescent="0.25">
      <c r="A2114" s="1">
        <v>1261</v>
      </c>
      <c r="B2114" s="1">
        <v>3</v>
      </c>
      <c r="C2114" s="1" t="s">
        <v>3</v>
      </c>
      <c r="D2114" s="1">
        <v>11</v>
      </c>
      <c r="E2114" s="1">
        <v>63.682000000000002</v>
      </c>
      <c r="F2114" s="1">
        <v>0.98809999999999998</v>
      </c>
      <c r="G2114" t="s">
        <v>3356</v>
      </c>
      <c r="H2114" t="s">
        <v>3357</v>
      </c>
      <c r="I2114" t="s">
        <v>5695</v>
      </c>
      <c r="J2114" t="str">
        <f>"Protein transport protein Sec16A"</f>
        <v>Protein transport protein Sec16A</v>
      </c>
      <c r="K2114" t="str">
        <f>"SEC16A"</f>
        <v>SEC16A</v>
      </c>
    </row>
    <row r="2115" spans="1:11" x14ac:dyDescent="0.25">
      <c r="A2115" s="1">
        <v>2079</v>
      </c>
      <c r="B2115" s="1">
        <v>3</v>
      </c>
      <c r="C2115" s="1" t="s">
        <v>3</v>
      </c>
      <c r="D2115" s="1">
        <v>3</v>
      </c>
      <c r="E2115" s="1">
        <v>42.682000000000002</v>
      </c>
      <c r="F2115" s="1">
        <v>0.96680900000000003</v>
      </c>
      <c r="G2115" t="s">
        <v>3358</v>
      </c>
      <c r="H2115" t="s">
        <v>3359</v>
      </c>
      <c r="I2115" t="s">
        <v>5696</v>
      </c>
      <c r="J2115" t="str">
        <f>"Adapter molecule crk"</f>
        <v>Adapter molecule crk</v>
      </c>
      <c r="K2115" t="str">
        <f>"CRK"</f>
        <v>CRK</v>
      </c>
    </row>
    <row r="2116" spans="1:11" x14ac:dyDescent="0.25">
      <c r="A2116" s="1">
        <v>2954</v>
      </c>
      <c r="B2116" s="1">
        <v>2</v>
      </c>
      <c r="C2116" s="1" t="s">
        <v>3</v>
      </c>
      <c r="D2116" s="1">
        <v>5</v>
      </c>
      <c r="E2116" s="1">
        <v>60.101999999999997</v>
      </c>
      <c r="F2116" s="1">
        <v>0.81190600000000002</v>
      </c>
      <c r="G2116" t="s">
        <v>3360</v>
      </c>
      <c r="H2116" t="s">
        <v>3361</v>
      </c>
      <c r="I2116" t="s">
        <v>5697</v>
      </c>
      <c r="J2116" t="str">
        <f>"Carboxy-terminal domain RNA polymerase II polypeptide A small phosphatase 1"</f>
        <v>Carboxy-terminal domain RNA polymerase II polypeptide A small phosphatase 1</v>
      </c>
      <c r="K2116" t="str">
        <f>"CTDSP1"</f>
        <v>CTDSP1</v>
      </c>
    </row>
    <row r="2117" spans="1:11" x14ac:dyDescent="0.25">
      <c r="A2117" s="1">
        <v>1147</v>
      </c>
      <c r="B2117" s="1">
        <v>4</v>
      </c>
      <c r="C2117" s="1" t="s">
        <v>3</v>
      </c>
      <c r="D2117" s="1">
        <v>16</v>
      </c>
      <c r="E2117" s="1">
        <v>41.512999999999998</v>
      </c>
      <c r="F2117" s="1">
        <v>0.99992899999999996</v>
      </c>
      <c r="G2117" t="s">
        <v>3362</v>
      </c>
      <c r="H2117" t="s">
        <v>363</v>
      </c>
      <c r="I2117" t="s">
        <v>5698</v>
      </c>
      <c r="J2117" t="str">
        <f>"Keratin, type I cytoskeletal 19"</f>
        <v>Keratin, type I cytoskeletal 19</v>
      </c>
      <c r="K2117" t="str">
        <f>"KRT19"</f>
        <v>KRT19</v>
      </c>
    </row>
    <row r="2118" spans="1:11" x14ac:dyDescent="0.25">
      <c r="A2118" s="1">
        <v>1522</v>
      </c>
      <c r="B2118" s="1">
        <v>3</v>
      </c>
      <c r="C2118" s="1" t="s">
        <v>3</v>
      </c>
      <c r="D2118" s="1">
        <v>5</v>
      </c>
      <c r="E2118" s="1">
        <v>48.287999999999997</v>
      </c>
      <c r="F2118" s="1">
        <v>0.64676</v>
      </c>
      <c r="G2118" t="s">
        <v>3363</v>
      </c>
      <c r="H2118" t="s">
        <v>3364</v>
      </c>
      <c r="I2118">
        <v>415</v>
      </c>
      <c r="J2118" t="str">
        <f>"NEDD4-binding protein 1"</f>
        <v>NEDD4-binding protein 1</v>
      </c>
      <c r="K2118" t="str">
        <f>"N4BP1"</f>
        <v>N4BP1</v>
      </c>
    </row>
    <row r="2119" spans="1:11" x14ac:dyDescent="0.25">
      <c r="A2119" s="1">
        <v>3159</v>
      </c>
      <c r="B2119" s="1">
        <v>3</v>
      </c>
      <c r="C2119" s="1" t="s">
        <v>3</v>
      </c>
      <c r="D2119" s="1">
        <v>6</v>
      </c>
      <c r="E2119" s="1">
        <v>83.691999999999993</v>
      </c>
      <c r="F2119" s="1">
        <v>0.99993799999999999</v>
      </c>
      <c r="G2119" t="s">
        <v>3365</v>
      </c>
      <c r="H2119" t="s">
        <v>3366</v>
      </c>
      <c r="I2119" t="s">
        <v>5699</v>
      </c>
      <c r="J2119" t="str">
        <f>"Melanoma-associated antigen D1"</f>
        <v>Melanoma-associated antigen D1</v>
      </c>
      <c r="K2119" t="str">
        <f>"MAGED1"</f>
        <v>MAGED1</v>
      </c>
    </row>
    <row r="2120" spans="1:11" x14ac:dyDescent="0.25">
      <c r="A2120" s="1">
        <v>3099</v>
      </c>
      <c r="B2120" s="1">
        <v>4</v>
      </c>
      <c r="C2120" s="1" t="s">
        <v>3</v>
      </c>
      <c r="D2120" s="1">
        <v>10</v>
      </c>
      <c r="E2120" s="1">
        <v>53.997999999999998</v>
      </c>
      <c r="F2120" s="1">
        <v>0.968472</v>
      </c>
      <c r="G2120" t="s">
        <v>3367</v>
      </c>
      <c r="H2120" t="s">
        <v>1936</v>
      </c>
      <c r="I2120" t="s">
        <v>5700</v>
      </c>
      <c r="J2120" t="str">
        <f>"Synaptopodin-2"</f>
        <v>Synaptopodin-2</v>
      </c>
      <c r="K2120" t="str">
        <f>"SYNPO2"</f>
        <v>SYNPO2</v>
      </c>
    </row>
    <row r="2121" spans="1:11" x14ac:dyDescent="0.25">
      <c r="A2121" s="1">
        <v>1152</v>
      </c>
      <c r="B2121" s="1">
        <v>2</v>
      </c>
      <c r="C2121" s="1" t="s">
        <v>3</v>
      </c>
      <c r="D2121" s="1">
        <v>2</v>
      </c>
      <c r="E2121" s="1">
        <v>54.981999999999999</v>
      </c>
      <c r="F2121" s="1">
        <v>0.84530899999999998</v>
      </c>
      <c r="G2121" t="s">
        <v>3368</v>
      </c>
      <c r="H2121" t="s">
        <v>300</v>
      </c>
      <c r="I2121" t="s">
        <v>5701</v>
      </c>
      <c r="J2121" t="str">
        <f>""</f>
        <v/>
      </c>
      <c r="K2121" t="str">
        <f>"LTF"</f>
        <v>LTF</v>
      </c>
    </row>
    <row r="2122" spans="1:11" x14ac:dyDescent="0.25">
      <c r="A2122" s="1">
        <v>670</v>
      </c>
      <c r="B2122" s="1">
        <v>4</v>
      </c>
      <c r="C2122" s="1" t="s">
        <v>4</v>
      </c>
      <c r="D2122" s="1">
        <v>4</v>
      </c>
      <c r="E2122" s="1">
        <v>56.688000000000002</v>
      </c>
      <c r="F2122" s="1">
        <v>0.52619800000000005</v>
      </c>
      <c r="G2122" t="s">
        <v>3369</v>
      </c>
      <c r="H2122" t="s">
        <v>400</v>
      </c>
      <c r="I2122" t="s">
        <v>5702</v>
      </c>
      <c r="J2122" t="str">
        <f>"Epidermal growth factor receptor kinase substrate 8"</f>
        <v>Epidermal growth factor receptor kinase substrate 8</v>
      </c>
      <c r="K2122" t="str">
        <f>"EPS8"</f>
        <v>EPS8</v>
      </c>
    </row>
    <row r="2123" spans="1:11" x14ac:dyDescent="0.25">
      <c r="A2123" s="1">
        <v>2874</v>
      </c>
      <c r="B2123" s="1">
        <v>3</v>
      </c>
      <c r="C2123" s="1" t="s">
        <v>3</v>
      </c>
      <c r="D2123" s="1">
        <v>2</v>
      </c>
      <c r="E2123" s="1">
        <v>71.98</v>
      </c>
      <c r="F2123" s="1">
        <v>0.99999400000000005</v>
      </c>
      <c r="G2123" t="s">
        <v>3370</v>
      </c>
      <c r="H2123" t="s">
        <v>3371</v>
      </c>
      <c r="I2123" t="s">
        <v>5703</v>
      </c>
      <c r="J2123" t="str">
        <f>"Protein quaking"</f>
        <v>Protein quaking</v>
      </c>
      <c r="K2123" t="str">
        <f>"QKI"</f>
        <v>QKI</v>
      </c>
    </row>
    <row r="2124" spans="1:11" x14ac:dyDescent="0.25">
      <c r="A2124" s="1">
        <v>1373</v>
      </c>
      <c r="B2124" s="1">
        <v>3</v>
      </c>
      <c r="C2124" s="1" t="s">
        <v>3</v>
      </c>
      <c r="D2124" s="1">
        <v>3</v>
      </c>
      <c r="E2124" s="1">
        <v>45.613999999999997</v>
      </c>
      <c r="F2124" s="1">
        <v>0.99951299999999998</v>
      </c>
      <c r="G2124" t="s">
        <v>3372</v>
      </c>
      <c r="H2124" t="s">
        <v>3373</v>
      </c>
      <c r="I2124" t="s">
        <v>5704</v>
      </c>
      <c r="J2124" t="str">
        <f>"YTH domain-containing protein 1"</f>
        <v>YTH domain-containing protein 1</v>
      </c>
      <c r="K2124" t="str">
        <f>"YTHDC1"</f>
        <v>YTHDC1</v>
      </c>
    </row>
    <row r="2125" spans="1:11" x14ac:dyDescent="0.25">
      <c r="A2125" s="1">
        <v>1097</v>
      </c>
      <c r="B2125" s="1">
        <v>2</v>
      </c>
      <c r="C2125" s="1" t="s">
        <v>3</v>
      </c>
      <c r="D2125" s="1">
        <v>5</v>
      </c>
      <c r="E2125" s="1">
        <v>75.018000000000001</v>
      </c>
      <c r="F2125" s="1">
        <v>0.995838</v>
      </c>
      <c r="G2125" t="s">
        <v>3374</v>
      </c>
      <c r="H2125" t="s">
        <v>3375</v>
      </c>
      <c r="I2125" t="s">
        <v>5705</v>
      </c>
      <c r="J2125" t="str">
        <f>"Ras-associated and pleckstrin homology domains-containing protein 1"</f>
        <v>Ras-associated and pleckstrin homology domains-containing protein 1</v>
      </c>
      <c r="K2125" t="str">
        <f>"RAPH1"</f>
        <v>RAPH1</v>
      </c>
    </row>
    <row r="2126" spans="1:11" x14ac:dyDescent="0.25">
      <c r="A2126" s="1">
        <v>209</v>
      </c>
      <c r="B2126" s="1">
        <v>2</v>
      </c>
      <c r="C2126" s="1" t="s">
        <v>5</v>
      </c>
      <c r="D2126" s="1">
        <v>8</v>
      </c>
      <c r="E2126" s="1">
        <v>44.395000000000003</v>
      </c>
      <c r="F2126" s="1">
        <v>1</v>
      </c>
      <c r="G2126" t="s">
        <v>3376</v>
      </c>
      <c r="H2126" t="s">
        <v>157</v>
      </c>
      <c r="I2126" t="s">
        <v>5706</v>
      </c>
      <c r="J2126" t="str">
        <f>"Cytoplasmic protein NCK1"</f>
        <v>Cytoplasmic protein NCK1</v>
      </c>
      <c r="K2126" t="str">
        <f>"NCK1"</f>
        <v>NCK1</v>
      </c>
    </row>
    <row r="2127" spans="1:11" x14ac:dyDescent="0.25">
      <c r="A2127" s="1">
        <v>1812</v>
      </c>
      <c r="B2127" s="1">
        <v>2</v>
      </c>
      <c r="C2127" s="1" t="s">
        <v>3</v>
      </c>
      <c r="D2127" s="1">
        <v>2</v>
      </c>
      <c r="E2127" s="1">
        <v>44.395000000000003</v>
      </c>
      <c r="F2127" s="1">
        <v>1</v>
      </c>
      <c r="G2127" t="s">
        <v>3376</v>
      </c>
      <c r="H2127" t="s">
        <v>157</v>
      </c>
      <c r="I2127" t="s">
        <v>5707</v>
      </c>
      <c r="J2127" t="str">
        <f>"Cytoplasmic protein NCK1"</f>
        <v>Cytoplasmic protein NCK1</v>
      </c>
      <c r="K2127" t="str">
        <f>"NCK1"</f>
        <v>NCK1</v>
      </c>
    </row>
    <row r="2128" spans="1:11" x14ac:dyDescent="0.25">
      <c r="A2128" s="1">
        <v>2267</v>
      </c>
      <c r="B2128" s="1">
        <v>3</v>
      </c>
      <c r="C2128" s="1" t="s">
        <v>3</v>
      </c>
      <c r="D2128" s="1">
        <v>6</v>
      </c>
      <c r="E2128" s="1">
        <v>54.237000000000002</v>
      </c>
      <c r="F2128" s="1">
        <v>0.97754399999999997</v>
      </c>
      <c r="G2128" t="s">
        <v>3377</v>
      </c>
      <c r="H2128" t="s">
        <v>488</v>
      </c>
      <c r="I2128">
        <v>72</v>
      </c>
      <c r="J2128" t="str">
        <f>"Ras-related C3 botulinum toxin substrate 1"</f>
        <v>Ras-related C3 botulinum toxin substrate 1</v>
      </c>
      <c r="K2128" t="str">
        <f>"RAC1"</f>
        <v>RAC1</v>
      </c>
    </row>
    <row r="2129" spans="1:11" x14ac:dyDescent="0.25">
      <c r="A2129" s="1">
        <v>2588</v>
      </c>
      <c r="B2129" s="1">
        <v>3</v>
      </c>
      <c r="C2129" s="1" t="s">
        <v>3</v>
      </c>
      <c r="D2129" s="1">
        <v>12</v>
      </c>
      <c r="E2129" s="1">
        <v>70.438000000000002</v>
      </c>
      <c r="F2129" s="1">
        <v>0.5</v>
      </c>
      <c r="G2129" t="s">
        <v>3378</v>
      </c>
      <c r="H2129" t="s">
        <v>2822</v>
      </c>
      <c r="I2129" t="s">
        <v>5708</v>
      </c>
      <c r="J2129" t="str">
        <f>"Transmembrane protein 201"</f>
        <v>Transmembrane protein 201</v>
      </c>
      <c r="K2129" t="str">
        <f>"TMEM201"</f>
        <v>TMEM201</v>
      </c>
    </row>
    <row r="2130" spans="1:11" x14ac:dyDescent="0.25">
      <c r="A2130" s="1">
        <v>1784</v>
      </c>
      <c r="B2130" s="1">
        <v>3</v>
      </c>
      <c r="C2130" s="1" t="s">
        <v>3</v>
      </c>
      <c r="D2130" s="1">
        <v>11</v>
      </c>
      <c r="E2130" s="1">
        <v>81.625</v>
      </c>
      <c r="F2130" s="1">
        <v>0.99907599999999996</v>
      </c>
      <c r="G2130" t="s">
        <v>3379</v>
      </c>
      <c r="H2130" t="s">
        <v>1587</v>
      </c>
      <c r="I2130">
        <v>359</v>
      </c>
      <c r="J2130" t="str">
        <f>"Endoplasmin"</f>
        <v>Endoplasmin</v>
      </c>
      <c r="K2130" t="str">
        <f>"HSP90B1"</f>
        <v>HSP90B1</v>
      </c>
    </row>
    <row r="2131" spans="1:11" x14ac:dyDescent="0.25">
      <c r="A2131" s="1">
        <v>1095</v>
      </c>
      <c r="B2131" s="1">
        <v>4</v>
      </c>
      <c r="C2131" s="1" t="s">
        <v>3</v>
      </c>
      <c r="D2131" s="1">
        <v>15</v>
      </c>
      <c r="E2131" s="1">
        <v>85.061999999999998</v>
      </c>
      <c r="F2131" s="1">
        <v>0.94833900000000004</v>
      </c>
      <c r="G2131" t="s">
        <v>3380</v>
      </c>
      <c r="H2131" t="s">
        <v>1864</v>
      </c>
      <c r="I2131" t="s">
        <v>5709</v>
      </c>
      <c r="J2131" t="str">
        <f>"RNA-binding protein 12B"</f>
        <v>RNA-binding protein 12B</v>
      </c>
      <c r="K2131" t="str">
        <f>"RBM12B"</f>
        <v>RBM12B</v>
      </c>
    </row>
    <row r="2132" spans="1:11" x14ac:dyDescent="0.25">
      <c r="A2132" s="1">
        <v>561</v>
      </c>
      <c r="B2132" s="1">
        <v>3</v>
      </c>
      <c r="C2132" s="1" t="s">
        <v>4</v>
      </c>
      <c r="D2132" s="1">
        <v>10</v>
      </c>
      <c r="E2132" s="1">
        <v>56.817</v>
      </c>
      <c r="F2132" s="1">
        <v>0.53998000000000002</v>
      </c>
      <c r="G2132" t="s">
        <v>3381</v>
      </c>
      <c r="H2132" t="s">
        <v>2990</v>
      </c>
      <c r="I2132" t="s">
        <v>5710</v>
      </c>
      <c r="J2132" t="str">
        <f>"Long-chain-fatty-acid--CoA ligase 4"</f>
        <v>Long-chain-fatty-acid--CoA ligase 4</v>
      </c>
      <c r="K2132" t="str">
        <f>"ACSL4"</f>
        <v>ACSL4</v>
      </c>
    </row>
    <row r="2133" spans="1:11" x14ac:dyDescent="0.25">
      <c r="A2133" s="1">
        <v>2734</v>
      </c>
      <c r="B2133" s="1">
        <v>2</v>
      </c>
      <c r="C2133" s="1" t="s">
        <v>3</v>
      </c>
      <c r="D2133" s="1">
        <v>3</v>
      </c>
      <c r="E2133" s="1">
        <v>45.381999999999998</v>
      </c>
      <c r="F2133" s="1">
        <v>0.52011600000000002</v>
      </c>
      <c r="G2133" t="s">
        <v>3382</v>
      </c>
      <c r="H2133" t="s">
        <v>3109</v>
      </c>
      <c r="I2133">
        <v>57</v>
      </c>
      <c r="J2133" t="str">
        <f>"Zinc finger protein 579"</f>
        <v>Zinc finger protein 579</v>
      </c>
      <c r="K2133" t="str">
        <f>"ZNF579"</f>
        <v>ZNF579</v>
      </c>
    </row>
    <row r="2134" spans="1:11" x14ac:dyDescent="0.25">
      <c r="A2134" s="1">
        <v>2474</v>
      </c>
      <c r="B2134" s="1">
        <v>3</v>
      </c>
      <c r="C2134" s="1" t="s">
        <v>3</v>
      </c>
      <c r="D2134" s="1">
        <v>8</v>
      </c>
      <c r="E2134" s="1">
        <v>53.395000000000003</v>
      </c>
      <c r="F2134" s="1">
        <v>0.85097500000000004</v>
      </c>
      <c r="G2134" t="s">
        <v>3383</v>
      </c>
      <c r="H2134" t="s">
        <v>1663</v>
      </c>
      <c r="I2134">
        <v>323</v>
      </c>
      <c r="J2134" t="str">
        <f>"E3 ubiquitin/ISG15 ligase TRIM25"</f>
        <v>E3 ubiquitin/ISG15 ligase TRIM25</v>
      </c>
      <c r="K2134" t="str">
        <f>"TRIM25"</f>
        <v>TRIM25</v>
      </c>
    </row>
    <row r="2135" spans="1:11" x14ac:dyDescent="0.25">
      <c r="A2135" s="1">
        <v>2125</v>
      </c>
      <c r="B2135" s="1">
        <v>2</v>
      </c>
      <c r="C2135" s="1" t="s">
        <v>3</v>
      </c>
      <c r="D2135" s="1">
        <v>6</v>
      </c>
      <c r="E2135" s="1">
        <v>48.899000000000001</v>
      </c>
      <c r="F2135" s="1">
        <v>0.79247299999999998</v>
      </c>
      <c r="G2135" t="s">
        <v>3384</v>
      </c>
      <c r="H2135" t="s">
        <v>1761</v>
      </c>
      <c r="I2135" t="s">
        <v>5711</v>
      </c>
      <c r="J2135" t="str">
        <f>"Emerin"</f>
        <v>Emerin</v>
      </c>
      <c r="K2135" t="str">
        <f>"EMD"</f>
        <v>EMD</v>
      </c>
    </row>
    <row r="2136" spans="1:11" x14ac:dyDescent="0.25">
      <c r="A2136" s="1">
        <v>469</v>
      </c>
      <c r="B2136" s="1">
        <v>3</v>
      </c>
      <c r="C2136" s="1" t="s">
        <v>5</v>
      </c>
      <c r="D2136" s="1">
        <v>2</v>
      </c>
      <c r="E2136" s="1">
        <v>40.493000000000002</v>
      </c>
      <c r="F2136" s="1">
        <v>0.53271400000000002</v>
      </c>
      <c r="G2136" t="s">
        <v>3385</v>
      </c>
      <c r="H2136" t="s">
        <v>3023</v>
      </c>
      <c r="I2136" t="s">
        <v>5712</v>
      </c>
      <c r="J2136" t="str">
        <f>"Brain-specific angiogenesis inhibitor 1-associated protein 2"</f>
        <v>Brain-specific angiogenesis inhibitor 1-associated protein 2</v>
      </c>
      <c r="K2136" t="str">
        <f>"BAIAP2;CCDC43"</f>
        <v>BAIAP2;CCDC43</v>
      </c>
    </row>
    <row r="2137" spans="1:11" x14ac:dyDescent="0.25">
      <c r="A2137" s="1">
        <v>1931</v>
      </c>
      <c r="B2137" s="1">
        <v>5</v>
      </c>
      <c r="C2137" s="1" t="s">
        <v>3</v>
      </c>
      <c r="D2137" s="1">
        <v>2</v>
      </c>
      <c r="E2137" s="1">
        <v>108.24</v>
      </c>
      <c r="F2137" s="1">
        <v>0.99999700000000002</v>
      </c>
      <c r="G2137" t="s">
        <v>3386</v>
      </c>
      <c r="H2137" t="s">
        <v>3146</v>
      </c>
      <c r="I2137" t="s">
        <v>5713</v>
      </c>
      <c r="J2137" t="str">
        <f>"Adenylate kinase 4, mitochondrial"</f>
        <v>Adenylate kinase 4, mitochondrial</v>
      </c>
      <c r="K2137" t="str">
        <f>"AK4"</f>
        <v>AK4</v>
      </c>
    </row>
    <row r="2138" spans="1:11" x14ac:dyDescent="0.25">
      <c r="A2138" s="1">
        <v>2444</v>
      </c>
      <c r="B2138" s="1">
        <v>3</v>
      </c>
      <c r="C2138" s="1" t="s">
        <v>3</v>
      </c>
      <c r="D2138" s="1">
        <v>7</v>
      </c>
      <c r="E2138" s="1">
        <v>40.968000000000004</v>
      </c>
      <c r="F2138" s="1">
        <v>0.90425800000000001</v>
      </c>
      <c r="G2138" t="s">
        <v>3387</v>
      </c>
      <c r="H2138" t="s">
        <v>2467</v>
      </c>
      <c r="I2138" t="s">
        <v>5714</v>
      </c>
      <c r="J2138" t="str">
        <f>"Four and a half LIM domains protein 1"</f>
        <v>Four and a half LIM domains protein 1</v>
      </c>
      <c r="K2138" t="str">
        <f>"FHL1"</f>
        <v>FHL1</v>
      </c>
    </row>
    <row r="2139" spans="1:11" x14ac:dyDescent="0.25">
      <c r="A2139" s="1">
        <v>468</v>
      </c>
      <c r="B2139" s="1">
        <v>3</v>
      </c>
      <c r="C2139" s="1" t="s">
        <v>5</v>
      </c>
      <c r="D2139" s="1">
        <v>24</v>
      </c>
      <c r="E2139" s="1">
        <v>40.533000000000001</v>
      </c>
      <c r="F2139" s="1">
        <v>0.52561100000000005</v>
      </c>
      <c r="G2139" t="s">
        <v>3388</v>
      </c>
      <c r="H2139" t="s">
        <v>846</v>
      </c>
      <c r="I2139" t="s">
        <v>5715</v>
      </c>
      <c r="J2139" t="str">
        <f>"Brain-specific angiogenesis inhibitor 1-associated protein 2"</f>
        <v>Brain-specific angiogenesis inhibitor 1-associated protein 2</v>
      </c>
      <c r="K2139" t="str">
        <f>"BAIAP2;CCDC43"</f>
        <v>BAIAP2;CCDC43</v>
      </c>
    </row>
    <row r="2140" spans="1:11" x14ac:dyDescent="0.25">
      <c r="A2140" s="1">
        <v>494</v>
      </c>
      <c r="B2140" s="1">
        <v>2</v>
      </c>
      <c r="C2140" s="1" t="s">
        <v>4</v>
      </c>
      <c r="D2140" s="1">
        <v>6</v>
      </c>
      <c r="E2140" s="1">
        <v>56.817</v>
      </c>
      <c r="F2140" s="1">
        <v>0.53876299999999999</v>
      </c>
      <c r="G2140" t="s">
        <v>3389</v>
      </c>
      <c r="H2140" t="s">
        <v>520</v>
      </c>
      <c r="I2140" t="s">
        <v>5716</v>
      </c>
      <c r="J2140" t="str">
        <f>"Lipoma-preferred partner"</f>
        <v>Lipoma-preferred partner</v>
      </c>
      <c r="K2140" t="str">
        <f>"LPP"</f>
        <v>LPP</v>
      </c>
    </row>
    <row r="2141" spans="1:11" x14ac:dyDescent="0.25">
      <c r="A2141" s="1">
        <v>1904</v>
      </c>
      <c r="B2141" s="1">
        <v>2</v>
      </c>
      <c r="C2141" s="1" t="s">
        <v>3</v>
      </c>
      <c r="D2141" s="1">
        <v>1</v>
      </c>
      <c r="E2141" s="1">
        <v>49.933999999999997</v>
      </c>
      <c r="F2141" s="1">
        <v>0.99929699999999999</v>
      </c>
      <c r="G2141" t="s">
        <v>3390</v>
      </c>
      <c r="H2141" t="s">
        <v>503</v>
      </c>
      <c r="I2141" t="s">
        <v>5717</v>
      </c>
      <c r="J2141" t="str">
        <f>"Cofilin-1;Cofilin-2"</f>
        <v>Cofilin-1;Cofilin-2</v>
      </c>
      <c r="K2141" t="str">
        <f>"CFL1;CFL2"</f>
        <v>CFL1;CFL2</v>
      </c>
    </row>
    <row r="2142" spans="1:11" x14ac:dyDescent="0.25">
      <c r="A2142" s="1">
        <v>1437</v>
      </c>
      <c r="B2142" s="1">
        <v>4</v>
      </c>
      <c r="C2142" s="1" t="s">
        <v>3</v>
      </c>
      <c r="D2142" s="1">
        <v>1</v>
      </c>
      <c r="E2142" s="1">
        <v>93.582999999999998</v>
      </c>
      <c r="F2142" s="1">
        <v>0.58956200000000003</v>
      </c>
      <c r="G2142" t="s">
        <v>3391</v>
      </c>
      <c r="H2142" t="s">
        <v>3328</v>
      </c>
      <c r="I2142" t="s">
        <v>5718</v>
      </c>
      <c r="J2142" t="str">
        <f>"Microsomal glutathione S-transferase 3"</f>
        <v>Microsomal glutathione S-transferase 3</v>
      </c>
      <c r="K2142" t="str">
        <f>"MGST3"</f>
        <v>MGST3</v>
      </c>
    </row>
    <row r="2143" spans="1:11" x14ac:dyDescent="0.25">
      <c r="A2143" s="1">
        <v>2565</v>
      </c>
      <c r="B2143" s="1">
        <v>3</v>
      </c>
      <c r="C2143" s="1" t="s">
        <v>3</v>
      </c>
      <c r="D2143" s="1">
        <v>7</v>
      </c>
      <c r="E2143" s="1">
        <v>74.141000000000005</v>
      </c>
      <c r="F2143" s="1">
        <v>0.99872899999999998</v>
      </c>
      <c r="G2143" t="s">
        <v>3392</v>
      </c>
      <c r="H2143" t="s">
        <v>3393</v>
      </c>
      <c r="I2143" t="s">
        <v>5719</v>
      </c>
      <c r="J2143" t="str">
        <f>"1-phosphatidylinositol 4,5-bisphosphate phosphodiesterase eta-1"</f>
        <v>1-phosphatidylinositol 4,5-bisphosphate phosphodiesterase eta-1</v>
      </c>
      <c r="K2143" t="str">
        <f>"PLCH1"</f>
        <v>PLCH1</v>
      </c>
    </row>
    <row r="2144" spans="1:11" x14ac:dyDescent="0.25">
      <c r="A2144" s="1">
        <v>1115</v>
      </c>
      <c r="B2144" s="1">
        <v>2</v>
      </c>
      <c r="C2144" s="1" t="s">
        <v>3</v>
      </c>
      <c r="D2144" s="1">
        <v>3</v>
      </c>
      <c r="E2144" s="1">
        <v>51.252000000000002</v>
      </c>
      <c r="F2144" s="1">
        <v>1</v>
      </c>
      <c r="G2144" t="s">
        <v>3394</v>
      </c>
      <c r="H2144" t="s">
        <v>3395</v>
      </c>
      <c r="I2144" t="s">
        <v>5720</v>
      </c>
      <c r="J2144" t="str">
        <f>"Protein FAM195B"</f>
        <v>Protein FAM195B</v>
      </c>
      <c r="K2144" t="str">
        <f>"FAM195B"</f>
        <v>FAM195B</v>
      </c>
    </row>
    <row r="2145" spans="1:11" x14ac:dyDescent="0.25">
      <c r="A2145" s="1">
        <v>3017</v>
      </c>
      <c r="B2145" s="1">
        <v>2</v>
      </c>
      <c r="C2145" s="1" t="s">
        <v>3</v>
      </c>
      <c r="D2145" s="1">
        <v>7</v>
      </c>
      <c r="E2145" s="1">
        <v>75.588999999999999</v>
      </c>
      <c r="F2145" s="1">
        <v>0.97741</v>
      </c>
      <c r="G2145" t="s">
        <v>3396</v>
      </c>
      <c r="H2145" t="s">
        <v>3397</v>
      </c>
      <c r="I2145" t="s">
        <v>5721</v>
      </c>
      <c r="J2145" t="str">
        <f>"Ubiquitin-like-conjugating enzyme ATG3"</f>
        <v>Ubiquitin-like-conjugating enzyme ATG3</v>
      </c>
      <c r="K2145" t="str">
        <f>"ATG3"</f>
        <v>ATG3</v>
      </c>
    </row>
    <row r="2146" spans="1:11" x14ac:dyDescent="0.25">
      <c r="A2146" s="1">
        <v>771</v>
      </c>
      <c r="B2146" s="1">
        <v>2</v>
      </c>
      <c r="C2146" s="1" t="s">
        <v>3</v>
      </c>
      <c r="D2146" s="1">
        <v>5</v>
      </c>
      <c r="E2146" s="1">
        <v>62.463000000000001</v>
      </c>
      <c r="F2146" s="1">
        <v>0.99999800000000005</v>
      </c>
      <c r="G2146" t="s">
        <v>3398</v>
      </c>
      <c r="H2146" t="s">
        <v>3399</v>
      </c>
      <c r="I2146" t="s">
        <v>5722</v>
      </c>
      <c r="J2146" t="str">
        <f>"Ubiquitin carboxyl-terminal hydrolase isozyme L3"</f>
        <v>Ubiquitin carboxyl-terminal hydrolase isozyme L3</v>
      </c>
      <c r="K2146" t="str">
        <f>"UCHL3"</f>
        <v>UCHL3</v>
      </c>
    </row>
    <row r="2147" spans="1:11" x14ac:dyDescent="0.25">
      <c r="A2147" s="1">
        <v>1541</v>
      </c>
      <c r="B2147" s="1">
        <v>3</v>
      </c>
      <c r="C2147" s="1" t="s">
        <v>3</v>
      </c>
      <c r="D2147" s="1">
        <v>6</v>
      </c>
      <c r="E2147" s="1">
        <v>125.53</v>
      </c>
      <c r="F2147" s="1">
        <v>0.95901800000000004</v>
      </c>
      <c r="G2147" t="s">
        <v>3400</v>
      </c>
      <c r="H2147" t="s">
        <v>3401</v>
      </c>
      <c r="I2147">
        <v>708</v>
      </c>
      <c r="J2147" t="str">
        <f>"Calpain-15"</f>
        <v>Calpain-15</v>
      </c>
      <c r="K2147" t="str">
        <f>"CAPN15"</f>
        <v>CAPN15</v>
      </c>
    </row>
    <row r="2148" spans="1:11" x14ac:dyDescent="0.25">
      <c r="A2148" s="1">
        <v>2313</v>
      </c>
      <c r="B2148" s="1">
        <v>3</v>
      </c>
      <c r="C2148" s="1" t="s">
        <v>3</v>
      </c>
      <c r="D2148" s="1">
        <v>5</v>
      </c>
      <c r="E2148" s="1">
        <v>40.496000000000002</v>
      </c>
      <c r="F2148" s="1">
        <v>0.64956499999999995</v>
      </c>
      <c r="G2148" t="s">
        <v>3402</v>
      </c>
      <c r="H2148" t="s">
        <v>3403</v>
      </c>
      <c r="I2148" t="s">
        <v>5723</v>
      </c>
      <c r="J2148" t="str">
        <f>"Inositol polyphosphate 5-phosphatase OCRL-1"</f>
        <v>Inositol polyphosphate 5-phosphatase OCRL-1</v>
      </c>
      <c r="K2148" t="str">
        <f>"OCRL"</f>
        <v>OCRL</v>
      </c>
    </row>
    <row r="2149" spans="1:11" x14ac:dyDescent="0.25">
      <c r="A2149" s="1">
        <v>3114</v>
      </c>
      <c r="B2149" s="1">
        <v>3</v>
      </c>
      <c r="C2149" s="1" t="s">
        <v>3</v>
      </c>
      <c r="D2149" s="1">
        <v>13</v>
      </c>
      <c r="E2149" s="1">
        <v>58.98</v>
      </c>
      <c r="F2149" s="1">
        <v>0.99917199999999995</v>
      </c>
      <c r="G2149" t="s">
        <v>3404</v>
      </c>
      <c r="H2149" t="s">
        <v>3405</v>
      </c>
      <c r="I2149">
        <v>109</v>
      </c>
      <c r="J2149" t="str">
        <f>"60S ribosome subunit biogenesis protein NIP7 homolog"</f>
        <v>60S ribosome subunit biogenesis protein NIP7 homolog</v>
      </c>
      <c r="K2149" t="str">
        <f>"NIP7"</f>
        <v>NIP7</v>
      </c>
    </row>
    <row r="2150" spans="1:11" x14ac:dyDescent="0.25">
      <c r="A2150" s="1">
        <v>1436</v>
      </c>
      <c r="B2150" s="1">
        <v>2</v>
      </c>
      <c r="C2150" s="1" t="s">
        <v>3</v>
      </c>
      <c r="D2150" s="1">
        <v>11</v>
      </c>
      <c r="E2150" s="1">
        <v>83.203999999999994</v>
      </c>
      <c r="F2150" s="1">
        <v>0.99034900000000003</v>
      </c>
      <c r="G2150" t="s">
        <v>3406</v>
      </c>
      <c r="H2150" t="s">
        <v>3316</v>
      </c>
      <c r="I2150">
        <v>208</v>
      </c>
      <c r="J2150" t="str">
        <f>"Interferon-induced protein with tetratricopeptide repeats 3"</f>
        <v>Interferon-induced protein with tetratricopeptide repeats 3</v>
      </c>
      <c r="K2150" t="str">
        <f>"IFIT3"</f>
        <v>IFIT3</v>
      </c>
    </row>
    <row r="2151" spans="1:11" x14ac:dyDescent="0.25">
      <c r="A2151" s="1">
        <v>1609</v>
      </c>
      <c r="B2151" s="1">
        <v>3</v>
      </c>
      <c r="C2151" s="1" t="s">
        <v>3</v>
      </c>
      <c r="D2151" s="1">
        <v>13</v>
      </c>
      <c r="E2151" s="1">
        <v>42.317</v>
      </c>
      <c r="F2151" s="1">
        <v>0.66607499999999997</v>
      </c>
      <c r="G2151" t="s">
        <v>3407</v>
      </c>
      <c r="H2151" t="s">
        <v>3408</v>
      </c>
      <c r="I2151">
        <v>359</v>
      </c>
      <c r="J2151" t="str">
        <f>"Band 3 anion transport protein"</f>
        <v>Band 3 anion transport protein</v>
      </c>
      <c r="K2151" t="str">
        <f>"SLC4A1"</f>
        <v>SLC4A1</v>
      </c>
    </row>
    <row r="2152" spans="1:11" x14ac:dyDescent="0.25">
      <c r="A2152" s="1">
        <v>1863</v>
      </c>
      <c r="B2152" s="1">
        <v>2</v>
      </c>
      <c r="C2152" s="1" t="s">
        <v>3</v>
      </c>
      <c r="D2152" s="1">
        <v>7</v>
      </c>
      <c r="E2152" s="1">
        <v>52.527000000000001</v>
      </c>
      <c r="F2152" s="1">
        <v>0.63028300000000004</v>
      </c>
      <c r="G2152" t="s">
        <v>3409</v>
      </c>
      <c r="H2152" t="s">
        <v>78</v>
      </c>
      <c r="I2152" t="s">
        <v>5724</v>
      </c>
      <c r="J2152" t="str">
        <f>"Filamin-A"</f>
        <v>Filamin-A</v>
      </c>
      <c r="K2152" t="str">
        <f>"FLNA"</f>
        <v>FLNA</v>
      </c>
    </row>
    <row r="2153" spans="1:11" x14ac:dyDescent="0.25">
      <c r="A2153" s="1">
        <v>1444</v>
      </c>
      <c r="B2153" s="1">
        <v>3</v>
      </c>
      <c r="C2153" s="1" t="s">
        <v>3</v>
      </c>
      <c r="D2153" s="1">
        <v>9</v>
      </c>
      <c r="E2153" s="1">
        <v>80.584999999999994</v>
      </c>
      <c r="F2153" s="1">
        <v>0.94477</v>
      </c>
      <c r="G2153" t="s">
        <v>3410</v>
      </c>
      <c r="H2153" t="s">
        <v>3411</v>
      </c>
      <c r="I2153" t="s">
        <v>5725</v>
      </c>
      <c r="J2153" t="str">
        <f>"Cyclin-G-associated kinase"</f>
        <v>Cyclin-G-associated kinase</v>
      </c>
      <c r="K2153" t="str">
        <f>"GAK"</f>
        <v>GAK</v>
      </c>
    </row>
    <row r="2154" spans="1:11" x14ac:dyDescent="0.25">
      <c r="A2154" s="1">
        <v>2740</v>
      </c>
      <c r="B2154" s="1">
        <v>3</v>
      </c>
      <c r="C2154" s="1" t="s">
        <v>3</v>
      </c>
      <c r="D2154" s="1">
        <v>13</v>
      </c>
      <c r="E2154" s="1">
        <v>79.652000000000001</v>
      </c>
      <c r="F2154" s="1">
        <v>1</v>
      </c>
      <c r="G2154" t="s">
        <v>3412</v>
      </c>
      <c r="H2154" t="s">
        <v>3413</v>
      </c>
      <c r="I2154">
        <v>254</v>
      </c>
      <c r="J2154" t="str">
        <f>"Zinc finger protein 280C"</f>
        <v>Zinc finger protein 280C</v>
      </c>
      <c r="K2154" t="str">
        <f>"ZNF280C"</f>
        <v>ZNF280C</v>
      </c>
    </row>
    <row r="2155" spans="1:11" x14ac:dyDescent="0.25">
      <c r="A2155" s="1">
        <v>1980</v>
      </c>
      <c r="B2155" s="1">
        <v>2</v>
      </c>
      <c r="C2155" s="1" t="s">
        <v>3</v>
      </c>
      <c r="D2155" s="1">
        <v>4</v>
      </c>
      <c r="E2155" s="1">
        <v>51.445</v>
      </c>
      <c r="F2155" s="1">
        <v>0.79242299999999999</v>
      </c>
      <c r="G2155" t="s">
        <v>3414</v>
      </c>
      <c r="H2155" t="s">
        <v>3415</v>
      </c>
      <c r="I2155" t="s">
        <v>5726</v>
      </c>
      <c r="J2155" t="str">
        <f>"Rab GDP dissociation inhibitor alpha;Rab GDP dissociation inhibitor beta"</f>
        <v>Rab GDP dissociation inhibitor alpha;Rab GDP dissociation inhibitor beta</v>
      </c>
      <c r="K2155" t="str">
        <f>"GDI1;GDI2"</f>
        <v>GDI1;GDI2</v>
      </c>
    </row>
    <row r="2156" spans="1:11" x14ac:dyDescent="0.25">
      <c r="A2156" s="1">
        <v>2143</v>
      </c>
      <c r="B2156" s="1">
        <v>2</v>
      </c>
      <c r="C2156" s="1" t="s">
        <v>3</v>
      </c>
      <c r="D2156" s="1">
        <v>2</v>
      </c>
      <c r="E2156" s="1">
        <v>84.753</v>
      </c>
      <c r="F2156" s="1">
        <v>0.99999899999999997</v>
      </c>
      <c r="G2156" t="s">
        <v>3416</v>
      </c>
      <c r="H2156" t="s">
        <v>3417</v>
      </c>
      <c r="I2156">
        <v>38</v>
      </c>
      <c r="J2156" t="str">
        <f>"Dual specificity protein phosphatase 3"</f>
        <v>Dual specificity protein phosphatase 3</v>
      </c>
      <c r="K2156" t="str">
        <f>"DUSP3"</f>
        <v>DUSP3</v>
      </c>
    </row>
    <row r="2157" spans="1:11" x14ac:dyDescent="0.25">
      <c r="A2157" s="1">
        <v>2363</v>
      </c>
      <c r="B2157" s="1">
        <v>2</v>
      </c>
      <c r="C2157" s="1" t="s">
        <v>3</v>
      </c>
      <c r="D2157" s="1">
        <v>4</v>
      </c>
      <c r="E2157" s="1">
        <v>66.691999999999993</v>
      </c>
      <c r="F2157" s="1">
        <v>1</v>
      </c>
      <c r="G2157" t="s">
        <v>3418</v>
      </c>
      <c r="H2157" t="s">
        <v>3419</v>
      </c>
      <c r="I2157">
        <v>9</v>
      </c>
      <c r="J2157" t="str">
        <f>"ATP-dependent RNA helicase A"</f>
        <v>ATP-dependent RNA helicase A</v>
      </c>
      <c r="K2157" t="str">
        <f>"DHX9"</f>
        <v>DHX9</v>
      </c>
    </row>
    <row r="2158" spans="1:11" x14ac:dyDescent="0.25">
      <c r="A2158" s="1">
        <v>3124</v>
      </c>
      <c r="B2158" s="1">
        <v>3</v>
      </c>
      <c r="C2158" s="1" t="s">
        <v>3</v>
      </c>
      <c r="D2158" s="1">
        <v>9</v>
      </c>
      <c r="E2158" s="1">
        <v>76.819999999999993</v>
      </c>
      <c r="F2158" s="1">
        <v>0.95232499999999998</v>
      </c>
      <c r="G2158" t="s">
        <v>3420</v>
      </c>
      <c r="H2158" t="s">
        <v>3421</v>
      </c>
      <c r="I2158">
        <v>456</v>
      </c>
      <c r="J2158" t="str">
        <f>"Sialic acid-binding Ig-like lectin 9"</f>
        <v>Sialic acid-binding Ig-like lectin 9</v>
      </c>
      <c r="K2158" t="str">
        <f>"SIGLEC9"</f>
        <v>SIGLEC9</v>
      </c>
    </row>
    <row r="2159" spans="1:11" x14ac:dyDescent="0.25">
      <c r="A2159" s="1">
        <v>1105</v>
      </c>
      <c r="B2159" s="1">
        <v>2</v>
      </c>
      <c r="C2159" s="1" t="s">
        <v>3</v>
      </c>
      <c r="D2159" s="1">
        <v>2</v>
      </c>
      <c r="E2159" s="1">
        <v>64.120999999999995</v>
      </c>
      <c r="F2159" s="1">
        <v>0.86013700000000004</v>
      </c>
      <c r="G2159" t="s">
        <v>3422</v>
      </c>
      <c r="H2159" t="s">
        <v>3423</v>
      </c>
      <c r="I2159" t="s">
        <v>5727</v>
      </c>
      <c r="J2159" t="str">
        <f>"Protein lin-9 homolog"</f>
        <v>Protein lin-9 homolog</v>
      </c>
      <c r="K2159" t="str">
        <f>"LIN9"</f>
        <v>LIN9</v>
      </c>
    </row>
    <row r="2160" spans="1:11" x14ac:dyDescent="0.25">
      <c r="A2160" s="1">
        <v>1568</v>
      </c>
      <c r="B2160" s="1">
        <v>2</v>
      </c>
      <c r="C2160" s="1" t="s">
        <v>3</v>
      </c>
      <c r="D2160" s="1">
        <v>1</v>
      </c>
      <c r="E2160" s="1">
        <v>57.280999999999999</v>
      </c>
      <c r="F2160" s="1">
        <v>0.86107100000000003</v>
      </c>
      <c r="G2160" t="s">
        <v>3424</v>
      </c>
      <c r="H2160" t="s">
        <v>3425</v>
      </c>
      <c r="I2160">
        <v>322</v>
      </c>
      <c r="J2160" t="str">
        <f>"Activator of 90 kDa heat shock protein ATPase homolog 1"</f>
        <v>Activator of 90 kDa heat shock protein ATPase homolog 1</v>
      </c>
      <c r="K2160" t="str">
        <f>"AHSA1"</f>
        <v>AHSA1</v>
      </c>
    </row>
    <row r="2161" spans="1:11" x14ac:dyDescent="0.25">
      <c r="A2161" s="1">
        <v>2834</v>
      </c>
      <c r="B2161" s="1">
        <v>2</v>
      </c>
      <c r="C2161" s="1" t="s">
        <v>3</v>
      </c>
      <c r="D2161" s="1">
        <v>5</v>
      </c>
      <c r="E2161" s="1">
        <v>47.603000000000002</v>
      </c>
      <c r="F2161" s="1">
        <v>0.97122200000000003</v>
      </c>
      <c r="G2161" t="s">
        <v>3426</v>
      </c>
      <c r="H2161" t="s">
        <v>3427</v>
      </c>
      <c r="I2161">
        <v>83</v>
      </c>
      <c r="J2161" t="str">
        <f>"EF-hand domain-containing protein D2"</f>
        <v>EF-hand domain-containing protein D2</v>
      </c>
      <c r="K2161" t="str">
        <f>"EFHD2"</f>
        <v>EFHD2</v>
      </c>
    </row>
    <row r="2162" spans="1:11" x14ac:dyDescent="0.25">
      <c r="A2162" s="1">
        <v>275</v>
      </c>
      <c r="B2162" s="1">
        <v>3</v>
      </c>
      <c r="C2162" s="1" t="s">
        <v>5</v>
      </c>
      <c r="D2162" s="1">
        <v>1</v>
      </c>
      <c r="E2162" s="1">
        <v>101.75</v>
      </c>
      <c r="F2162" s="1">
        <v>0.66470799999999997</v>
      </c>
      <c r="G2162" t="s">
        <v>3428</v>
      </c>
      <c r="H2162" t="s">
        <v>1089</v>
      </c>
      <c r="I2162">
        <v>192</v>
      </c>
      <c r="J2162" t="str">
        <f>"Claudin-2"</f>
        <v>Claudin-2</v>
      </c>
      <c r="K2162" t="str">
        <f>"CLDN2"</f>
        <v>CLDN2</v>
      </c>
    </row>
    <row r="2163" spans="1:11" x14ac:dyDescent="0.25">
      <c r="A2163" s="1">
        <v>2513</v>
      </c>
      <c r="B2163" s="1">
        <v>3</v>
      </c>
      <c r="C2163" s="1" t="s">
        <v>3</v>
      </c>
      <c r="D2163" s="1">
        <v>16</v>
      </c>
      <c r="E2163" s="1">
        <v>48.286000000000001</v>
      </c>
      <c r="F2163" s="1">
        <v>0.76124800000000004</v>
      </c>
      <c r="G2163" t="s">
        <v>3429</v>
      </c>
      <c r="H2163" t="s">
        <v>72</v>
      </c>
      <c r="I2163" t="s">
        <v>5728</v>
      </c>
      <c r="J2163" t="str">
        <f>"Phosphoglucomutase-like protein 5"</f>
        <v>Phosphoglucomutase-like protein 5</v>
      </c>
      <c r="K2163" t="str">
        <f>"PGM5"</f>
        <v>PGM5</v>
      </c>
    </row>
    <row r="2164" spans="1:11" x14ac:dyDescent="0.25">
      <c r="A2164" s="1">
        <v>686</v>
      </c>
      <c r="B2164" s="1">
        <v>3</v>
      </c>
      <c r="C2164" s="1" t="s">
        <v>4</v>
      </c>
      <c r="D2164" s="1">
        <v>13</v>
      </c>
      <c r="E2164" s="1">
        <v>70.093999999999994</v>
      </c>
      <c r="F2164" s="1">
        <v>0.52207899999999996</v>
      </c>
      <c r="G2164" t="s">
        <v>3430</v>
      </c>
      <c r="H2164" t="s">
        <v>1757</v>
      </c>
      <c r="I2164">
        <v>66</v>
      </c>
      <c r="J2164" t="str">
        <f>"Ankyrin repeat domain-containing protein 39"</f>
        <v>Ankyrin repeat domain-containing protein 39</v>
      </c>
      <c r="K2164" t="str">
        <f>"ANKRD39"</f>
        <v>ANKRD39</v>
      </c>
    </row>
    <row r="2165" spans="1:11" x14ac:dyDescent="0.25">
      <c r="A2165" s="1">
        <v>153</v>
      </c>
      <c r="B2165" s="1">
        <v>3</v>
      </c>
      <c r="C2165" s="1" t="s">
        <v>5</v>
      </c>
      <c r="D2165" s="1">
        <v>17</v>
      </c>
      <c r="E2165" s="1">
        <v>45.915999999999997</v>
      </c>
      <c r="F2165" s="1">
        <v>0.50995500000000005</v>
      </c>
      <c r="G2165" t="s">
        <v>3431</v>
      </c>
      <c r="H2165" t="s">
        <v>3432</v>
      </c>
      <c r="I2165" t="s">
        <v>5729</v>
      </c>
      <c r="J2165" t="str">
        <f>"Cold shock domain-containing protein E1"</f>
        <v>Cold shock domain-containing protein E1</v>
      </c>
      <c r="K2165" t="str">
        <f>"CSDE1"</f>
        <v>CSDE1</v>
      </c>
    </row>
    <row r="2166" spans="1:11" x14ac:dyDescent="0.25">
      <c r="A2166" s="1">
        <v>2532</v>
      </c>
      <c r="B2166" s="1">
        <v>2</v>
      </c>
      <c r="C2166" s="1" t="s">
        <v>3</v>
      </c>
      <c r="D2166" s="1">
        <v>12</v>
      </c>
      <c r="E2166" s="1">
        <v>43.03</v>
      </c>
      <c r="F2166" s="1">
        <v>0.99437299999999995</v>
      </c>
      <c r="G2166" t="s">
        <v>3433</v>
      </c>
      <c r="H2166" t="s">
        <v>3434</v>
      </c>
      <c r="I2166" t="s">
        <v>4554</v>
      </c>
      <c r="J2166" t="str">
        <f>"Transcription elongation factor B polypeptide 1"</f>
        <v>Transcription elongation factor B polypeptide 1</v>
      </c>
      <c r="K2166" t="str">
        <f>"TCEB1"</f>
        <v>TCEB1</v>
      </c>
    </row>
    <row r="2167" spans="1:11" x14ac:dyDescent="0.25">
      <c r="A2167" s="1">
        <v>277</v>
      </c>
      <c r="B2167" s="1">
        <v>2</v>
      </c>
      <c r="C2167" s="1" t="s">
        <v>5</v>
      </c>
      <c r="D2167" s="1">
        <v>8</v>
      </c>
      <c r="E2167" s="1">
        <v>47.712000000000003</v>
      </c>
      <c r="F2167" s="1">
        <v>0.56697399999999998</v>
      </c>
      <c r="G2167" t="s">
        <v>3435</v>
      </c>
      <c r="H2167" t="s">
        <v>3436</v>
      </c>
      <c r="I2167">
        <v>9</v>
      </c>
      <c r="J2167" t="str">
        <f>"Ras-related protein Rab-14"</f>
        <v>Ras-related protein Rab-14</v>
      </c>
      <c r="K2167" t="str">
        <f>"RAB14"</f>
        <v>RAB14</v>
      </c>
    </row>
    <row r="2168" spans="1:11" x14ac:dyDescent="0.25">
      <c r="A2168" s="1">
        <v>548</v>
      </c>
      <c r="B2168" s="1">
        <v>3</v>
      </c>
      <c r="C2168" s="1" t="s">
        <v>4</v>
      </c>
      <c r="D2168" s="1">
        <v>4</v>
      </c>
      <c r="E2168" s="1">
        <v>48.216000000000001</v>
      </c>
      <c r="F2168" s="1">
        <v>0.53842199999999996</v>
      </c>
      <c r="G2168" t="s">
        <v>3437</v>
      </c>
      <c r="H2168" t="s">
        <v>960</v>
      </c>
      <c r="I2168" t="s">
        <v>5730</v>
      </c>
      <c r="J2168" t="str">
        <f>"BUB3-interacting and GLEBS motif-containing protein ZNF207"</f>
        <v>BUB3-interacting and GLEBS motif-containing protein ZNF207</v>
      </c>
      <c r="K2168" t="str">
        <f>"ZNF207"</f>
        <v>ZNF207</v>
      </c>
    </row>
    <row r="2169" spans="1:11" x14ac:dyDescent="0.25">
      <c r="A2169" s="1">
        <v>2614</v>
      </c>
      <c r="B2169" s="1">
        <v>3</v>
      </c>
      <c r="C2169" s="1" t="s">
        <v>3</v>
      </c>
      <c r="D2169" s="1">
        <v>6</v>
      </c>
      <c r="E2169" s="1">
        <v>72.891000000000005</v>
      </c>
      <c r="F2169" s="1">
        <v>0.97232399999999997</v>
      </c>
      <c r="G2169" t="s">
        <v>3438</v>
      </c>
      <c r="H2169" t="s">
        <v>37</v>
      </c>
      <c r="I2169" t="s">
        <v>5731</v>
      </c>
      <c r="J2169" t="str">
        <f>"Partitioning defective 3 homolog"</f>
        <v>Partitioning defective 3 homolog</v>
      </c>
      <c r="K2169" t="str">
        <f>"PARD3"</f>
        <v>PARD3</v>
      </c>
    </row>
    <row r="2170" spans="1:11" x14ac:dyDescent="0.25">
      <c r="A2170" s="1">
        <v>290</v>
      </c>
      <c r="B2170" s="1">
        <v>4</v>
      </c>
      <c r="C2170" s="1" t="s">
        <v>5</v>
      </c>
      <c r="D2170" s="1">
        <v>28</v>
      </c>
      <c r="E2170" s="1">
        <v>42.926000000000002</v>
      </c>
      <c r="F2170" s="1">
        <v>0.61382599999999998</v>
      </c>
      <c r="G2170" t="s">
        <v>3439</v>
      </c>
      <c r="H2170" t="s">
        <v>3440</v>
      </c>
      <c r="I2170" t="s">
        <v>5732</v>
      </c>
      <c r="J2170" t="str">
        <f>"A-kinase anchor protein 12"</f>
        <v>A-kinase anchor protein 12</v>
      </c>
      <c r="K2170" t="str">
        <f>"AKAP12"</f>
        <v>AKAP12</v>
      </c>
    </row>
    <row r="2171" spans="1:11" x14ac:dyDescent="0.25">
      <c r="A2171" s="1">
        <v>567</v>
      </c>
      <c r="B2171" s="1">
        <v>3</v>
      </c>
      <c r="C2171" s="1" t="s">
        <v>4</v>
      </c>
      <c r="D2171" s="1">
        <v>11</v>
      </c>
      <c r="E2171" s="1">
        <v>49.125</v>
      </c>
      <c r="F2171" s="1">
        <v>0.82099299999999997</v>
      </c>
      <c r="G2171" t="s">
        <v>3441</v>
      </c>
      <c r="H2171" t="s">
        <v>1943</v>
      </c>
      <c r="I2171" t="s">
        <v>5733</v>
      </c>
      <c r="J2171" t="str">
        <f>"Carboxypeptidase D"</f>
        <v>Carboxypeptidase D</v>
      </c>
      <c r="K2171" t="str">
        <f>"CPD"</f>
        <v>CPD</v>
      </c>
    </row>
    <row r="2172" spans="1:11" x14ac:dyDescent="0.25">
      <c r="A2172" s="1">
        <v>648</v>
      </c>
      <c r="B2172" s="1">
        <v>3</v>
      </c>
      <c r="C2172" s="1" t="s">
        <v>4</v>
      </c>
      <c r="D2172" s="1">
        <v>5</v>
      </c>
      <c r="E2172" s="1">
        <v>64.704999999999998</v>
      </c>
      <c r="F2172" s="1">
        <v>0.54059299999999999</v>
      </c>
      <c r="G2172" t="s">
        <v>3442</v>
      </c>
      <c r="H2172" t="s">
        <v>1142</v>
      </c>
      <c r="I2172" t="s">
        <v>5734</v>
      </c>
      <c r="J2172" t="str">
        <f>"26S protease regulatory subunit 4"</f>
        <v>26S protease regulatory subunit 4</v>
      </c>
      <c r="K2172" t="str">
        <f>"PSMC1"</f>
        <v>PSMC1</v>
      </c>
    </row>
    <row r="2173" spans="1:11" x14ac:dyDescent="0.25">
      <c r="A2173" s="1">
        <v>339</v>
      </c>
      <c r="B2173" s="1">
        <v>4</v>
      </c>
      <c r="C2173" s="1" t="s">
        <v>5</v>
      </c>
      <c r="D2173" s="1">
        <v>2</v>
      </c>
      <c r="E2173" s="1">
        <v>48.286000000000001</v>
      </c>
      <c r="F2173" s="1">
        <v>0.52687799999999996</v>
      </c>
      <c r="G2173" t="s">
        <v>3443</v>
      </c>
      <c r="H2173" t="s">
        <v>3444</v>
      </c>
      <c r="I2173" t="s">
        <v>5735</v>
      </c>
      <c r="J2173" t="str">
        <f>"Myosin light chain kinase, smooth muscle;Myosin light chain kinase, smooth muscle, deglutamylated form"</f>
        <v>Myosin light chain kinase, smooth muscle;Myosin light chain kinase, smooth muscle, deglutamylated form</v>
      </c>
      <c r="K2173" t="str">
        <f>"MYLK"</f>
        <v>MYLK</v>
      </c>
    </row>
    <row r="2174" spans="1:11" x14ac:dyDescent="0.25">
      <c r="A2174" s="1">
        <v>2849</v>
      </c>
      <c r="B2174" s="1">
        <v>2</v>
      </c>
      <c r="C2174" s="1" t="s">
        <v>3</v>
      </c>
      <c r="D2174" s="1">
        <v>3</v>
      </c>
      <c r="E2174" s="1">
        <v>47.302</v>
      </c>
      <c r="F2174" s="1">
        <v>0.99949500000000002</v>
      </c>
      <c r="G2174" t="s">
        <v>3445</v>
      </c>
      <c r="H2174" t="s">
        <v>3446</v>
      </c>
      <c r="I2174">
        <v>192</v>
      </c>
      <c r="J2174" t="str">
        <f>"Vacuolar-sorting protein SNF8"</f>
        <v>Vacuolar-sorting protein SNF8</v>
      </c>
      <c r="K2174" t="str">
        <f>"SNF8"</f>
        <v>SNF8</v>
      </c>
    </row>
    <row r="2175" spans="1:11" x14ac:dyDescent="0.25">
      <c r="A2175" s="1">
        <v>1965</v>
      </c>
      <c r="B2175" s="1">
        <v>2</v>
      </c>
      <c r="C2175" s="1" t="s">
        <v>3</v>
      </c>
      <c r="D2175" s="1">
        <v>8</v>
      </c>
      <c r="E2175" s="1">
        <v>49.594999999999999</v>
      </c>
      <c r="F2175" s="1">
        <v>0.92068899999999998</v>
      </c>
      <c r="G2175" t="s">
        <v>3447</v>
      </c>
      <c r="H2175" t="s">
        <v>499</v>
      </c>
      <c r="I2175" t="s">
        <v>5736</v>
      </c>
      <c r="J2175" t="str">
        <f>"Tyrosine-protein phosphatase non-receptor type 6"</f>
        <v>Tyrosine-protein phosphatase non-receptor type 6</v>
      </c>
      <c r="K2175" t="str">
        <f>"PTPN6"</f>
        <v>PTPN6</v>
      </c>
    </row>
    <row r="2176" spans="1:11" x14ac:dyDescent="0.25">
      <c r="A2176" s="1">
        <v>1310</v>
      </c>
      <c r="B2176" s="1">
        <v>3</v>
      </c>
      <c r="C2176" s="1" t="s">
        <v>3</v>
      </c>
      <c r="D2176" s="1">
        <v>7</v>
      </c>
      <c r="E2176" s="1">
        <v>45.875999999999998</v>
      </c>
      <c r="F2176" s="1">
        <v>0.99807699999999999</v>
      </c>
      <c r="G2176" t="s">
        <v>3448</v>
      </c>
      <c r="H2176" t="s">
        <v>3449</v>
      </c>
      <c r="I2176" t="s">
        <v>5737</v>
      </c>
      <c r="J2176" t="str">
        <f>"5'-AMP-activated protein kinase subunit gamma-1"</f>
        <v>5'-AMP-activated protein kinase subunit gamma-1</v>
      </c>
      <c r="K2176" t="str">
        <f>"PRKAG1"</f>
        <v>PRKAG1</v>
      </c>
    </row>
    <row r="2177" spans="1:11" x14ac:dyDescent="0.25">
      <c r="A2177" s="1">
        <v>1927</v>
      </c>
      <c r="B2177" s="1">
        <v>3</v>
      </c>
      <c r="C2177" s="1" t="s">
        <v>3</v>
      </c>
      <c r="D2177" s="1">
        <v>2</v>
      </c>
      <c r="E2177" s="1">
        <v>47.082000000000001</v>
      </c>
      <c r="F2177" s="1">
        <v>0.93791999999999998</v>
      </c>
      <c r="G2177" t="s">
        <v>3450</v>
      </c>
      <c r="H2177" t="s">
        <v>3451</v>
      </c>
      <c r="I2177" t="s">
        <v>5738</v>
      </c>
      <c r="J2177" t="str">
        <f>"Proteasome subunit alpha type-4;Proteasome subunit alpha type"</f>
        <v>Proteasome subunit alpha type-4;Proteasome subunit alpha type</v>
      </c>
      <c r="K2177" t="str">
        <f>"PSMA4"</f>
        <v>PSMA4</v>
      </c>
    </row>
    <row r="2178" spans="1:11" x14ac:dyDescent="0.25">
      <c r="A2178" s="1">
        <v>1989</v>
      </c>
      <c r="B2178" s="1">
        <v>3</v>
      </c>
      <c r="C2178" s="1" t="s">
        <v>3</v>
      </c>
      <c r="D2178" s="1">
        <v>9</v>
      </c>
      <c r="E2178" s="1">
        <v>96.052000000000007</v>
      </c>
      <c r="F2178" s="1">
        <v>0.63191200000000003</v>
      </c>
      <c r="G2178" t="s">
        <v>3452</v>
      </c>
      <c r="H2178" t="s">
        <v>3453</v>
      </c>
      <c r="I2178" t="s">
        <v>5739</v>
      </c>
      <c r="J2178" t="str">
        <f>"Low affinity immunoglobulin gamma Fc region receptor II-b"</f>
        <v>Low affinity immunoglobulin gamma Fc region receptor II-b</v>
      </c>
      <c r="K2178" t="str">
        <f>"FCGR2B"</f>
        <v>FCGR2B</v>
      </c>
    </row>
    <row r="2179" spans="1:11" x14ac:dyDescent="0.25">
      <c r="A2179" s="1">
        <v>1068</v>
      </c>
      <c r="B2179" s="1">
        <v>3</v>
      </c>
      <c r="C2179" s="1" t="s">
        <v>3</v>
      </c>
      <c r="D2179" s="1">
        <v>12</v>
      </c>
      <c r="E2179" s="1">
        <v>57.173000000000002</v>
      </c>
      <c r="F2179" s="1">
        <v>0.90941899999999998</v>
      </c>
      <c r="G2179" t="s">
        <v>3454</v>
      </c>
      <c r="H2179" t="s">
        <v>3455</v>
      </c>
      <c r="I2179" t="s">
        <v>5740</v>
      </c>
      <c r="J2179" t="str">
        <f>"SLAM family member 7"</f>
        <v>SLAM family member 7</v>
      </c>
      <c r="K2179" t="str">
        <f>"SLAMF7"</f>
        <v>SLAMF7</v>
      </c>
    </row>
    <row r="2180" spans="1:11" x14ac:dyDescent="0.25">
      <c r="A2180" s="1">
        <v>1351</v>
      </c>
      <c r="B2180" s="1">
        <v>3</v>
      </c>
      <c r="C2180" s="1" t="s">
        <v>3</v>
      </c>
      <c r="D2180" s="1">
        <v>11</v>
      </c>
      <c r="E2180" s="1">
        <v>70.802000000000007</v>
      </c>
      <c r="F2180" s="1">
        <v>1</v>
      </c>
      <c r="G2180" t="s">
        <v>3456</v>
      </c>
      <c r="H2180" t="s">
        <v>3457</v>
      </c>
      <c r="I2180" t="s">
        <v>5741</v>
      </c>
      <c r="J2180" t="str">
        <f>"Zinc finger protein 598"</f>
        <v>Zinc finger protein 598</v>
      </c>
      <c r="K2180" t="str">
        <f>"ZNF598"</f>
        <v>ZNF598</v>
      </c>
    </row>
    <row r="2181" spans="1:11" x14ac:dyDescent="0.25">
      <c r="A2181" s="1">
        <v>918</v>
      </c>
      <c r="B2181" s="1">
        <v>3</v>
      </c>
      <c r="C2181" s="1" t="s">
        <v>3</v>
      </c>
      <c r="D2181" s="1">
        <v>15</v>
      </c>
      <c r="E2181" s="1">
        <v>42.314</v>
      </c>
      <c r="F2181" s="1">
        <v>0.49996200000000002</v>
      </c>
      <c r="G2181" t="s">
        <v>3458</v>
      </c>
      <c r="H2181" t="s">
        <v>311</v>
      </c>
      <c r="I2181" t="s">
        <v>5742</v>
      </c>
      <c r="J2181" t="str">
        <f>"Acyl-CoA-binding protein"</f>
        <v>Acyl-CoA-binding protein</v>
      </c>
      <c r="K2181" t="str">
        <f>"DBI"</f>
        <v>DBI</v>
      </c>
    </row>
    <row r="2182" spans="1:11" x14ac:dyDescent="0.25">
      <c r="A2182" s="1">
        <v>1017</v>
      </c>
      <c r="B2182" s="1">
        <v>2</v>
      </c>
      <c r="C2182" s="1" t="s">
        <v>3</v>
      </c>
      <c r="D2182" s="1">
        <v>8</v>
      </c>
      <c r="E2182" s="1">
        <v>50.088000000000001</v>
      </c>
      <c r="F2182" s="1">
        <v>0.675149</v>
      </c>
      <c r="G2182" t="s">
        <v>3459</v>
      </c>
      <c r="H2182" t="s">
        <v>3460</v>
      </c>
      <c r="I2182" t="s">
        <v>5743</v>
      </c>
      <c r="J2182" t="str">
        <f>"Kinesin light chain 2"</f>
        <v>Kinesin light chain 2</v>
      </c>
      <c r="K2182" t="str">
        <f>"KLC2"</f>
        <v>KLC2</v>
      </c>
    </row>
    <row r="2183" spans="1:11" x14ac:dyDescent="0.25">
      <c r="A2183" s="1">
        <v>825</v>
      </c>
      <c r="B2183" s="1">
        <v>4</v>
      </c>
      <c r="C2183" s="1" t="s">
        <v>3</v>
      </c>
      <c r="D2183" s="1">
        <v>7</v>
      </c>
      <c r="E2183" s="1">
        <v>71.650999999999996</v>
      </c>
      <c r="F2183" s="1">
        <v>0.99318399999999996</v>
      </c>
      <c r="G2183" t="s">
        <v>3461</v>
      </c>
      <c r="H2183" t="s">
        <v>3312</v>
      </c>
      <c r="I2183" t="s">
        <v>5744</v>
      </c>
      <c r="J2183" t="str">
        <f>"Lipoma-preferred partner"</f>
        <v>Lipoma-preferred partner</v>
      </c>
      <c r="K2183" t="str">
        <f>"LPP"</f>
        <v>LPP</v>
      </c>
    </row>
    <row r="2184" spans="1:11" x14ac:dyDescent="0.25">
      <c r="A2184" s="1">
        <v>2656</v>
      </c>
      <c r="B2184" s="1">
        <v>3</v>
      </c>
      <c r="C2184" s="1" t="s">
        <v>3</v>
      </c>
      <c r="D2184" s="1">
        <v>4</v>
      </c>
      <c r="E2184" s="1">
        <v>70.055999999999997</v>
      </c>
      <c r="F2184" s="1">
        <v>1</v>
      </c>
      <c r="G2184" t="s">
        <v>3462</v>
      </c>
      <c r="H2184" t="s">
        <v>3463</v>
      </c>
      <c r="I2184">
        <v>610</v>
      </c>
      <c r="J2184" t="str">
        <f>"Serine/threonine-protein kinase TAO1"</f>
        <v>Serine/threonine-protein kinase TAO1</v>
      </c>
      <c r="K2184" t="str">
        <f>"TAOK1"</f>
        <v>TAOK1</v>
      </c>
    </row>
    <row r="2185" spans="1:11" x14ac:dyDescent="0.25">
      <c r="A2185" s="1">
        <v>2934</v>
      </c>
      <c r="B2185" s="1">
        <v>3</v>
      </c>
      <c r="C2185" s="1" t="s">
        <v>3</v>
      </c>
      <c r="D2185" s="1">
        <v>14</v>
      </c>
      <c r="E2185" s="1">
        <v>66.36</v>
      </c>
      <c r="F2185" s="1">
        <v>0.73484499999999997</v>
      </c>
      <c r="G2185" t="s">
        <v>3464</v>
      </c>
      <c r="H2185" t="s">
        <v>3465</v>
      </c>
      <c r="I2185">
        <v>327</v>
      </c>
      <c r="J2185" t="str">
        <f>"RNA-binding protein 4"</f>
        <v>RNA-binding protein 4</v>
      </c>
      <c r="K2185" t="str">
        <f>"RBM4"</f>
        <v>RBM4</v>
      </c>
    </row>
    <row r="2186" spans="1:11" x14ac:dyDescent="0.25">
      <c r="A2186" s="1">
        <v>1121</v>
      </c>
      <c r="B2186" s="1">
        <v>2</v>
      </c>
      <c r="C2186" s="1" t="s">
        <v>3</v>
      </c>
      <c r="D2186" s="1">
        <v>5</v>
      </c>
      <c r="E2186" s="1">
        <v>94.486999999999995</v>
      </c>
      <c r="F2186" s="1">
        <v>0.99989700000000004</v>
      </c>
      <c r="G2186" t="s">
        <v>3466</v>
      </c>
      <c r="H2186" t="s">
        <v>3467</v>
      </c>
      <c r="I2186" t="s">
        <v>5745</v>
      </c>
      <c r="J2186" t="str">
        <f>"MICOS complex subunit MIC19"</f>
        <v>MICOS complex subunit MIC19</v>
      </c>
      <c r="K2186" t="str">
        <f>"CHCHD3"</f>
        <v>CHCHD3</v>
      </c>
    </row>
    <row r="2187" spans="1:11" x14ac:dyDescent="0.25">
      <c r="A2187" s="1">
        <v>1488</v>
      </c>
      <c r="B2187" s="1">
        <v>2</v>
      </c>
      <c r="C2187" s="1" t="s">
        <v>3</v>
      </c>
      <c r="D2187" s="1">
        <v>3</v>
      </c>
      <c r="E2187" s="1">
        <v>50.805</v>
      </c>
      <c r="F2187" s="1">
        <v>1</v>
      </c>
      <c r="G2187" t="s">
        <v>3468</v>
      </c>
      <c r="H2187" t="s">
        <v>3469</v>
      </c>
      <c r="I2187" t="s">
        <v>5746</v>
      </c>
      <c r="J2187" t="str">
        <f>"Calumenin"</f>
        <v>Calumenin</v>
      </c>
      <c r="K2187" t="str">
        <f>"CALU"</f>
        <v>CALU</v>
      </c>
    </row>
    <row r="2188" spans="1:11" x14ac:dyDescent="0.25">
      <c r="A2188" s="1">
        <v>280</v>
      </c>
      <c r="B2188" s="1">
        <v>3</v>
      </c>
      <c r="C2188" s="1" t="s">
        <v>5</v>
      </c>
      <c r="D2188" s="1">
        <v>25</v>
      </c>
      <c r="E2188" s="1">
        <v>65.835999999999999</v>
      </c>
      <c r="F2188" s="1">
        <v>0.54658700000000005</v>
      </c>
      <c r="G2188" t="s">
        <v>3470</v>
      </c>
      <c r="H2188" t="s">
        <v>824</v>
      </c>
      <c r="I2188" t="s">
        <v>5747</v>
      </c>
      <c r="J2188" t="str">
        <f>"Actin, aortic smooth muscle;Actin, gamma-enteric smooth muscle;Actin, alpha cardiac muscle 1;Actin, alpha skeletal muscle"</f>
        <v>Actin, aortic smooth muscle;Actin, gamma-enteric smooth muscle;Actin, alpha cardiac muscle 1;Actin, alpha skeletal muscle</v>
      </c>
      <c r="K2188" t="str">
        <f>"ACTA2;ACTG2;ACTC1;ACTA1"</f>
        <v>ACTA2;ACTG2;ACTC1;ACTA1</v>
      </c>
    </row>
    <row r="2189" spans="1:11" x14ac:dyDescent="0.25">
      <c r="A2189" s="1">
        <v>2351</v>
      </c>
      <c r="B2189" s="1">
        <v>3</v>
      </c>
      <c r="C2189" s="1" t="s">
        <v>3</v>
      </c>
      <c r="D2189" s="1">
        <v>12</v>
      </c>
      <c r="E2189" s="1">
        <v>59.728000000000002</v>
      </c>
      <c r="F2189" s="1">
        <v>0.65421700000000005</v>
      </c>
      <c r="G2189" t="s">
        <v>3471</v>
      </c>
      <c r="H2189" t="s">
        <v>2912</v>
      </c>
      <c r="I2189" t="s">
        <v>5748</v>
      </c>
      <c r="J2189" t="str">
        <f>"Tyrosine-protein kinase BTK"</f>
        <v>Tyrosine-protein kinase BTK</v>
      </c>
      <c r="K2189" t="str">
        <f>"BTK"</f>
        <v>BTK</v>
      </c>
    </row>
    <row r="2190" spans="1:11" x14ac:dyDescent="0.25">
      <c r="A2190" s="1">
        <v>1908</v>
      </c>
      <c r="B2190" s="1">
        <v>3</v>
      </c>
      <c r="C2190" s="1" t="s">
        <v>3</v>
      </c>
      <c r="D2190" s="1">
        <v>7</v>
      </c>
      <c r="E2190" s="1">
        <v>40.186</v>
      </c>
      <c r="F2190" s="1">
        <v>0.99986399999999998</v>
      </c>
      <c r="G2190" t="s">
        <v>3472</v>
      </c>
      <c r="H2190" t="s">
        <v>3473</v>
      </c>
      <c r="I2190">
        <v>623</v>
      </c>
      <c r="J2190" t="str">
        <f>"Diacylglycerol kinase alpha"</f>
        <v>Diacylglycerol kinase alpha</v>
      </c>
      <c r="K2190" t="str">
        <f>"DGKA"</f>
        <v>DGKA</v>
      </c>
    </row>
    <row r="2191" spans="1:11" x14ac:dyDescent="0.25">
      <c r="A2191" s="1">
        <v>1941</v>
      </c>
      <c r="B2191" s="1">
        <v>3</v>
      </c>
      <c r="C2191" s="1" t="s">
        <v>3</v>
      </c>
      <c r="D2191" s="1">
        <v>7</v>
      </c>
      <c r="E2191" s="1">
        <v>42.947000000000003</v>
      </c>
      <c r="F2191" s="1">
        <v>0.60531999999999997</v>
      </c>
      <c r="G2191" t="s">
        <v>3474</v>
      </c>
      <c r="H2191" t="s">
        <v>1032</v>
      </c>
      <c r="I2191" t="s">
        <v>5749</v>
      </c>
      <c r="J2191" t="str">
        <f>"Proteasome subunit beta type;Proteasome subunit beta type-8"</f>
        <v>Proteasome subunit beta type;Proteasome subunit beta type-8</v>
      </c>
      <c r="K2191" t="str">
        <f>"PSMB8;PSM8"</f>
        <v>PSMB8;PSM8</v>
      </c>
    </row>
    <row r="2192" spans="1:11" x14ac:dyDescent="0.25">
      <c r="A2192" s="1">
        <v>1338</v>
      </c>
      <c r="B2192" s="1">
        <v>3</v>
      </c>
      <c r="C2192" s="1" t="s">
        <v>3</v>
      </c>
      <c r="D2192" s="1">
        <v>4</v>
      </c>
      <c r="E2192" s="1">
        <v>46.494</v>
      </c>
      <c r="F2192" s="1">
        <v>1</v>
      </c>
      <c r="G2192" t="s">
        <v>3475</v>
      </c>
      <c r="H2192" t="s">
        <v>3476</v>
      </c>
      <c r="I2192" t="s">
        <v>5750</v>
      </c>
      <c r="J2192" t="str">
        <f>"Structural maintenance of chromosomes protein 1A"</f>
        <v>Structural maintenance of chromosomes protein 1A</v>
      </c>
      <c r="K2192" t="str">
        <f>"SMC1A"</f>
        <v>SMC1A</v>
      </c>
    </row>
    <row r="2193" spans="1:11" x14ac:dyDescent="0.25">
      <c r="A2193" s="1">
        <v>2034</v>
      </c>
      <c r="B2193" s="1">
        <v>3</v>
      </c>
      <c r="C2193" s="1" t="s">
        <v>3</v>
      </c>
      <c r="D2193" s="1">
        <v>1</v>
      </c>
      <c r="E2193" s="1">
        <v>43.03</v>
      </c>
      <c r="F2193" s="1">
        <v>0.98923399999999995</v>
      </c>
      <c r="G2193" t="s">
        <v>3477</v>
      </c>
      <c r="H2193" t="s">
        <v>435</v>
      </c>
      <c r="I2193" t="s">
        <v>5751</v>
      </c>
      <c r="J2193" t="str">
        <f>"Signal transducer and activator of transcription 1-alpha/beta;Signal transducer and activator of transcription"</f>
        <v>Signal transducer and activator of transcription 1-alpha/beta;Signal transducer and activator of transcription</v>
      </c>
      <c r="K2193" t="str">
        <f>"STAT1"</f>
        <v>STAT1</v>
      </c>
    </row>
    <row r="2194" spans="1:11" x14ac:dyDescent="0.25">
      <c r="A2194" s="1">
        <v>2684</v>
      </c>
      <c r="B2194" s="1">
        <v>3</v>
      </c>
      <c r="C2194" s="1" t="s">
        <v>3</v>
      </c>
      <c r="D2194" s="1">
        <v>5</v>
      </c>
      <c r="E2194" s="1">
        <v>48.527000000000001</v>
      </c>
      <c r="F2194" s="1">
        <v>0.99994300000000003</v>
      </c>
      <c r="G2194" t="s">
        <v>3478</v>
      </c>
      <c r="H2194" t="s">
        <v>3479</v>
      </c>
      <c r="I2194" t="s">
        <v>5752</v>
      </c>
      <c r="J2194" t="str">
        <f>"Nitrilase homolog 1"</f>
        <v>Nitrilase homolog 1</v>
      </c>
      <c r="K2194" t="str">
        <f>"NIT1"</f>
        <v>NIT1</v>
      </c>
    </row>
    <row r="2195" spans="1:11" x14ac:dyDescent="0.25">
      <c r="A2195" s="1">
        <v>632</v>
      </c>
      <c r="B2195" s="1">
        <v>3</v>
      </c>
      <c r="C2195" s="1" t="s">
        <v>4</v>
      </c>
      <c r="D2195" s="1">
        <v>8</v>
      </c>
      <c r="E2195" s="1">
        <v>51.566000000000003</v>
      </c>
      <c r="F2195" s="1">
        <v>0.51808699999999996</v>
      </c>
      <c r="G2195" t="s">
        <v>3480</v>
      </c>
      <c r="H2195" t="s">
        <v>833</v>
      </c>
      <c r="I2195" t="s">
        <v>5753</v>
      </c>
      <c r="J2195" t="str">
        <f>"T-complex protein 1 subunit theta"</f>
        <v>T-complex protein 1 subunit theta</v>
      </c>
      <c r="K2195" t="str">
        <f>"CCT8"</f>
        <v>CCT8</v>
      </c>
    </row>
    <row r="2196" spans="1:11" x14ac:dyDescent="0.25">
      <c r="A2196" s="1">
        <v>620</v>
      </c>
      <c r="B2196" s="1">
        <v>2</v>
      </c>
      <c r="C2196" s="1" t="s">
        <v>4</v>
      </c>
      <c r="D2196" s="1">
        <v>8</v>
      </c>
      <c r="E2196" s="1">
        <v>56.042999999999999</v>
      </c>
      <c r="F2196" s="1">
        <v>0.835094</v>
      </c>
      <c r="G2196" t="s">
        <v>3481</v>
      </c>
      <c r="H2196" t="s">
        <v>3482</v>
      </c>
      <c r="I2196" t="s">
        <v>5754</v>
      </c>
      <c r="J2196" t="str">
        <f>"60S ribosomal protein L4"</f>
        <v>60S ribosomal protein L4</v>
      </c>
      <c r="K2196" t="str">
        <f>"RPL4"</f>
        <v>RPL4</v>
      </c>
    </row>
    <row r="2197" spans="1:11" x14ac:dyDescent="0.25">
      <c r="A2197" s="1">
        <v>1159</v>
      </c>
      <c r="B2197" s="1">
        <v>3</v>
      </c>
      <c r="C2197" s="1" t="s">
        <v>3</v>
      </c>
      <c r="D2197" s="1">
        <v>4</v>
      </c>
      <c r="E2197" s="1">
        <v>55.011000000000003</v>
      </c>
      <c r="F2197" s="1">
        <v>0.99675999999999998</v>
      </c>
      <c r="G2197" t="s">
        <v>3483</v>
      </c>
      <c r="H2197" t="s">
        <v>3484</v>
      </c>
      <c r="I2197" t="s">
        <v>5755</v>
      </c>
      <c r="J2197" t="str">
        <f>"Alpha-methylacyl-CoA racemase"</f>
        <v>Alpha-methylacyl-CoA racemase</v>
      </c>
      <c r="K2197" t="str">
        <f>"AMACR"</f>
        <v>AMACR</v>
      </c>
    </row>
    <row r="2198" spans="1:11" x14ac:dyDescent="0.25">
      <c r="A2198" s="1">
        <v>1773</v>
      </c>
      <c r="B2198" s="1">
        <v>2</v>
      </c>
      <c r="C2198" s="1" t="s">
        <v>3</v>
      </c>
      <c r="D2198" s="1">
        <v>7</v>
      </c>
      <c r="E2198" s="1">
        <v>65.373999999999995</v>
      </c>
      <c r="F2198" s="1">
        <v>0.95205600000000001</v>
      </c>
      <c r="G2198" t="s">
        <v>3485</v>
      </c>
      <c r="H2198" t="s">
        <v>3486</v>
      </c>
      <c r="I2198">
        <v>210</v>
      </c>
      <c r="J2198" t="str">
        <f>"Alcohol dehydrogenase [NADP(+)]"</f>
        <v>Alcohol dehydrogenase [NADP(+)]</v>
      </c>
      <c r="K2198" t="str">
        <f>"AKR1A1"</f>
        <v>AKR1A1</v>
      </c>
    </row>
    <row r="2199" spans="1:11" x14ac:dyDescent="0.25">
      <c r="A2199" s="1">
        <v>204</v>
      </c>
      <c r="B2199" s="1">
        <v>3</v>
      </c>
      <c r="C2199" s="1" t="s">
        <v>5</v>
      </c>
      <c r="D2199" s="1">
        <v>23</v>
      </c>
      <c r="E2199" s="1">
        <v>159.13999999999999</v>
      </c>
      <c r="F2199" s="1">
        <v>0.53491599999999995</v>
      </c>
      <c r="G2199" t="s">
        <v>3487</v>
      </c>
      <c r="H2199" t="s">
        <v>1061</v>
      </c>
      <c r="I2199">
        <v>399</v>
      </c>
      <c r="J2199" t="str">
        <f>"Interferon gamma receptor 1"</f>
        <v>Interferon gamma receptor 1</v>
      </c>
      <c r="K2199" t="str">
        <f>"IFNGR1"</f>
        <v>IFNGR1</v>
      </c>
    </row>
    <row r="2200" spans="1:11" x14ac:dyDescent="0.25">
      <c r="A2200" s="1">
        <v>414</v>
      </c>
      <c r="B2200" s="1">
        <v>2</v>
      </c>
      <c r="C2200" s="1" t="s">
        <v>5</v>
      </c>
      <c r="D2200" s="1">
        <v>10</v>
      </c>
      <c r="E2200" s="1">
        <v>69.721000000000004</v>
      </c>
      <c r="F2200" s="1">
        <v>0.54895499999999997</v>
      </c>
      <c r="G2200" t="s">
        <v>3488</v>
      </c>
      <c r="H2200" t="s">
        <v>262</v>
      </c>
      <c r="I2200" t="s">
        <v>5756</v>
      </c>
      <c r="J2200" t="str">
        <f>"Protein LAP2"</f>
        <v>Protein LAP2</v>
      </c>
      <c r="K2200" t="str">
        <f>"ERBB2IP"</f>
        <v>ERBB2IP</v>
      </c>
    </row>
    <row r="2201" spans="1:11" x14ac:dyDescent="0.25">
      <c r="A2201" s="1">
        <v>2158</v>
      </c>
      <c r="B2201" s="1">
        <v>2</v>
      </c>
      <c r="C2201" s="1" t="s">
        <v>3</v>
      </c>
      <c r="D2201" s="1">
        <v>9</v>
      </c>
      <c r="E2201" s="1">
        <v>58.171999999999997</v>
      </c>
      <c r="F2201" s="1">
        <v>0.5</v>
      </c>
      <c r="G2201" t="s">
        <v>3489</v>
      </c>
      <c r="H2201" t="s">
        <v>2916</v>
      </c>
      <c r="I2201" t="s">
        <v>5757</v>
      </c>
      <c r="J2201" t="str">
        <f>"Tyrosine-protein kinase JAK3"</f>
        <v>Tyrosine-protein kinase JAK3</v>
      </c>
      <c r="K2201" t="str">
        <f>"JAK3"</f>
        <v>JAK3</v>
      </c>
    </row>
    <row r="2202" spans="1:11" x14ac:dyDescent="0.25">
      <c r="A2202" s="1">
        <v>792</v>
      </c>
      <c r="B2202" s="1">
        <v>3</v>
      </c>
      <c r="C2202" s="1" t="s">
        <v>3</v>
      </c>
      <c r="D2202" s="1">
        <v>4</v>
      </c>
      <c r="E2202" s="1">
        <v>40.493000000000002</v>
      </c>
      <c r="F2202" s="1">
        <v>0.97202299999999997</v>
      </c>
      <c r="G2202" t="s">
        <v>3490</v>
      </c>
      <c r="H2202" t="s">
        <v>493</v>
      </c>
      <c r="I2202" t="s">
        <v>5758</v>
      </c>
      <c r="J2202" t="str">
        <f>"Clathrin heavy chain 1"</f>
        <v>Clathrin heavy chain 1</v>
      </c>
      <c r="K2202" t="str">
        <f>"CLTC"</f>
        <v>CLTC</v>
      </c>
    </row>
    <row r="2203" spans="1:11" x14ac:dyDescent="0.25">
      <c r="A2203" s="1">
        <v>3082</v>
      </c>
      <c r="B2203" s="1">
        <v>3</v>
      </c>
      <c r="C2203" s="1" t="s">
        <v>3</v>
      </c>
      <c r="D2203" s="1">
        <v>16</v>
      </c>
      <c r="E2203" s="1">
        <v>42.067999999999998</v>
      </c>
      <c r="F2203" s="1">
        <v>1</v>
      </c>
      <c r="G2203" t="s">
        <v>3491</v>
      </c>
      <c r="H2203" t="s">
        <v>3492</v>
      </c>
      <c r="I2203">
        <v>269</v>
      </c>
      <c r="J2203" t="str">
        <f>"ADP-ribosylation factor-binding protein GGA2"</f>
        <v>ADP-ribosylation factor-binding protein GGA2</v>
      </c>
      <c r="K2203" t="str">
        <f>"GGA2"</f>
        <v>GGA2</v>
      </c>
    </row>
    <row r="2204" spans="1:11" x14ac:dyDescent="0.25">
      <c r="A2204" s="1">
        <v>1226</v>
      </c>
      <c r="B2204" s="1">
        <v>3</v>
      </c>
      <c r="C2204" s="1" t="s">
        <v>3</v>
      </c>
      <c r="D2204" s="1">
        <v>18</v>
      </c>
      <c r="E2204" s="1">
        <v>45.884999999999998</v>
      </c>
      <c r="F2204" s="1">
        <v>0.73437300000000005</v>
      </c>
      <c r="G2204" t="s">
        <v>3493</v>
      </c>
      <c r="H2204" t="s">
        <v>3494</v>
      </c>
      <c r="I2204" t="s">
        <v>5759</v>
      </c>
      <c r="J2204" t="str">
        <f>"Coiled-coil domain-containing protein 18"</f>
        <v>Coiled-coil domain-containing protein 18</v>
      </c>
      <c r="K2204" t="str">
        <f>"CCDC18"</f>
        <v>CCDC18</v>
      </c>
    </row>
    <row r="2205" spans="1:11" x14ac:dyDescent="0.25">
      <c r="A2205" s="1">
        <v>1524</v>
      </c>
      <c r="B2205" s="1">
        <v>2</v>
      </c>
      <c r="C2205" s="1" t="s">
        <v>3</v>
      </c>
      <c r="D2205" s="1">
        <v>8</v>
      </c>
      <c r="E2205" s="1">
        <v>49.298000000000002</v>
      </c>
      <c r="F2205" s="1">
        <v>0.99622200000000005</v>
      </c>
      <c r="G2205" t="s">
        <v>3495</v>
      </c>
      <c r="H2205" t="s">
        <v>474</v>
      </c>
      <c r="I2205">
        <v>203</v>
      </c>
      <c r="J2205" t="str">
        <f>"Copine-3"</f>
        <v>Copine-3</v>
      </c>
      <c r="K2205" t="str">
        <f>"CPNE3"</f>
        <v>CPNE3</v>
      </c>
    </row>
    <row r="2206" spans="1:11" x14ac:dyDescent="0.25">
      <c r="A2206" s="1">
        <v>2923</v>
      </c>
      <c r="B2206" s="1">
        <v>3</v>
      </c>
      <c r="C2206" s="1" t="s">
        <v>3</v>
      </c>
      <c r="D2206" s="1">
        <v>5</v>
      </c>
      <c r="E2206" s="1">
        <v>58.698999999999998</v>
      </c>
      <c r="F2206" s="1">
        <v>1</v>
      </c>
      <c r="G2206" t="s">
        <v>3496</v>
      </c>
      <c r="H2206" t="s">
        <v>3497</v>
      </c>
      <c r="I2206" t="s">
        <v>5137</v>
      </c>
      <c r="J2206" t="str">
        <f>"Transcription factor 25"</f>
        <v>Transcription factor 25</v>
      </c>
      <c r="K2206" t="str">
        <f>"TCF25;NULP1"</f>
        <v>TCF25;NULP1</v>
      </c>
    </row>
    <row r="2207" spans="1:11" x14ac:dyDescent="0.25">
      <c r="A2207" s="1">
        <v>1894</v>
      </c>
      <c r="B2207" s="1">
        <v>3</v>
      </c>
      <c r="C2207" s="1" t="s">
        <v>3</v>
      </c>
      <c r="D2207" s="1">
        <v>7</v>
      </c>
      <c r="E2207" s="1">
        <v>50.088000000000001</v>
      </c>
      <c r="F2207" s="1">
        <v>1</v>
      </c>
      <c r="G2207" t="s">
        <v>3498</v>
      </c>
      <c r="H2207" t="s">
        <v>3499</v>
      </c>
      <c r="I2207" t="s">
        <v>5760</v>
      </c>
      <c r="J2207" t="str">
        <f>"Integrin alpha-6;Integrin alpha-6 heavy chain;Integrin alpha-6 light chain;Processed integrin alpha-6"</f>
        <v>Integrin alpha-6;Integrin alpha-6 heavy chain;Integrin alpha-6 light chain;Processed integrin alpha-6</v>
      </c>
      <c r="K2207" t="str">
        <f>"ITGA6"</f>
        <v>ITGA6</v>
      </c>
    </row>
    <row r="2208" spans="1:11" x14ac:dyDescent="0.25">
      <c r="A2208" s="1">
        <v>723</v>
      </c>
      <c r="B2208" s="1">
        <v>3</v>
      </c>
      <c r="C2208" s="1" t="s">
        <v>4</v>
      </c>
      <c r="D2208" s="1">
        <v>7</v>
      </c>
      <c r="E2208" s="1">
        <v>51.494999999999997</v>
      </c>
      <c r="F2208" s="1">
        <v>0.53818500000000002</v>
      </c>
      <c r="G2208" t="s">
        <v>3500</v>
      </c>
      <c r="H2208" t="s">
        <v>2324</v>
      </c>
      <c r="I2208">
        <v>664</v>
      </c>
      <c r="J2208" t="str">
        <f>"Deubiquitinating protein VCIP135"</f>
        <v>Deubiquitinating protein VCIP135</v>
      </c>
      <c r="K2208" t="str">
        <f>"VCPIP1"</f>
        <v>VCPIP1</v>
      </c>
    </row>
    <row r="2209" spans="1:11" x14ac:dyDescent="0.25">
      <c r="A2209" s="1">
        <v>132</v>
      </c>
      <c r="B2209" s="1">
        <v>2</v>
      </c>
      <c r="C2209" s="1" t="s">
        <v>5</v>
      </c>
      <c r="D2209" s="1">
        <v>10</v>
      </c>
      <c r="E2209" s="1">
        <v>47.712000000000003</v>
      </c>
      <c r="F2209" s="1">
        <v>0.54776499999999995</v>
      </c>
      <c r="G2209" t="s">
        <v>3501</v>
      </c>
      <c r="H2209" t="s">
        <v>2939</v>
      </c>
      <c r="I2209" t="s">
        <v>5761</v>
      </c>
      <c r="J2209" t="str">
        <f>"FYN-binding protein"</f>
        <v>FYN-binding protein</v>
      </c>
      <c r="K2209" t="str">
        <f>"FYB"</f>
        <v>FYB</v>
      </c>
    </row>
    <row r="2210" spans="1:11" x14ac:dyDescent="0.25">
      <c r="A2210" s="1">
        <v>2951</v>
      </c>
      <c r="B2210" s="1">
        <v>3</v>
      </c>
      <c r="C2210" s="1" t="s">
        <v>3</v>
      </c>
      <c r="D2210" s="1">
        <v>13</v>
      </c>
      <c r="E2210" s="1">
        <v>49.594999999999999</v>
      </c>
      <c r="F2210" s="1">
        <v>0.9677</v>
      </c>
      <c r="G2210" t="s">
        <v>3502</v>
      </c>
      <c r="H2210" t="s">
        <v>1872</v>
      </c>
      <c r="I2210" t="s">
        <v>5762</v>
      </c>
      <c r="J2210" t="str">
        <f>"Rho GTPase-activating protein 39"</f>
        <v>Rho GTPase-activating protein 39</v>
      </c>
      <c r="K2210" t="str">
        <f>"ARHGAP39"</f>
        <v>ARHGAP39</v>
      </c>
    </row>
    <row r="2211" spans="1:11" x14ac:dyDescent="0.25">
      <c r="A2211" s="1">
        <v>3005</v>
      </c>
      <c r="B2211" s="1">
        <v>3</v>
      </c>
      <c r="C2211" s="1" t="s">
        <v>3</v>
      </c>
      <c r="D2211" s="1">
        <v>12</v>
      </c>
      <c r="E2211" s="1">
        <v>46.249000000000002</v>
      </c>
      <c r="F2211" s="1">
        <v>0.98612100000000003</v>
      </c>
      <c r="G2211" t="s">
        <v>3503</v>
      </c>
      <c r="H2211" t="s">
        <v>3504</v>
      </c>
      <c r="I2211" t="s">
        <v>5763</v>
      </c>
      <c r="J2211" t="str">
        <f>"Ubiquilin-4;Ubiquilin-1"</f>
        <v>Ubiquilin-4;Ubiquilin-1</v>
      </c>
      <c r="K2211" t="str">
        <f>"UBQLN4;UBQLN1"</f>
        <v>UBQLN4;UBQLN1</v>
      </c>
    </row>
    <row r="2212" spans="1:11" x14ac:dyDescent="0.25">
      <c r="A2212" s="1">
        <v>1165</v>
      </c>
      <c r="B2212" s="1">
        <v>2</v>
      </c>
      <c r="C2212" s="1" t="s">
        <v>3</v>
      </c>
      <c r="D2212" s="1">
        <v>8</v>
      </c>
      <c r="E2212" s="1">
        <v>115.33</v>
      </c>
      <c r="F2212" s="1">
        <v>0.99800299999999997</v>
      </c>
      <c r="G2212" t="s">
        <v>3505</v>
      </c>
      <c r="H2212" t="s">
        <v>3506</v>
      </c>
      <c r="I2212" t="s">
        <v>5764</v>
      </c>
      <c r="J2212" t="str">
        <f>"28S ribosomal protein S27, mitochondrial"</f>
        <v>28S ribosomal protein S27, mitochondrial</v>
      </c>
      <c r="K2212" t="str">
        <f>"MRPS27"</f>
        <v>MRPS27</v>
      </c>
    </row>
    <row r="2213" spans="1:11" x14ac:dyDescent="0.25">
      <c r="A2213" s="1">
        <v>1633</v>
      </c>
      <c r="B2213" s="1">
        <v>3</v>
      </c>
      <c r="C2213" s="1" t="s">
        <v>3</v>
      </c>
      <c r="D2213" s="1">
        <v>14</v>
      </c>
      <c r="E2213" s="1">
        <v>43.793999999999997</v>
      </c>
      <c r="F2213" s="1">
        <v>0.99954500000000002</v>
      </c>
      <c r="G2213" t="s">
        <v>3507</v>
      </c>
      <c r="H2213" t="s">
        <v>3508</v>
      </c>
      <c r="I2213">
        <v>188</v>
      </c>
      <c r="J2213" t="str">
        <f>"Lupus La protein"</f>
        <v>Lupus La protein</v>
      </c>
      <c r="K2213" t="str">
        <f>"SSB"</f>
        <v>SSB</v>
      </c>
    </row>
    <row r="2214" spans="1:11" x14ac:dyDescent="0.25">
      <c r="A2214" s="1">
        <v>1413</v>
      </c>
      <c r="B2214" s="1">
        <v>3</v>
      </c>
      <c r="C2214" s="1" t="s">
        <v>3</v>
      </c>
      <c r="D2214" s="1">
        <v>3</v>
      </c>
      <c r="E2214" s="1">
        <v>69.92</v>
      </c>
      <c r="F2214" s="1">
        <v>0.99993900000000002</v>
      </c>
      <c r="G2214" t="s">
        <v>3509</v>
      </c>
      <c r="H2214" t="s">
        <v>246</v>
      </c>
      <c r="I2214">
        <v>107</v>
      </c>
      <c r="J2214" t="str">
        <f>"Membrane-associated progesterone receptor component 1"</f>
        <v>Membrane-associated progesterone receptor component 1</v>
      </c>
      <c r="K2214" t="str">
        <f>"PGRMC1"</f>
        <v>PGRMC1</v>
      </c>
    </row>
    <row r="2215" spans="1:11" x14ac:dyDescent="0.25">
      <c r="A2215" s="1">
        <v>1780</v>
      </c>
      <c r="B2215" s="1">
        <v>3</v>
      </c>
      <c r="C2215" s="1" t="s">
        <v>3</v>
      </c>
      <c r="D2215" s="1">
        <v>7</v>
      </c>
      <c r="E2215" s="1">
        <v>44.997999999999998</v>
      </c>
      <c r="F2215" s="1">
        <v>1</v>
      </c>
      <c r="G2215" t="s">
        <v>3510</v>
      </c>
      <c r="H2215" t="s">
        <v>3511</v>
      </c>
      <c r="I2215" t="s">
        <v>5765</v>
      </c>
      <c r="J2215" t="str">
        <f>"Pyruvate kinase PKM;Pyruvate kinase"</f>
        <v>Pyruvate kinase PKM;Pyruvate kinase</v>
      </c>
      <c r="K2215" t="str">
        <f>"PKM"</f>
        <v>PKM</v>
      </c>
    </row>
    <row r="2216" spans="1:11" x14ac:dyDescent="0.25">
      <c r="A2216" s="1">
        <v>2814</v>
      </c>
      <c r="B2216" s="1">
        <v>2</v>
      </c>
      <c r="C2216" s="1" t="s">
        <v>3</v>
      </c>
      <c r="D2216" s="1">
        <v>2</v>
      </c>
      <c r="E2216" s="1">
        <v>72.290000000000006</v>
      </c>
      <c r="F2216" s="1">
        <v>0.97011899999999995</v>
      </c>
      <c r="G2216" t="s">
        <v>3512</v>
      </c>
      <c r="H2216" t="s">
        <v>3513</v>
      </c>
      <c r="I2216" t="s">
        <v>5766</v>
      </c>
      <c r="J2216" t="str">
        <f>"Regulator of nonsense transcripts 1"</f>
        <v>Regulator of nonsense transcripts 1</v>
      </c>
      <c r="K2216" t="str">
        <f>"UPF1"</f>
        <v>UPF1</v>
      </c>
    </row>
    <row r="2217" spans="1:11" x14ac:dyDescent="0.25">
      <c r="A2217" s="1">
        <v>3035</v>
      </c>
      <c r="B2217" s="1">
        <v>3</v>
      </c>
      <c r="C2217" s="1" t="s">
        <v>3</v>
      </c>
      <c r="D2217" s="1">
        <v>1</v>
      </c>
      <c r="E2217" s="1">
        <v>41.512999999999998</v>
      </c>
      <c r="F2217" s="1">
        <v>0.99983500000000003</v>
      </c>
      <c r="G2217" t="s">
        <v>3514</v>
      </c>
      <c r="H2217" t="s">
        <v>3515</v>
      </c>
      <c r="I2217" t="s">
        <v>5767</v>
      </c>
      <c r="J2217" t="str">
        <f>"NADH dehydrogenase [ubiquinone] 1 beta subcomplex subunit 11, mitochondrial"</f>
        <v>NADH dehydrogenase [ubiquinone] 1 beta subcomplex subunit 11, mitochondrial</v>
      </c>
      <c r="K2217" t="str">
        <f>"NDUFB11"</f>
        <v>NDUFB11</v>
      </c>
    </row>
    <row r="2218" spans="1:11" x14ac:dyDescent="0.25">
      <c r="A2218" s="1">
        <v>1992</v>
      </c>
      <c r="B2218" s="1">
        <v>3</v>
      </c>
      <c r="C2218" s="1" t="s">
        <v>3</v>
      </c>
      <c r="D2218" s="1">
        <v>14</v>
      </c>
      <c r="E2218" s="1">
        <v>55.453000000000003</v>
      </c>
      <c r="F2218" s="1">
        <v>0.74653899999999995</v>
      </c>
      <c r="G2218" t="s">
        <v>3516</v>
      </c>
      <c r="H2218" t="s">
        <v>380</v>
      </c>
      <c r="I2218" t="s">
        <v>5768</v>
      </c>
      <c r="J2218" t="str">
        <f>"Serine hydroxymethyltransferase, cytosolic"</f>
        <v>Serine hydroxymethyltransferase, cytosolic</v>
      </c>
      <c r="K2218" t="str">
        <f>"SHMT1"</f>
        <v>SHMT1</v>
      </c>
    </row>
    <row r="2219" spans="1:11" x14ac:dyDescent="0.25">
      <c r="A2219" s="1">
        <v>2702</v>
      </c>
      <c r="B2219" s="1">
        <v>2</v>
      </c>
      <c r="C2219" s="1" t="s">
        <v>3</v>
      </c>
      <c r="D2219" s="1">
        <v>11</v>
      </c>
      <c r="E2219" s="1">
        <v>75.911000000000001</v>
      </c>
      <c r="F2219" s="1">
        <v>1</v>
      </c>
      <c r="G2219" t="s">
        <v>3517</v>
      </c>
      <c r="H2219" t="s">
        <v>3518</v>
      </c>
      <c r="I2219" t="s">
        <v>5769</v>
      </c>
      <c r="J2219" t="str">
        <f>"Calcium homeostasis endoplasmic reticulum protein"</f>
        <v>Calcium homeostasis endoplasmic reticulum protein</v>
      </c>
      <c r="K2219" t="str">
        <f>"CHERP"</f>
        <v>CHERP</v>
      </c>
    </row>
    <row r="2220" spans="1:11" x14ac:dyDescent="0.25">
      <c r="A2220" s="1">
        <v>172</v>
      </c>
      <c r="B2220" s="1">
        <v>5</v>
      </c>
      <c r="C2220" s="1" t="s">
        <v>5</v>
      </c>
      <c r="D2220" s="1">
        <v>3</v>
      </c>
      <c r="E2220" s="1">
        <v>44.6</v>
      </c>
      <c r="F2220" s="1">
        <v>0.572129</v>
      </c>
      <c r="G2220" t="s">
        <v>3519</v>
      </c>
      <c r="H2220" t="s">
        <v>480</v>
      </c>
      <c r="I2220" t="s">
        <v>5770</v>
      </c>
      <c r="J2220" t="str">
        <f>"Fructose-bisphosphate aldolase A"</f>
        <v>Fructose-bisphosphate aldolase A</v>
      </c>
      <c r="K2220" t="str">
        <f>"ALDOA"</f>
        <v>ALDOA</v>
      </c>
    </row>
    <row r="2221" spans="1:11" x14ac:dyDescent="0.25">
      <c r="A2221" s="1">
        <v>991</v>
      </c>
      <c r="B2221" s="1">
        <v>3</v>
      </c>
      <c r="C2221" s="1" t="s">
        <v>3</v>
      </c>
      <c r="D2221" s="1">
        <v>14</v>
      </c>
      <c r="E2221" s="1">
        <v>45.347000000000001</v>
      </c>
      <c r="F2221" s="1">
        <v>0.739452</v>
      </c>
      <c r="G2221" t="s">
        <v>3520</v>
      </c>
      <c r="H2221" t="s">
        <v>2272</v>
      </c>
      <c r="I2221">
        <v>92</v>
      </c>
      <c r="J2221" t="str">
        <f>"Protein unc-119 homolog B"</f>
        <v>Protein unc-119 homolog B</v>
      </c>
      <c r="K2221" t="str">
        <f>"UNC119B"</f>
        <v>UNC119B</v>
      </c>
    </row>
    <row r="2222" spans="1:11" x14ac:dyDescent="0.25">
      <c r="A2222" s="1">
        <v>2887</v>
      </c>
      <c r="B2222" s="1">
        <v>3</v>
      </c>
      <c r="C2222" s="1" t="s">
        <v>3</v>
      </c>
      <c r="D2222" s="1">
        <v>11</v>
      </c>
      <c r="E2222" s="1">
        <v>117</v>
      </c>
      <c r="F2222" s="1">
        <v>1</v>
      </c>
      <c r="G2222" t="s">
        <v>3521</v>
      </c>
      <c r="H2222" t="s">
        <v>3522</v>
      </c>
      <c r="I2222" t="s">
        <v>5771</v>
      </c>
      <c r="J2222" t="str">
        <f>"Oxysterol-binding protein-related protein 9"</f>
        <v>Oxysterol-binding protein-related protein 9</v>
      </c>
      <c r="K2222" t="str">
        <f>"OSBPL9"</f>
        <v>OSBPL9</v>
      </c>
    </row>
    <row r="2223" spans="1:11" x14ac:dyDescent="0.25">
      <c r="A2223" s="1">
        <v>953</v>
      </c>
      <c r="B2223" s="1">
        <v>3</v>
      </c>
      <c r="C2223" s="1" t="s">
        <v>3</v>
      </c>
      <c r="D2223" s="1">
        <v>16</v>
      </c>
      <c r="E2223" s="1">
        <v>86.488</v>
      </c>
      <c r="F2223" s="1">
        <v>0.99377800000000005</v>
      </c>
      <c r="G2223" t="s">
        <v>3523</v>
      </c>
      <c r="H2223" t="s">
        <v>1462</v>
      </c>
      <c r="I2223" t="s">
        <v>5772</v>
      </c>
      <c r="J2223" t="str">
        <f>"ATP-dependent RNA helicase DDX3X;ATP-dependent RNA helicase DDX3Y"</f>
        <v>ATP-dependent RNA helicase DDX3X;ATP-dependent RNA helicase DDX3Y</v>
      </c>
      <c r="K2223" t="str">
        <f>"DDX3X;DDX3Y"</f>
        <v>DDX3X;DDX3Y</v>
      </c>
    </row>
    <row r="2224" spans="1:11" x14ac:dyDescent="0.25">
      <c r="A2224" s="1">
        <v>1396</v>
      </c>
      <c r="B2224" s="1">
        <v>3</v>
      </c>
      <c r="C2224" s="1" t="s">
        <v>3</v>
      </c>
      <c r="D2224" s="1">
        <v>13</v>
      </c>
      <c r="E2224" s="1">
        <v>47.036999999999999</v>
      </c>
      <c r="F2224" s="1">
        <v>0.68414900000000001</v>
      </c>
      <c r="G2224" t="s">
        <v>3524</v>
      </c>
      <c r="H2224" t="s">
        <v>465</v>
      </c>
      <c r="I2224" t="s">
        <v>5773</v>
      </c>
      <c r="J2224" t="str">
        <f>"TYRO protein tyrosine kinase-binding protein"</f>
        <v>TYRO protein tyrosine kinase-binding protein</v>
      </c>
      <c r="K2224" t="str">
        <f>"TYROBP"</f>
        <v>TYROBP</v>
      </c>
    </row>
    <row r="2225" spans="1:11" x14ac:dyDescent="0.25">
      <c r="A2225" s="1">
        <v>181</v>
      </c>
      <c r="B2225" s="1">
        <v>3</v>
      </c>
      <c r="C2225" s="1" t="s">
        <v>5</v>
      </c>
      <c r="D2225" s="1">
        <v>12</v>
      </c>
      <c r="E2225" s="1">
        <v>54.764000000000003</v>
      </c>
      <c r="F2225" s="1">
        <v>0.52578999999999998</v>
      </c>
      <c r="G2225" t="s">
        <v>3525</v>
      </c>
      <c r="H2225" t="s">
        <v>20</v>
      </c>
      <c r="I2225" t="s">
        <v>5774</v>
      </c>
      <c r="J2225" t="str">
        <f>"Annexin A2;Putative annexin A2-like protein;Annexin"</f>
        <v>Annexin A2;Putative annexin A2-like protein;Annexin</v>
      </c>
      <c r="K2225" t="str">
        <f>"ANXA2;ANXA2P2"</f>
        <v>ANXA2;ANXA2P2</v>
      </c>
    </row>
    <row r="2226" spans="1:11" x14ac:dyDescent="0.25">
      <c r="A2226" s="1">
        <v>644</v>
      </c>
      <c r="B2226" s="1">
        <v>2</v>
      </c>
      <c r="C2226" s="1" t="s">
        <v>4</v>
      </c>
      <c r="D2226" s="1">
        <v>10</v>
      </c>
      <c r="E2226" s="1">
        <v>62.286999999999999</v>
      </c>
      <c r="F2226" s="1">
        <v>0.58696199999999998</v>
      </c>
      <c r="G2226" t="s">
        <v>3526</v>
      </c>
      <c r="H2226" t="s">
        <v>745</v>
      </c>
      <c r="I2226" t="s">
        <v>5775</v>
      </c>
      <c r="J2226" t="str">
        <f>"Actin-related protein 3"</f>
        <v>Actin-related protein 3</v>
      </c>
      <c r="K2226" t="str">
        <f>"ACTR3"</f>
        <v>ACTR3</v>
      </c>
    </row>
    <row r="2227" spans="1:11" x14ac:dyDescent="0.25">
      <c r="A2227" s="1">
        <v>2543</v>
      </c>
      <c r="B2227" s="1">
        <v>2</v>
      </c>
      <c r="C2227" s="1" t="s">
        <v>3</v>
      </c>
      <c r="D2227" s="1">
        <v>9</v>
      </c>
      <c r="E2227" s="1">
        <v>88.281999999999996</v>
      </c>
      <c r="F2227" s="1">
        <v>0.87730600000000003</v>
      </c>
      <c r="G2227" t="s">
        <v>3527</v>
      </c>
      <c r="H2227" t="s">
        <v>3528</v>
      </c>
      <c r="I2227" t="s">
        <v>5776</v>
      </c>
      <c r="J2227" t="str">
        <f>"ELAV-like protein 1"</f>
        <v>ELAV-like protein 1</v>
      </c>
      <c r="K2227" t="str">
        <f>"ELAVL1"</f>
        <v>ELAVL1</v>
      </c>
    </row>
    <row r="2228" spans="1:11" x14ac:dyDescent="0.25">
      <c r="A2228" s="1">
        <v>1867</v>
      </c>
      <c r="B2228" s="1">
        <v>2</v>
      </c>
      <c r="C2228" s="1" t="s">
        <v>3</v>
      </c>
      <c r="D2228" s="1">
        <v>2</v>
      </c>
      <c r="E2228" s="1">
        <v>65.224000000000004</v>
      </c>
      <c r="F2228" s="1">
        <v>0.999641</v>
      </c>
      <c r="G2228" t="s">
        <v>3529</v>
      </c>
      <c r="H2228" t="s">
        <v>78</v>
      </c>
      <c r="I2228" t="s">
        <v>5777</v>
      </c>
      <c r="J2228" t="str">
        <f>"Filamin-A"</f>
        <v>Filamin-A</v>
      </c>
      <c r="K2228" t="str">
        <f>"FLNA"</f>
        <v>FLNA</v>
      </c>
    </row>
    <row r="2229" spans="1:11" x14ac:dyDescent="0.25">
      <c r="A2229" s="1">
        <v>2957</v>
      </c>
      <c r="B2229" s="1">
        <v>2</v>
      </c>
      <c r="C2229" s="1" t="s">
        <v>3</v>
      </c>
      <c r="D2229" s="1">
        <v>4</v>
      </c>
      <c r="E2229" s="1">
        <v>42.317</v>
      </c>
      <c r="F2229" s="1">
        <v>1</v>
      </c>
      <c r="G2229" t="s">
        <v>3530</v>
      </c>
      <c r="H2229" t="s">
        <v>3531</v>
      </c>
      <c r="I2229" t="s">
        <v>5374</v>
      </c>
      <c r="J2229" t="str">
        <f>"Toll-interacting protein"</f>
        <v>Toll-interacting protein</v>
      </c>
      <c r="K2229" t="str">
        <f>"TOLLIP"</f>
        <v>TOLLIP</v>
      </c>
    </row>
    <row r="2230" spans="1:11" x14ac:dyDescent="0.25">
      <c r="A2230" s="1">
        <v>3016</v>
      </c>
      <c r="B2230" s="1">
        <v>3</v>
      </c>
      <c r="C2230" s="1" t="s">
        <v>3</v>
      </c>
      <c r="D2230" s="1">
        <v>8</v>
      </c>
      <c r="E2230" s="1">
        <v>76.358000000000004</v>
      </c>
      <c r="F2230" s="1">
        <v>0.99650300000000003</v>
      </c>
      <c r="G2230" t="s">
        <v>3532</v>
      </c>
      <c r="H2230" t="s">
        <v>3533</v>
      </c>
      <c r="I2230" t="s">
        <v>5778</v>
      </c>
      <c r="J2230" t="str">
        <f>"Kinesin light chain 4"</f>
        <v>Kinesin light chain 4</v>
      </c>
      <c r="K2230" t="str">
        <f>"KLC4"</f>
        <v>KLC4</v>
      </c>
    </row>
    <row r="2231" spans="1:11" x14ac:dyDescent="0.25">
      <c r="A2231" s="1">
        <v>2640</v>
      </c>
      <c r="B2231" s="1">
        <v>3</v>
      </c>
      <c r="C2231" s="1" t="s">
        <v>3</v>
      </c>
      <c r="D2231" s="1">
        <v>4</v>
      </c>
      <c r="E2231" s="1">
        <v>40.625</v>
      </c>
      <c r="F2231" s="1">
        <v>0.99789799999999995</v>
      </c>
      <c r="G2231" t="s">
        <v>3534</v>
      </c>
      <c r="H2231" t="s">
        <v>3535</v>
      </c>
      <c r="I2231" t="s">
        <v>5779</v>
      </c>
      <c r="J2231" t="str">
        <f>"Pre-mRNA 3'-end-processing factor FIP1"</f>
        <v>Pre-mRNA 3'-end-processing factor FIP1</v>
      </c>
      <c r="K2231" t="str">
        <f>"FIP1L1"</f>
        <v>FIP1L1</v>
      </c>
    </row>
    <row r="2232" spans="1:11" x14ac:dyDescent="0.25">
      <c r="A2232" s="1">
        <v>2816</v>
      </c>
      <c r="B2232" s="1">
        <v>3</v>
      </c>
      <c r="C2232" s="1" t="s">
        <v>3</v>
      </c>
      <c r="D2232" s="1">
        <v>16</v>
      </c>
      <c r="E2232" s="1">
        <v>52.814</v>
      </c>
      <c r="F2232" s="1">
        <v>0.93098700000000001</v>
      </c>
      <c r="G2232" t="s">
        <v>3536</v>
      </c>
      <c r="H2232" t="s">
        <v>3513</v>
      </c>
      <c r="I2232" t="s">
        <v>5780</v>
      </c>
      <c r="J2232" t="str">
        <f>"Regulator of nonsense transcripts 1"</f>
        <v>Regulator of nonsense transcripts 1</v>
      </c>
      <c r="K2232" t="str">
        <f>"UPF1"</f>
        <v>UPF1</v>
      </c>
    </row>
    <row r="2233" spans="1:11" x14ac:dyDescent="0.25">
      <c r="A2233" s="1">
        <v>1108</v>
      </c>
      <c r="B2233" s="1">
        <v>2</v>
      </c>
      <c r="C2233" s="1" t="s">
        <v>3</v>
      </c>
      <c r="D2233" s="1">
        <v>8</v>
      </c>
      <c r="E2233" s="1">
        <v>61.161000000000001</v>
      </c>
      <c r="F2233" s="1">
        <v>0.56318199999999996</v>
      </c>
      <c r="G2233" t="s">
        <v>3537</v>
      </c>
      <c r="H2233" t="s">
        <v>621</v>
      </c>
      <c r="I2233" t="s">
        <v>5781</v>
      </c>
      <c r="J2233" t="str">
        <f>"Tyrosine-protein kinase receptor;Insulin receptor;Insulin receptor subunit alpha;Insulin receptor subunit beta"</f>
        <v>Tyrosine-protein kinase receptor;Insulin receptor;Insulin receptor subunit alpha;Insulin receptor subunit beta</v>
      </c>
      <c r="K2233" t="str">
        <f>"IGF1R;INSR"</f>
        <v>IGF1R;INSR</v>
      </c>
    </row>
    <row r="2234" spans="1:11" x14ac:dyDescent="0.25">
      <c r="A2234" s="1">
        <v>370</v>
      </c>
      <c r="B2234" s="1">
        <v>2</v>
      </c>
      <c r="C2234" s="1" t="s">
        <v>5</v>
      </c>
      <c r="D2234" s="1">
        <v>5</v>
      </c>
      <c r="E2234" s="1">
        <v>44.317999999999998</v>
      </c>
      <c r="F2234" s="1">
        <v>1</v>
      </c>
      <c r="G2234" t="s">
        <v>3538</v>
      </c>
      <c r="H2234" t="s">
        <v>3539</v>
      </c>
      <c r="I2234">
        <v>2176</v>
      </c>
      <c r="J2234" t="str">
        <f>"Abnormal spindle-like microcephaly-associated protein"</f>
        <v>Abnormal spindle-like microcephaly-associated protein</v>
      </c>
      <c r="K2234" t="str">
        <f>"ASPM"</f>
        <v>ASPM</v>
      </c>
    </row>
    <row r="2235" spans="1:11" x14ac:dyDescent="0.25">
      <c r="A2235" s="1">
        <v>2894</v>
      </c>
      <c r="B2235" s="1">
        <v>3</v>
      </c>
      <c r="C2235" s="1" t="s">
        <v>3</v>
      </c>
      <c r="D2235" s="1">
        <v>13</v>
      </c>
      <c r="E2235" s="1">
        <v>43.793999999999997</v>
      </c>
      <c r="F2235" s="1">
        <v>0.72623000000000004</v>
      </c>
      <c r="G2235" t="s">
        <v>3540</v>
      </c>
      <c r="H2235" t="s">
        <v>124</v>
      </c>
      <c r="I2235" t="s">
        <v>5782</v>
      </c>
      <c r="J2235" t="str">
        <f>"Plakophilin-4"</f>
        <v>Plakophilin-4</v>
      </c>
      <c r="K2235" t="str">
        <f>"PKP4"</f>
        <v>PKP4</v>
      </c>
    </row>
    <row r="2236" spans="1:11" x14ac:dyDescent="0.25">
      <c r="A2236" s="1">
        <v>967</v>
      </c>
      <c r="B2236" s="1">
        <v>3</v>
      </c>
      <c r="C2236" s="1" t="s">
        <v>3</v>
      </c>
      <c r="D2236" s="1">
        <v>17</v>
      </c>
      <c r="E2236" s="1">
        <v>63.701000000000001</v>
      </c>
      <c r="F2236" s="1">
        <v>0.91266700000000001</v>
      </c>
      <c r="G2236" t="s">
        <v>3541</v>
      </c>
      <c r="H2236" t="s">
        <v>2459</v>
      </c>
      <c r="I2236" t="s">
        <v>5783</v>
      </c>
      <c r="J2236" t="str">
        <f>"Leukocyte immunoglobulin-like receptor subfamily B member 3"</f>
        <v>Leukocyte immunoglobulin-like receptor subfamily B member 3</v>
      </c>
      <c r="K2236" t="str">
        <f>"LILRB3;LILRA6"</f>
        <v>LILRB3;LILRA6</v>
      </c>
    </row>
    <row r="2237" spans="1:11" x14ac:dyDescent="0.25">
      <c r="A2237" s="1">
        <v>2033</v>
      </c>
      <c r="B2237" s="1">
        <v>2</v>
      </c>
      <c r="C2237" s="1" t="s">
        <v>3</v>
      </c>
      <c r="D2237" s="1">
        <v>4</v>
      </c>
      <c r="E2237" s="1">
        <v>71.879000000000005</v>
      </c>
      <c r="F2237" s="1">
        <v>0.99990699999999999</v>
      </c>
      <c r="G2237" t="s">
        <v>3542</v>
      </c>
      <c r="H2237" t="s">
        <v>2469</v>
      </c>
      <c r="I2237" t="s">
        <v>5784</v>
      </c>
      <c r="J2237" t="str">
        <f>"Signal transducer and activator of transcription 1-alpha/beta;Signal transducer and activator of transcription"</f>
        <v>Signal transducer and activator of transcription 1-alpha/beta;Signal transducer and activator of transcription</v>
      </c>
      <c r="K2237" t="str">
        <f>"STAT1"</f>
        <v>STAT1</v>
      </c>
    </row>
    <row r="2238" spans="1:11" x14ac:dyDescent="0.25">
      <c r="A2238" s="1">
        <v>402</v>
      </c>
      <c r="B2238" s="1">
        <v>2</v>
      </c>
      <c r="C2238" s="1" t="s">
        <v>5</v>
      </c>
      <c r="D2238" s="1">
        <v>5</v>
      </c>
      <c r="E2238" s="1">
        <v>42.314</v>
      </c>
      <c r="F2238" s="1">
        <v>0.51171800000000001</v>
      </c>
      <c r="G2238" t="s">
        <v>3543</v>
      </c>
      <c r="H2238" t="s">
        <v>2390</v>
      </c>
      <c r="I2238">
        <v>220</v>
      </c>
      <c r="J2238" t="str">
        <f>"Ribosomal RNA small subunit methyltransferase NEP1"</f>
        <v>Ribosomal RNA small subunit methyltransferase NEP1</v>
      </c>
      <c r="K2238" t="str">
        <f>"EMG1"</f>
        <v>EMG1</v>
      </c>
    </row>
    <row r="2239" spans="1:11" x14ac:dyDescent="0.25">
      <c r="A2239" s="1">
        <v>2725</v>
      </c>
      <c r="B2239" s="1">
        <v>3</v>
      </c>
      <c r="C2239" s="1" t="s">
        <v>3</v>
      </c>
      <c r="D2239" s="1">
        <v>13</v>
      </c>
      <c r="E2239" s="1">
        <v>70.783000000000001</v>
      </c>
      <c r="F2239" s="1">
        <v>0.954897</v>
      </c>
      <c r="G2239" t="s">
        <v>3544</v>
      </c>
      <c r="H2239" t="s">
        <v>3545</v>
      </c>
      <c r="I2239" t="s">
        <v>5785</v>
      </c>
      <c r="J2239" t="str">
        <f>"Zinc finger protein 513"</f>
        <v>Zinc finger protein 513</v>
      </c>
      <c r="K2239" t="str">
        <f>"ZNF513"</f>
        <v>ZNF513</v>
      </c>
    </row>
    <row r="2240" spans="1:11" x14ac:dyDescent="0.25">
      <c r="A2240" s="1">
        <v>1366</v>
      </c>
      <c r="B2240" s="1">
        <v>2</v>
      </c>
      <c r="C2240" s="1" t="s">
        <v>3</v>
      </c>
      <c r="D2240" s="1">
        <v>8</v>
      </c>
      <c r="E2240" s="1">
        <v>41.704000000000001</v>
      </c>
      <c r="F2240" s="1">
        <v>0.96330899999999997</v>
      </c>
      <c r="G2240" t="s">
        <v>3546</v>
      </c>
      <c r="H2240" t="s">
        <v>3547</v>
      </c>
      <c r="I2240" t="s">
        <v>5786</v>
      </c>
      <c r="J2240" t="str">
        <f>"Aurora kinase B"</f>
        <v>Aurora kinase B</v>
      </c>
      <c r="K2240" t="str">
        <f>"AURKB"</f>
        <v>AURKB</v>
      </c>
    </row>
    <row r="2241" spans="1:11" x14ac:dyDescent="0.25">
      <c r="A2241" s="1">
        <v>1767</v>
      </c>
      <c r="B2241" s="1">
        <v>3</v>
      </c>
      <c r="C2241" s="1" t="s">
        <v>3</v>
      </c>
      <c r="D2241" s="1">
        <v>8</v>
      </c>
      <c r="E2241" s="1">
        <v>56.817</v>
      </c>
      <c r="F2241" s="1">
        <v>0.499998</v>
      </c>
      <c r="G2241" t="s">
        <v>3548</v>
      </c>
      <c r="H2241" t="s">
        <v>996</v>
      </c>
      <c r="I2241">
        <v>278</v>
      </c>
      <c r="J2241" t="str">
        <f>"Protein disulfide-isomerase A4"</f>
        <v>Protein disulfide-isomerase A4</v>
      </c>
      <c r="K2241" t="str">
        <f>"PDIA4"</f>
        <v>PDIA4</v>
      </c>
    </row>
    <row r="2242" spans="1:11" x14ac:dyDescent="0.25">
      <c r="A2242" s="1">
        <v>3117</v>
      </c>
      <c r="B2242" s="1">
        <v>2</v>
      </c>
      <c r="C2242" s="1" t="s">
        <v>3</v>
      </c>
      <c r="D2242" s="1">
        <v>4</v>
      </c>
      <c r="E2242" s="1">
        <v>50.353999999999999</v>
      </c>
      <c r="F2242" s="1">
        <v>0.94481599999999999</v>
      </c>
      <c r="G2242" t="s">
        <v>3549</v>
      </c>
      <c r="H2242" t="s">
        <v>3550</v>
      </c>
      <c r="I2242" t="s">
        <v>5787</v>
      </c>
      <c r="J2242" t="str">
        <f>"Voltage-dependent anion-selective channel protein 3"</f>
        <v>Voltage-dependent anion-selective channel protein 3</v>
      </c>
      <c r="K2242" t="str">
        <f>"VDAC3"</f>
        <v>VDAC3</v>
      </c>
    </row>
    <row r="2243" spans="1:11" x14ac:dyDescent="0.25">
      <c r="A2243" s="1">
        <v>1450</v>
      </c>
      <c r="B2243" s="1">
        <v>3</v>
      </c>
      <c r="C2243" s="1" t="s">
        <v>3</v>
      </c>
      <c r="D2243" s="1">
        <v>20</v>
      </c>
      <c r="E2243" s="1">
        <v>55.704999999999998</v>
      </c>
      <c r="F2243" s="1">
        <v>0.79943200000000003</v>
      </c>
      <c r="G2243" t="s">
        <v>3551</v>
      </c>
      <c r="H2243" t="s">
        <v>1837</v>
      </c>
      <c r="I2243" t="s">
        <v>5788</v>
      </c>
      <c r="J2243" t="str">
        <f>"Synemin"</f>
        <v>Synemin</v>
      </c>
      <c r="K2243" t="str">
        <f>"SYNM"</f>
        <v>SYNM</v>
      </c>
    </row>
    <row r="2244" spans="1:11" x14ac:dyDescent="0.25">
      <c r="A2244" s="1">
        <v>3101</v>
      </c>
      <c r="B2244" s="1">
        <v>4</v>
      </c>
      <c r="C2244" s="1" t="s">
        <v>3</v>
      </c>
      <c r="D2244" s="1">
        <v>19</v>
      </c>
      <c r="E2244" s="1">
        <v>57.238</v>
      </c>
      <c r="F2244" s="1">
        <v>0.90653399999999995</v>
      </c>
      <c r="G2244" t="s">
        <v>3552</v>
      </c>
      <c r="H2244" t="s">
        <v>3553</v>
      </c>
      <c r="I2244" t="s">
        <v>4503</v>
      </c>
      <c r="J2244" t="str">
        <f>"NSFL1 cofactor p47"</f>
        <v>NSFL1 cofactor p47</v>
      </c>
      <c r="K2244" t="str">
        <f>"NSFL1C"</f>
        <v>NSFL1C</v>
      </c>
    </row>
    <row r="2245" spans="1:11" x14ac:dyDescent="0.25">
      <c r="A2245" s="1">
        <v>3003</v>
      </c>
      <c r="B2245" s="1">
        <v>2</v>
      </c>
      <c r="C2245" s="1" t="s">
        <v>3</v>
      </c>
      <c r="D2245" s="1">
        <v>6</v>
      </c>
      <c r="E2245" s="1">
        <v>49.448</v>
      </c>
      <c r="F2245" s="1">
        <v>0.75512999999999997</v>
      </c>
      <c r="G2245" t="s">
        <v>3554</v>
      </c>
      <c r="H2245" t="s">
        <v>3555</v>
      </c>
      <c r="I2245" t="s">
        <v>5789</v>
      </c>
      <c r="J2245" t="str">
        <f>"GTP-binding protein SAR1a"</f>
        <v>GTP-binding protein SAR1a</v>
      </c>
      <c r="K2245" t="str">
        <f>"SAR1A"</f>
        <v>SAR1A</v>
      </c>
    </row>
    <row r="2246" spans="1:11" x14ac:dyDescent="0.25">
      <c r="A2246" s="1">
        <v>2139</v>
      </c>
      <c r="B2246" s="1">
        <v>2</v>
      </c>
      <c r="C2246" s="1" t="s">
        <v>3</v>
      </c>
      <c r="D2246" s="1">
        <v>7</v>
      </c>
      <c r="E2246" s="1">
        <v>89.171000000000006</v>
      </c>
      <c r="F2246" s="1">
        <v>0.96677000000000002</v>
      </c>
      <c r="G2246" t="s">
        <v>3556</v>
      </c>
      <c r="H2246" t="s">
        <v>3124</v>
      </c>
      <c r="I2246" t="s">
        <v>5207</v>
      </c>
      <c r="J2246" t="str">
        <f>"Ras-related protein Rab-27A"</f>
        <v>Ras-related protein Rab-27A</v>
      </c>
      <c r="K2246" t="str">
        <f>"RAB27A"</f>
        <v>RAB27A</v>
      </c>
    </row>
    <row r="2247" spans="1:11" x14ac:dyDescent="0.25">
      <c r="A2247" s="1">
        <v>2314</v>
      </c>
      <c r="B2247" s="1">
        <v>2</v>
      </c>
      <c r="C2247" s="1" t="s">
        <v>3</v>
      </c>
      <c r="D2247" s="1">
        <v>4</v>
      </c>
      <c r="E2247" s="1">
        <v>54.981999999999999</v>
      </c>
      <c r="F2247" s="1">
        <v>1</v>
      </c>
      <c r="G2247" t="s">
        <v>3557</v>
      </c>
      <c r="H2247" t="s">
        <v>3558</v>
      </c>
      <c r="I2247" t="s">
        <v>5790</v>
      </c>
      <c r="J2247" t="str">
        <f>"Methylmalonate-semialdehyde dehydrogenase [acylating], mitochondrial"</f>
        <v>Methylmalonate-semialdehyde dehydrogenase [acylating], mitochondrial</v>
      </c>
      <c r="K2247" t="str">
        <f>"ALDH6A1"</f>
        <v>ALDH6A1</v>
      </c>
    </row>
    <row r="2248" spans="1:11" x14ac:dyDescent="0.25">
      <c r="A2248" s="1">
        <v>2410</v>
      </c>
      <c r="B2248" s="1">
        <v>2</v>
      </c>
      <c r="C2248" s="1" t="s">
        <v>3</v>
      </c>
      <c r="D2248" s="1">
        <v>12</v>
      </c>
      <c r="E2248" s="1">
        <v>61.408999999999999</v>
      </c>
      <c r="F2248" s="1">
        <v>0.99564200000000003</v>
      </c>
      <c r="G2248" t="s">
        <v>3559</v>
      </c>
      <c r="H2248" t="s">
        <v>1960</v>
      </c>
      <c r="I2248">
        <v>221</v>
      </c>
      <c r="J2248" t="str">
        <f>"Serine/arginine-rich splicing factor 9"</f>
        <v>Serine/arginine-rich splicing factor 9</v>
      </c>
      <c r="K2248" t="str">
        <f>"SRSF9"</f>
        <v>SRSF9</v>
      </c>
    </row>
    <row r="2249" spans="1:11" x14ac:dyDescent="0.25">
      <c r="A2249" s="1">
        <v>2815</v>
      </c>
      <c r="B2249" s="1">
        <v>2</v>
      </c>
      <c r="C2249" s="1" t="s">
        <v>3</v>
      </c>
      <c r="D2249" s="1">
        <v>13</v>
      </c>
      <c r="E2249" s="1">
        <v>44.511000000000003</v>
      </c>
      <c r="F2249" s="1">
        <v>0.98240400000000005</v>
      </c>
      <c r="G2249" t="s">
        <v>3560</v>
      </c>
      <c r="H2249" t="s">
        <v>3513</v>
      </c>
      <c r="I2249" t="s">
        <v>5791</v>
      </c>
      <c r="J2249" t="str">
        <f>"Regulator of nonsense transcripts 1"</f>
        <v>Regulator of nonsense transcripts 1</v>
      </c>
      <c r="K2249" t="str">
        <f>"UPF1"</f>
        <v>UPF1</v>
      </c>
    </row>
    <row r="2250" spans="1:11" x14ac:dyDescent="0.25">
      <c r="A2250" s="1">
        <v>1509</v>
      </c>
      <c r="B2250" s="1">
        <v>2</v>
      </c>
      <c r="C2250" s="1" t="s">
        <v>3</v>
      </c>
      <c r="D2250" s="1">
        <v>1</v>
      </c>
      <c r="E2250" s="1">
        <v>52.862000000000002</v>
      </c>
      <c r="F2250" s="1">
        <v>0.99995100000000003</v>
      </c>
      <c r="G2250" t="s">
        <v>3561</v>
      </c>
      <c r="H2250" t="s">
        <v>3562</v>
      </c>
      <c r="I2250" t="s">
        <v>5792</v>
      </c>
      <c r="J2250" t="str">
        <f>"Target of Myb protein 1"</f>
        <v>Target of Myb protein 1</v>
      </c>
      <c r="K2250" t="str">
        <f>"TOM1"</f>
        <v>TOM1</v>
      </c>
    </row>
    <row r="2251" spans="1:11" x14ac:dyDescent="0.25">
      <c r="A2251" s="1">
        <v>1242</v>
      </c>
      <c r="B2251" s="1">
        <v>4</v>
      </c>
      <c r="C2251" s="1" t="s">
        <v>3</v>
      </c>
      <c r="D2251" s="1">
        <v>8</v>
      </c>
      <c r="E2251" s="1">
        <v>58.98</v>
      </c>
      <c r="F2251" s="1">
        <v>0.92074199999999995</v>
      </c>
      <c r="G2251" t="s">
        <v>3563</v>
      </c>
      <c r="H2251" t="s">
        <v>3564</v>
      </c>
      <c r="I2251" t="s">
        <v>5793</v>
      </c>
      <c r="J2251" t="str">
        <f>"Pleckstrin homology domain-containing family A member 7"</f>
        <v>Pleckstrin homology domain-containing family A member 7</v>
      </c>
      <c r="K2251" t="str">
        <f>"PLEKHA7"</f>
        <v>PLEKHA7</v>
      </c>
    </row>
    <row r="2252" spans="1:11" x14ac:dyDescent="0.25">
      <c r="A2252" s="1">
        <v>3048</v>
      </c>
      <c r="B2252" s="1">
        <v>3</v>
      </c>
      <c r="C2252" s="1" t="s">
        <v>3</v>
      </c>
      <c r="D2252" s="1">
        <v>4</v>
      </c>
      <c r="E2252" s="1">
        <v>46.953000000000003</v>
      </c>
      <c r="F2252" s="1">
        <v>0.92540999999999995</v>
      </c>
      <c r="G2252" t="s">
        <v>3565</v>
      </c>
      <c r="H2252" t="s">
        <v>3566</v>
      </c>
      <c r="I2252">
        <v>276</v>
      </c>
      <c r="J2252" t="str">
        <f>"Protein RCC2"</f>
        <v>Protein RCC2</v>
      </c>
      <c r="K2252" t="str">
        <f>"RCC2"</f>
        <v>RCC2</v>
      </c>
    </row>
    <row r="2253" spans="1:11" x14ac:dyDescent="0.25">
      <c r="A2253" s="1">
        <v>3012</v>
      </c>
      <c r="B2253" s="1">
        <v>2</v>
      </c>
      <c r="C2253" s="1" t="s">
        <v>3</v>
      </c>
      <c r="D2253" s="1">
        <v>7</v>
      </c>
      <c r="E2253" s="1">
        <v>105.98</v>
      </c>
      <c r="F2253" s="1">
        <v>1</v>
      </c>
      <c r="G2253" t="s">
        <v>3567</v>
      </c>
      <c r="H2253" t="s">
        <v>3568</v>
      </c>
      <c r="I2253" t="s">
        <v>5794</v>
      </c>
      <c r="J2253" t="str">
        <f>"1-acyl-sn-glycerol-3-phosphate acyltransferase gamma"</f>
        <v>1-acyl-sn-glycerol-3-phosphate acyltransferase gamma</v>
      </c>
      <c r="K2253" t="str">
        <f>"AGPAT3"</f>
        <v>AGPAT3</v>
      </c>
    </row>
    <row r="2254" spans="1:11" x14ac:dyDescent="0.25">
      <c r="A2254" s="1">
        <v>1738</v>
      </c>
      <c r="B2254" s="1">
        <v>2</v>
      </c>
      <c r="C2254" s="1" t="s">
        <v>3</v>
      </c>
      <c r="D2254" s="1">
        <v>2</v>
      </c>
      <c r="E2254" s="1">
        <v>49.448</v>
      </c>
      <c r="F2254" s="1">
        <v>0.99833099999999997</v>
      </c>
      <c r="G2254" t="s">
        <v>3569</v>
      </c>
      <c r="H2254" t="s">
        <v>1137</v>
      </c>
      <c r="I2254">
        <v>223</v>
      </c>
      <c r="J2254" t="str">
        <f>"60 kDa heat shock protein, mitochondrial"</f>
        <v>60 kDa heat shock protein, mitochondrial</v>
      </c>
      <c r="K2254" t="str">
        <f>"HSPD1"</f>
        <v>HSPD1</v>
      </c>
    </row>
    <row r="2255" spans="1:11" x14ac:dyDescent="0.25">
      <c r="A2255" s="1">
        <v>660</v>
      </c>
      <c r="B2255" s="1">
        <v>3</v>
      </c>
      <c r="C2255" s="1" t="s">
        <v>4</v>
      </c>
      <c r="D2255" s="1">
        <v>12</v>
      </c>
      <c r="E2255" s="1">
        <v>75.063999999999993</v>
      </c>
      <c r="F2255" s="1">
        <v>0.53995000000000004</v>
      </c>
      <c r="G2255" t="s">
        <v>3570</v>
      </c>
      <c r="H2255" t="s">
        <v>1594</v>
      </c>
      <c r="I2255" t="s">
        <v>5795</v>
      </c>
      <c r="J2255" t="str">
        <f>"Heterogeneous nuclear ribonucleoprotein U"</f>
        <v>Heterogeneous nuclear ribonucleoprotein U</v>
      </c>
      <c r="K2255" t="str">
        <f>"HNRNPU"</f>
        <v>HNRNPU</v>
      </c>
    </row>
    <row r="2256" spans="1:11" x14ac:dyDescent="0.25">
      <c r="A2256" s="1">
        <v>2044</v>
      </c>
      <c r="B2256" s="1">
        <v>3</v>
      </c>
      <c r="C2256" s="1" t="s">
        <v>3</v>
      </c>
      <c r="D2256" s="1">
        <v>15</v>
      </c>
      <c r="E2256" s="1">
        <v>48.244</v>
      </c>
      <c r="F2256" s="1">
        <v>0.87286399999999997</v>
      </c>
      <c r="G2256" t="s">
        <v>3571</v>
      </c>
      <c r="H2256" t="s">
        <v>122</v>
      </c>
      <c r="I2256">
        <v>104</v>
      </c>
      <c r="J2256" t="str">
        <f>"Tyrosine-protein kinase FRK"</f>
        <v>Tyrosine-protein kinase FRK</v>
      </c>
      <c r="K2256" t="str">
        <f>"FRK"</f>
        <v>FRK</v>
      </c>
    </row>
    <row r="2257" spans="1:11" x14ac:dyDescent="0.25">
      <c r="A2257" s="1">
        <v>662</v>
      </c>
      <c r="B2257" s="1">
        <v>4</v>
      </c>
      <c r="C2257" s="1" t="s">
        <v>4</v>
      </c>
      <c r="D2257" s="1">
        <v>13</v>
      </c>
      <c r="E2257" s="1">
        <v>42.122999999999998</v>
      </c>
      <c r="F2257" s="1">
        <v>0.76197700000000002</v>
      </c>
      <c r="G2257" t="s">
        <v>3572</v>
      </c>
      <c r="H2257" t="s">
        <v>3573</v>
      </c>
      <c r="I2257" t="s">
        <v>5796</v>
      </c>
      <c r="J2257" t="str">
        <f>"Adenylyl cyclase-associated protein 1"</f>
        <v>Adenylyl cyclase-associated protein 1</v>
      </c>
      <c r="K2257" t="str">
        <f>"CAP1"</f>
        <v>CAP1</v>
      </c>
    </row>
    <row r="2258" spans="1:11" x14ac:dyDescent="0.25">
      <c r="A2258" s="1">
        <v>29</v>
      </c>
      <c r="B2258" s="1">
        <v>3</v>
      </c>
      <c r="C2258" s="1" t="s">
        <v>5</v>
      </c>
      <c r="D2258" s="1">
        <v>10</v>
      </c>
      <c r="E2258" s="1">
        <v>80.02</v>
      </c>
      <c r="F2258" s="1">
        <v>0.51637699999999997</v>
      </c>
      <c r="G2258" t="s">
        <v>3574</v>
      </c>
      <c r="H2258" t="s">
        <v>322</v>
      </c>
      <c r="I2258" t="s">
        <v>5797</v>
      </c>
      <c r="J2258" t="str">
        <f>"40S ribosomal protein SA"</f>
        <v>40S ribosomal protein SA</v>
      </c>
      <c r="K2258" t="str">
        <f>"RPSA;RPSAP58"</f>
        <v>RPSA;RPSAP58</v>
      </c>
    </row>
    <row r="2259" spans="1:11" x14ac:dyDescent="0.25">
      <c r="A2259" s="1">
        <v>1690</v>
      </c>
      <c r="B2259" s="1">
        <v>2</v>
      </c>
      <c r="C2259" s="1" t="s">
        <v>3</v>
      </c>
      <c r="D2259" s="1">
        <v>7</v>
      </c>
      <c r="E2259" s="1">
        <v>96.228999999999999</v>
      </c>
      <c r="F2259" s="1">
        <v>0.99608099999999999</v>
      </c>
      <c r="G2259" t="s">
        <v>3575</v>
      </c>
      <c r="H2259" t="s">
        <v>2236</v>
      </c>
      <c r="I2259" t="s">
        <v>5798</v>
      </c>
      <c r="J2259" t="str">
        <f>"Matrix Gla protein"</f>
        <v>Matrix Gla protein</v>
      </c>
      <c r="K2259" t="str">
        <f>"MGP"</f>
        <v>MGP</v>
      </c>
    </row>
    <row r="2260" spans="1:11" x14ac:dyDescent="0.25">
      <c r="A2260" s="1">
        <v>1130</v>
      </c>
      <c r="B2260" s="1">
        <v>3</v>
      </c>
      <c r="C2260" s="1" t="s">
        <v>3</v>
      </c>
      <c r="D2260" s="1">
        <v>15</v>
      </c>
      <c r="E2260" s="1">
        <v>61.039000000000001</v>
      </c>
      <c r="F2260" s="1">
        <v>0.65063300000000002</v>
      </c>
      <c r="G2260" t="s">
        <v>3576</v>
      </c>
      <c r="H2260" t="s">
        <v>143</v>
      </c>
      <c r="I2260">
        <v>334</v>
      </c>
      <c r="J2260" t="str">
        <f>""</f>
        <v/>
      </c>
      <c r="K2260" t="str">
        <f>"CTNND1"</f>
        <v>CTNND1</v>
      </c>
    </row>
    <row r="2261" spans="1:11" x14ac:dyDescent="0.25">
      <c r="A2261" s="1">
        <v>2995</v>
      </c>
      <c r="B2261" s="1">
        <v>3</v>
      </c>
      <c r="C2261" s="1" t="s">
        <v>3</v>
      </c>
      <c r="D2261" s="1">
        <v>15</v>
      </c>
      <c r="E2261" s="1">
        <v>43.954999999999998</v>
      </c>
      <c r="F2261" s="1">
        <v>0.99965300000000001</v>
      </c>
      <c r="G2261" t="s">
        <v>3577</v>
      </c>
      <c r="H2261" t="s">
        <v>3322</v>
      </c>
      <c r="I2261" t="s">
        <v>5799</v>
      </c>
      <c r="J2261" t="str">
        <f>"Manganese-transporting ATPase 13A1"</f>
        <v>Manganese-transporting ATPase 13A1</v>
      </c>
      <c r="K2261" t="str">
        <f>"ATP13A1"</f>
        <v>ATP13A1</v>
      </c>
    </row>
    <row r="2262" spans="1:11" x14ac:dyDescent="0.25">
      <c r="A2262" s="1">
        <v>673</v>
      </c>
      <c r="B2262" s="1">
        <v>3</v>
      </c>
      <c r="C2262" s="1" t="s">
        <v>4</v>
      </c>
      <c r="D2262" s="1">
        <v>14</v>
      </c>
      <c r="E2262" s="1">
        <v>48.773000000000003</v>
      </c>
      <c r="F2262" s="1">
        <v>0.988815</v>
      </c>
      <c r="G2262" t="s">
        <v>3578</v>
      </c>
      <c r="H2262" t="s">
        <v>175</v>
      </c>
      <c r="I2262" t="s">
        <v>5800</v>
      </c>
      <c r="J2262" t="str">
        <f>"Mitogen-activated protein kinase 7"</f>
        <v>Mitogen-activated protein kinase 7</v>
      </c>
      <c r="K2262" t="str">
        <f>"MAPK7"</f>
        <v>MAPK7</v>
      </c>
    </row>
    <row r="2263" spans="1:11" x14ac:dyDescent="0.25">
      <c r="A2263" s="1">
        <v>1250</v>
      </c>
      <c r="B2263" s="1">
        <v>3</v>
      </c>
      <c r="C2263" s="1" t="s">
        <v>3</v>
      </c>
      <c r="D2263" s="1">
        <v>5</v>
      </c>
      <c r="E2263" s="1">
        <v>58.171999999999997</v>
      </c>
      <c r="F2263" s="1">
        <v>0.99997800000000003</v>
      </c>
      <c r="G2263" t="s">
        <v>3579</v>
      </c>
      <c r="H2263" t="s">
        <v>2019</v>
      </c>
      <c r="I2263" t="s">
        <v>5801</v>
      </c>
      <c r="J2263" t="str">
        <f>"LIM domain only protein 7"</f>
        <v>LIM domain only protein 7</v>
      </c>
      <c r="K2263" t="str">
        <f>"LMO7"</f>
        <v>LMO7</v>
      </c>
    </row>
    <row r="2264" spans="1:11" x14ac:dyDescent="0.25">
      <c r="A2264" s="1">
        <v>2868</v>
      </c>
      <c r="B2264" s="1">
        <v>2</v>
      </c>
      <c r="C2264" s="1" t="s">
        <v>3</v>
      </c>
      <c r="D2264" s="1">
        <v>9</v>
      </c>
      <c r="E2264" s="1">
        <v>59.226999999999997</v>
      </c>
      <c r="F2264" s="1">
        <v>0.99721800000000005</v>
      </c>
      <c r="G2264" t="s">
        <v>3580</v>
      </c>
      <c r="H2264" t="s">
        <v>228</v>
      </c>
      <c r="I2264" t="s">
        <v>5802</v>
      </c>
      <c r="J2264" t="str">
        <f>"Discoidin, CUB and LCCL domain-containing protein 2"</f>
        <v>Discoidin, CUB and LCCL domain-containing protein 2</v>
      </c>
      <c r="K2264" t="str">
        <f>"DCBLD2"</f>
        <v>DCBLD2</v>
      </c>
    </row>
    <row r="2265" spans="1:11" x14ac:dyDescent="0.25">
      <c r="A2265" s="1">
        <v>2630</v>
      </c>
      <c r="B2265" s="1">
        <v>3</v>
      </c>
      <c r="C2265" s="1" t="s">
        <v>3</v>
      </c>
      <c r="D2265" s="1">
        <v>3</v>
      </c>
      <c r="E2265" s="1">
        <v>68.515000000000001</v>
      </c>
      <c r="F2265" s="1">
        <v>0.952345</v>
      </c>
      <c r="G2265" t="s">
        <v>3581</v>
      </c>
      <c r="H2265" t="s">
        <v>3582</v>
      </c>
      <c r="I2265">
        <v>277</v>
      </c>
      <c r="J2265" t="str">
        <f>"Glycine N-acyltransferase"</f>
        <v>Glycine N-acyltransferase</v>
      </c>
      <c r="K2265" t="str">
        <f>"GLYAT"</f>
        <v>GLYAT</v>
      </c>
    </row>
    <row r="2266" spans="1:11" x14ac:dyDescent="0.25">
      <c r="A2266" s="1">
        <v>2997</v>
      </c>
      <c r="B2266" s="1">
        <v>4</v>
      </c>
      <c r="C2266" s="1" t="s">
        <v>3</v>
      </c>
      <c r="D2266" s="1">
        <v>10</v>
      </c>
      <c r="E2266" s="1">
        <v>41.256</v>
      </c>
      <c r="F2266" s="1">
        <v>0.96448299999999998</v>
      </c>
      <c r="G2266" t="s">
        <v>3583</v>
      </c>
      <c r="H2266" t="s">
        <v>3584</v>
      </c>
      <c r="I2266" t="s">
        <v>5803</v>
      </c>
      <c r="J2266" t="str">
        <f>"Palmdelphin"</f>
        <v>Palmdelphin</v>
      </c>
      <c r="K2266" t="str">
        <f>"PALMD"</f>
        <v>PALMD</v>
      </c>
    </row>
    <row r="2267" spans="1:11" x14ac:dyDescent="0.25">
      <c r="A2267" s="1">
        <v>282</v>
      </c>
      <c r="B2267" s="1">
        <v>3</v>
      </c>
      <c r="C2267" s="1" t="s">
        <v>5</v>
      </c>
      <c r="D2267" s="1">
        <v>22</v>
      </c>
      <c r="E2267" s="1">
        <v>48.5</v>
      </c>
      <c r="F2267" s="1">
        <v>0.52988999999999997</v>
      </c>
      <c r="G2267" t="s">
        <v>3585</v>
      </c>
      <c r="H2267" t="s">
        <v>1080</v>
      </c>
      <c r="I2267" t="s">
        <v>5804</v>
      </c>
      <c r="J2267" t="str">
        <f>"Coxsackievirus and adenovirus receptor"</f>
        <v>Coxsackievirus and adenovirus receptor</v>
      </c>
      <c r="K2267" t="str">
        <f>"CXADR"</f>
        <v>CXADR</v>
      </c>
    </row>
    <row r="2268" spans="1:11" x14ac:dyDescent="0.25">
      <c r="A2268" s="1">
        <v>2637</v>
      </c>
      <c r="B2268" s="1">
        <v>3</v>
      </c>
      <c r="C2268" s="1" t="s">
        <v>3</v>
      </c>
      <c r="D2268" s="1">
        <v>6</v>
      </c>
      <c r="E2268" s="1">
        <v>56.569000000000003</v>
      </c>
      <c r="F2268" s="1">
        <v>0.99977300000000002</v>
      </c>
      <c r="G2268" t="s">
        <v>3586</v>
      </c>
      <c r="H2268" t="s">
        <v>3587</v>
      </c>
      <c r="I2268">
        <v>548</v>
      </c>
      <c r="J2268" t="str">
        <f>"RNA polymerase-associated protein CTR9 homolog"</f>
        <v>RNA polymerase-associated protein CTR9 homolog</v>
      </c>
      <c r="K2268" t="str">
        <f>"CTR9"</f>
        <v>CTR9</v>
      </c>
    </row>
    <row r="2269" spans="1:11" x14ac:dyDescent="0.25">
      <c r="A2269" s="1">
        <v>1710</v>
      </c>
      <c r="B2269" s="1">
        <v>3</v>
      </c>
      <c r="C2269" s="1" t="s">
        <v>3</v>
      </c>
      <c r="D2269" s="1">
        <v>9</v>
      </c>
      <c r="E2269" s="1">
        <v>59.728000000000002</v>
      </c>
      <c r="F2269" s="1">
        <v>0.75581799999999999</v>
      </c>
      <c r="G2269" t="s">
        <v>3588</v>
      </c>
      <c r="H2269" t="s">
        <v>3589</v>
      </c>
      <c r="I2269" t="s">
        <v>5805</v>
      </c>
      <c r="J2269" t="str">
        <f>"U1 small nuclear ribonucleoprotein C"</f>
        <v>U1 small nuclear ribonucleoprotein C</v>
      </c>
      <c r="K2269" t="str">
        <f>"SNRPC"</f>
        <v>SNRPC</v>
      </c>
    </row>
    <row r="2270" spans="1:11" x14ac:dyDescent="0.25">
      <c r="A2270" s="1">
        <v>1998</v>
      </c>
      <c r="B2270" s="1">
        <v>2</v>
      </c>
      <c r="C2270" s="1" t="s">
        <v>3</v>
      </c>
      <c r="D2270" s="1">
        <v>2</v>
      </c>
      <c r="E2270" s="1">
        <v>47.848999999999997</v>
      </c>
      <c r="F2270" s="1">
        <v>0.99944900000000003</v>
      </c>
      <c r="G2270" t="s">
        <v>3590</v>
      </c>
      <c r="H2270" t="s">
        <v>3591</v>
      </c>
      <c r="I2270" t="s">
        <v>5806</v>
      </c>
      <c r="J2270" t="str">
        <f>"Radixin"</f>
        <v>Radixin</v>
      </c>
      <c r="K2270" t="str">
        <f>"RDX"</f>
        <v>RDX</v>
      </c>
    </row>
    <row r="2271" spans="1:11" x14ac:dyDescent="0.25">
      <c r="A2271" s="1">
        <v>2372</v>
      </c>
      <c r="B2271" s="1">
        <v>3</v>
      </c>
      <c r="C2271" s="1" t="s">
        <v>3</v>
      </c>
      <c r="D2271" s="1">
        <v>5</v>
      </c>
      <c r="E2271" s="1">
        <v>46.351999999999997</v>
      </c>
      <c r="F2271" s="1">
        <v>0.99810699999999997</v>
      </c>
      <c r="G2271" t="s">
        <v>3592</v>
      </c>
      <c r="H2271" t="s">
        <v>2493</v>
      </c>
      <c r="I2271">
        <v>715</v>
      </c>
      <c r="J2271" t="str">
        <f>"Neuroblast differentiation-associated protein AHNAK"</f>
        <v>Neuroblast differentiation-associated protein AHNAK</v>
      </c>
      <c r="K2271" t="str">
        <f>"AHNAK"</f>
        <v>AHNAK</v>
      </c>
    </row>
    <row r="2272" spans="1:11" x14ac:dyDescent="0.25">
      <c r="A2272" s="1">
        <v>2359</v>
      </c>
      <c r="B2272" s="1">
        <v>2</v>
      </c>
      <c r="C2272" s="1" t="s">
        <v>3</v>
      </c>
      <c r="D2272" s="1">
        <v>5</v>
      </c>
      <c r="E2272" s="1">
        <v>50.353000000000002</v>
      </c>
      <c r="F2272" s="1">
        <v>1</v>
      </c>
      <c r="G2272" t="s">
        <v>3593</v>
      </c>
      <c r="H2272" t="s">
        <v>1827</v>
      </c>
      <c r="I2272">
        <v>213</v>
      </c>
      <c r="J2272" t="str">
        <f>"Rho GTPase-activating protein 1"</f>
        <v>Rho GTPase-activating protein 1</v>
      </c>
      <c r="K2272" t="str">
        <f>"ARHGAP1"</f>
        <v>ARHGAP1</v>
      </c>
    </row>
    <row r="2273" spans="1:11" x14ac:dyDescent="0.25">
      <c r="A2273" s="1">
        <v>868</v>
      </c>
      <c r="B2273" s="1">
        <v>4</v>
      </c>
      <c r="C2273" s="1" t="s">
        <v>3</v>
      </c>
      <c r="D2273" s="1">
        <v>27</v>
      </c>
      <c r="E2273" s="1">
        <v>44.31</v>
      </c>
      <c r="F2273" s="1">
        <v>0.685527</v>
      </c>
      <c r="G2273" t="s">
        <v>3594</v>
      </c>
      <c r="H2273" t="s">
        <v>3595</v>
      </c>
      <c r="I2273" t="s">
        <v>5807</v>
      </c>
      <c r="J2273" t="str">
        <f>"Probable phospholipid-transporting ATPase IIA"</f>
        <v>Probable phospholipid-transporting ATPase IIA</v>
      </c>
      <c r="K2273" t="str">
        <f>"ATP9A"</f>
        <v>ATP9A</v>
      </c>
    </row>
    <row r="2274" spans="1:11" x14ac:dyDescent="0.25">
      <c r="A2274" s="1">
        <v>1539</v>
      </c>
      <c r="B2274" s="1">
        <v>3</v>
      </c>
      <c r="C2274" s="1" t="s">
        <v>3</v>
      </c>
      <c r="D2274" s="1">
        <v>9</v>
      </c>
      <c r="E2274" s="1">
        <v>42.843000000000004</v>
      </c>
      <c r="F2274" s="1">
        <v>0.81447199999999997</v>
      </c>
      <c r="G2274" t="s">
        <v>3596</v>
      </c>
      <c r="H2274" t="s">
        <v>3597</v>
      </c>
      <c r="I2274">
        <v>209</v>
      </c>
      <c r="J2274" t="str">
        <f>"TIP41-like protein"</f>
        <v>TIP41-like protein</v>
      </c>
      <c r="K2274" t="str">
        <f>"TIPRL"</f>
        <v>TIPRL</v>
      </c>
    </row>
    <row r="2275" spans="1:11" x14ac:dyDescent="0.25">
      <c r="A2275" s="1">
        <v>1497</v>
      </c>
      <c r="B2275" s="1">
        <v>3</v>
      </c>
      <c r="C2275" s="1" t="s">
        <v>3</v>
      </c>
      <c r="D2275" s="1">
        <v>7</v>
      </c>
      <c r="E2275" s="1">
        <v>60.548999999999999</v>
      </c>
      <c r="F2275" s="1">
        <v>0.99611700000000003</v>
      </c>
      <c r="G2275" t="s">
        <v>3598</v>
      </c>
      <c r="H2275" t="s">
        <v>3599</v>
      </c>
      <c r="I2275" t="s">
        <v>5808</v>
      </c>
      <c r="J2275" t="str">
        <f>"Heterogeneous nuclear ribonucleoprotein Q"</f>
        <v>Heterogeneous nuclear ribonucleoprotein Q</v>
      </c>
      <c r="K2275" t="str">
        <f>"SYNCRIP"</f>
        <v>SYNCRIP</v>
      </c>
    </row>
    <row r="2276" spans="1:11" x14ac:dyDescent="0.25">
      <c r="A2276" s="1">
        <v>368</v>
      </c>
      <c r="B2276" s="1">
        <v>3</v>
      </c>
      <c r="C2276" s="1" t="s">
        <v>5</v>
      </c>
      <c r="D2276" s="1">
        <v>11</v>
      </c>
      <c r="E2276" s="1">
        <v>48.616</v>
      </c>
      <c r="F2276" s="1">
        <v>0.53193500000000005</v>
      </c>
      <c r="G2276" t="s">
        <v>3600</v>
      </c>
      <c r="H2276" t="s">
        <v>2999</v>
      </c>
      <c r="I2276" t="s">
        <v>5809</v>
      </c>
      <c r="J2276" t="str">
        <f>"Poly [ADP-ribose] polymerase 9"</f>
        <v>Poly [ADP-ribose] polymerase 9</v>
      </c>
      <c r="K2276" t="str">
        <f>"PARP9"</f>
        <v>PARP9</v>
      </c>
    </row>
    <row r="2277" spans="1:11" x14ac:dyDescent="0.25">
      <c r="A2277" s="1">
        <v>2697</v>
      </c>
      <c r="B2277" s="1">
        <v>3</v>
      </c>
      <c r="C2277" s="1" t="s">
        <v>3</v>
      </c>
      <c r="D2277" s="1">
        <v>4</v>
      </c>
      <c r="E2277" s="1">
        <v>40.277999999999999</v>
      </c>
      <c r="F2277" s="1">
        <v>0.79347299999999998</v>
      </c>
      <c r="G2277" t="s">
        <v>3601</v>
      </c>
      <c r="H2277" t="s">
        <v>2615</v>
      </c>
      <c r="I2277">
        <v>7</v>
      </c>
      <c r="J2277" t="str">
        <f>"Mitotic interactor and substrate of PLK1"</f>
        <v>Mitotic interactor and substrate of PLK1</v>
      </c>
      <c r="K2277" t="str">
        <f>"MISP"</f>
        <v>MISP</v>
      </c>
    </row>
    <row r="2278" spans="1:11" x14ac:dyDescent="0.25">
      <c r="A2278" s="1">
        <v>1603</v>
      </c>
      <c r="B2278" s="1">
        <v>2</v>
      </c>
      <c r="C2278" s="1" t="s">
        <v>3</v>
      </c>
      <c r="D2278" s="1">
        <v>12</v>
      </c>
      <c r="E2278" s="1">
        <v>68.971999999999994</v>
      </c>
      <c r="F2278" s="1">
        <v>0.99999700000000002</v>
      </c>
      <c r="G2278" t="s">
        <v>3602</v>
      </c>
      <c r="H2278" t="s">
        <v>3603</v>
      </c>
      <c r="I2278" t="s">
        <v>5810</v>
      </c>
      <c r="J2278" t="str">
        <f>"Low-density lipoprotein receptor"</f>
        <v>Low-density lipoprotein receptor</v>
      </c>
      <c r="K2278" t="str">
        <f>"LDLR"</f>
        <v>LDLR</v>
      </c>
    </row>
    <row r="2279" spans="1:11" x14ac:dyDescent="0.25">
      <c r="A2279" s="1">
        <v>1259</v>
      </c>
      <c r="B2279" s="1">
        <v>3</v>
      </c>
      <c r="C2279" s="1" t="s">
        <v>3</v>
      </c>
      <c r="D2279" s="1">
        <v>11</v>
      </c>
      <c r="E2279" s="1">
        <v>40.968000000000004</v>
      </c>
      <c r="F2279" s="1">
        <v>0.77002700000000002</v>
      </c>
      <c r="G2279" t="s">
        <v>3604</v>
      </c>
      <c r="H2279" t="s">
        <v>3357</v>
      </c>
      <c r="I2279" t="s">
        <v>5811</v>
      </c>
      <c r="J2279" t="str">
        <f>"Protein transport protein Sec16A"</f>
        <v>Protein transport protein Sec16A</v>
      </c>
      <c r="K2279" t="str">
        <f>"SEC16A"</f>
        <v>SEC16A</v>
      </c>
    </row>
    <row r="2280" spans="1:11" x14ac:dyDescent="0.25">
      <c r="A2280" s="1">
        <v>2027</v>
      </c>
      <c r="B2280" s="1">
        <v>2</v>
      </c>
      <c r="C2280" s="1" t="s">
        <v>3</v>
      </c>
      <c r="D2280" s="1">
        <v>7</v>
      </c>
      <c r="E2280" s="1">
        <v>88.495000000000005</v>
      </c>
      <c r="F2280" s="1">
        <v>0.80683899999999997</v>
      </c>
      <c r="G2280" t="s">
        <v>3605</v>
      </c>
      <c r="H2280" t="s">
        <v>3606</v>
      </c>
      <c r="I2280">
        <v>15</v>
      </c>
      <c r="J2280" t="str">
        <f>"Ubiquitin-like modifier-activating enzyme 7"</f>
        <v>Ubiquitin-like modifier-activating enzyme 7</v>
      </c>
      <c r="K2280" t="str">
        <f>"UBA7"</f>
        <v>UBA7</v>
      </c>
    </row>
    <row r="2281" spans="1:11" x14ac:dyDescent="0.25">
      <c r="A2281" s="1">
        <v>327</v>
      </c>
      <c r="B2281" s="1">
        <v>3</v>
      </c>
      <c r="C2281" s="1" t="s">
        <v>5</v>
      </c>
      <c r="D2281" s="1">
        <v>11</v>
      </c>
      <c r="E2281" s="1">
        <v>65.105000000000004</v>
      </c>
      <c r="F2281" s="1">
        <v>0.64692000000000005</v>
      </c>
      <c r="G2281" t="s">
        <v>3607</v>
      </c>
      <c r="H2281" t="s">
        <v>224</v>
      </c>
      <c r="I2281" t="s">
        <v>5812</v>
      </c>
      <c r="J2281" t="str">
        <f>"Protein-tyrosine kinase 2-beta"</f>
        <v>Protein-tyrosine kinase 2-beta</v>
      </c>
      <c r="K2281" t="str">
        <f>"PTK2B"</f>
        <v>PTK2B</v>
      </c>
    </row>
    <row r="2282" spans="1:11" x14ac:dyDescent="0.25">
      <c r="A2282" s="1">
        <v>996</v>
      </c>
      <c r="B2282" s="1">
        <v>2</v>
      </c>
      <c r="C2282" s="1" t="s">
        <v>3</v>
      </c>
      <c r="D2282" s="1">
        <v>1</v>
      </c>
      <c r="E2282" s="1">
        <v>55.353000000000002</v>
      </c>
      <c r="F2282" s="1">
        <v>0.99970899999999996</v>
      </c>
      <c r="G2282" t="s">
        <v>3608</v>
      </c>
      <c r="H2282" t="s">
        <v>3609</v>
      </c>
      <c r="I2282" t="s">
        <v>5813</v>
      </c>
      <c r="J2282" t="str">
        <f>"cAMP-regulated phosphoprotein 19;Alpha-endosulfine"</f>
        <v>cAMP-regulated phosphoprotein 19;Alpha-endosulfine</v>
      </c>
      <c r="K2282" t="str">
        <f>"ARPP19;ENSA"</f>
        <v>ARPP19;ENSA</v>
      </c>
    </row>
    <row r="2283" spans="1:11" x14ac:dyDescent="0.25">
      <c r="A2283" s="1">
        <v>2591</v>
      </c>
      <c r="B2283" s="1">
        <v>2</v>
      </c>
      <c r="C2283" s="1" t="s">
        <v>3</v>
      </c>
      <c r="D2283" s="1">
        <v>4</v>
      </c>
      <c r="E2283" s="1">
        <v>47.893999999999998</v>
      </c>
      <c r="F2283" s="1">
        <v>0.95332899999999998</v>
      </c>
      <c r="G2283" t="s">
        <v>3610</v>
      </c>
      <c r="H2283" t="s">
        <v>3611</v>
      </c>
      <c r="I2283">
        <v>193</v>
      </c>
      <c r="J2283" t="str">
        <f>""</f>
        <v/>
      </c>
      <c r="K2283" t="str">
        <f>""</f>
        <v/>
      </c>
    </row>
    <row r="2284" spans="1:11" x14ac:dyDescent="0.25">
      <c r="A2284" s="1">
        <v>2129</v>
      </c>
      <c r="B2284" s="1">
        <v>3</v>
      </c>
      <c r="C2284" s="1" t="s">
        <v>3</v>
      </c>
      <c r="D2284" s="1">
        <v>9</v>
      </c>
      <c r="E2284" s="1">
        <v>50.392000000000003</v>
      </c>
      <c r="F2284" s="1">
        <v>0.82466399999999995</v>
      </c>
      <c r="G2284" t="s">
        <v>3612</v>
      </c>
      <c r="H2284" t="s">
        <v>3613</v>
      </c>
      <c r="I2284">
        <v>23</v>
      </c>
      <c r="J2284" t="str">
        <f>"Sulfate transporter"</f>
        <v>Sulfate transporter</v>
      </c>
      <c r="K2284" t="str">
        <f>"SLC26A2"</f>
        <v>SLC26A2</v>
      </c>
    </row>
    <row r="2285" spans="1:11" x14ac:dyDescent="0.25">
      <c r="A2285" s="1">
        <v>2463</v>
      </c>
      <c r="B2285" s="1">
        <v>4</v>
      </c>
      <c r="C2285" s="1" t="s">
        <v>3</v>
      </c>
      <c r="D2285" s="1">
        <v>14</v>
      </c>
      <c r="E2285" s="1">
        <v>49.265999999999998</v>
      </c>
      <c r="F2285" s="1">
        <v>0.848244</v>
      </c>
      <c r="G2285" t="s">
        <v>3614</v>
      </c>
      <c r="H2285" t="s">
        <v>3615</v>
      </c>
      <c r="I2285">
        <v>19</v>
      </c>
      <c r="J2285" t="str">
        <f>"Dihydropyrimidinase-related protein 3"</f>
        <v>Dihydropyrimidinase-related protein 3</v>
      </c>
      <c r="K2285" t="str">
        <f>"DPYSL3"</f>
        <v>DPYSL3</v>
      </c>
    </row>
    <row r="2286" spans="1:11" x14ac:dyDescent="0.25">
      <c r="A2286" s="1">
        <v>3025</v>
      </c>
      <c r="B2286" s="1">
        <v>2</v>
      </c>
      <c r="C2286" s="1" t="s">
        <v>3</v>
      </c>
      <c r="D2286" s="1">
        <v>1</v>
      </c>
      <c r="E2286" s="1">
        <v>41.652000000000001</v>
      </c>
      <c r="F2286" s="1">
        <v>0.99970800000000004</v>
      </c>
      <c r="G2286" t="s">
        <v>3616</v>
      </c>
      <c r="H2286" t="s">
        <v>3617</v>
      </c>
      <c r="I2286">
        <v>158</v>
      </c>
      <c r="J2286" t="str">
        <f>"Intraflagellar transport protein 57 homolog"</f>
        <v>Intraflagellar transport protein 57 homolog</v>
      </c>
      <c r="K2286" t="str">
        <f>"IFT57"</f>
        <v>IFT57</v>
      </c>
    </row>
    <row r="2287" spans="1:11" x14ac:dyDescent="0.25">
      <c r="A2287" s="1">
        <v>1183</v>
      </c>
      <c r="B2287" s="1">
        <v>2</v>
      </c>
      <c r="C2287" s="1" t="s">
        <v>3</v>
      </c>
      <c r="D2287" s="1">
        <v>5</v>
      </c>
      <c r="E2287" s="1">
        <v>42.314</v>
      </c>
      <c r="F2287" s="1">
        <v>0.73087800000000003</v>
      </c>
      <c r="G2287" t="s">
        <v>3618</v>
      </c>
      <c r="H2287" t="s">
        <v>3619</v>
      </c>
      <c r="I2287" t="s">
        <v>5814</v>
      </c>
      <c r="J2287" t="str">
        <f>"CLIP-associating protein 2"</f>
        <v>CLIP-associating protein 2</v>
      </c>
      <c r="K2287" t="str">
        <f>"CLASP2"</f>
        <v>CLASP2</v>
      </c>
    </row>
    <row r="2288" spans="1:11" x14ac:dyDescent="0.25">
      <c r="A2288" s="1">
        <v>2334</v>
      </c>
      <c r="B2288" s="1">
        <v>3</v>
      </c>
      <c r="C2288" s="1" t="s">
        <v>3</v>
      </c>
      <c r="D2288" s="1">
        <v>11</v>
      </c>
      <c r="E2288" s="1">
        <v>51.225000000000001</v>
      </c>
      <c r="F2288" s="1">
        <v>0.95594199999999996</v>
      </c>
      <c r="G2288" t="s">
        <v>3620</v>
      </c>
      <c r="H2288" t="s">
        <v>3621</v>
      </c>
      <c r="I2288">
        <v>367</v>
      </c>
      <c r="J2288" t="str">
        <f>"Cleavage stimulation factor subunit 1"</f>
        <v>Cleavage stimulation factor subunit 1</v>
      </c>
      <c r="K2288" t="str">
        <f>"CSTF1"</f>
        <v>CSTF1</v>
      </c>
    </row>
    <row r="2289" spans="1:11" x14ac:dyDescent="0.25">
      <c r="A2289" s="1">
        <v>3056</v>
      </c>
      <c r="B2289" s="1">
        <v>2</v>
      </c>
      <c r="C2289" s="1" t="s">
        <v>3</v>
      </c>
      <c r="D2289" s="1">
        <v>4</v>
      </c>
      <c r="E2289" s="1">
        <v>42.314</v>
      </c>
      <c r="F2289" s="1">
        <v>0.97743899999999995</v>
      </c>
      <c r="G2289" t="s">
        <v>3622</v>
      </c>
      <c r="H2289" t="s">
        <v>3623</v>
      </c>
      <c r="I2289" t="s">
        <v>5815</v>
      </c>
      <c r="J2289" t="str">
        <f>"Copine-7"</f>
        <v>Copine-7</v>
      </c>
      <c r="K2289" t="str">
        <f>"CPNE7"</f>
        <v>CPNE7</v>
      </c>
    </row>
    <row r="2290" spans="1:11" x14ac:dyDescent="0.25">
      <c r="A2290" s="1">
        <v>1957</v>
      </c>
      <c r="B2290" s="1">
        <v>3</v>
      </c>
      <c r="C2290" s="1" t="s">
        <v>3</v>
      </c>
      <c r="D2290" s="1">
        <v>7</v>
      </c>
      <c r="E2290" s="1">
        <v>63.816000000000003</v>
      </c>
      <c r="F2290" s="1">
        <v>0.999996</v>
      </c>
      <c r="G2290" t="s">
        <v>3624</v>
      </c>
      <c r="H2290" t="s">
        <v>47</v>
      </c>
      <c r="I2290">
        <v>735</v>
      </c>
      <c r="J2290" t="str">
        <f>"Ephrin type-A receptor 2"</f>
        <v>Ephrin type-A receptor 2</v>
      </c>
      <c r="K2290" t="str">
        <f>"EPHA2"</f>
        <v>EPHA2</v>
      </c>
    </row>
    <row r="2291" spans="1:11" x14ac:dyDescent="0.25">
      <c r="A2291" s="1">
        <v>685</v>
      </c>
      <c r="B2291" s="1">
        <v>3</v>
      </c>
      <c r="C2291" s="1" t="s">
        <v>4</v>
      </c>
      <c r="D2291" s="1">
        <v>9</v>
      </c>
      <c r="E2291" s="1">
        <v>53.3</v>
      </c>
      <c r="F2291" s="1">
        <v>0.62227699999999997</v>
      </c>
      <c r="G2291" t="s">
        <v>3625</v>
      </c>
      <c r="H2291" t="s">
        <v>3047</v>
      </c>
      <c r="I2291" t="s">
        <v>5816</v>
      </c>
      <c r="J2291" t="str">
        <f>"PDZ and LIM domain protein 3"</f>
        <v>PDZ and LIM domain protein 3</v>
      </c>
      <c r="K2291" t="str">
        <f>"PDLIM3"</f>
        <v>PDLIM3</v>
      </c>
    </row>
    <row r="2292" spans="1:11" x14ac:dyDescent="0.25">
      <c r="A2292" s="1">
        <v>1473</v>
      </c>
      <c r="B2292" s="1">
        <v>3</v>
      </c>
      <c r="C2292" s="1" t="s">
        <v>3</v>
      </c>
      <c r="D2292" s="1">
        <v>8</v>
      </c>
      <c r="E2292" s="1">
        <v>69.081000000000003</v>
      </c>
      <c r="F2292" s="1">
        <v>0.99240399999999995</v>
      </c>
      <c r="G2292" t="s">
        <v>3626</v>
      </c>
      <c r="H2292" t="s">
        <v>3627</v>
      </c>
      <c r="I2292" t="s">
        <v>5817</v>
      </c>
      <c r="J2292" t="str">
        <f>"Prominin-1"</f>
        <v>Prominin-1</v>
      </c>
      <c r="K2292" t="str">
        <f>"PROM1"</f>
        <v>PROM1</v>
      </c>
    </row>
    <row r="2293" spans="1:11" x14ac:dyDescent="0.25">
      <c r="A2293" s="1">
        <v>1948</v>
      </c>
      <c r="B2293" s="1">
        <v>3</v>
      </c>
      <c r="C2293" s="1" t="s">
        <v>3</v>
      </c>
      <c r="D2293" s="1">
        <v>13</v>
      </c>
      <c r="E2293" s="1">
        <v>49.536999999999999</v>
      </c>
      <c r="F2293" s="1">
        <v>0.92957000000000001</v>
      </c>
      <c r="G2293" t="s">
        <v>3628</v>
      </c>
      <c r="H2293" t="s">
        <v>47</v>
      </c>
      <c r="I2293">
        <v>930</v>
      </c>
      <c r="J2293" t="str">
        <f>"Ephrin type-A receptor 2"</f>
        <v>Ephrin type-A receptor 2</v>
      </c>
      <c r="K2293" t="str">
        <f>"EPHA2"</f>
        <v>EPHA2</v>
      </c>
    </row>
    <row r="2294" spans="1:11" x14ac:dyDescent="0.25">
      <c r="A2294" s="1">
        <v>2273</v>
      </c>
      <c r="B2294" s="1">
        <v>3</v>
      </c>
      <c r="C2294" s="1" t="s">
        <v>3</v>
      </c>
      <c r="D2294" s="1">
        <v>8</v>
      </c>
      <c r="E2294" s="1">
        <v>52.576000000000001</v>
      </c>
      <c r="F2294" s="1">
        <v>0.98827900000000002</v>
      </c>
      <c r="G2294" t="s">
        <v>3629</v>
      </c>
      <c r="H2294" t="s">
        <v>3630</v>
      </c>
      <c r="I2294" t="s">
        <v>5818</v>
      </c>
      <c r="J2294" t="str">
        <f>"Guanine nucleotide-binding protein subunit beta-2-like 1;Guanine nucleotide-binding protein subunit beta-2-like 1, N-terminally processed"</f>
        <v>Guanine nucleotide-binding protein subunit beta-2-like 1;Guanine nucleotide-binding protein subunit beta-2-like 1, N-terminally processed</v>
      </c>
      <c r="K2294" t="str">
        <f>"GNB2L1"</f>
        <v>GNB2L1</v>
      </c>
    </row>
    <row r="2295" spans="1:11" x14ac:dyDescent="0.25">
      <c r="A2295" s="1">
        <v>3066</v>
      </c>
      <c r="B2295" s="1">
        <v>3</v>
      </c>
      <c r="C2295" s="1" t="s">
        <v>3</v>
      </c>
      <c r="D2295" s="1">
        <v>11</v>
      </c>
      <c r="E2295" s="1">
        <v>46.317999999999998</v>
      </c>
      <c r="F2295" s="1">
        <v>0.99995800000000001</v>
      </c>
      <c r="G2295" t="s">
        <v>3631</v>
      </c>
      <c r="H2295" t="s">
        <v>1974</v>
      </c>
      <c r="I2295" t="s">
        <v>5819</v>
      </c>
      <c r="J2295" t="str">
        <f>"Testin"</f>
        <v>Testin</v>
      </c>
      <c r="K2295" t="str">
        <f>"TES"</f>
        <v>TES</v>
      </c>
    </row>
    <row r="2296" spans="1:11" x14ac:dyDescent="0.25">
      <c r="A2296" s="1">
        <v>3041</v>
      </c>
      <c r="B2296" s="1">
        <v>3</v>
      </c>
      <c r="C2296" s="1" t="s">
        <v>3</v>
      </c>
      <c r="D2296" s="1">
        <v>5</v>
      </c>
      <c r="E2296" s="1">
        <v>51.725999999999999</v>
      </c>
      <c r="F2296" s="1">
        <v>0.99975999999999998</v>
      </c>
      <c r="G2296" t="s">
        <v>3632</v>
      </c>
      <c r="H2296" t="s">
        <v>3633</v>
      </c>
      <c r="I2296">
        <v>86</v>
      </c>
      <c r="J2296" t="str">
        <f>"Tropomodulin-3"</f>
        <v>Tropomodulin-3</v>
      </c>
      <c r="K2296" t="str">
        <f>"TMOD3"</f>
        <v>TMOD3</v>
      </c>
    </row>
    <row r="2297" spans="1:11" x14ac:dyDescent="0.25">
      <c r="A2297" s="1">
        <v>2193</v>
      </c>
      <c r="B2297" s="1">
        <v>3</v>
      </c>
      <c r="C2297" s="1" t="s">
        <v>3</v>
      </c>
      <c r="D2297" s="1">
        <v>4</v>
      </c>
      <c r="E2297" s="1">
        <v>44.252000000000002</v>
      </c>
      <c r="F2297" s="1">
        <v>0.82503000000000004</v>
      </c>
      <c r="G2297" t="s">
        <v>3634</v>
      </c>
      <c r="H2297" t="s">
        <v>3635</v>
      </c>
      <c r="I2297" t="s">
        <v>5820</v>
      </c>
      <c r="J2297" t="str">
        <f>"Ephrin type-B receptor 1"</f>
        <v>Ephrin type-B receptor 1</v>
      </c>
      <c r="K2297" t="str">
        <f>"EPHB1"</f>
        <v>EPHB1</v>
      </c>
    </row>
    <row r="2298" spans="1:11" x14ac:dyDescent="0.25">
      <c r="A2298" s="1">
        <v>2194</v>
      </c>
      <c r="B2298" s="1">
        <v>3</v>
      </c>
      <c r="C2298" s="1" t="s">
        <v>3</v>
      </c>
      <c r="D2298" s="1">
        <v>11</v>
      </c>
      <c r="E2298" s="1">
        <v>44.252000000000002</v>
      </c>
      <c r="F2298" s="1">
        <v>0.67053799999999997</v>
      </c>
      <c r="G2298" t="s">
        <v>3634</v>
      </c>
      <c r="H2298" t="s">
        <v>3635</v>
      </c>
      <c r="I2298" t="s">
        <v>5821</v>
      </c>
      <c r="J2298" t="str">
        <f>"Ephrin type-B receptor 1"</f>
        <v>Ephrin type-B receptor 1</v>
      </c>
      <c r="K2298" t="str">
        <f>"EPHB1"</f>
        <v>EPHB1</v>
      </c>
    </row>
    <row r="2299" spans="1:11" x14ac:dyDescent="0.25">
      <c r="A2299" s="1">
        <v>1191</v>
      </c>
      <c r="B2299" s="1">
        <v>3</v>
      </c>
      <c r="C2299" s="1" t="s">
        <v>3</v>
      </c>
      <c r="D2299" s="1">
        <v>9</v>
      </c>
      <c r="E2299" s="1">
        <v>50.896999999999998</v>
      </c>
      <c r="F2299" s="1">
        <v>0.94574899999999995</v>
      </c>
      <c r="G2299" t="s">
        <v>3636</v>
      </c>
      <c r="H2299" t="s">
        <v>3637</v>
      </c>
      <c r="I2299" t="s">
        <v>5822</v>
      </c>
      <c r="J2299" t="str">
        <f>"Casein kinase II subunit alpha;Casein kinase II subunit alpha 3"</f>
        <v>Casein kinase II subunit alpha;Casein kinase II subunit alpha 3</v>
      </c>
      <c r="K2299" t="str">
        <f>"CSNK2A1;CSNK2A3"</f>
        <v>CSNK2A1;CSNK2A3</v>
      </c>
    </row>
    <row r="2300" spans="1:11" x14ac:dyDescent="0.25">
      <c r="A2300" s="1">
        <v>2167</v>
      </c>
      <c r="B2300" s="1">
        <v>3</v>
      </c>
      <c r="C2300" s="1" t="s">
        <v>3</v>
      </c>
      <c r="D2300" s="1">
        <v>9</v>
      </c>
      <c r="E2300" s="1">
        <v>65.043000000000006</v>
      </c>
      <c r="F2300" s="1">
        <v>0.991228</v>
      </c>
      <c r="G2300" t="s">
        <v>3638</v>
      </c>
      <c r="H2300" t="s">
        <v>2117</v>
      </c>
      <c r="I2300" t="s">
        <v>5823</v>
      </c>
      <c r="J2300" t="str">
        <f>"Guanine nucleotide exchange factor VAV2"</f>
        <v>Guanine nucleotide exchange factor VAV2</v>
      </c>
      <c r="K2300" t="str">
        <f>"VAV2"</f>
        <v>VAV2</v>
      </c>
    </row>
    <row r="2301" spans="1:11" x14ac:dyDescent="0.25">
      <c r="A2301" s="1">
        <v>1265</v>
      </c>
      <c r="B2301" s="1">
        <v>3</v>
      </c>
      <c r="C2301" s="1" t="s">
        <v>3</v>
      </c>
      <c r="D2301" s="1">
        <v>3</v>
      </c>
      <c r="E2301" s="1">
        <v>50.353999999999999</v>
      </c>
      <c r="F2301" s="1">
        <v>1</v>
      </c>
      <c r="G2301" t="s">
        <v>3639</v>
      </c>
      <c r="H2301" t="s">
        <v>3640</v>
      </c>
      <c r="I2301" t="s">
        <v>5824</v>
      </c>
      <c r="J2301" t="str">
        <f>"Protein FAM65B"</f>
        <v>Protein FAM65B</v>
      </c>
      <c r="K2301" t="str">
        <f>"FAM65B"</f>
        <v>FAM65B</v>
      </c>
    </row>
    <row r="2302" spans="1:11" x14ac:dyDescent="0.25">
      <c r="A2302" s="1">
        <v>2022</v>
      </c>
      <c r="B2302" s="1">
        <v>3</v>
      </c>
      <c r="C2302" s="1" t="s">
        <v>3</v>
      </c>
      <c r="D2302" s="1">
        <v>9</v>
      </c>
      <c r="E2302" s="1">
        <v>47.68</v>
      </c>
      <c r="F2302" s="1">
        <v>0.75484200000000001</v>
      </c>
      <c r="G2302" t="s">
        <v>3641</v>
      </c>
      <c r="H2302" t="s">
        <v>3642</v>
      </c>
      <c r="I2302" t="s">
        <v>5825</v>
      </c>
      <c r="J2302" t="str">
        <f>"Signal transducer and activator of transcription 3"</f>
        <v>Signal transducer and activator of transcription 3</v>
      </c>
      <c r="K2302" t="str">
        <f>"STAT3"</f>
        <v>STAT3</v>
      </c>
    </row>
    <row r="2303" spans="1:11" x14ac:dyDescent="0.25">
      <c r="A2303" s="1">
        <v>2451</v>
      </c>
      <c r="B2303" s="1">
        <v>2</v>
      </c>
      <c r="C2303" s="1" t="s">
        <v>3</v>
      </c>
      <c r="D2303" s="1">
        <v>8</v>
      </c>
      <c r="E2303" s="1">
        <v>42.843000000000004</v>
      </c>
      <c r="F2303" s="1">
        <v>1</v>
      </c>
      <c r="G2303" t="s">
        <v>3643</v>
      </c>
      <c r="H2303" t="s">
        <v>3202</v>
      </c>
      <c r="I2303" t="s">
        <v>5826</v>
      </c>
      <c r="J2303" t="str">
        <f>"Rap guanine nucleotide exchange factor 1"</f>
        <v>Rap guanine nucleotide exchange factor 1</v>
      </c>
      <c r="K2303" t="str">
        <f>"RAPGEF1"</f>
        <v>RAPGEF1</v>
      </c>
    </row>
    <row r="2304" spans="1:11" x14ac:dyDescent="0.25">
      <c r="A2304" s="1">
        <v>462</v>
      </c>
      <c r="B2304" s="1">
        <v>3</v>
      </c>
      <c r="C2304" s="1" t="s">
        <v>5</v>
      </c>
      <c r="D2304" s="1">
        <v>4</v>
      </c>
      <c r="E2304" s="1">
        <v>51.566000000000003</v>
      </c>
      <c r="F2304" s="1">
        <v>0.53499600000000003</v>
      </c>
      <c r="G2304" t="s">
        <v>3644</v>
      </c>
      <c r="H2304" t="s">
        <v>2735</v>
      </c>
      <c r="I2304">
        <v>422</v>
      </c>
      <c r="J2304" t="str">
        <f>"A-kinase anchor protein 11"</f>
        <v>A-kinase anchor protein 11</v>
      </c>
      <c r="K2304" t="str">
        <f>"AKAP11"</f>
        <v>AKAP11</v>
      </c>
    </row>
    <row r="2305" spans="1:11" x14ac:dyDescent="0.25">
      <c r="A2305" s="1">
        <v>463</v>
      </c>
      <c r="B2305" s="1">
        <v>3</v>
      </c>
      <c r="C2305" s="1" t="s">
        <v>5</v>
      </c>
      <c r="D2305" s="1">
        <v>15</v>
      </c>
      <c r="E2305" s="1">
        <v>51.566000000000003</v>
      </c>
      <c r="F2305" s="1">
        <v>0.99998799999999999</v>
      </c>
      <c r="G2305" t="s">
        <v>3644</v>
      </c>
      <c r="H2305" t="s">
        <v>2735</v>
      </c>
      <c r="I2305">
        <v>433</v>
      </c>
      <c r="J2305" t="str">
        <f>"A-kinase anchor protein 11"</f>
        <v>A-kinase anchor protein 11</v>
      </c>
      <c r="K2305" t="str">
        <f>"AKAP11"</f>
        <v>AKAP11</v>
      </c>
    </row>
    <row r="2306" spans="1:11" x14ac:dyDescent="0.25">
      <c r="A2306" s="1">
        <v>1727</v>
      </c>
      <c r="B2306" s="1">
        <v>3</v>
      </c>
      <c r="C2306" s="1" t="s">
        <v>3</v>
      </c>
      <c r="D2306" s="1">
        <v>8</v>
      </c>
      <c r="E2306" s="1">
        <v>54.276000000000003</v>
      </c>
      <c r="F2306" s="1">
        <v>0.99502400000000002</v>
      </c>
      <c r="G2306" t="s">
        <v>3645</v>
      </c>
      <c r="H2306" t="s">
        <v>319</v>
      </c>
      <c r="I2306">
        <v>34</v>
      </c>
      <c r="J2306" t="str">
        <f>"Tyrosine-protein kinase Fgr"</f>
        <v>Tyrosine-protein kinase Fgr</v>
      </c>
      <c r="K2306" t="str">
        <f>"FGR"</f>
        <v>FGR</v>
      </c>
    </row>
    <row r="2307" spans="1:11" x14ac:dyDescent="0.25">
      <c r="A2307" s="1">
        <v>1911</v>
      </c>
      <c r="B2307" s="1">
        <v>3</v>
      </c>
      <c r="C2307" s="1" t="s">
        <v>3</v>
      </c>
      <c r="D2307" s="1">
        <v>22</v>
      </c>
      <c r="E2307" s="1">
        <v>52.97</v>
      </c>
      <c r="F2307" s="1">
        <v>0.74533199999999999</v>
      </c>
      <c r="G2307" t="s">
        <v>3646</v>
      </c>
      <c r="H2307" t="s">
        <v>3647</v>
      </c>
      <c r="I2307">
        <v>413</v>
      </c>
      <c r="J2307" t="str">
        <f>"Alanine aminotransferase 1"</f>
        <v>Alanine aminotransferase 1</v>
      </c>
      <c r="K2307" t="str">
        <f>"GPT"</f>
        <v>GPT</v>
      </c>
    </row>
    <row r="2308" spans="1:11" x14ac:dyDescent="0.25">
      <c r="A2308" s="1">
        <v>2634</v>
      </c>
      <c r="B2308" s="1">
        <v>3</v>
      </c>
      <c r="C2308" s="1" t="s">
        <v>3</v>
      </c>
      <c r="D2308" s="1">
        <v>13</v>
      </c>
      <c r="E2308" s="1">
        <v>40.197000000000003</v>
      </c>
      <c r="F2308" s="1">
        <v>0.85616499999999995</v>
      </c>
      <c r="G2308" t="s">
        <v>3648</v>
      </c>
      <c r="H2308" t="s">
        <v>1731</v>
      </c>
      <c r="I2308">
        <v>2062</v>
      </c>
      <c r="J2308" t="str">
        <f>"Pre-mRNA-processing-splicing factor 8"</f>
        <v>Pre-mRNA-processing-splicing factor 8</v>
      </c>
      <c r="K2308" t="str">
        <f>"PRPF8"</f>
        <v>PRPF8</v>
      </c>
    </row>
    <row r="2309" spans="1:11" x14ac:dyDescent="0.25">
      <c r="A2309" s="1">
        <v>292</v>
      </c>
      <c r="B2309" s="1">
        <v>2</v>
      </c>
      <c r="C2309" s="1" t="s">
        <v>5</v>
      </c>
      <c r="D2309" s="1">
        <v>12</v>
      </c>
      <c r="E2309" s="1">
        <v>44.511000000000003</v>
      </c>
      <c r="F2309" s="1">
        <v>0.54303400000000002</v>
      </c>
      <c r="G2309" t="s">
        <v>3649</v>
      </c>
      <c r="H2309" t="s">
        <v>442</v>
      </c>
      <c r="I2309" t="s">
        <v>5827</v>
      </c>
      <c r="J2309" t="str">
        <f>"1,4-alpha-glucan-branching enzyme"</f>
        <v>1,4-alpha-glucan-branching enzyme</v>
      </c>
      <c r="K2309" t="str">
        <f>"GBE1"</f>
        <v>GBE1</v>
      </c>
    </row>
    <row r="2310" spans="1:11" x14ac:dyDescent="0.25">
      <c r="A2310" s="1">
        <v>1038</v>
      </c>
      <c r="B2310" s="1">
        <v>2</v>
      </c>
      <c r="C2310" s="1" t="s">
        <v>3</v>
      </c>
      <c r="D2310" s="1">
        <v>3</v>
      </c>
      <c r="E2310" s="1">
        <v>68.480999999999995</v>
      </c>
      <c r="F2310" s="1">
        <v>0.99814099999999994</v>
      </c>
      <c r="G2310" t="s">
        <v>3650</v>
      </c>
      <c r="H2310" t="s">
        <v>3651</v>
      </c>
      <c r="I2310" t="s">
        <v>5828</v>
      </c>
      <c r="J2310" t="str">
        <f>"Polyadenylate-binding protein 4;Polyadenylate-binding protein 1"</f>
        <v>Polyadenylate-binding protein 4;Polyadenylate-binding protein 1</v>
      </c>
      <c r="K2310" t="str">
        <f>"PABPC4;PABPC1"</f>
        <v>PABPC4;PABPC1</v>
      </c>
    </row>
    <row r="2311" spans="1:11" x14ac:dyDescent="0.25">
      <c r="A2311" s="1">
        <v>1116</v>
      </c>
      <c r="B2311" s="1">
        <v>3</v>
      </c>
      <c r="C2311" s="1" t="s">
        <v>3</v>
      </c>
      <c r="D2311" s="1">
        <v>3</v>
      </c>
      <c r="E2311" s="1">
        <v>45.991999999999997</v>
      </c>
      <c r="F2311" s="1">
        <v>0.99947799999999998</v>
      </c>
      <c r="G2311" t="s">
        <v>3652</v>
      </c>
      <c r="H2311" t="s">
        <v>3653</v>
      </c>
      <c r="I2311" t="s">
        <v>5829</v>
      </c>
      <c r="J2311" t="str">
        <f>"FERM, RhoGEF and pleckstrin domain-containing protein 1"</f>
        <v>FERM, RhoGEF and pleckstrin domain-containing protein 1</v>
      </c>
      <c r="K2311" t="str">
        <f>"FARP1"</f>
        <v>FARP1</v>
      </c>
    </row>
    <row r="2312" spans="1:11" x14ac:dyDescent="0.25">
      <c r="A2312" s="1">
        <v>2503</v>
      </c>
      <c r="B2312" s="1">
        <v>4</v>
      </c>
      <c r="C2312" s="1" t="s">
        <v>3</v>
      </c>
      <c r="D2312" s="1">
        <v>6</v>
      </c>
      <c r="E2312" s="1">
        <v>49.707999999999998</v>
      </c>
      <c r="F2312" s="1">
        <v>0.76740200000000003</v>
      </c>
      <c r="G2312" t="s">
        <v>3654</v>
      </c>
      <c r="H2312" t="s">
        <v>3655</v>
      </c>
      <c r="I2312" t="s">
        <v>5830</v>
      </c>
      <c r="J2312" t="str">
        <f>"Nucleolar and coiled-body phosphoprotein 1"</f>
        <v>Nucleolar and coiled-body phosphoprotein 1</v>
      </c>
      <c r="K2312" t="str">
        <f>"NOLC1"</f>
        <v>NOLC1</v>
      </c>
    </row>
    <row r="2313" spans="1:11" x14ac:dyDescent="0.25">
      <c r="A2313" s="1">
        <v>3045</v>
      </c>
      <c r="B2313" s="1">
        <v>2</v>
      </c>
      <c r="C2313" s="1" t="s">
        <v>3</v>
      </c>
      <c r="D2313" s="1">
        <v>5</v>
      </c>
      <c r="E2313" s="1">
        <v>63.076000000000001</v>
      </c>
      <c r="F2313" s="1">
        <v>0.74438700000000002</v>
      </c>
      <c r="G2313" t="s">
        <v>3656</v>
      </c>
      <c r="H2313" t="s">
        <v>1284</v>
      </c>
      <c r="I2313">
        <v>1019</v>
      </c>
      <c r="J2313" t="str">
        <f>"Cysteine-rich motor neuron 1 protein;Processed cysteine-rich motor neuron 1 protein"</f>
        <v>Cysteine-rich motor neuron 1 protein;Processed cysteine-rich motor neuron 1 protein</v>
      </c>
      <c r="K2313" t="str">
        <f>"CRIM1"</f>
        <v>CRIM1</v>
      </c>
    </row>
    <row r="2314" spans="1:11" x14ac:dyDescent="0.25">
      <c r="A2314" s="1">
        <v>1369</v>
      </c>
      <c r="B2314" s="1">
        <v>2</v>
      </c>
      <c r="C2314" s="1" t="s">
        <v>3</v>
      </c>
      <c r="D2314" s="1">
        <v>9</v>
      </c>
      <c r="E2314" s="1">
        <v>62.466000000000001</v>
      </c>
      <c r="F2314" s="1">
        <v>0.99999899999999997</v>
      </c>
      <c r="G2314" t="s">
        <v>3657</v>
      </c>
      <c r="H2314" t="s">
        <v>3658</v>
      </c>
      <c r="I2314" t="s">
        <v>5831</v>
      </c>
      <c r="J2314" t="str">
        <f>"Serine/arginine-rich splicing factor 1"</f>
        <v>Serine/arginine-rich splicing factor 1</v>
      </c>
      <c r="K2314" t="str">
        <f>"SRSF1"</f>
        <v>SRSF1</v>
      </c>
    </row>
    <row r="2315" spans="1:11" x14ac:dyDescent="0.25">
      <c r="A2315" s="1">
        <v>2483</v>
      </c>
      <c r="B2315" s="1">
        <v>3</v>
      </c>
      <c r="C2315" s="1" t="s">
        <v>3</v>
      </c>
      <c r="D2315" s="1">
        <v>5</v>
      </c>
      <c r="E2315" s="1">
        <v>43.761000000000003</v>
      </c>
      <c r="F2315" s="1">
        <v>0.94729399999999997</v>
      </c>
      <c r="G2315" t="s">
        <v>3659</v>
      </c>
      <c r="H2315" t="s">
        <v>3660</v>
      </c>
      <c r="I2315" t="s">
        <v>5832</v>
      </c>
      <c r="J2315" t="str">
        <f>"Protein FAM50A;Protein FAM50B"</f>
        <v>Protein FAM50A;Protein FAM50B</v>
      </c>
      <c r="K2315" t="str">
        <f>"FAM50A;FAM50B"</f>
        <v>FAM50A;FAM50B</v>
      </c>
    </row>
    <row r="2316" spans="1:11" x14ac:dyDescent="0.25">
      <c r="A2316" s="1">
        <v>168</v>
      </c>
      <c r="B2316" s="1">
        <v>2</v>
      </c>
      <c r="C2316" s="1" t="s">
        <v>5</v>
      </c>
      <c r="D2316" s="1">
        <v>7</v>
      </c>
      <c r="E2316" s="1">
        <v>46.069000000000003</v>
      </c>
      <c r="F2316" s="1">
        <v>0.52901399999999998</v>
      </c>
      <c r="G2316" t="s">
        <v>3661</v>
      </c>
      <c r="H2316" t="s">
        <v>3662</v>
      </c>
      <c r="I2316">
        <v>134</v>
      </c>
      <c r="J2316" t="str">
        <f>"Argininosuccinate synthase"</f>
        <v>Argininosuccinate synthase</v>
      </c>
      <c r="K2316" t="str">
        <f>"ASS1"</f>
        <v>ASS1</v>
      </c>
    </row>
    <row r="2317" spans="1:11" x14ac:dyDescent="0.25">
      <c r="A2317" s="1">
        <v>2012</v>
      </c>
      <c r="B2317" s="1">
        <v>3</v>
      </c>
      <c r="C2317" s="1" t="s">
        <v>3</v>
      </c>
      <c r="D2317" s="1">
        <v>14</v>
      </c>
      <c r="E2317" s="1">
        <v>46.249000000000002</v>
      </c>
      <c r="F2317" s="1">
        <v>0.99536599999999997</v>
      </c>
      <c r="G2317" t="s">
        <v>3663</v>
      </c>
      <c r="H2317" t="s">
        <v>3664</v>
      </c>
      <c r="I2317" t="s">
        <v>5833</v>
      </c>
      <c r="J2317" t="str">
        <f>"DNA-directed RNA polymerase II subunit RPB9"</f>
        <v>DNA-directed RNA polymerase II subunit RPB9</v>
      </c>
      <c r="K2317" t="str">
        <f>"POLR2I"</f>
        <v>POLR2I</v>
      </c>
    </row>
    <row r="2318" spans="1:11" x14ac:dyDescent="0.25">
      <c r="A2318" s="1">
        <v>194</v>
      </c>
      <c r="B2318" s="1">
        <v>2</v>
      </c>
      <c r="C2318" s="1" t="s">
        <v>5</v>
      </c>
      <c r="D2318" s="1">
        <v>8</v>
      </c>
      <c r="E2318" s="1">
        <v>44.542999999999999</v>
      </c>
      <c r="F2318" s="1">
        <v>0.545933</v>
      </c>
      <c r="G2318" t="s">
        <v>3665</v>
      </c>
      <c r="H2318" t="s">
        <v>2224</v>
      </c>
      <c r="I2318" t="s">
        <v>5834</v>
      </c>
      <c r="J2318" t="str">
        <f>"Annexin A5;Annexin"</f>
        <v>Annexin A5;Annexin</v>
      </c>
      <c r="K2318" t="str">
        <f>"ANXA5"</f>
        <v>ANXA5</v>
      </c>
    </row>
    <row r="2319" spans="1:11" x14ac:dyDescent="0.25">
      <c r="A2319" s="1">
        <v>774</v>
      </c>
      <c r="B2319" s="1">
        <v>3</v>
      </c>
      <c r="C2319" s="1" t="s">
        <v>3</v>
      </c>
      <c r="D2319" s="1">
        <v>5</v>
      </c>
      <c r="E2319" s="1">
        <v>41.512999999999998</v>
      </c>
      <c r="F2319" s="1">
        <v>0.99479200000000001</v>
      </c>
      <c r="G2319" t="s">
        <v>3666</v>
      </c>
      <c r="H2319" t="s">
        <v>3667</v>
      </c>
      <c r="I2319" t="s">
        <v>5835</v>
      </c>
      <c r="J2319" t="str">
        <f>"EH domain-containing protein 4"</f>
        <v>EH domain-containing protein 4</v>
      </c>
      <c r="K2319" t="str">
        <f>"EHD4"</f>
        <v>EHD4</v>
      </c>
    </row>
    <row r="2320" spans="1:11" x14ac:dyDescent="0.25">
      <c r="A2320" s="1">
        <v>478</v>
      </c>
      <c r="B2320" s="1">
        <v>4</v>
      </c>
      <c r="C2320" s="1" t="s">
        <v>5</v>
      </c>
      <c r="D2320" s="1">
        <v>20</v>
      </c>
      <c r="E2320" s="1">
        <v>56.131</v>
      </c>
      <c r="F2320" s="1">
        <v>0.52020500000000003</v>
      </c>
      <c r="G2320" t="s">
        <v>3668</v>
      </c>
      <c r="H2320" t="s">
        <v>999</v>
      </c>
      <c r="I2320" t="s">
        <v>5836</v>
      </c>
      <c r="J2320" t="str">
        <f>"Plakophilin-3"</f>
        <v>Plakophilin-3</v>
      </c>
      <c r="K2320" t="str">
        <f>"PKP3"</f>
        <v>PKP3</v>
      </c>
    </row>
    <row r="2321" spans="1:11" x14ac:dyDescent="0.25">
      <c r="A2321" s="1">
        <v>535</v>
      </c>
      <c r="B2321" s="1">
        <v>3</v>
      </c>
      <c r="C2321" s="1" t="s">
        <v>4</v>
      </c>
      <c r="D2321" s="1">
        <v>9</v>
      </c>
      <c r="E2321" s="1">
        <v>58.32</v>
      </c>
      <c r="F2321" s="1">
        <v>0.79224399999999995</v>
      </c>
      <c r="G2321" t="s">
        <v>3176</v>
      </c>
      <c r="H2321" t="s">
        <v>270</v>
      </c>
      <c r="I2321" t="s">
        <v>5837</v>
      </c>
      <c r="J2321" t="str">
        <f>"Tensin-1"</f>
        <v>Tensin-1</v>
      </c>
      <c r="K2321" t="str">
        <f>"TNS1"</f>
        <v>TNS1</v>
      </c>
    </row>
    <row r="2322" spans="1:11" x14ac:dyDescent="0.25">
      <c r="A2322" s="1">
        <v>1273</v>
      </c>
      <c r="B2322" s="1">
        <v>2</v>
      </c>
      <c r="C2322" s="1" t="s">
        <v>3</v>
      </c>
      <c r="D2322" s="1">
        <v>2</v>
      </c>
      <c r="E2322" s="1">
        <v>74.611000000000004</v>
      </c>
      <c r="F2322" s="1">
        <v>0.99614899999999995</v>
      </c>
      <c r="G2322" t="s">
        <v>3669</v>
      </c>
      <c r="H2322" t="s">
        <v>513</v>
      </c>
      <c r="I2322" t="s">
        <v>5838</v>
      </c>
      <c r="J2322" t="str">
        <f>"Paxillin"</f>
        <v>Paxillin</v>
      </c>
      <c r="K2322" t="str">
        <f>"PXN"</f>
        <v>PXN</v>
      </c>
    </row>
    <row r="2323" spans="1:11" x14ac:dyDescent="0.25">
      <c r="A2323" s="1">
        <v>1987</v>
      </c>
      <c r="B2323" s="1">
        <v>3</v>
      </c>
      <c r="C2323" s="1" t="s">
        <v>3</v>
      </c>
      <c r="D2323" s="1">
        <v>14</v>
      </c>
      <c r="E2323" s="1">
        <v>54.103000000000002</v>
      </c>
      <c r="F2323" s="1">
        <v>0.94108700000000001</v>
      </c>
      <c r="G2323" t="s">
        <v>3670</v>
      </c>
      <c r="H2323" t="s">
        <v>3671</v>
      </c>
      <c r="I2323" t="s">
        <v>5839</v>
      </c>
      <c r="J2323" t="str">
        <f>"Stress-induced-phosphoprotein 1"</f>
        <v>Stress-induced-phosphoprotein 1</v>
      </c>
      <c r="K2323" t="str">
        <f>"STIP1"</f>
        <v>STIP1</v>
      </c>
    </row>
    <row r="2324" spans="1:11" x14ac:dyDescent="0.25">
      <c r="A2324" s="1">
        <v>2653</v>
      </c>
      <c r="B2324" s="1">
        <v>4</v>
      </c>
      <c r="C2324" s="1" t="s">
        <v>3</v>
      </c>
      <c r="D2324" s="1">
        <v>3</v>
      </c>
      <c r="E2324" s="1">
        <v>45.618000000000002</v>
      </c>
      <c r="F2324" s="1">
        <v>0.999973</v>
      </c>
      <c r="G2324" t="s">
        <v>3672</v>
      </c>
      <c r="H2324" t="s">
        <v>3673</v>
      </c>
      <c r="I2324" t="s">
        <v>5840</v>
      </c>
      <c r="J2324" t="str">
        <f>"Acyl-CoA dehydrogenase family member 11"</f>
        <v>Acyl-CoA dehydrogenase family member 11</v>
      </c>
      <c r="K2324" t="str">
        <f>"ACAD11"</f>
        <v>ACAD11</v>
      </c>
    </row>
    <row r="2325" spans="1:11" x14ac:dyDescent="0.25">
      <c r="A2325" s="1">
        <v>2460</v>
      </c>
      <c r="B2325" s="1">
        <v>3</v>
      </c>
      <c r="C2325" s="1" t="s">
        <v>3</v>
      </c>
      <c r="D2325" s="1">
        <v>5</v>
      </c>
      <c r="E2325" s="1">
        <v>40.277999999999999</v>
      </c>
      <c r="F2325" s="1">
        <v>0.81093800000000005</v>
      </c>
      <c r="G2325" t="s">
        <v>3674</v>
      </c>
      <c r="H2325" t="s">
        <v>2988</v>
      </c>
      <c r="I2325">
        <v>177</v>
      </c>
      <c r="J2325" t="str">
        <f>"Tubulin--tyrosine ligase-like protein 12"</f>
        <v>Tubulin--tyrosine ligase-like protein 12</v>
      </c>
      <c r="K2325" t="str">
        <f>"TTLL12"</f>
        <v>TTLL12</v>
      </c>
    </row>
    <row r="2326" spans="1:11" x14ac:dyDescent="0.25">
      <c r="A2326" s="1">
        <v>1243</v>
      </c>
      <c r="B2326" s="1">
        <v>3</v>
      </c>
      <c r="C2326" s="1" t="s">
        <v>3</v>
      </c>
      <c r="D2326" s="1">
        <v>1</v>
      </c>
      <c r="E2326" s="1">
        <v>42.947000000000003</v>
      </c>
      <c r="F2326" s="1">
        <v>0.98445099999999996</v>
      </c>
      <c r="G2326" t="s">
        <v>3675</v>
      </c>
      <c r="H2326" t="s">
        <v>3676</v>
      </c>
      <c r="I2326">
        <v>1108</v>
      </c>
      <c r="J2326" t="str">
        <f>""</f>
        <v/>
      </c>
      <c r="K2326" t="str">
        <f>"PLEKHA7"</f>
        <v>PLEKHA7</v>
      </c>
    </row>
    <row r="2327" spans="1:11" x14ac:dyDescent="0.25">
      <c r="A2327" s="1">
        <v>2784</v>
      </c>
      <c r="B2327" s="1">
        <v>3</v>
      </c>
      <c r="C2327" s="1" t="s">
        <v>3</v>
      </c>
      <c r="D2327" s="1">
        <v>8</v>
      </c>
      <c r="E2327" s="1">
        <v>50.357999999999997</v>
      </c>
      <c r="F2327" s="1">
        <v>0.99819400000000003</v>
      </c>
      <c r="G2327" t="s">
        <v>3677</v>
      </c>
      <c r="H2327" t="s">
        <v>3678</v>
      </c>
      <c r="I2327">
        <v>407</v>
      </c>
      <c r="J2327" t="str">
        <f>"Transforming growth factor-beta receptor-associated protein 1"</f>
        <v>Transforming growth factor-beta receptor-associated protein 1</v>
      </c>
      <c r="K2327" t="str">
        <f>"TGFBRAP1"</f>
        <v>TGFBRAP1</v>
      </c>
    </row>
    <row r="2328" spans="1:11" x14ac:dyDescent="0.25">
      <c r="A2328" s="1">
        <v>1388</v>
      </c>
      <c r="B2328" s="1">
        <v>3</v>
      </c>
      <c r="C2328" s="1" t="s">
        <v>3</v>
      </c>
      <c r="D2328" s="1">
        <v>8</v>
      </c>
      <c r="E2328" s="1">
        <v>44.424999999999997</v>
      </c>
      <c r="F2328" s="1">
        <v>1</v>
      </c>
      <c r="G2328" t="s">
        <v>3679</v>
      </c>
      <c r="H2328" t="s">
        <v>3680</v>
      </c>
      <c r="I2328" t="s">
        <v>5841</v>
      </c>
      <c r="J2328" t="str">
        <f>""</f>
        <v/>
      </c>
      <c r="K2328" t="str">
        <f>"SMAD4"</f>
        <v>SMAD4</v>
      </c>
    </row>
    <row r="2329" spans="1:11" x14ac:dyDescent="0.25">
      <c r="A2329" s="1">
        <v>436</v>
      </c>
      <c r="B2329" s="1">
        <v>2</v>
      </c>
      <c r="C2329" s="1" t="s">
        <v>5</v>
      </c>
      <c r="D2329" s="1">
        <v>8</v>
      </c>
      <c r="E2329" s="1">
        <v>44.847000000000001</v>
      </c>
      <c r="F2329" s="1">
        <v>0.55449400000000004</v>
      </c>
      <c r="G2329" t="s">
        <v>3681</v>
      </c>
      <c r="H2329" t="s">
        <v>3682</v>
      </c>
      <c r="I2329">
        <v>85</v>
      </c>
      <c r="J2329" t="str">
        <f>"Golgi-associated plant pathogenesis-related protein 1"</f>
        <v>Golgi-associated plant pathogenesis-related protein 1</v>
      </c>
      <c r="K2329" t="str">
        <f>"GLIPR2"</f>
        <v>GLIPR2</v>
      </c>
    </row>
    <row r="2330" spans="1:11" x14ac:dyDescent="0.25">
      <c r="A2330" s="1">
        <v>1594</v>
      </c>
      <c r="B2330" s="1">
        <v>3</v>
      </c>
      <c r="C2330" s="1" t="s">
        <v>3</v>
      </c>
      <c r="D2330" s="1">
        <v>9</v>
      </c>
      <c r="E2330" s="1">
        <v>78.441000000000003</v>
      </c>
      <c r="F2330" s="1">
        <v>1</v>
      </c>
      <c r="G2330" t="s">
        <v>3683</v>
      </c>
      <c r="H2330" t="s">
        <v>3684</v>
      </c>
      <c r="I2330" t="s">
        <v>5842</v>
      </c>
      <c r="J2330" t="str">
        <f>"Epidermal growth factor receptor"</f>
        <v>Epidermal growth factor receptor</v>
      </c>
      <c r="K2330" t="str">
        <f>"EGFR"</f>
        <v>EGFR</v>
      </c>
    </row>
    <row r="2331" spans="1:11" x14ac:dyDescent="0.25">
      <c r="A2331" s="1">
        <v>2547</v>
      </c>
      <c r="B2331" s="1">
        <v>3</v>
      </c>
      <c r="C2331" s="1" t="s">
        <v>3</v>
      </c>
      <c r="D2331" s="1">
        <v>6</v>
      </c>
      <c r="E2331" s="1">
        <v>68.224000000000004</v>
      </c>
      <c r="F2331" s="1">
        <v>0.98503300000000005</v>
      </c>
      <c r="G2331" t="s">
        <v>3685</v>
      </c>
      <c r="H2331" t="s">
        <v>3686</v>
      </c>
      <c r="I2331">
        <v>80</v>
      </c>
      <c r="J2331" t="str">
        <f>"Coiled-coil domain-containing protein 6"</f>
        <v>Coiled-coil domain-containing protein 6</v>
      </c>
      <c r="K2331" t="str">
        <f>"CCDC6"</f>
        <v>CCDC6</v>
      </c>
    </row>
    <row r="2332" spans="1:11" x14ac:dyDescent="0.25">
      <c r="A2332" s="1">
        <v>2958</v>
      </c>
      <c r="B2332" s="1">
        <v>3</v>
      </c>
      <c r="C2332" s="1" t="s">
        <v>3</v>
      </c>
      <c r="D2332" s="1">
        <v>10</v>
      </c>
      <c r="E2332" s="1">
        <v>56.569000000000003</v>
      </c>
      <c r="F2332" s="1">
        <v>0.99988299999999997</v>
      </c>
      <c r="G2332" t="s">
        <v>3687</v>
      </c>
      <c r="H2332" t="s">
        <v>3688</v>
      </c>
      <c r="I2332" t="s">
        <v>4487</v>
      </c>
      <c r="J2332" t="str">
        <f>"Protein SMG9"</f>
        <v>Protein SMG9</v>
      </c>
      <c r="K2332" t="str">
        <f>"SMG9"</f>
        <v>SMG9</v>
      </c>
    </row>
    <row r="2333" spans="1:11" x14ac:dyDescent="0.25">
      <c r="A2333" s="1">
        <v>1852</v>
      </c>
      <c r="B2333" s="1">
        <v>2</v>
      </c>
      <c r="C2333" s="1" t="s">
        <v>3</v>
      </c>
      <c r="D2333" s="1">
        <v>5</v>
      </c>
      <c r="E2333" s="1">
        <v>51.03</v>
      </c>
      <c r="F2333" s="1">
        <v>0.87799400000000005</v>
      </c>
      <c r="G2333" t="s">
        <v>3689</v>
      </c>
      <c r="H2333" t="s">
        <v>2893</v>
      </c>
      <c r="I2333" t="s">
        <v>4936</v>
      </c>
      <c r="J2333" t="str">
        <f>"Plasma membrane calcium-transporting ATPase 1"</f>
        <v>Plasma membrane calcium-transporting ATPase 1</v>
      </c>
      <c r="K2333" t="str">
        <f>"ATP2B1"</f>
        <v>ATP2B1</v>
      </c>
    </row>
    <row r="2334" spans="1:11" x14ac:dyDescent="0.25">
      <c r="A2334" s="1">
        <v>1631</v>
      </c>
      <c r="B2334" s="1">
        <v>3</v>
      </c>
      <c r="C2334" s="1" t="s">
        <v>3</v>
      </c>
      <c r="D2334" s="1">
        <v>7</v>
      </c>
      <c r="E2334" s="1">
        <v>43.896999999999998</v>
      </c>
      <c r="F2334" s="1">
        <v>0.99874200000000002</v>
      </c>
      <c r="G2334" t="s">
        <v>3690</v>
      </c>
      <c r="H2334" t="s">
        <v>3691</v>
      </c>
      <c r="I2334">
        <v>150</v>
      </c>
      <c r="J2334" t="str">
        <f>"Eukaryotic translation initiation factor 2 subunit 1"</f>
        <v>Eukaryotic translation initiation factor 2 subunit 1</v>
      </c>
      <c r="K2334" t="str">
        <f>"EIF2S1"</f>
        <v>EIF2S1</v>
      </c>
    </row>
    <row r="2335" spans="1:11" x14ac:dyDescent="0.25">
      <c r="A2335" s="1">
        <v>1318</v>
      </c>
      <c r="B2335" s="1">
        <v>3</v>
      </c>
      <c r="C2335" s="1" t="s">
        <v>3</v>
      </c>
      <c r="D2335" s="1">
        <v>8</v>
      </c>
      <c r="E2335" s="1">
        <v>47.621000000000002</v>
      </c>
      <c r="F2335" s="1">
        <v>0.69407399999999997</v>
      </c>
      <c r="G2335" t="s">
        <v>3692</v>
      </c>
      <c r="H2335" t="s">
        <v>3693</v>
      </c>
      <c r="I2335" t="s">
        <v>5843</v>
      </c>
      <c r="J2335" t="str">
        <f>"Cleavage and polyadenylation specificity factor subunit 6"</f>
        <v>Cleavage and polyadenylation specificity factor subunit 6</v>
      </c>
      <c r="K2335" t="str">
        <f>"CPSF6"</f>
        <v>CPSF6</v>
      </c>
    </row>
    <row r="2336" spans="1:11" x14ac:dyDescent="0.25">
      <c r="A2336" s="1">
        <v>707</v>
      </c>
      <c r="B2336" s="1">
        <v>3</v>
      </c>
      <c r="C2336" s="1" t="s">
        <v>4</v>
      </c>
      <c r="D2336" s="1">
        <v>5</v>
      </c>
      <c r="E2336" s="1">
        <v>59.338999999999999</v>
      </c>
      <c r="F2336" s="1">
        <v>0.53403800000000001</v>
      </c>
      <c r="G2336" t="s">
        <v>3694</v>
      </c>
      <c r="H2336" t="s">
        <v>2833</v>
      </c>
      <c r="I2336" t="s">
        <v>5844</v>
      </c>
      <c r="J2336" t="str">
        <f>"Golgin subfamily A member 5"</f>
        <v>Golgin subfamily A member 5</v>
      </c>
      <c r="K2336" t="str">
        <f>"GOLGA5"</f>
        <v>GOLGA5</v>
      </c>
    </row>
    <row r="2337" spans="1:11" x14ac:dyDescent="0.25">
      <c r="A2337" s="1">
        <v>3165</v>
      </c>
      <c r="B2337" s="1">
        <v>2</v>
      </c>
      <c r="C2337" s="1" t="s">
        <v>3</v>
      </c>
      <c r="D2337" s="1">
        <v>9</v>
      </c>
      <c r="E2337" s="1">
        <v>57.106000000000002</v>
      </c>
      <c r="F2337" s="1">
        <v>0.99920200000000003</v>
      </c>
      <c r="G2337" t="s">
        <v>3695</v>
      </c>
      <c r="H2337" t="s">
        <v>3696</v>
      </c>
      <c r="I2337">
        <v>540</v>
      </c>
      <c r="J2337" t="str">
        <f>"Calpain-6"</f>
        <v>Calpain-6</v>
      </c>
      <c r="K2337" t="str">
        <f>"CAPN6"</f>
        <v>CAPN6</v>
      </c>
    </row>
    <row r="2338" spans="1:11" x14ac:dyDescent="0.25">
      <c r="A2338" s="1">
        <v>411</v>
      </c>
      <c r="B2338" s="1">
        <v>3</v>
      </c>
      <c r="C2338" s="1" t="s">
        <v>5</v>
      </c>
      <c r="D2338" s="1">
        <v>1</v>
      </c>
      <c r="E2338" s="1">
        <v>52.451000000000001</v>
      </c>
      <c r="F2338" s="1">
        <v>0.52075400000000005</v>
      </c>
      <c r="G2338" t="s">
        <v>3697</v>
      </c>
      <c r="H2338" t="s">
        <v>111</v>
      </c>
      <c r="I2338" t="s">
        <v>4318</v>
      </c>
      <c r="J2338" t="str">
        <f>"Sodium-coupled neutral amino acid transporter 2"</f>
        <v>Sodium-coupled neutral amino acid transporter 2</v>
      </c>
      <c r="K2338" t="str">
        <f>"SLC38A2"</f>
        <v>SLC38A2</v>
      </c>
    </row>
    <row r="2339" spans="1:11" x14ac:dyDescent="0.25">
      <c r="A2339" s="1">
        <v>3113</v>
      </c>
      <c r="B2339" s="1">
        <v>2</v>
      </c>
      <c r="C2339" s="1" t="s">
        <v>3</v>
      </c>
      <c r="D2339" s="1">
        <v>5</v>
      </c>
      <c r="E2339" s="1">
        <v>53.448</v>
      </c>
      <c r="F2339" s="1">
        <v>0.97428199999999998</v>
      </c>
      <c r="G2339" t="s">
        <v>3698</v>
      </c>
      <c r="H2339" t="s">
        <v>3699</v>
      </c>
      <c r="I2339" t="s">
        <v>5845</v>
      </c>
      <c r="J2339" t="str">
        <f>"Myotubularin-related protein 6"</f>
        <v>Myotubularin-related protein 6</v>
      </c>
      <c r="K2339" t="str">
        <f>"MTMR6"</f>
        <v>MTMR6</v>
      </c>
    </row>
    <row r="2340" spans="1:11" x14ac:dyDescent="0.25">
      <c r="A2340" s="1">
        <v>2666</v>
      </c>
      <c r="B2340" s="1">
        <v>3</v>
      </c>
      <c r="C2340" s="1" t="s">
        <v>3</v>
      </c>
      <c r="D2340" s="1">
        <v>5</v>
      </c>
      <c r="E2340" s="1">
        <v>56.569000000000003</v>
      </c>
      <c r="F2340" s="1">
        <v>0.99999400000000005</v>
      </c>
      <c r="G2340" t="s">
        <v>3700</v>
      </c>
      <c r="H2340" t="s">
        <v>3701</v>
      </c>
      <c r="I2340" t="s">
        <v>5846</v>
      </c>
      <c r="J2340" t="str">
        <f>"TBC1 domain family member 1"</f>
        <v>TBC1 domain family member 1</v>
      </c>
      <c r="K2340" t="str">
        <f>"TBC1D1"</f>
        <v>TBC1D1</v>
      </c>
    </row>
    <row r="2341" spans="1:11" x14ac:dyDescent="0.25">
      <c r="A2341" s="1">
        <v>1445</v>
      </c>
      <c r="B2341" s="1">
        <v>3</v>
      </c>
      <c r="C2341" s="1" t="s">
        <v>3</v>
      </c>
      <c r="D2341" s="1">
        <v>7</v>
      </c>
      <c r="E2341" s="1">
        <v>42.633000000000003</v>
      </c>
      <c r="F2341" s="1">
        <v>0.94240699999999999</v>
      </c>
      <c r="G2341" t="s">
        <v>3702</v>
      </c>
      <c r="H2341" t="s">
        <v>3703</v>
      </c>
      <c r="I2341" t="s">
        <v>5847</v>
      </c>
      <c r="J2341" t="str">
        <f>"Heterogeneous nuclear ribonucleoprotein D-like"</f>
        <v>Heterogeneous nuclear ribonucleoprotein D-like</v>
      </c>
      <c r="K2341" t="str">
        <f>"HNRNPDL"</f>
        <v>HNRNPDL</v>
      </c>
    </row>
    <row r="2342" spans="1:11" x14ac:dyDescent="0.25">
      <c r="A2342" s="1">
        <v>291</v>
      </c>
      <c r="B2342" s="1">
        <v>3</v>
      </c>
      <c r="C2342" s="1" t="s">
        <v>5</v>
      </c>
      <c r="D2342" s="1">
        <v>14</v>
      </c>
      <c r="E2342" s="1">
        <v>66.536000000000001</v>
      </c>
      <c r="F2342" s="1">
        <v>0.52981500000000004</v>
      </c>
      <c r="G2342" t="s">
        <v>3704</v>
      </c>
      <c r="H2342" t="s">
        <v>442</v>
      </c>
      <c r="I2342" t="s">
        <v>5848</v>
      </c>
      <c r="J2342" t="str">
        <f>"1,4-alpha-glucan-branching enzyme"</f>
        <v>1,4-alpha-glucan-branching enzyme</v>
      </c>
      <c r="K2342" t="str">
        <f>"GBE1"</f>
        <v>GBE1</v>
      </c>
    </row>
    <row r="2343" spans="1:11" x14ac:dyDescent="0.25">
      <c r="A2343" s="1">
        <v>2275</v>
      </c>
      <c r="B2343" s="1">
        <v>2</v>
      </c>
      <c r="C2343" s="1" t="s">
        <v>3</v>
      </c>
      <c r="D2343" s="1">
        <v>1</v>
      </c>
      <c r="E2343" s="1">
        <v>55.261000000000003</v>
      </c>
      <c r="F2343" s="1">
        <v>0.99999000000000005</v>
      </c>
      <c r="G2343" t="s">
        <v>3705</v>
      </c>
      <c r="H2343" t="s">
        <v>3107</v>
      </c>
      <c r="I2343" t="s">
        <v>5849</v>
      </c>
      <c r="J2343" t="str">
        <f>"Guanine nucleotide-binding protein subunit beta-2-like 1;Guanine nucleotide-binding protein subunit beta-2-like 1, N-terminally processed"</f>
        <v>Guanine nucleotide-binding protein subunit beta-2-like 1;Guanine nucleotide-binding protein subunit beta-2-like 1, N-terminally processed</v>
      </c>
      <c r="K2343" t="str">
        <f>"GNB2L1"</f>
        <v>GNB2L1</v>
      </c>
    </row>
    <row r="2344" spans="1:11" x14ac:dyDescent="0.25">
      <c r="A2344" s="1">
        <v>2378</v>
      </c>
      <c r="B2344" s="1">
        <v>2</v>
      </c>
      <c r="C2344" s="1" t="s">
        <v>3</v>
      </c>
      <c r="D2344" s="1">
        <v>8</v>
      </c>
      <c r="E2344" s="1">
        <v>42.082999999999998</v>
      </c>
      <c r="F2344" s="1">
        <v>0.96887100000000004</v>
      </c>
      <c r="G2344" t="s">
        <v>3706</v>
      </c>
      <c r="H2344" t="s">
        <v>3707</v>
      </c>
      <c r="I2344" t="s">
        <v>5850</v>
      </c>
      <c r="J2344" t="str">
        <f>"Syntaxin-4"</f>
        <v>Syntaxin-4</v>
      </c>
      <c r="K2344" t="str">
        <f>"STX4"</f>
        <v>STX4</v>
      </c>
    </row>
    <row r="2345" spans="1:11" x14ac:dyDescent="0.25">
      <c r="A2345" s="1">
        <v>631</v>
      </c>
      <c r="B2345" s="1">
        <v>2</v>
      </c>
      <c r="C2345" s="1" t="s">
        <v>4</v>
      </c>
      <c r="D2345" s="1">
        <v>12</v>
      </c>
      <c r="E2345" s="1">
        <v>67.135999999999996</v>
      </c>
      <c r="F2345" s="1">
        <v>0.55104299999999995</v>
      </c>
      <c r="G2345" t="s">
        <v>3708</v>
      </c>
      <c r="H2345" t="s">
        <v>728</v>
      </c>
      <c r="I2345" t="s">
        <v>5851</v>
      </c>
      <c r="J2345" t="str">
        <f>"Rab GDP dissociation inhibitor beta"</f>
        <v>Rab GDP dissociation inhibitor beta</v>
      </c>
      <c r="K2345" t="str">
        <f>"GDI2"</f>
        <v>GDI2</v>
      </c>
    </row>
    <row r="2346" spans="1:11" x14ac:dyDescent="0.25">
      <c r="A2346" s="1">
        <v>2243</v>
      </c>
      <c r="B2346" s="1">
        <v>3</v>
      </c>
      <c r="C2346" s="1" t="s">
        <v>3</v>
      </c>
      <c r="D2346" s="1">
        <v>1</v>
      </c>
      <c r="E2346" s="1">
        <v>51.03</v>
      </c>
      <c r="F2346" s="1">
        <v>0.99726800000000004</v>
      </c>
      <c r="G2346" t="s">
        <v>3709</v>
      </c>
      <c r="H2346" t="s">
        <v>2349</v>
      </c>
      <c r="I2346">
        <v>304</v>
      </c>
      <c r="J2346" t="str">
        <f>"Serine/threonine-protein phosphatase PP1-beta catalytic subunit"</f>
        <v>Serine/threonine-protein phosphatase PP1-beta catalytic subunit</v>
      </c>
      <c r="K2346" t="str">
        <f>"PPP1CB"</f>
        <v>PPP1CB</v>
      </c>
    </row>
    <row r="2347" spans="1:11" x14ac:dyDescent="0.25">
      <c r="A2347" s="1">
        <v>1392</v>
      </c>
      <c r="B2347" s="1">
        <v>3</v>
      </c>
      <c r="C2347" s="1" t="s">
        <v>3</v>
      </c>
      <c r="D2347" s="1">
        <v>2</v>
      </c>
      <c r="E2347" s="1">
        <v>44.542999999999999</v>
      </c>
      <c r="F2347" s="1">
        <v>0.95866300000000004</v>
      </c>
      <c r="G2347" t="s">
        <v>3710</v>
      </c>
      <c r="H2347" t="s">
        <v>3711</v>
      </c>
      <c r="I2347" t="s">
        <v>5852</v>
      </c>
      <c r="J2347" t="str">
        <f>"Signal transducer and activator of transcription;Signal transducer and activator of transcription 5A"</f>
        <v>Signal transducer and activator of transcription;Signal transducer and activator of transcription 5A</v>
      </c>
      <c r="K2347" t="str">
        <f>"STAT5A"</f>
        <v>STAT5A</v>
      </c>
    </row>
    <row r="2348" spans="1:11" x14ac:dyDescent="0.25">
      <c r="A2348" s="1">
        <v>2993</v>
      </c>
      <c r="B2348" s="1">
        <v>2</v>
      </c>
      <c r="C2348" s="1" t="s">
        <v>3</v>
      </c>
      <c r="D2348" s="1">
        <v>6</v>
      </c>
      <c r="E2348" s="1">
        <v>42.628999999999998</v>
      </c>
      <c r="F2348" s="1">
        <v>0.99989300000000003</v>
      </c>
      <c r="G2348" t="s">
        <v>3712</v>
      </c>
      <c r="H2348" t="s">
        <v>3713</v>
      </c>
      <c r="I2348" t="s">
        <v>5853</v>
      </c>
      <c r="J2348" t="str">
        <f>"Synaptotagmin-like protein 2"</f>
        <v>Synaptotagmin-like protein 2</v>
      </c>
      <c r="K2348" t="str">
        <f>"SYTL2"</f>
        <v>SYTL2</v>
      </c>
    </row>
    <row r="2349" spans="1:11" x14ac:dyDescent="0.25">
      <c r="A2349" s="1">
        <v>2924</v>
      </c>
      <c r="B2349" s="1">
        <v>3</v>
      </c>
      <c r="C2349" s="1" t="s">
        <v>3</v>
      </c>
      <c r="D2349" s="1">
        <v>2</v>
      </c>
      <c r="E2349" s="1">
        <v>40.985999999999997</v>
      </c>
      <c r="F2349" s="1">
        <v>0.73620300000000005</v>
      </c>
      <c r="G2349" t="s">
        <v>3714</v>
      </c>
      <c r="H2349" t="s">
        <v>3715</v>
      </c>
      <c r="I2349" t="s">
        <v>5854</v>
      </c>
      <c r="J2349" t="str">
        <f>"Tubulin alpha-1C chain"</f>
        <v>Tubulin alpha-1C chain</v>
      </c>
      <c r="K2349" t="str">
        <f>"TUBA1C"</f>
        <v>TUBA1C</v>
      </c>
    </row>
    <row r="2350" spans="1:11" x14ac:dyDescent="0.25">
      <c r="A2350" s="1">
        <v>1305</v>
      </c>
      <c r="B2350" s="1">
        <v>3</v>
      </c>
      <c r="C2350" s="1" t="s">
        <v>3</v>
      </c>
      <c r="D2350" s="1">
        <v>6</v>
      </c>
      <c r="E2350" s="1">
        <v>41.475000000000001</v>
      </c>
      <c r="F2350" s="1">
        <v>0.84280699999999997</v>
      </c>
      <c r="G2350" t="s">
        <v>3716</v>
      </c>
      <c r="H2350" t="s">
        <v>3717</v>
      </c>
      <c r="I2350" t="s">
        <v>5855</v>
      </c>
      <c r="J2350" t="str">
        <f>"Ataxin-2"</f>
        <v>Ataxin-2</v>
      </c>
      <c r="K2350" t="str">
        <f>"ATXN2"</f>
        <v>ATXN2</v>
      </c>
    </row>
    <row r="2351" spans="1:11" x14ac:dyDescent="0.25">
      <c r="A2351" s="1">
        <v>1944</v>
      </c>
      <c r="B2351" s="1">
        <v>3</v>
      </c>
      <c r="C2351" s="1" t="s">
        <v>3</v>
      </c>
      <c r="D2351" s="1">
        <v>9</v>
      </c>
      <c r="E2351" s="1">
        <v>58.079000000000001</v>
      </c>
      <c r="F2351" s="1">
        <v>0.9375</v>
      </c>
      <c r="G2351" t="s">
        <v>3718</v>
      </c>
      <c r="H2351" t="s">
        <v>3719</v>
      </c>
      <c r="I2351" t="s">
        <v>5856</v>
      </c>
      <c r="J2351" t="str">
        <f>"Cytosol aminopeptidase"</f>
        <v>Cytosol aminopeptidase</v>
      </c>
      <c r="K2351" t="str">
        <f>"LAP3"</f>
        <v>LAP3</v>
      </c>
    </row>
    <row r="2352" spans="1:11" x14ac:dyDescent="0.25">
      <c r="A2352" s="1">
        <v>801</v>
      </c>
      <c r="B2352" s="1">
        <v>2</v>
      </c>
      <c r="C2352" s="1" t="s">
        <v>3</v>
      </c>
      <c r="D2352" s="1">
        <v>1</v>
      </c>
      <c r="E2352" s="1">
        <v>58.079000000000001</v>
      </c>
      <c r="F2352" s="1">
        <v>0.99763199999999996</v>
      </c>
      <c r="G2352" t="s">
        <v>3720</v>
      </c>
      <c r="H2352" t="s">
        <v>3721</v>
      </c>
      <c r="I2352" t="s">
        <v>5857</v>
      </c>
      <c r="J2352" t="str">
        <f>"Ig lambda-1 chain C regions;Immunoglobulin lambda-like polypeptide 5;Ig lambda-2 chain C regions;Ig lambda-6 chain C region;Ig lambda-7 chain C region"</f>
        <v>Ig lambda-1 chain C regions;Immunoglobulin lambda-like polypeptide 5;Ig lambda-2 chain C regions;Ig lambda-6 chain C region;Ig lambda-7 chain C region</v>
      </c>
      <c r="K2352" t="str">
        <f>"IGLC1;IGLL5;IGLC2;IGLC6;IGLC7"</f>
        <v>IGLC1;IGLL5;IGLC2;IGLC6;IGLC7</v>
      </c>
    </row>
    <row r="2353" spans="1:11" x14ac:dyDescent="0.25">
      <c r="A2353" s="1">
        <v>1429</v>
      </c>
      <c r="B2353" s="1">
        <v>2</v>
      </c>
      <c r="C2353" s="1" t="s">
        <v>3</v>
      </c>
      <c r="D2353" s="1">
        <v>13</v>
      </c>
      <c r="E2353" s="1">
        <v>51.494999999999997</v>
      </c>
      <c r="F2353" s="1">
        <v>0.99944599999999995</v>
      </c>
      <c r="G2353" t="s">
        <v>3722</v>
      </c>
      <c r="H2353" t="s">
        <v>3723</v>
      </c>
      <c r="I2353" t="s">
        <v>5858</v>
      </c>
      <c r="J2353" t="str">
        <f>"Pyridoxal kinase"</f>
        <v>Pyridoxal kinase</v>
      </c>
      <c r="K2353" t="str">
        <f>"PDXK"</f>
        <v>PDXK</v>
      </c>
    </row>
    <row r="2354" spans="1:11" x14ac:dyDescent="0.25">
      <c r="A2354" s="1">
        <v>2636</v>
      </c>
      <c r="B2354" s="1">
        <v>2</v>
      </c>
      <c r="C2354" s="1" t="s">
        <v>3</v>
      </c>
      <c r="D2354" s="1">
        <v>1</v>
      </c>
      <c r="E2354" s="1">
        <v>45.335000000000001</v>
      </c>
      <c r="F2354" s="1">
        <v>0.83917200000000003</v>
      </c>
      <c r="G2354" t="s">
        <v>3724</v>
      </c>
      <c r="H2354" t="s">
        <v>1731</v>
      </c>
      <c r="I2354">
        <v>453</v>
      </c>
      <c r="J2354" t="str">
        <f>"Pre-mRNA-processing-splicing factor 8"</f>
        <v>Pre-mRNA-processing-splicing factor 8</v>
      </c>
      <c r="K2354" t="str">
        <f>"PRPF8"</f>
        <v>PRPF8</v>
      </c>
    </row>
    <row r="2355" spans="1:11" x14ac:dyDescent="0.25">
      <c r="A2355" s="1">
        <v>2217</v>
      </c>
      <c r="B2355" s="1">
        <v>2</v>
      </c>
      <c r="C2355" s="1" t="s">
        <v>3</v>
      </c>
      <c r="D2355" s="1">
        <v>14</v>
      </c>
      <c r="E2355" s="1">
        <v>50.222000000000001</v>
      </c>
      <c r="F2355" s="1">
        <v>0.98890100000000003</v>
      </c>
      <c r="G2355" t="s">
        <v>3725</v>
      </c>
      <c r="H2355" t="s">
        <v>1964</v>
      </c>
      <c r="I2355" t="s">
        <v>5859</v>
      </c>
      <c r="J2355" t="str">
        <f>"Eukaryotic translation initiation factor 3 subunit E"</f>
        <v>Eukaryotic translation initiation factor 3 subunit E</v>
      </c>
      <c r="K2355" t="str">
        <f>"EIF3E"</f>
        <v>EIF3E</v>
      </c>
    </row>
    <row r="2356" spans="1:11" x14ac:dyDescent="0.25">
      <c r="A2356" s="1">
        <v>19</v>
      </c>
      <c r="B2356" s="1">
        <v>4</v>
      </c>
      <c r="C2356" s="1" t="s">
        <v>5</v>
      </c>
      <c r="D2356" s="1">
        <v>4</v>
      </c>
      <c r="E2356" s="1">
        <v>80.738</v>
      </c>
      <c r="F2356" s="1">
        <v>0.69208499999999995</v>
      </c>
      <c r="G2356" t="s">
        <v>3726</v>
      </c>
      <c r="H2356" t="s">
        <v>718</v>
      </c>
      <c r="I2356" t="s">
        <v>5860</v>
      </c>
      <c r="J2356" t="str">
        <f>"Aldo-keto reductase family 1 member C3;Aldo-keto reductase family 1 member C1"</f>
        <v>Aldo-keto reductase family 1 member C3;Aldo-keto reductase family 1 member C1</v>
      </c>
      <c r="K2356" t="str">
        <f>"AKR1C3;AKR1C1"</f>
        <v>AKR1C3;AKR1C1</v>
      </c>
    </row>
    <row r="2357" spans="1:11" x14ac:dyDescent="0.25">
      <c r="A2357" s="1">
        <v>2091</v>
      </c>
      <c r="B2357" s="1">
        <v>3</v>
      </c>
      <c r="C2357" s="1" t="s">
        <v>3</v>
      </c>
      <c r="D2357" s="1">
        <v>8</v>
      </c>
      <c r="E2357" s="1">
        <v>45.436</v>
      </c>
      <c r="F2357" s="1">
        <v>0.99926599999999999</v>
      </c>
      <c r="G2357" t="s">
        <v>3727</v>
      </c>
      <c r="H2357" t="s">
        <v>3728</v>
      </c>
      <c r="I2357" t="s">
        <v>5861</v>
      </c>
      <c r="J2357" t="str">
        <f>"Glycogenin-1"</f>
        <v>Glycogenin-1</v>
      </c>
      <c r="K2357" t="str">
        <f>"GYG1"</f>
        <v>GYG1</v>
      </c>
    </row>
    <row r="2358" spans="1:11" x14ac:dyDescent="0.25">
      <c r="A2358" s="1">
        <v>2577</v>
      </c>
      <c r="B2358" s="1">
        <v>2</v>
      </c>
      <c r="C2358" s="1" t="s">
        <v>3</v>
      </c>
      <c r="D2358" s="1">
        <v>4</v>
      </c>
      <c r="E2358" s="1">
        <v>43.896999999999998</v>
      </c>
      <c r="F2358" s="1">
        <v>0.75322299999999998</v>
      </c>
      <c r="G2358" t="s">
        <v>3729</v>
      </c>
      <c r="H2358" t="s">
        <v>3730</v>
      </c>
      <c r="I2358">
        <v>74</v>
      </c>
      <c r="J2358" t="str">
        <f>"DBIRD complex subunit ZNF326"</f>
        <v>DBIRD complex subunit ZNF326</v>
      </c>
      <c r="K2358" t="str">
        <f>"ZNF326"</f>
        <v>ZNF326</v>
      </c>
    </row>
    <row r="2359" spans="1:11" x14ac:dyDescent="0.25">
      <c r="A2359" s="1">
        <v>809</v>
      </c>
      <c r="B2359" s="1">
        <v>2</v>
      </c>
      <c r="C2359" s="1" t="s">
        <v>3</v>
      </c>
      <c r="D2359" s="1">
        <v>8</v>
      </c>
      <c r="E2359" s="1">
        <v>56.404000000000003</v>
      </c>
      <c r="F2359" s="1">
        <v>0.86530099999999999</v>
      </c>
      <c r="G2359" t="s">
        <v>3731</v>
      </c>
      <c r="H2359" t="s">
        <v>3732</v>
      </c>
      <c r="I2359" t="s">
        <v>5862</v>
      </c>
      <c r="J2359" t="str">
        <f>"Gamma-adducin"</f>
        <v>Gamma-adducin</v>
      </c>
      <c r="K2359" t="str">
        <f>"ADD3"</f>
        <v>ADD3</v>
      </c>
    </row>
    <row r="2360" spans="1:11" x14ac:dyDescent="0.25">
      <c r="A2360" s="1">
        <v>1720</v>
      </c>
      <c r="B2360" s="1">
        <v>3</v>
      </c>
      <c r="C2360" s="1" t="s">
        <v>3</v>
      </c>
      <c r="D2360" s="1">
        <v>16</v>
      </c>
      <c r="E2360" s="1">
        <v>57.692</v>
      </c>
      <c r="F2360" s="1">
        <v>0.87650499999999998</v>
      </c>
      <c r="G2360" t="s">
        <v>3733</v>
      </c>
      <c r="H2360" t="s">
        <v>3011</v>
      </c>
      <c r="I2360">
        <v>778</v>
      </c>
      <c r="J2360" t="str">
        <f>"Platelet-derived growth factor receptor beta"</f>
        <v>Platelet-derived growth factor receptor beta</v>
      </c>
      <c r="K2360" t="str">
        <f>"PDGFRB"</f>
        <v>PDGFRB</v>
      </c>
    </row>
    <row r="2361" spans="1:11" x14ac:dyDescent="0.25">
      <c r="A2361" s="1">
        <v>1945</v>
      </c>
      <c r="B2361" s="1">
        <v>3</v>
      </c>
      <c r="C2361" s="1" t="s">
        <v>3</v>
      </c>
      <c r="D2361" s="1">
        <v>16</v>
      </c>
      <c r="E2361" s="1">
        <v>55.755000000000003</v>
      </c>
      <c r="F2361" s="1">
        <v>1</v>
      </c>
      <c r="G2361" t="s">
        <v>3734</v>
      </c>
      <c r="H2361" t="s">
        <v>3719</v>
      </c>
      <c r="I2361" t="s">
        <v>5863</v>
      </c>
      <c r="J2361" t="str">
        <f>"Cytosol aminopeptidase"</f>
        <v>Cytosol aminopeptidase</v>
      </c>
      <c r="K2361" t="str">
        <f>"LAP3"</f>
        <v>LAP3</v>
      </c>
    </row>
    <row r="2362" spans="1:11" x14ac:dyDescent="0.25">
      <c r="A2362" s="1">
        <v>1163</v>
      </c>
      <c r="B2362" s="1">
        <v>3</v>
      </c>
      <c r="C2362" s="1" t="s">
        <v>3</v>
      </c>
      <c r="D2362" s="1">
        <v>6</v>
      </c>
      <c r="E2362" s="1">
        <v>53.869</v>
      </c>
      <c r="F2362" s="1">
        <v>0.89185800000000004</v>
      </c>
      <c r="G2362" t="s">
        <v>3735</v>
      </c>
      <c r="H2362" t="s">
        <v>1766</v>
      </c>
      <c r="I2362" t="s">
        <v>5864</v>
      </c>
      <c r="J2362" t="str">
        <f>"Succinate dehydrogenase [ubiquinone] flavoprotein subunit, mitochondrial"</f>
        <v>Succinate dehydrogenase [ubiquinone] flavoprotein subunit, mitochondrial</v>
      </c>
      <c r="K2362" t="str">
        <f>"SDHA"</f>
        <v>SDHA</v>
      </c>
    </row>
    <row r="2363" spans="1:11" x14ac:dyDescent="0.25">
      <c r="A2363" s="1">
        <v>2131</v>
      </c>
      <c r="B2363" s="1">
        <v>2</v>
      </c>
      <c r="C2363" s="1" t="s">
        <v>3</v>
      </c>
      <c r="D2363" s="1">
        <v>2</v>
      </c>
      <c r="E2363" s="1">
        <v>48.793999999999997</v>
      </c>
      <c r="F2363" s="1">
        <v>1</v>
      </c>
      <c r="G2363" t="s">
        <v>3736</v>
      </c>
      <c r="H2363" t="s">
        <v>3737</v>
      </c>
      <c r="I2363">
        <v>293</v>
      </c>
      <c r="J2363" t="str">
        <f>"PDZ and LIM domain protein 4"</f>
        <v>PDZ and LIM domain protein 4</v>
      </c>
      <c r="K2363" t="str">
        <f>"PDLIM4"</f>
        <v>PDLIM4</v>
      </c>
    </row>
    <row r="2364" spans="1:11" x14ac:dyDescent="0.25">
      <c r="A2364" s="1">
        <v>40</v>
      </c>
      <c r="B2364" s="1">
        <v>3</v>
      </c>
      <c r="C2364" s="1" t="s">
        <v>5</v>
      </c>
      <c r="D2364" s="1">
        <v>3</v>
      </c>
      <c r="E2364" s="1">
        <v>62.94</v>
      </c>
      <c r="F2364" s="1">
        <v>0.5</v>
      </c>
      <c r="G2364" t="s">
        <v>3738</v>
      </c>
      <c r="H2364" t="s">
        <v>2459</v>
      </c>
      <c r="I2364" t="s">
        <v>5865</v>
      </c>
      <c r="J2364" t="str">
        <f>"Leukocyte immunoglobulin-like receptor subfamily B member 3"</f>
        <v>Leukocyte immunoglobulin-like receptor subfamily B member 3</v>
      </c>
      <c r="K2364" t="str">
        <f>"LILRB3;LILRA6"</f>
        <v>LILRB3;LILRA6</v>
      </c>
    </row>
    <row r="2365" spans="1:11" x14ac:dyDescent="0.25">
      <c r="A2365" s="1">
        <v>1553</v>
      </c>
      <c r="B2365" s="1">
        <v>3</v>
      </c>
      <c r="C2365" s="1" t="s">
        <v>3</v>
      </c>
      <c r="D2365" s="1">
        <v>14</v>
      </c>
      <c r="E2365" s="1">
        <v>58.692999999999998</v>
      </c>
      <c r="F2365" s="1">
        <v>0.67812899999999998</v>
      </c>
      <c r="G2365" t="s">
        <v>3739</v>
      </c>
      <c r="H2365" t="s">
        <v>3740</v>
      </c>
      <c r="I2365" t="s">
        <v>5866</v>
      </c>
      <c r="J2365" t="str">
        <f>"Metastasis-associated protein MTA2"</f>
        <v>Metastasis-associated protein MTA2</v>
      </c>
      <c r="K2365" t="str">
        <f>"MTA2"</f>
        <v>MTA2</v>
      </c>
    </row>
    <row r="2366" spans="1:11" x14ac:dyDescent="0.25">
      <c r="A2366" s="1">
        <v>457</v>
      </c>
      <c r="B2366" s="1">
        <v>3</v>
      </c>
      <c r="C2366" s="1" t="s">
        <v>5</v>
      </c>
      <c r="D2366" s="1">
        <v>3</v>
      </c>
      <c r="E2366" s="1">
        <v>104.2</v>
      </c>
      <c r="F2366" s="1">
        <v>0.56093499999999996</v>
      </c>
      <c r="G2366" t="s">
        <v>3741</v>
      </c>
      <c r="H2366" t="s">
        <v>3236</v>
      </c>
      <c r="I2366">
        <v>100</v>
      </c>
      <c r="J2366" t="str">
        <f>"Disco-interacting protein 2 homolog B"</f>
        <v>Disco-interacting protein 2 homolog B</v>
      </c>
      <c r="K2366" t="str">
        <f>"DIP2B"</f>
        <v>DIP2B</v>
      </c>
    </row>
    <row r="2367" spans="1:11" x14ac:dyDescent="0.25">
      <c r="A2367" s="1">
        <v>1485</v>
      </c>
      <c r="B2367" s="1">
        <v>4</v>
      </c>
      <c r="C2367" s="1" t="s">
        <v>3</v>
      </c>
      <c r="D2367" s="1">
        <v>19</v>
      </c>
      <c r="E2367" s="1">
        <v>47.68</v>
      </c>
      <c r="F2367" s="1">
        <v>0.80517899999999998</v>
      </c>
      <c r="G2367" t="s">
        <v>3742</v>
      </c>
      <c r="H2367" t="s">
        <v>3743</v>
      </c>
      <c r="I2367" t="s">
        <v>5867</v>
      </c>
      <c r="J2367" t="str">
        <f>"Alpha-actinin-4"</f>
        <v>Alpha-actinin-4</v>
      </c>
      <c r="K2367" t="str">
        <f>"ACTN4"</f>
        <v>ACTN4</v>
      </c>
    </row>
    <row r="2368" spans="1:11" x14ac:dyDescent="0.25">
      <c r="A2368" s="1">
        <v>2848</v>
      </c>
      <c r="B2368" s="1">
        <v>3</v>
      </c>
      <c r="C2368" s="1" t="s">
        <v>3</v>
      </c>
      <c r="D2368" s="1">
        <v>14</v>
      </c>
      <c r="E2368" s="1">
        <v>73.688000000000002</v>
      </c>
      <c r="F2368" s="1">
        <v>0.96776799999999996</v>
      </c>
      <c r="G2368" t="s">
        <v>3744</v>
      </c>
      <c r="H2368" t="s">
        <v>308</v>
      </c>
      <c r="I2368">
        <v>361</v>
      </c>
      <c r="J2368" t="str">
        <f>"Protein LTV1 homolog"</f>
        <v>Protein LTV1 homolog</v>
      </c>
      <c r="K2368" t="str">
        <f>"LTV1"</f>
        <v>LTV1</v>
      </c>
    </row>
    <row r="2369" spans="1:11" x14ac:dyDescent="0.25">
      <c r="A2369" s="1">
        <v>740</v>
      </c>
      <c r="B2369" s="1">
        <v>3</v>
      </c>
      <c r="C2369" s="1" t="s">
        <v>4</v>
      </c>
      <c r="D2369" s="1">
        <v>1</v>
      </c>
      <c r="E2369" s="1">
        <v>44.787999999999997</v>
      </c>
      <c r="F2369" s="1">
        <v>0.53161999999999998</v>
      </c>
      <c r="G2369" t="s">
        <v>3745</v>
      </c>
      <c r="H2369" t="s">
        <v>3746</v>
      </c>
      <c r="I2369" t="s">
        <v>4795</v>
      </c>
      <c r="J2369" t="str">
        <f>"H/ACA ribonucleoprotein complex subunit 2"</f>
        <v>H/ACA ribonucleoprotein complex subunit 2</v>
      </c>
      <c r="K2369" t="str">
        <f>"NHP2"</f>
        <v>NHP2</v>
      </c>
    </row>
    <row r="2370" spans="1:11" x14ac:dyDescent="0.25">
      <c r="A2370" s="1">
        <v>1696</v>
      </c>
      <c r="B2370" s="1">
        <v>4</v>
      </c>
      <c r="C2370" s="1" t="s">
        <v>3</v>
      </c>
      <c r="D2370" s="1">
        <v>7</v>
      </c>
      <c r="E2370" s="1">
        <v>62.055</v>
      </c>
      <c r="F2370" s="1">
        <v>0.96579300000000001</v>
      </c>
      <c r="G2370" t="s">
        <v>3747</v>
      </c>
      <c r="H2370" t="s">
        <v>99</v>
      </c>
      <c r="I2370" t="s">
        <v>5868</v>
      </c>
      <c r="J2370" t="str">
        <f>"Hepatocyte growth factor receptor"</f>
        <v>Hepatocyte growth factor receptor</v>
      </c>
      <c r="K2370" t="str">
        <f>"MET"</f>
        <v>MET</v>
      </c>
    </row>
    <row r="2371" spans="1:11" x14ac:dyDescent="0.25">
      <c r="A2371" s="1">
        <v>951</v>
      </c>
      <c r="B2371" s="1">
        <v>4</v>
      </c>
      <c r="C2371" s="1" t="s">
        <v>3</v>
      </c>
      <c r="D2371" s="1">
        <v>15</v>
      </c>
      <c r="E2371" s="1">
        <v>43.695999999999998</v>
      </c>
      <c r="F2371" s="1">
        <v>0.94428900000000004</v>
      </c>
      <c r="G2371" t="s">
        <v>3748</v>
      </c>
      <c r="H2371" t="s">
        <v>1462</v>
      </c>
      <c r="I2371" t="s">
        <v>5869</v>
      </c>
      <c r="J2371" t="str">
        <f>"ATP-dependent RNA helicase DDX3X;ATP-dependent RNA helicase DDX3Y"</f>
        <v>ATP-dependent RNA helicase DDX3X;ATP-dependent RNA helicase DDX3Y</v>
      </c>
      <c r="K2371" t="str">
        <f>"DDX3X;DDX3Y"</f>
        <v>DDX3X;DDX3Y</v>
      </c>
    </row>
    <row r="2372" spans="1:11" x14ac:dyDescent="0.25">
      <c r="A2372" s="1">
        <v>480</v>
      </c>
      <c r="B2372" s="1">
        <v>2</v>
      </c>
      <c r="C2372" s="1" t="s">
        <v>5</v>
      </c>
      <c r="D2372" s="1">
        <v>10</v>
      </c>
      <c r="E2372" s="1">
        <v>49.332999999999998</v>
      </c>
      <c r="F2372" s="1">
        <v>0.54965799999999998</v>
      </c>
      <c r="G2372" t="s">
        <v>3749</v>
      </c>
      <c r="H2372" t="s">
        <v>209</v>
      </c>
      <c r="I2372">
        <v>128</v>
      </c>
      <c r="J2372" t="str">
        <f>"Talin-1"</f>
        <v>Talin-1</v>
      </c>
      <c r="K2372" t="str">
        <f>"TLN1"</f>
        <v>TLN1</v>
      </c>
    </row>
    <row r="2373" spans="1:11" x14ac:dyDescent="0.25">
      <c r="A2373" s="1">
        <v>2747</v>
      </c>
      <c r="B2373" s="1">
        <v>3</v>
      </c>
      <c r="C2373" s="1" t="s">
        <v>3</v>
      </c>
      <c r="D2373" s="1">
        <v>1</v>
      </c>
      <c r="E2373" s="1">
        <v>57.524999999999999</v>
      </c>
      <c r="F2373" s="1">
        <v>1</v>
      </c>
      <c r="G2373" t="s">
        <v>3750</v>
      </c>
      <c r="H2373" t="s">
        <v>3751</v>
      </c>
      <c r="I2373" t="s">
        <v>5870</v>
      </c>
      <c r="J2373" t="str">
        <f>"DCC-interacting protein 13-beta"</f>
        <v>DCC-interacting protein 13-beta</v>
      </c>
      <c r="K2373" t="str">
        <f>"APPL2"</f>
        <v>APPL2</v>
      </c>
    </row>
    <row r="2374" spans="1:11" x14ac:dyDescent="0.25">
      <c r="A2374" s="1">
        <v>693</v>
      </c>
      <c r="B2374" s="1">
        <v>3</v>
      </c>
      <c r="C2374" s="1" t="s">
        <v>4</v>
      </c>
      <c r="D2374" s="1">
        <v>1</v>
      </c>
      <c r="E2374" s="1">
        <v>40.137</v>
      </c>
      <c r="F2374" s="1">
        <v>0.52745799999999998</v>
      </c>
      <c r="G2374" t="s">
        <v>3752</v>
      </c>
      <c r="H2374" t="s">
        <v>3753</v>
      </c>
      <c r="I2374" t="s">
        <v>5871</v>
      </c>
      <c r="J2374" t="str">
        <f>"BRCA1-associated ATM activator 1"</f>
        <v>BRCA1-associated ATM activator 1</v>
      </c>
      <c r="K2374" t="str">
        <f>"BRAT1"</f>
        <v>BRAT1</v>
      </c>
    </row>
    <row r="2375" spans="1:11" x14ac:dyDescent="0.25">
      <c r="A2375" s="1">
        <v>1623</v>
      </c>
      <c r="B2375" s="1">
        <v>3</v>
      </c>
      <c r="C2375" s="1" t="s">
        <v>3</v>
      </c>
      <c r="D2375" s="1">
        <v>12</v>
      </c>
      <c r="E2375" s="1">
        <v>60.621000000000002</v>
      </c>
      <c r="F2375" s="1">
        <v>0.78977699999999995</v>
      </c>
      <c r="G2375" t="s">
        <v>2605</v>
      </c>
      <c r="H2375" t="s">
        <v>2606</v>
      </c>
      <c r="I2375" t="s">
        <v>5872</v>
      </c>
      <c r="J2375" t="str">
        <f>"Guanine nucleotide-binding protein G(i) subunit alpha-2"</f>
        <v>Guanine nucleotide-binding protein G(i) subunit alpha-2</v>
      </c>
      <c r="K2375" t="str">
        <f>"GNAI2"</f>
        <v>GNAI2</v>
      </c>
    </row>
    <row r="2376" spans="1:11" x14ac:dyDescent="0.25">
      <c r="A2376" s="1">
        <v>1000</v>
      </c>
      <c r="B2376" s="1">
        <v>3</v>
      </c>
      <c r="C2376" s="1" t="s">
        <v>3</v>
      </c>
      <c r="D2376" s="1">
        <v>1</v>
      </c>
      <c r="E2376" s="1">
        <v>42.633000000000003</v>
      </c>
      <c r="F2376" s="1">
        <v>0.99936899999999995</v>
      </c>
      <c r="G2376" t="s">
        <v>3754</v>
      </c>
      <c r="H2376" t="s">
        <v>692</v>
      </c>
      <c r="I2376" t="s">
        <v>5873</v>
      </c>
      <c r="J2376" t="str">
        <f>"Pericentriolar material 1 protein"</f>
        <v>Pericentriolar material 1 protein</v>
      </c>
      <c r="K2376" t="str">
        <f>"PCM1"</f>
        <v>PCM1</v>
      </c>
    </row>
    <row r="2377" spans="1:11" x14ac:dyDescent="0.25">
      <c r="A2377" s="1">
        <v>2457</v>
      </c>
      <c r="B2377" s="1">
        <v>2</v>
      </c>
      <c r="C2377" s="1" t="s">
        <v>3</v>
      </c>
      <c r="D2377" s="1">
        <v>10</v>
      </c>
      <c r="E2377" s="1">
        <v>80.959999999999994</v>
      </c>
      <c r="F2377" s="1">
        <v>0.79800499999999996</v>
      </c>
      <c r="G2377" t="s">
        <v>3755</v>
      </c>
      <c r="H2377" t="s">
        <v>3756</v>
      </c>
      <c r="I2377" t="s">
        <v>5874</v>
      </c>
      <c r="J2377" t="str">
        <f>"Eukaryotic translation initiation factor 3 subunit A"</f>
        <v>Eukaryotic translation initiation factor 3 subunit A</v>
      </c>
      <c r="K2377" t="str">
        <f>"EIF3A"</f>
        <v>EIF3A</v>
      </c>
    </row>
    <row r="2378" spans="1:11" x14ac:dyDescent="0.25">
      <c r="A2378" s="1">
        <v>2120</v>
      </c>
      <c r="B2378" s="1">
        <v>3</v>
      </c>
      <c r="C2378" s="1" t="s">
        <v>3</v>
      </c>
      <c r="D2378" s="1">
        <v>3</v>
      </c>
      <c r="E2378" s="1">
        <v>49.707999999999998</v>
      </c>
      <c r="F2378" s="1">
        <v>0.93677500000000002</v>
      </c>
      <c r="G2378" t="s">
        <v>3757</v>
      </c>
      <c r="H2378" t="s">
        <v>728</v>
      </c>
      <c r="I2378" t="s">
        <v>5875</v>
      </c>
      <c r="J2378" t="str">
        <f>"Rab GDP dissociation inhibitor beta"</f>
        <v>Rab GDP dissociation inhibitor beta</v>
      </c>
      <c r="K2378" t="str">
        <f>"GDI2"</f>
        <v>GDI2</v>
      </c>
    </row>
    <row r="2379" spans="1:11" x14ac:dyDescent="0.25">
      <c r="A2379" s="1">
        <v>1186</v>
      </c>
      <c r="B2379" s="1">
        <v>3</v>
      </c>
      <c r="C2379" s="1" t="s">
        <v>3</v>
      </c>
      <c r="D2379" s="1">
        <v>4</v>
      </c>
      <c r="E2379" s="1">
        <v>43.761000000000003</v>
      </c>
      <c r="F2379" s="1">
        <v>0.94892100000000001</v>
      </c>
      <c r="G2379" t="s">
        <v>3758</v>
      </c>
      <c r="H2379" t="s">
        <v>1527</v>
      </c>
      <c r="I2379" t="s">
        <v>5876</v>
      </c>
      <c r="J2379" t="str">
        <f>"Arf-GAP with Rho-GAP domain, ANK repeat and PH domain-containing protein 1"</f>
        <v>Arf-GAP with Rho-GAP domain, ANK repeat and PH domain-containing protein 1</v>
      </c>
      <c r="K2379" t="str">
        <f>"ARAP1"</f>
        <v>ARAP1</v>
      </c>
    </row>
    <row r="2380" spans="1:11" x14ac:dyDescent="0.25">
      <c r="A2380" s="1">
        <v>890</v>
      </c>
      <c r="B2380" s="1">
        <v>3</v>
      </c>
      <c r="C2380" s="1" t="s">
        <v>3</v>
      </c>
      <c r="D2380" s="1">
        <v>4</v>
      </c>
      <c r="E2380" s="1">
        <v>82.876999999999995</v>
      </c>
      <c r="F2380" s="1">
        <v>0.99867600000000001</v>
      </c>
      <c r="G2380" t="s">
        <v>3759</v>
      </c>
      <c r="H2380" t="s">
        <v>3760</v>
      </c>
      <c r="I2380" t="s">
        <v>5877</v>
      </c>
      <c r="J2380" t="s">
        <v>5878</v>
      </c>
      <c r="K2380" t="str">
        <f>"CAMK2G;CAMK2D;CAMK2B;CAMK2A"</f>
        <v>CAMK2G;CAMK2D;CAMK2B;CAMK2A</v>
      </c>
    </row>
    <row r="2381" spans="1:11" x14ac:dyDescent="0.25">
      <c r="A2381" s="1">
        <v>1054</v>
      </c>
      <c r="B2381" s="1">
        <v>2</v>
      </c>
      <c r="C2381" s="1" t="s">
        <v>3</v>
      </c>
      <c r="D2381" s="1">
        <v>4</v>
      </c>
      <c r="E2381" s="1">
        <v>48.423000000000002</v>
      </c>
      <c r="F2381" s="1">
        <v>0.50410900000000003</v>
      </c>
      <c r="G2381" t="s">
        <v>3761</v>
      </c>
      <c r="H2381" t="s">
        <v>3762</v>
      </c>
      <c r="I2381" t="s">
        <v>5879</v>
      </c>
      <c r="J2381" t="str">
        <f>"Cysteine--tRNA ligase, cytoplasmic"</f>
        <v>Cysteine--tRNA ligase, cytoplasmic</v>
      </c>
      <c r="K2381" t="str">
        <f>"CARS"</f>
        <v>CARS</v>
      </c>
    </row>
    <row r="2382" spans="1:11" x14ac:dyDescent="0.25">
      <c r="A2382" s="1">
        <v>2722</v>
      </c>
      <c r="B2382" s="1">
        <v>3</v>
      </c>
      <c r="C2382" s="1" t="s">
        <v>3</v>
      </c>
      <c r="D2382" s="1">
        <v>12</v>
      </c>
      <c r="E2382" s="1">
        <v>47.548000000000002</v>
      </c>
      <c r="F2382" s="1">
        <v>0.99987199999999998</v>
      </c>
      <c r="G2382" t="s">
        <v>3763</v>
      </c>
      <c r="H2382" t="s">
        <v>2879</v>
      </c>
      <c r="I2382" t="s">
        <v>5880</v>
      </c>
      <c r="J2382" t="str">
        <f>"SH2 domain-containing protein 3C"</f>
        <v>SH2 domain-containing protein 3C</v>
      </c>
      <c r="K2382" t="str">
        <f>"SH2D3C"</f>
        <v>SH2D3C</v>
      </c>
    </row>
    <row r="2383" spans="1:11" x14ac:dyDescent="0.25">
      <c r="A2383" s="1">
        <v>2138</v>
      </c>
      <c r="B2383" s="1">
        <v>2</v>
      </c>
      <c r="C2383" s="1" t="s">
        <v>3</v>
      </c>
      <c r="D2383" s="1">
        <v>5</v>
      </c>
      <c r="E2383" s="1">
        <v>48.283999999999999</v>
      </c>
      <c r="F2383" s="1">
        <v>0.96281700000000003</v>
      </c>
      <c r="G2383" t="s">
        <v>3764</v>
      </c>
      <c r="H2383" t="s">
        <v>3124</v>
      </c>
      <c r="I2383" t="s">
        <v>5172</v>
      </c>
      <c r="J2383" t="str">
        <f>"Ras-related protein Rab-27A"</f>
        <v>Ras-related protein Rab-27A</v>
      </c>
      <c r="K2383" t="str">
        <f>"RAB27A"</f>
        <v>RAB27A</v>
      </c>
    </row>
    <row r="2384" spans="1:11" x14ac:dyDescent="0.25">
      <c r="A2384" s="1">
        <v>2555</v>
      </c>
      <c r="B2384" s="1">
        <v>2</v>
      </c>
      <c r="C2384" s="1" t="s">
        <v>3</v>
      </c>
      <c r="D2384" s="1">
        <v>7</v>
      </c>
      <c r="E2384" s="1">
        <v>91.867000000000004</v>
      </c>
      <c r="F2384" s="1">
        <v>0.89725900000000003</v>
      </c>
      <c r="G2384" t="s">
        <v>3765</v>
      </c>
      <c r="H2384" t="s">
        <v>645</v>
      </c>
      <c r="I2384">
        <v>740</v>
      </c>
      <c r="J2384" t="str">
        <f>"Discoidin domain-containing receptor 2"</f>
        <v>Discoidin domain-containing receptor 2</v>
      </c>
      <c r="K2384" t="str">
        <f>"DDR2"</f>
        <v>DDR2</v>
      </c>
    </row>
    <row r="2385" spans="1:11" x14ac:dyDescent="0.25">
      <c r="A2385" s="1">
        <v>1296</v>
      </c>
      <c r="B2385" s="1">
        <v>2</v>
      </c>
      <c r="C2385" s="1" t="s">
        <v>3</v>
      </c>
      <c r="D2385" s="1">
        <v>1</v>
      </c>
      <c r="E2385" s="1">
        <v>65.251999999999995</v>
      </c>
      <c r="F2385" s="1">
        <v>1</v>
      </c>
      <c r="G2385" t="s">
        <v>3766</v>
      </c>
      <c r="H2385" t="s">
        <v>2395</v>
      </c>
      <c r="I2385" t="s">
        <v>5881</v>
      </c>
      <c r="J2385" t="str">
        <f>"Proto-oncogene vav"</f>
        <v>Proto-oncogene vav</v>
      </c>
      <c r="K2385" t="str">
        <f>"VAV1"</f>
        <v>VAV1</v>
      </c>
    </row>
    <row r="2386" spans="1:11" x14ac:dyDescent="0.25">
      <c r="A2386" s="1">
        <v>2769</v>
      </c>
      <c r="B2386" s="1">
        <v>3</v>
      </c>
      <c r="C2386" s="1" t="s">
        <v>3</v>
      </c>
      <c r="D2386" s="1">
        <v>17</v>
      </c>
      <c r="E2386" s="1">
        <v>47.499000000000002</v>
      </c>
      <c r="F2386" s="1">
        <v>0.81955900000000004</v>
      </c>
      <c r="G2386" t="s">
        <v>3767</v>
      </c>
      <c r="H2386" t="s">
        <v>3768</v>
      </c>
      <c r="I2386" t="s">
        <v>5882</v>
      </c>
      <c r="J2386" t="str">
        <f>"Mitogen-activated protein kinase 15"</f>
        <v>Mitogen-activated protein kinase 15</v>
      </c>
      <c r="K2386" t="str">
        <f>"MAPK15"</f>
        <v>MAPK15</v>
      </c>
    </row>
    <row r="2387" spans="1:11" x14ac:dyDescent="0.25">
      <c r="A2387" s="1">
        <v>1513</v>
      </c>
      <c r="B2387" s="1">
        <v>3</v>
      </c>
      <c r="C2387" s="1" t="s">
        <v>3</v>
      </c>
      <c r="D2387" s="1">
        <v>6</v>
      </c>
      <c r="E2387" s="1">
        <v>42.975999999999999</v>
      </c>
      <c r="F2387" s="1">
        <v>0.98892400000000003</v>
      </c>
      <c r="G2387" t="s">
        <v>3769</v>
      </c>
      <c r="H2387" t="s">
        <v>3770</v>
      </c>
      <c r="I2387">
        <v>69</v>
      </c>
      <c r="J2387" t="str">
        <f>"DnaJ homolog subfamily A member 2"</f>
        <v>DnaJ homolog subfamily A member 2</v>
      </c>
      <c r="K2387" t="str">
        <f>"DNAJA2"</f>
        <v>DNAJA2</v>
      </c>
    </row>
    <row r="2388" spans="1:11" x14ac:dyDescent="0.25">
      <c r="A2388" s="1">
        <v>956</v>
      </c>
      <c r="B2388" s="1">
        <v>3</v>
      </c>
      <c r="C2388" s="1" t="s">
        <v>3</v>
      </c>
      <c r="D2388" s="1">
        <v>12</v>
      </c>
      <c r="E2388" s="1">
        <v>50.225999999999999</v>
      </c>
      <c r="F2388" s="1">
        <v>0.957955</v>
      </c>
      <c r="G2388" t="s">
        <v>3771</v>
      </c>
      <c r="H2388" t="s">
        <v>478</v>
      </c>
      <c r="I2388" t="s">
        <v>5883</v>
      </c>
      <c r="J2388" t="str">
        <f>"Spectrin alpha chain, non-erythrocytic 1"</f>
        <v>Spectrin alpha chain, non-erythrocytic 1</v>
      </c>
      <c r="K2388" t="str">
        <f>"SPTAN1"</f>
        <v>SPTAN1</v>
      </c>
    </row>
    <row r="2389" spans="1:11" x14ac:dyDescent="0.25">
      <c r="A2389" s="1">
        <v>2181</v>
      </c>
      <c r="B2389" s="1">
        <v>3</v>
      </c>
      <c r="C2389" s="1" t="s">
        <v>3</v>
      </c>
      <c r="D2389" s="1">
        <v>15</v>
      </c>
      <c r="E2389" s="1">
        <v>44.390999999999998</v>
      </c>
      <c r="F2389" s="1">
        <v>0.79383599999999999</v>
      </c>
      <c r="G2389" t="s">
        <v>3772</v>
      </c>
      <c r="H2389" t="s">
        <v>1084</v>
      </c>
      <c r="I2389" t="s">
        <v>5884</v>
      </c>
      <c r="J2389" t="str">
        <f>"Coatomer subunit alpha;Xenin;Proxenin"</f>
        <v>Coatomer subunit alpha;Xenin;Proxenin</v>
      </c>
      <c r="K2389" t="str">
        <f>"COPA"</f>
        <v>COPA</v>
      </c>
    </row>
    <row r="2390" spans="1:11" x14ac:dyDescent="0.25">
      <c r="A2390" s="1">
        <v>2649</v>
      </c>
      <c r="B2390" s="1">
        <v>3</v>
      </c>
      <c r="C2390" s="1" t="s">
        <v>3</v>
      </c>
      <c r="D2390" s="1">
        <v>11</v>
      </c>
      <c r="E2390" s="1">
        <v>81.884</v>
      </c>
      <c r="F2390" s="1">
        <v>0.997197</v>
      </c>
      <c r="G2390" t="s">
        <v>3773</v>
      </c>
      <c r="H2390" t="s">
        <v>3774</v>
      </c>
      <c r="I2390" t="s">
        <v>5885</v>
      </c>
      <c r="J2390" t="str">
        <f>"E3 ubiquitin-protein ligase UBR3"</f>
        <v>E3 ubiquitin-protein ligase UBR3</v>
      </c>
      <c r="K2390" t="str">
        <f>"UBR3"</f>
        <v>UBR3</v>
      </c>
    </row>
    <row r="2391" spans="1:11" x14ac:dyDescent="0.25">
      <c r="A2391" s="1">
        <v>2500</v>
      </c>
      <c r="B2391" s="1">
        <v>3</v>
      </c>
      <c r="C2391" s="1" t="s">
        <v>3</v>
      </c>
      <c r="D2391" s="1">
        <v>5</v>
      </c>
      <c r="E2391" s="1">
        <v>78.323999999999998</v>
      </c>
      <c r="F2391" s="1">
        <v>0.99971699999999997</v>
      </c>
      <c r="G2391" t="s">
        <v>3775</v>
      </c>
      <c r="H2391" t="s">
        <v>3776</v>
      </c>
      <c r="I2391" t="s">
        <v>5886</v>
      </c>
      <c r="J2391" t="str">
        <f>"Caspase-8;Caspase-8 subunit p18;Caspase-8 subunit p10"</f>
        <v>Caspase-8;Caspase-8 subunit p18;Caspase-8 subunit p10</v>
      </c>
      <c r="K2391" t="str">
        <f>"CASP8"</f>
        <v>CASP8</v>
      </c>
    </row>
    <row r="2392" spans="1:11" x14ac:dyDescent="0.25">
      <c r="A2392" s="1">
        <v>268</v>
      </c>
      <c r="B2392" s="1">
        <v>3</v>
      </c>
      <c r="C2392" s="1" t="s">
        <v>5</v>
      </c>
      <c r="D2392" s="1">
        <v>3</v>
      </c>
      <c r="E2392" s="1">
        <v>57.433999999999997</v>
      </c>
      <c r="F2392" s="1">
        <v>0.54892099999999999</v>
      </c>
      <c r="G2392" t="s">
        <v>3777</v>
      </c>
      <c r="H2392" t="s">
        <v>1629</v>
      </c>
      <c r="I2392">
        <v>265</v>
      </c>
      <c r="J2392" t="str">
        <f>"Heterogeneous nuclear ribonucleoprotein F;Heterogeneous nuclear ribonucleoprotein F, N-terminally processed"</f>
        <v>Heterogeneous nuclear ribonucleoprotein F;Heterogeneous nuclear ribonucleoprotein F, N-terminally processed</v>
      </c>
      <c r="K2392" t="str">
        <f>"HNRNPF"</f>
        <v>HNRNPF</v>
      </c>
    </row>
    <row r="2393" spans="1:11" x14ac:dyDescent="0.25">
      <c r="A2393" s="1">
        <v>1301</v>
      </c>
      <c r="B2393" s="1">
        <v>3</v>
      </c>
      <c r="C2393" s="1" t="s">
        <v>3</v>
      </c>
      <c r="D2393" s="1">
        <v>4</v>
      </c>
      <c r="E2393" s="1">
        <v>51.494999999999997</v>
      </c>
      <c r="F2393" s="1">
        <v>0.92065900000000001</v>
      </c>
      <c r="G2393" t="s">
        <v>3778</v>
      </c>
      <c r="H2393" t="s">
        <v>3779</v>
      </c>
      <c r="I2393" t="s">
        <v>5887</v>
      </c>
      <c r="J2393" t="str">
        <f>"Signal-induced proliferation-associated protein 1"</f>
        <v>Signal-induced proliferation-associated protein 1</v>
      </c>
      <c r="K2393" t="str">
        <f>"SIPA1"</f>
        <v>SIPA1</v>
      </c>
    </row>
    <row r="2394" spans="1:11" x14ac:dyDescent="0.25">
      <c r="A2394" s="1">
        <v>2568</v>
      </c>
      <c r="B2394" s="1">
        <v>4</v>
      </c>
      <c r="C2394" s="1" t="s">
        <v>3</v>
      </c>
      <c r="D2394" s="1">
        <v>23</v>
      </c>
      <c r="E2394" s="1">
        <v>40.207999999999998</v>
      </c>
      <c r="F2394" s="1">
        <v>0.679176</v>
      </c>
      <c r="G2394" t="s">
        <v>3780</v>
      </c>
      <c r="H2394" t="s">
        <v>3781</v>
      </c>
      <c r="I2394">
        <v>1128</v>
      </c>
      <c r="J2394" t="str">
        <f>"Rho GTPase-activating protein 29"</f>
        <v>Rho GTPase-activating protein 29</v>
      </c>
      <c r="K2394" t="str">
        <f>"ARHGAP29"</f>
        <v>ARHGAP29</v>
      </c>
    </row>
    <row r="2395" spans="1:11" x14ac:dyDescent="0.25">
      <c r="A2395" s="1">
        <v>2788</v>
      </c>
      <c r="B2395" s="1">
        <v>3</v>
      </c>
      <c r="C2395" s="1" t="s">
        <v>3</v>
      </c>
      <c r="D2395" s="1">
        <v>7</v>
      </c>
      <c r="E2395" s="1">
        <v>74.221999999999994</v>
      </c>
      <c r="F2395" s="1">
        <v>0.80578899999999998</v>
      </c>
      <c r="G2395" t="s">
        <v>3782</v>
      </c>
      <c r="H2395" t="s">
        <v>757</v>
      </c>
      <c r="I2395">
        <v>467</v>
      </c>
      <c r="J2395" t="str">
        <f>"Sodium-dependent phosphate transporter 1"</f>
        <v>Sodium-dependent phosphate transporter 1</v>
      </c>
      <c r="K2395" t="str">
        <f>"SLC20A1"</f>
        <v>SLC20A1</v>
      </c>
    </row>
    <row r="2396" spans="1:11" x14ac:dyDescent="0.25">
      <c r="A2396" s="1">
        <v>2068</v>
      </c>
      <c r="B2396" s="1">
        <v>2</v>
      </c>
      <c r="C2396" s="1" t="s">
        <v>3</v>
      </c>
      <c r="D2396" s="1">
        <v>9</v>
      </c>
      <c r="E2396" s="1">
        <v>57.784999999999997</v>
      </c>
      <c r="F2396" s="1">
        <v>0.85418099999999997</v>
      </c>
      <c r="G2396" t="s">
        <v>3783</v>
      </c>
      <c r="H2396" t="s">
        <v>237</v>
      </c>
      <c r="I2396" t="s">
        <v>5888</v>
      </c>
      <c r="J2396" t="str">
        <f>"Tyrosine-protein kinase SYK"</f>
        <v>Tyrosine-protein kinase SYK</v>
      </c>
      <c r="K2396" t="str">
        <f>"SYK"</f>
        <v>SYK</v>
      </c>
    </row>
    <row r="2397" spans="1:11" x14ac:dyDescent="0.25">
      <c r="A2397" s="1">
        <v>11</v>
      </c>
      <c r="B2397" s="1">
        <v>2</v>
      </c>
      <c r="C2397" s="1" t="s">
        <v>5</v>
      </c>
      <c r="D2397" s="1">
        <v>5</v>
      </c>
      <c r="E2397" s="1">
        <v>43.03</v>
      </c>
      <c r="F2397" s="1">
        <v>0.59245899999999996</v>
      </c>
      <c r="G2397" t="s">
        <v>3784</v>
      </c>
      <c r="H2397" t="s">
        <v>1721</v>
      </c>
      <c r="I2397" t="s">
        <v>5889</v>
      </c>
      <c r="J2397" t="str">
        <f>"1-phosphatidylinositol 4,5-bisphosphate phosphodiesterase gamma-2"</f>
        <v>1-phosphatidylinositol 4,5-bisphosphate phosphodiesterase gamma-2</v>
      </c>
      <c r="K2397" t="str">
        <f>"PLCG2"</f>
        <v>PLCG2</v>
      </c>
    </row>
    <row r="2398" spans="1:11" x14ac:dyDescent="0.25">
      <c r="A2398" s="1">
        <v>795</v>
      </c>
      <c r="B2398" s="1">
        <v>2</v>
      </c>
      <c r="C2398" s="1" t="s">
        <v>3</v>
      </c>
      <c r="D2398" s="1">
        <v>6</v>
      </c>
      <c r="E2398" s="1">
        <v>49.536999999999999</v>
      </c>
      <c r="F2398" s="1">
        <v>0.982657</v>
      </c>
      <c r="G2398" t="s">
        <v>3785</v>
      </c>
      <c r="H2398" t="s">
        <v>493</v>
      </c>
      <c r="I2398" t="s">
        <v>5890</v>
      </c>
      <c r="J2398" t="str">
        <f>"Clathrin heavy chain 1"</f>
        <v>Clathrin heavy chain 1</v>
      </c>
      <c r="K2398" t="str">
        <f>"CLTC"</f>
        <v>CLTC</v>
      </c>
    </row>
    <row r="2399" spans="1:11" x14ac:dyDescent="0.25">
      <c r="A2399" s="1">
        <v>2494</v>
      </c>
      <c r="B2399" s="1">
        <v>2</v>
      </c>
      <c r="C2399" s="1" t="s">
        <v>3</v>
      </c>
      <c r="D2399" s="1">
        <v>3</v>
      </c>
      <c r="E2399" s="1">
        <v>40.496000000000002</v>
      </c>
      <c r="F2399" s="1">
        <v>0.99991099999999999</v>
      </c>
      <c r="G2399" t="s">
        <v>3786</v>
      </c>
      <c r="H2399" t="s">
        <v>394</v>
      </c>
      <c r="I2399" t="s">
        <v>5891</v>
      </c>
      <c r="J2399" t="str">
        <f>"Enhancer of filamentation 1;Enhancer of filamentation 1 p55"</f>
        <v>Enhancer of filamentation 1;Enhancer of filamentation 1 p55</v>
      </c>
      <c r="K2399" t="str">
        <f>"NEDD9"</f>
        <v>NEDD9</v>
      </c>
    </row>
    <row r="2400" spans="1:11" x14ac:dyDescent="0.25">
      <c r="A2400" s="1">
        <v>1137</v>
      </c>
      <c r="B2400" s="1">
        <v>3</v>
      </c>
      <c r="C2400" s="1" t="s">
        <v>3</v>
      </c>
      <c r="D2400" s="1">
        <v>12</v>
      </c>
      <c r="E2400" s="1">
        <v>43.164000000000001</v>
      </c>
      <c r="F2400" s="1">
        <v>1</v>
      </c>
      <c r="G2400" t="s">
        <v>3787</v>
      </c>
      <c r="H2400" t="s">
        <v>3788</v>
      </c>
      <c r="I2400" t="s">
        <v>5892</v>
      </c>
      <c r="J2400" t="str">
        <f>"Serum albumin"</f>
        <v>Serum albumin</v>
      </c>
      <c r="K2400" t="str">
        <f>"ALB"</f>
        <v>ALB</v>
      </c>
    </row>
    <row r="2401" spans="1:11" x14ac:dyDescent="0.25">
      <c r="A2401" s="1">
        <v>2931</v>
      </c>
      <c r="B2401" s="1">
        <v>3</v>
      </c>
      <c r="C2401" s="1" t="s">
        <v>3</v>
      </c>
      <c r="D2401" s="1">
        <v>2</v>
      </c>
      <c r="E2401" s="1">
        <v>69.087999999999994</v>
      </c>
      <c r="F2401" s="1">
        <v>0.956125</v>
      </c>
      <c r="G2401" t="s">
        <v>3789</v>
      </c>
      <c r="H2401" t="s">
        <v>3790</v>
      </c>
      <c r="I2401" t="s">
        <v>5615</v>
      </c>
      <c r="J2401" t="str">
        <f>"EF-hand calcium-binding domain-containing protein 4B"</f>
        <v>EF-hand calcium-binding domain-containing protein 4B</v>
      </c>
      <c r="K2401" t="str">
        <f>"CRACR2A"</f>
        <v>CRACR2A</v>
      </c>
    </row>
    <row r="2402" spans="1:11" x14ac:dyDescent="0.25">
      <c r="A2402" s="1">
        <v>1270</v>
      </c>
      <c r="B2402" s="1">
        <v>3</v>
      </c>
      <c r="C2402" s="1" t="s">
        <v>3</v>
      </c>
      <c r="D2402" s="1">
        <v>5</v>
      </c>
      <c r="E2402" s="1">
        <v>66.022000000000006</v>
      </c>
      <c r="F2402" s="1">
        <v>0.74254799999999999</v>
      </c>
      <c r="G2402" t="s">
        <v>3791</v>
      </c>
      <c r="H2402" t="s">
        <v>1102</v>
      </c>
      <c r="I2402" t="s">
        <v>5893</v>
      </c>
      <c r="J2402" t="str">
        <f>"Transmembrane channel-like protein;Transmembrane channel-like protein 5"</f>
        <v>Transmembrane channel-like protein;Transmembrane channel-like protein 5</v>
      </c>
      <c r="K2402" t="str">
        <f>"TMC5"</f>
        <v>TMC5</v>
      </c>
    </row>
    <row r="2403" spans="1:11" x14ac:dyDescent="0.25">
      <c r="A2403" s="1">
        <v>1247</v>
      </c>
      <c r="B2403" s="1">
        <v>4</v>
      </c>
      <c r="C2403" s="1" t="s">
        <v>3</v>
      </c>
      <c r="D2403" s="1">
        <v>19</v>
      </c>
      <c r="E2403" s="1">
        <v>55.661999999999999</v>
      </c>
      <c r="F2403" s="1">
        <v>0.55511500000000003</v>
      </c>
      <c r="G2403" t="s">
        <v>3792</v>
      </c>
      <c r="H2403" t="s">
        <v>3793</v>
      </c>
      <c r="I2403" t="s">
        <v>5894</v>
      </c>
      <c r="J2403" t="str">
        <f>"Tyrosine-protein kinase;Non-receptor tyrosine-protein kinase TYK2"</f>
        <v>Tyrosine-protein kinase;Non-receptor tyrosine-protein kinase TYK2</v>
      </c>
      <c r="K2403" t="str">
        <f>"TYK2"</f>
        <v>TYK2</v>
      </c>
    </row>
    <row r="2404" spans="1:11" x14ac:dyDescent="0.25">
      <c r="A2404" s="1">
        <v>1791</v>
      </c>
      <c r="B2404" s="1">
        <v>3</v>
      </c>
      <c r="C2404" s="1" t="s">
        <v>3</v>
      </c>
      <c r="D2404" s="1">
        <v>4</v>
      </c>
      <c r="E2404" s="1">
        <v>46.88</v>
      </c>
      <c r="F2404" s="1">
        <v>0.99917400000000001</v>
      </c>
      <c r="G2404" t="s">
        <v>3794</v>
      </c>
      <c r="H2404" t="s">
        <v>3795</v>
      </c>
      <c r="I2404" t="s">
        <v>5895</v>
      </c>
      <c r="J2404" t="str">
        <f>"Aspartate--tRNA ligase, cytoplasmic"</f>
        <v>Aspartate--tRNA ligase, cytoplasmic</v>
      </c>
      <c r="K2404" t="str">
        <f>"DARS"</f>
        <v>DARS</v>
      </c>
    </row>
    <row r="2405" spans="1:11" x14ac:dyDescent="0.25">
      <c r="A2405" s="1">
        <v>1974</v>
      </c>
      <c r="B2405" s="1">
        <v>3</v>
      </c>
      <c r="C2405" s="1" t="s">
        <v>3</v>
      </c>
      <c r="D2405" s="1">
        <v>1</v>
      </c>
      <c r="E2405" s="1">
        <v>44.341000000000001</v>
      </c>
      <c r="F2405" s="1">
        <v>0.99973500000000004</v>
      </c>
      <c r="G2405" t="s">
        <v>3796</v>
      </c>
      <c r="H2405" t="s">
        <v>3797</v>
      </c>
      <c r="I2405">
        <v>146</v>
      </c>
      <c r="J2405" t="str">
        <f>"Flavin reductase (NADPH)"</f>
        <v>Flavin reductase (NADPH)</v>
      </c>
      <c r="K2405" t="str">
        <f>"BLVRB"</f>
        <v>BLVRB</v>
      </c>
    </row>
    <row r="2406" spans="1:11" x14ac:dyDescent="0.25">
      <c r="A2406" s="1">
        <v>1595</v>
      </c>
      <c r="B2406" s="1">
        <v>3</v>
      </c>
      <c r="C2406" s="1" t="s">
        <v>3</v>
      </c>
      <c r="D2406" s="1">
        <v>12</v>
      </c>
      <c r="E2406" s="1">
        <v>46.069000000000003</v>
      </c>
      <c r="F2406" s="1">
        <v>0.99605299999999997</v>
      </c>
      <c r="G2406" t="s">
        <v>3798</v>
      </c>
      <c r="H2406" t="s">
        <v>3684</v>
      </c>
      <c r="I2406" t="s">
        <v>5896</v>
      </c>
      <c r="J2406" t="str">
        <f>"Epidermal growth factor receptor"</f>
        <v>Epidermal growth factor receptor</v>
      </c>
      <c r="K2406" t="str">
        <f>"EGFR"</f>
        <v>EGFR</v>
      </c>
    </row>
    <row r="2407" spans="1:11" x14ac:dyDescent="0.25">
      <c r="A2407" s="1">
        <v>760</v>
      </c>
      <c r="B2407" s="1">
        <v>3</v>
      </c>
      <c r="C2407" s="1" t="s">
        <v>3</v>
      </c>
      <c r="D2407" s="1">
        <v>17</v>
      </c>
      <c r="E2407" s="1">
        <v>41.908000000000001</v>
      </c>
      <c r="F2407" s="1">
        <v>0.63719199999999998</v>
      </c>
      <c r="G2407" t="s">
        <v>3799</v>
      </c>
      <c r="H2407" t="s">
        <v>3800</v>
      </c>
      <c r="I2407" t="s">
        <v>5897</v>
      </c>
      <c r="J2407" t="str">
        <f>"Leukocyte immunoglobulin-like receptor subfamily B member 1"</f>
        <v>Leukocyte immunoglobulin-like receptor subfamily B member 1</v>
      </c>
      <c r="K2407" t="str">
        <f>"LILRB1;PODNL1"</f>
        <v>LILRB1;PODNL1</v>
      </c>
    </row>
    <row r="2408" spans="1:11" x14ac:dyDescent="0.25">
      <c r="A2408" s="1">
        <v>2793</v>
      </c>
      <c r="B2408" s="1">
        <v>3</v>
      </c>
      <c r="C2408" s="1" t="s">
        <v>3</v>
      </c>
      <c r="D2408" s="1">
        <v>10</v>
      </c>
      <c r="E2408" s="1">
        <v>48.216000000000001</v>
      </c>
      <c r="F2408" s="1">
        <v>0.99362099999999998</v>
      </c>
      <c r="G2408" t="s">
        <v>3801</v>
      </c>
      <c r="H2408" t="s">
        <v>3802</v>
      </c>
      <c r="I2408" t="s">
        <v>5898</v>
      </c>
      <c r="J2408" t="str">
        <f>"Palladin"</f>
        <v>Palladin</v>
      </c>
      <c r="K2408" t="str">
        <f>"PALLD"</f>
        <v>PALLD</v>
      </c>
    </row>
    <row r="2409" spans="1:11" x14ac:dyDescent="0.25">
      <c r="A2409" s="1">
        <v>2395</v>
      </c>
      <c r="B2409" s="1">
        <v>2</v>
      </c>
      <c r="C2409" s="1" t="s">
        <v>3</v>
      </c>
      <c r="D2409" s="1">
        <v>4</v>
      </c>
      <c r="E2409" s="1">
        <v>46.88</v>
      </c>
      <c r="F2409" s="1">
        <v>0.99814199999999997</v>
      </c>
      <c r="G2409" t="s">
        <v>3803</v>
      </c>
      <c r="H2409" t="s">
        <v>3804</v>
      </c>
      <c r="I2409" t="s">
        <v>5899</v>
      </c>
      <c r="J2409" t="str">
        <f>"Nuclear factor of activated T-cells, cytoplasmic 3"</f>
        <v>Nuclear factor of activated T-cells, cytoplasmic 3</v>
      </c>
      <c r="K2409" t="str">
        <f>"NFATC3"</f>
        <v>NFATC3</v>
      </c>
    </row>
    <row r="2410" spans="1:11" x14ac:dyDescent="0.25">
      <c r="A2410" s="1">
        <v>293</v>
      </c>
      <c r="B2410" s="1">
        <v>3</v>
      </c>
      <c r="C2410" s="1" t="s">
        <v>5</v>
      </c>
      <c r="D2410" s="1">
        <v>14</v>
      </c>
      <c r="E2410" s="1">
        <v>51.03</v>
      </c>
      <c r="F2410" s="1">
        <v>0.62030399999999997</v>
      </c>
      <c r="G2410" t="s">
        <v>3805</v>
      </c>
      <c r="H2410" t="s">
        <v>3806</v>
      </c>
      <c r="I2410" t="s">
        <v>5900</v>
      </c>
      <c r="J2410" t="str">
        <f>"Lactoylglutathione lyase"</f>
        <v>Lactoylglutathione lyase</v>
      </c>
      <c r="K2410" t="str">
        <f>"GLO1"</f>
        <v>GLO1</v>
      </c>
    </row>
    <row r="2411" spans="1:11" x14ac:dyDescent="0.25">
      <c r="A2411" s="1">
        <v>3142</v>
      </c>
      <c r="B2411" s="1">
        <v>2</v>
      </c>
      <c r="C2411" s="1" t="s">
        <v>3</v>
      </c>
      <c r="D2411" s="1">
        <v>4</v>
      </c>
      <c r="E2411" s="1">
        <v>78.504999999999995</v>
      </c>
      <c r="F2411" s="1">
        <v>0.99939900000000004</v>
      </c>
      <c r="G2411" t="s">
        <v>3807</v>
      </c>
      <c r="H2411" t="s">
        <v>1551</v>
      </c>
      <c r="I2411" t="s">
        <v>5901</v>
      </c>
      <c r="J2411" t="str">
        <f>"Ubiquitin carboxyl-terminal hydrolase 15"</f>
        <v>Ubiquitin carboxyl-terminal hydrolase 15</v>
      </c>
      <c r="K2411" t="str">
        <f>"USP15"</f>
        <v>USP15</v>
      </c>
    </row>
    <row r="2412" spans="1:11" x14ac:dyDescent="0.25">
      <c r="A2412" s="1">
        <v>2486</v>
      </c>
      <c r="B2412" s="1">
        <v>3</v>
      </c>
      <c r="C2412" s="1" t="s">
        <v>3</v>
      </c>
      <c r="D2412" s="1">
        <v>6</v>
      </c>
      <c r="E2412" s="1">
        <v>54.167000000000002</v>
      </c>
      <c r="F2412" s="1">
        <v>0.56379100000000004</v>
      </c>
      <c r="G2412" t="s">
        <v>3808</v>
      </c>
      <c r="H2412" t="s">
        <v>3809</v>
      </c>
      <c r="I2412" t="s">
        <v>5902</v>
      </c>
      <c r="J2412" t="str">
        <f>"Caprin-1"</f>
        <v>Caprin-1</v>
      </c>
      <c r="K2412" t="str">
        <f>"CAPRIN1"</f>
        <v>CAPRIN1</v>
      </c>
    </row>
    <row r="2413" spans="1:11" x14ac:dyDescent="0.25">
      <c r="A2413" s="1">
        <v>96</v>
      </c>
      <c r="B2413" s="1">
        <v>2</v>
      </c>
      <c r="C2413" s="1" t="s">
        <v>5</v>
      </c>
      <c r="D2413" s="1">
        <v>13</v>
      </c>
      <c r="E2413" s="1">
        <v>51.725999999999999</v>
      </c>
      <c r="F2413" s="1">
        <v>0.53766800000000003</v>
      </c>
      <c r="G2413" t="s">
        <v>3810</v>
      </c>
      <c r="H2413" t="s">
        <v>3811</v>
      </c>
      <c r="I2413" t="s">
        <v>5903</v>
      </c>
      <c r="J2413" t="str">
        <f>"Monocarboxylate transporter 12"</f>
        <v>Monocarboxylate transporter 12</v>
      </c>
      <c r="K2413" t="str">
        <f>"SLC16A12"</f>
        <v>SLC16A12</v>
      </c>
    </row>
    <row r="2414" spans="1:11" x14ac:dyDescent="0.25">
      <c r="A2414" s="1">
        <v>2668</v>
      </c>
      <c r="B2414" s="1">
        <v>2</v>
      </c>
      <c r="C2414" s="1" t="s">
        <v>3</v>
      </c>
      <c r="D2414" s="1">
        <v>10</v>
      </c>
      <c r="E2414" s="1">
        <v>44.424999999999997</v>
      </c>
      <c r="F2414" s="1">
        <v>0.81125499999999995</v>
      </c>
      <c r="G2414" t="s">
        <v>3812</v>
      </c>
      <c r="H2414" t="s">
        <v>3813</v>
      </c>
      <c r="I2414">
        <v>278</v>
      </c>
      <c r="J2414" t="str">
        <f>"YrdC domain-containing protein, mitochondrial"</f>
        <v>YrdC domain-containing protein, mitochondrial</v>
      </c>
      <c r="K2414" t="str">
        <f>"YRDC"</f>
        <v>YRDC</v>
      </c>
    </row>
    <row r="2415" spans="1:11" x14ac:dyDescent="0.25">
      <c r="A2415" s="1">
        <v>1190</v>
      </c>
      <c r="B2415" s="1">
        <v>2</v>
      </c>
      <c r="C2415" s="1" t="s">
        <v>3</v>
      </c>
      <c r="D2415" s="1">
        <v>8</v>
      </c>
      <c r="E2415" s="1">
        <v>52.579000000000001</v>
      </c>
      <c r="F2415" s="1">
        <v>0.97138899999999995</v>
      </c>
      <c r="G2415" t="s">
        <v>3814</v>
      </c>
      <c r="H2415" t="s">
        <v>1375</v>
      </c>
      <c r="I2415" t="s">
        <v>5904</v>
      </c>
      <c r="J2415" t="str">
        <f>"Arf-GAP with Rho-GAP domain, ANK repeat and PH domain-containing protein 1"</f>
        <v>Arf-GAP with Rho-GAP domain, ANK repeat and PH domain-containing protein 1</v>
      </c>
      <c r="K2415" t="str">
        <f>"ARAP1"</f>
        <v>ARAP1</v>
      </c>
    </row>
    <row r="2416" spans="1:11" x14ac:dyDescent="0.25">
      <c r="A2416" s="1">
        <v>2706</v>
      </c>
      <c r="B2416" s="1">
        <v>2</v>
      </c>
      <c r="C2416" s="1" t="s">
        <v>3</v>
      </c>
      <c r="D2416" s="1">
        <v>1</v>
      </c>
      <c r="E2416" s="1">
        <v>53.237000000000002</v>
      </c>
      <c r="F2416" s="1">
        <v>0.84630000000000005</v>
      </c>
      <c r="G2416" t="s">
        <v>3815</v>
      </c>
      <c r="H2416" t="s">
        <v>3816</v>
      </c>
      <c r="I2416" t="s">
        <v>5905</v>
      </c>
      <c r="J2416" t="str">
        <f>"Synaptotagmin-like protein 1"</f>
        <v>Synaptotagmin-like protein 1</v>
      </c>
      <c r="K2416" t="str">
        <f>"SYTL1"</f>
        <v>SYTL1</v>
      </c>
    </row>
    <row r="2417" spans="1:11" x14ac:dyDescent="0.25">
      <c r="A2417" s="1">
        <v>2286</v>
      </c>
      <c r="B2417" s="1">
        <v>2</v>
      </c>
      <c r="C2417" s="1" t="s">
        <v>3</v>
      </c>
      <c r="D2417" s="1">
        <v>5</v>
      </c>
      <c r="E2417" s="1">
        <v>44.511000000000003</v>
      </c>
      <c r="F2417" s="1">
        <v>0.79526300000000005</v>
      </c>
      <c r="G2417" t="s">
        <v>3817</v>
      </c>
      <c r="H2417" t="s">
        <v>3818</v>
      </c>
      <c r="I2417">
        <v>51</v>
      </c>
      <c r="J2417" t="str">
        <f>"Tubulin beta-4B chain"</f>
        <v>Tubulin beta-4B chain</v>
      </c>
      <c r="K2417" t="str">
        <f>"TUBB4B"</f>
        <v>TUBB4B</v>
      </c>
    </row>
    <row r="2418" spans="1:11" x14ac:dyDescent="0.25">
      <c r="A2418" s="1">
        <v>2028</v>
      </c>
      <c r="B2418" s="1">
        <v>3</v>
      </c>
      <c r="C2418" s="1" t="s">
        <v>3</v>
      </c>
      <c r="D2418" s="1">
        <v>9</v>
      </c>
      <c r="E2418" s="1">
        <v>65.179000000000002</v>
      </c>
      <c r="F2418" s="1">
        <v>0.99999899999999997</v>
      </c>
      <c r="G2418" t="s">
        <v>3819</v>
      </c>
      <c r="H2418" t="s">
        <v>3820</v>
      </c>
      <c r="I2418" t="s">
        <v>5906</v>
      </c>
      <c r="J2418" t="str">
        <f>"N-alpha-acetyltransferase 10;N-alpha-acetyltransferase 11"</f>
        <v>N-alpha-acetyltransferase 10;N-alpha-acetyltransferase 11</v>
      </c>
      <c r="K2418" t="str">
        <f>"NAA10;NAA11"</f>
        <v>NAA10;NAA11</v>
      </c>
    </row>
    <row r="2419" spans="1:11" x14ac:dyDescent="0.25">
      <c r="A2419" s="1">
        <v>3053</v>
      </c>
      <c r="B2419" s="1">
        <v>3</v>
      </c>
      <c r="C2419" s="1" t="s">
        <v>3</v>
      </c>
      <c r="D2419" s="1">
        <v>15</v>
      </c>
      <c r="E2419" s="1">
        <v>42.618000000000002</v>
      </c>
      <c r="F2419" s="1">
        <v>1</v>
      </c>
      <c r="G2419" t="s">
        <v>3821</v>
      </c>
      <c r="H2419" t="s">
        <v>3822</v>
      </c>
      <c r="I2419">
        <v>24</v>
      </c>
      <c r="J2419" t="str">
        <f>"Ankyrin repeat and IBR domain-containing protein 1"</f>
        <v>Ankyrin repeat and IBR domain-containing protein 1</v>
      </c>
      <c r="K2419" t="str">
        <f>"ANKIB1"</f>
        <v>ANKIB1</v>
      </c>
    </row>
    <row r="2420" spans="1:11" x14ac:dyDescent="0.25">
      <c r="A2420" s="1">
        <v>2983</v>
      </c>
      <c r="B2420" s="1">
        <v>4</v>
      </c>
      <c r="C2420" s="1" t="s">
        <v>3</v>
      </c>
      <c r="D2420" s="1">
        <v>13</v>
      </c>
      <c r="E2420" s="1">
        <v>70.67</v>
      </c>
      <c r="F2420" s="1">
        <v>0.95489000000000002</v>
      </c>
      <c r="G2420" t="s">
        <v>3823</v>
      </c>
      <c r="H2420" t="s">
        <v>2107</v>
      </c>
      <c r="I2420" t="s">
        <v>5907</v>
      </c>
      <c r="J2420" t="str">
        <f>"Pleckstrin homology domain-containing family A member 5"</f>
        <v>Pleckstrin homology domain-containing family A member 5</v>
      </c>
      <c r="K2420" t="str">
        <f>"PLEKHA5"</f>
        <v>PLEKHA5</v>
      </c>
    </row>
    <row r="2421" spans="1:11" x14ac:dyDescent="0.25">
      <c r="A2421" s="1">
        <v>227</v>
      </c>
      <c r="B2421" s="1">
        <v>3</v>
      </c>
      <c r="C2421" s="1" t="s">
        <v>5</v>
      </c>
      <c r="D2421" s="1">
        <v>13</v>
      </c>
      <c r="E2421" s="1">
        <v>76.492000000000004</v>
      </c>
      <c r="F2421" s="1">
        <v>0.56517200000000001</v>
      </c>
      <c r="G2421" t="s">
        <v>3824</v>
      </c>
      <c r="H2421" t="s">
        <v>1858</v>
      </c>
      <c r="I2421" t="s">
        <v>5908</v>
      </c>
      <c r="J2421" t="str">
        <f>"Low molecular weight phosphotyrosine protein phosphatase"</f>
        <v>Low molecular weight phosphotyrosine protein phosphatase</v>
      </c>
      <c r="K2421" t="str">
        <f>"ACP1"</f>
        <v>ACP1</v>
      </c>
    </row>
    <row r="2422" spans="1:11" x14ac:dyDescent="0.25">
      <c r="A2422" s="1">
        <v>1411</v>
      </c>
      <c r="B2422" s="1">
        <v>2</v>
      </c>
      <c r="C2422" s="1" t="s">
        <v>3</v>
      </c>
      <c r="D2422" s="1">
        <v>2</v>
      </c>
      <c r="E2422" s="1">
        <v>64.710999999999999</v>
      </c>
      <c r="F2422" s="1">
        <v>0.82891099999999995</v>
      </c>
      <c r="G2422" t="s">
        <v>3825</v>
      </c>
      <c r="H2422" t="s">
        <v>3826</v>
      </c>
      <c r="I2422">
        <v>203</v>
      </c>
      <c r="J2422" t="str">
        <f>"AH receptor-interacting protein"</f>
        <v>AH receptor-interacting protein</v>
      </c>
      <c r="K2422" t="str">
        <f>"AIP"</f>
        <v>AIP</v>
      </c>
    </row>
    <row r="2423" spans="1:11" x14ac:dyDescent="0.25">
      <c r="A2423" s="1">
        <v>2708</v>
      </c>
      <c r="B2423" s="1">
        <v>2</v>
      </c>
      <c r="C2423" s="1" t="s">
        <v>3</v>
      </c>
      <c r="D2423" s="1">
        <v>3</v>
      </c>
      <c r="E2423" s="1">
        <v>46.844000000000001</v>
      </c>
      <c r="F2423" s="1">
        <v>0.99304499999999996</v>
      </c>
      <c r="G2423" t="s">
        <v>3827</v>
      </c>
      <c r="H2423" t="s">
        <v>3828</v>
      </c>
      <c r="I2423" t="s">
        <v>5909</v>
      </c>
      <c r="J2423" t="str">
        <f>"Protein FAM177A1"</f>
        <v>Protein FAM177A1</v>
      </c>
      <c r="K2423" t="str">
        <f>"FAM177A1"</f>
        <v>FAM177A1</v>
      </c>
    </row>
    <row r="2424" spans="1:11" x14ac:dyDescent="0.25">
      <c r="A2424" s="1">
        <v>691</v>
      </c>
      <c r="B2424" s="1">
        <v>2</v>
      </c>
      <c r="C2424" s="1" t="s">
        <v>4</v>
      </c>
      <c r="D2424" s="1">
        <v>1</v>
      </c>
      <c r="E2424" s="1">
        <v>78.341999999999999</v>
      </c>
      <c r="F2424" s="1">
        <v>0.57209600000000005</v>
      </c>
      <c r="G2424" t="s">
        <v>3829</v>
      </c>
      <c r="H2424" t="s">
        <v>37</v>
      </c>
      <c r="I2424" t="s">
        <v>5910</v>
      </c>
      <c r="J2424" t="str">
        <f>"Partitioning defective 3 homolog"</f>
        <v>Partitioning defective 3 homolog</v>
      </c>
      <c r="K2424" t="str">
        <f>"PARD3"</f>
        <v>PARD3</v>
      </c>
    </row>
    <row r="2425" spans="1:11" x14ac:dyDescent="0.25">
      <c r="A2425" s="1">
        <v>7</v>
      </c>
      <c r="B2425" s="1">
        <v>2</v>
      </c>
      <c r="C2425" s="1" t="s">
        <v>5</v>
      </c>
      <c r="D2425" s="1">
        <v>1</v>
      </c>
      <c r="E2425" s="1">
        <v>59.226999999999997</v>
      </c>
      <c r="F2425" s="1">
        <v>0.55203899999999995</v>
      </c>
      <c r="G2425" t="s">
        <v>3830</v>
      </c>
      <c r="H2425" t="s">
        <v>724</v>
      </c>
      <c r="I2425" t="s">
        <v>5911</v>
      </c>
      <c r="J2425" t="str">
        <f>"Tight junction protein ZO-1"</f>
        <v>Tight junction protein ZO-1</v>
      </c>
      <c r="K2425" t="str">
        <f>"TJP1"</f>
        <v>TJP1</v>
      </c>
    </row>
    <row r="2426" spans="1:11" x14ac:dyDescent="0.25">
      <c r="A2426" s="1">
        <v>1691</v>
      </c>
      <c r="B2426" s="1">
        <v>2</v>
      </c>
      <c r="C2426" s="1" t="s">
        <v>3</v>
      </c>
      <c r="D2426" s="1">
        <v>11</v>
      </c>
      <c r="E2426" s="1">
        <v>56.204999999999998</v>
      </c>
      <c r="F2426" s="1">
        <v>0.99811799999999995</v>
      </c>
      <c r="G2426" t="s">
        <v>3831</v>
      </c>
      <c r="H2426" t="s">
        <v>2236</v>
      </c>
      <c r="I2426" t="s">
        <v>5912</v>
      </c>
      <c r="J2426" t="str">
        <f>"Matrix Gla protein"</f>
        <v>Matrix Gla protein</v>
      </c>
      <c r="K2426" t="str">
        <f>"MGP"</f>
        <v>MGP</v>
      </c>
    </row>
    <row r="2427" spans="1:11" x14ac:dyDescent="0.25">
      <c r="A2427" s="1">
        <v>581</v>
      </c>
      <c r="B2427" s="1">
        <v>3</v>
      </c>
      <c r="C2427" s="1" t="s">
        <v>4</v>
      </c>
      <c r="D2427" s="1">
        <v>8</v>
      </c>
      <c r="E2427" s="1">
        <v>65.230999999999995</v>
      </c>
      <c r="F2427" s="1">
        <v>0.51763899999999996</v>
      </c>
      <c r="G2427" t="s">
        <v>3832</v>
      </c>
      <c r="H2427" t="s">
        <v>3589</v>
      </c>
      <c r="I2427" t="s">
        <v>5913</v>
      </c>
      <c r="J2427" t="str">
        <f>"U1 small nuclear ribonucleoprotein C"</f>
        <v>U1 small nuclear ribonucleoprotein C</v>
      </c>
      <c r="K2427" t="str">
        <f>"SNRPC"</f>
        <v>SNRPC</v>
      </c>
    </row>
    <row r="2428" spans="1:11" x14ac:dyDescent="0.25">
      <c r="A2428" s="1">
        <v>2142</v>
      </c>
      <c r="B2428" s="1">
        <v>2</v>
      </c>
      <c r="C2428" s="1" t="s">
        <v>3</v>
      </c>
      <c r="D2428" s="1">
        <v>6</v>
      </c>
      <c r="E2428" s="1">
        <v>58.591999999999999</v>
      </c>
      <c r="F2428" s="1">
        <v>0.77886900000000003</v>
      </c>
      <c r="G2428" t="s">
        <v>3833</v>
      </c>
      <c r="H2428" t="s">
        <v>3834</v>
      </c>
      <c r="I2428" t="s">
        <v>5914</v>
      </c>
      <c r="J2428" t="str">
        <f>"Dual specificity protein phosphatase 3"</f>
        <v>Dual specificity protein phosphatase 3</v>
      </c>
      <c r="K2428" t="str">
        <f>"DUSP3"</f>
        <v>DUSP3</v>
      </c>
    </row>
    <row r="2429" spans="1:11" x14ac:dyDescent="0.25">
      <c r="A2429" s="1">
        <v>2709</v>
      </c>
      <c r="B2429" s="1">
        <v>2</v>
      </c>
      <c r="C2429" s="1" t="s">
        <v>3</v>
      </c>
      <c r="D2429" s="1">
        <v>8</v>
      </c>
      <c r="E2429" s="1">
        <v>47.302</v>
      </c>
      <c r="F2429" s="1">
        <v>0.499917</v>
      </c>
      <c r="G2429" t="s">
        <v>3835</v>
      </c>
      <c r="H2429" t="s">
        <v>3828</v>
      </c>
      <c r="I2429" t="s">
        <v>5915</v>
      </c>
      <c r="J2429" t="str">
        <f>"Protein FAM177A1"</f>
        <v>Protein FAM177A1</v>
      </c>
      <c r="K2429" t="str">
        <f>"FAM177A1"</f>
        <v>FAM177A1</v>
      </c>
    </row>
    <row r="2430" spans="1:11" x14ac:dyDescent="0.25">
      <c r="A2430" s="1">
        <v>2710</v>
      </c>
      <c r="B2430" s="1">
        <v>2</v>
      </c>
      <c r="C2430" s="1" t="s">
        <v>3</v>
      </c>
      <c r="D2430" s="1">
        <v>9</v>
      </c>
      <c r="E2430" s="1">
        <v>47.302</v>
      </c>
      <c r="F2430" s="1">
        <v>0.499917</v>
      </c>
      <c r="G2430" t="s">
        <v>3835</v>
      </c>
      <c r="H2430" t="s">
        <v>3828</v>
      </c>
      <c r="I2430" t="s">
        <v>5916</v>
      </c>
      <c r="J2430" t="str">
        <f>"Protein FAM177A1"</f>
        <v>Protein FAM177A1</v>
      </c>
      <c r="K2430" t="str">
        <f>"FAM177A1"</f>
        <v>FAM177A1</v>
      </c>
    </row>
    <row r="2431" spans="1:11" x14ac:dyDescent="0.25">
      <c r="A2431" s="1">
        <v>2654</v>
      </c>
      <c r="B2431" s="1">
        <v>3</v>
      </c>
      <c r="C2431" s="1" t="s">
        <v>3</v>
      </c>
      <c r="D2431" s="1">
        <v>9</v>
      </c>
      <c r="E2431" s="1">
        <v>66.004000000000005</v>
      </c>
      <c r="F2431" s="1">
        <v>0.82639799999999997</v>
      </c>
      <c r="G2431" t="s">
        <v>3836</v>
      </c>
      <c r="H2431" t="s">
        <v>3837</v>
      </c>
      <c r="I2431" t="s">
        <v>4828</v>
      </c>
      <c r="J2431" t="str">
        <f>"Protein unc-13 homolog D"</f>
        <v>Protein unc-13 homolog D</v>
      </c>
      <c r="K2431" t="str">
        <f>"UNC13D"</f>
        <v>UNC13D</v>
      </c>
    </row>
    <row r="2432" spans="1:11" x14ac:dyDescent="0.25">
      <c r="A2432" s="1">
        <v>2774</v>
      </c>
      <c r="B2432" s="1">
        <v>3</v>
      </c>
      <c r="C2432" s="1" t="s">
        <v>3</v>
      </c>
      <c r="D2432" s="1">
        <v>1</v>
      </c>
      <c r="E2432" s="1">
        <v>43.03</v>
      </c>
      <c r="F2432" s="1">
        <v>1</v>
      </c>
      <c r="G2432" t="s">
        <v>3838</v>
      </c>
      <c r="H2432" t="s">
        <v>3839</v>
      </c>
      <c r="I2432" t="s">
        <v>5917</v>
      </c>
      <c r="J2432" t="str">
        <f>"Epidermal growth factor receptor kinase substrate 8-like protein 3"</f>
        <v>Epidermal growth factor receptor kinase substrate 8-like protein 3</v>
      </c>
      <c r="K2432" t="str">
        <f>"EPS8L3"</f>
        <v>EPS8L3</v>
      </c>
    </row>
    <row r="2433" spans="1:11" x14ac:dyDescent="0.25">
      <c r="A2433" s="1">
        <v>946</v>
      </c>
      <c r="B2433" s="1">
        <v>3</v>
      </c>
      <c r="C2433" s="1" t="s">
        <v>3</v>
      </c>
      <c r="D2433" s="1">
        <v>3</v>
      </c>
      <c r="E2433" s="1">
        <v>48.899000000000001</v>
      </c>
      <c r="F2433" s="1">
        <v>0.78660799999999997</v>
      </c>
      <c r="G2433" t="s">
        <v>3840</v>
      </c>
      <c r="H2433" t="s">
        <v>3841</v>
      </c>
      <c r="I2433" t="s">
        <v>5918</v>
      </c>
      <c r="J2433" t="str">
        <f>"Calpain small subunit 1"</f>
        <v>Calpain small subunit 1</v>
      </c>
      <c r="K2433" t="str">
        <f>"CAPNS1"</f>
        <v>CAPNS1</v>
      </c>
    </row>
    <row r="2434" spans="1:11" x14ac:dyDescent="0.25">
      <c r="A2434" s="1">
        <v>2544</v>
      </c>
      <c r="B2434" s="1">
        <v>2</v>
      </c>
      <c r="C2434" s="1" t="s">
        <v>3</v>
      </c>
      <c r="D2434" s="1">
        <v>4</v>
      </c>
      <c r="E2434" s="1">
        <v>45.28</v>
      </c>
      <c r="F2434" s="1">
        <v>1</v>
      </c>
      <c r="G2434" t="s">
        <v>3842</v>
      </c>
      <c r="H2434" t="s">
        <v>3843</v>
      </c>
      <c r="I2434" t="s">
        <v>5919</v>
      </c>
      <c r="J2434" t="str">
        <f>"Myosin light chain kinase, smooth muscle;Myosin light chain kinase, smooth muscle, deglutamylated form"</f>
        <v>Myosin light chain kinase, smooth muscle;Myosin light chain kinase, smooth muscle, deglutamylated form</v>
      </c>
      <c r="K2434" t="str">
        <f>"MYLK"</f>
        <v>MYLK</v>
      </c>
    </row>
    <row r="2435" spans="1:11" x14ac:dyDescent="0.25">
      <c r="A2435" s="1">
        <v>2667</v>
      </c>
      <c r="B2435" s="1">
        <v>3</v>
      </c>
      <c r="C2435" s="1" t="s">
        <v>3</v>
      </c>
      <c r="D2435" s="1">
        <v>9</v>
      </c>
      <c r="E2435" s="1">
        <v>64.704999999999998</v>
      </c>
      <c r="F2435" s="1">
        <v>0.73105799999999999</v>
      </c>
      <c r="G2435" t="s">
        <v>3844</v>
      </c>
      <c r="H2435" t="s">
        <v>3845</v>
      </c>
      <c r="I2435" t="s">
        <v>5920</v>
      </c>
      <c r="J2435" t="str">
        <f>"TBC1 domain family member 1"</f>
        <v>TBC1 domain family member 1</v>
      </c>
      <c r="K2435" t="str">
        <f>"TBC1D1"</f>
        <v>TBC1D1</v>
      </c>
    </row>
    <row r="2436" spans="1:11" x14ac:dyDescent="0.25">
      <c r="A2436" s="1">
        <v>1004</v>
      </c>
      <c r="B2436" s="1">
        <v>3</v>
      </c>
      <c r="C2436" s="1" t="s">
        <v>3</v>
      </c>
      <c r="D2436" s="1">
        <v>2</v>
      </c>
      <c r="E2436" s="1">
        <v>59.359000000000002</v>
      </c>
      <c r="F2436" s="1">
        <v>0.79127000000000003</v>
      </c>
      <c r="G2436" t="s">
        <v>3846</v>
      </c>
      <c r="H2436" t="s">
        <v>2186</v>
      </c>
      <c r="I2436" t="s">
        <v>5921</v>
      </c>
      <c r="J2436" t="str">
        <f>"Rho GTPase-activating protein 32"</f>
        <v>Rho GTPase-activating protein 32</v>
      </c>
      <c r="K2436" t="str">
        <f>"ARHGAP32"</f>
        <v>ARHGAP32</v>
      </c>
    </row>
    <row r="2437" spans="1:11" x14ac:dyDescent="0.25">
      <c r="A2437" s="1">
        <v>2263</v>
      </c>
      <c r="B2437" s="1">
        <v>2</v>
      </c>
      <c r="C2437" s="1" t="s">
        <v>3</v>
      </c>
      <c r="D2437" s="1">
        <v>3</v>
      </c>
      <c r="E2437" s="1">
        <v>53.088999999999999</v>
      </c>
      <c r="F2437" s="1">
        <v>0.99987300000000001</v>
      </c>
      <c r="G2437" t="s">
        <v>3847</v>
      </c>
      <c r="H2437" t="s">
        <v>3848</v>
      </c>
      <c r="I2437" t="s">
        <v>5111</v>
      </c>
      <c r="J2437" t="str">
        <f>"60S ribosomal protein L23"</f>
        <v>60S ribosomal protein L23</v>
      </c>
      <c r="K2437" t="str">
        <f>"RPL23"</f>
        <v>RPL23</v>
      </c>
    </row>
    <row r="2438" spans="1:11" x14ac:dyDescent="0.25">
      <c r="A2438" s="1">
        <v>2101</v>
      </c>
      <c r="B2438" s="1">
        <v>2</v>
      </c>
      <c r="C2438" s="1" t="s">
        <v>3</v>
      </c>
      <c r="D2438" s="1">
        <v>4</v>
      </c>
      <c r="E2438" s="1">
        <v>41.429000000000002</v>
      </c>
      <c r="F2438" s="1">
        <v>1</v>
      </c>
      <c r="G2438" t="s">
        <v>3849</v>
      </c>
      <c r="H2438" t="s">
        <v>3036</v>
      </c>
      <c r="I2438">
        <v>45</v>
      </c>
      <c r="J2438" t="s">
        <v>5542</v>
      </c>
      <c r="K2438" t="str">
        <f>"FASN"</f>
        <v>FASN</v>
      </c>
    </row>
    <row r="2439" spans="1:11" x14ac:dyDescent="0.25">
      <c r="A2439" s="1">
        <v>1402</v>
      </c>
      <c r="B2439" s="1">
        <v>2</v>
      </c>
      <c r="C2439" s="1" t="s">
        <v>3</v>
      </c>
      <c r="D2439" s="1">
        <v>9</v>
      </c>
      <c r="E2439" s="1">
        <v>58.171999999999997</v>
      </c>
      <c r="F2439" s="1">
        <v>0.97152099999999997</v>
      </c>
      <c r="G2439" t="s">
        <v>3850</v>
      </c>
      <c r="H2439" t="s">
        <v>3851</v>
      </c>
      <c r="I2439" t="s">
        <v>5922</v>
      </c>
      <c r="J2439" t="str">
        <f>"17-beta-hydroxysteroid dehydrogenase 14"</f>
        <v>17-beta-hydroxysteroid dehydrogenase 14</v>
      </c>
      <c r="K2439" t="str">
        <f>"HSD17B14"</f>
        <v>HSD17B14</v>
      </c>
    </row>
    <row r="2440" spans="1:11" x14ac:dyDescent="0.25">
      <c r="A2440" s="1">
        <v>2766</v>
      </c>
      <c r="B2440" s="1">
        <v>3</v>
      </c>
      <c r="C2440" s="1" t="s">
        <v>3</v>
      </c>
      <c r="D2440" s="1">
        <v>5</v>
      </c>
      <c r="E2440" s="1">
        <v>70.055999999999997</v>
      </c>
      <c r="F2440" s="1">
        <v>0.99451299999999998</v>
      </c>
      <c r="G2440" t="s">
        <v>3852</v>
      </c>
      <c r="H2440" t="s">
        <v>2700</v>
      </c>
      <c r="I2440" t="s">
        <v>5923</v>
      </c>
      <c r="J2440" t="str">
        <f>"Phosphatidylinositol 3,4,5-trisphosphate-dependent Rac exchanger 1 protein"</f>
        <v>Phosphatidylinositol 3,4,5-trisphosphate-dependent Rac exchanger 1 protein</v>
      </c>
      <c r="K2440" t="str">
        <f>"PREX1"</f>
        <v>PREX1</v>
      </c>
    </row>
    <row r="2441" spans="1:11" x14ac:dyDescent="0.25">
      <c r="A2441" s="1">
        <v>2615</v>
      </c>
      <c r="B2441" s="1">
        <v>3</v>
      </c>
      <c r="C2441" s="1" t="s">
        <v>3</v>
      </c>
      <c r="D2441" s="1">
        <v>1</v>
      </c>
      <c r="E2441" s="1">
        <v>46.984999999999999</v>
      </c>
      <c r="F2441" s="1">
        <v>0.99988699999999997</v>
      </c>
      <c r="G2441" t="s">
        <v>3853</v>
      </c>
      <c r="H2441" t="s">
        <v>3854</v>
      </c>
      <c r="I2441" t="s">
        <v>5924</v>
      </c>
      <c r="J2441" t="str">
        <f>"HAUS augmin-like complex subunit 6"</f>
        <v>HAUS augmin-like complex subunit 6</v>
      </c>
      <c r="K2441" t="str">
        <f>"HAUS6"</f>
        <v>HAUS6</v>
      </c>
    </row>
    <row r="2442" spans="1:11" x14ac:dyDescent="0.25">
      <c r="A2442" s="1">
        <v>1455</v>
      </c>
      <c r="B2442" s="1">
        <v>3</v>
      </c>
      <c r="C2442" s="1" t="s">
        <v>3</v>
      </c>
      <c r="D2442" s="1">
        <v>2</v>
      </c>
      <c r="E2442" s="1">
        <v>48.906999999999996</v>
      </c>
      <c r="F2442" s="1">
        <v>0.99985999999999997</v>
      </c>
      <c r="G2442" t="s">
        <v>3855</v>
      </c>
      <c r="H2442" t="s">
        <v>3856</v>
      </c>
      <c r="I2442" t="s">
        <v>5925</v>
      </c>
      <c r="J2442" t="str">
        <f>"Zinc finger protein 185"</f>
        <v>Zinc finger protein 185</v>
      </c>
      <c r="K2442" t="str">
        <f>"ZNF185"</f>
        <v>ZNF185</v>
      </c>
    </row>
    <row r="2443" spans="1:11" x14ac:dyDescent="0.25">
      <c r="A2443" s="1">
        <v>128</v>
      </c>
      <c r="B2443" s="1">
        <v>3</v>
      </c>
      <c r="C2443" s="1" t="s">
        <v>5</v>
      </c>
      <c r="D2443" s="1">
        <v>11</v>
      </c>
      <c r="E2443" s="1">
        <v>43.945999999999998</v>
      </c>
      <c r="F2443" s="1">
        <v>0.55356499999999997</v>
      </c>
      <c r="G2443" t="s">
        <v>3857</v>
      </c>
      <c r="H2443" t="s">
        <v>3411</v>
      </c>
      <c r="I2443" t="s">
        <v>5926</v>
      </c>
      <c r="J2443" t="str">
        <f>"Cyclin-G-associated kinase"</f>
        <v>Cyclin-G-associated kinase</v>
      </c>
      <c r="K2443" t="str">
        <f>"GAK"</f>
        <v>GAK</v>
      </c>
    </row>
    <row r="2444" spans="1:11" x14ac:dyDescent="0.25">
      <c r="A2444" s="1">
        <v>2032</v>
      </c>
      <c r="B2444" s="1">
        <v>3</v>
      </c>
      <c r="C2444" s="1" t="s">
        <v>3</v>
      </c>
      <c r="D2444" s="1">
        <v>9</v>
      </c>
      <c r="E2444" s="1">
        <v>42.317</v>
      </c>
      <c r="F2444" s="1">
        <v>0.999861</v>
      </c>
      <c r="G2444" t="s">
        <v>3858</v>
      </c>
      <c r="H2444" t="s">
        <v>2469</v>
      </c>
      <c r="I2444" t="s">
        <v>5927</v>
      </c>
      <c r="J2444" t="str">
        <f>"Signal transducer and activator of transcription 1-alpha/beta;Signal transducer and activator of transcription"</f>
        <v>Signal transducer and activator of transcription 1-alpha/beta;Signal transducer and activator of transcription</v>
      </c>
      <c r="K2444" t="str">
        <f>"STAT1"</f>
        <v>STAT1</v>
      </c>
    </row>
    <row r="2445" spans="1:11" x14ac:dyDescent="0.25">
      <c r="A2445" s="1">
        <v>1433</v>
      </c>
      <c r="B2445" s="1">
        <v>2</v>
      </c>
      <c r="C2445" s="1" t="s">
        <v>3</v>
      </c>
      <c r="D2445" s="1">
        <v>5</v>
      </c>
      <c r="E2445" s="1">
        <v>65.887</v>
      </c>
      <c r="F2445" s="1">
        <v>0.68650699999999998</v>
      </c>
      <c r="G2445" t="s">
        <v>3859</v>
      </c>
      <c r="H2445" t="s">
        <v>1556</v>
      </c>
      <c r="I2445" t="s">
        <v>5928</v>
      </c>
      <c r="J2445" t="str">
        <f>"Secretory carrier-associated membrane protein 3"</f>
        <v>Secretory carrier-associated membrane protein 3</v>
      </c>
      <c r="K2445" t="str">
        <f>"SCAMP3"</f>
        <v>SCAMP3</v>
      </c>
    </row>
    <row r="2446" spans="1:11" x14ac:dyDescent="0.25">
      <c r="A2446" s="1">
        <v>2967</v>
      </c>
      <c r="B2446" s="1">
        <v>2</v>
      </c>
      <c r="C2446" s="1" t="s">
        <v>3</v>
      </c>
      <c r="D2446" s="1">
        <v>4</v>
      </c>
      <c r="E2446" s="1">
        <v>42.317</v>
      </c>
      <c r="F2446" s="1">
        <v>1</v>
      </c>
      <c r="G2446" t="s">
        <v>3860</v>
      </c>
      <c r="H2446" t="s">
        <v>3861</v>
      </c>
      <c r="I2446" t="s">
        <v>5929</v>
      </c>
      <c r="J2446" t="str">
        <f>"Protein unc-45 homolog A"</f>
        <v>Protein unc-45 homolog A</v>
      </c>
      <c r="K2446" t="str">
        <f>"UNC45A"</f>
        <v>UNC45A</v>
      </c>
    </row>
    <row r="2447" spans="1:11" x14ac:dyDescent="0.25">
      <c r="A2447" s="1">
        <v>80</v>
      </c>
      <c r="B2447" s="1">
        <v>3</v>
      </c>
      <c r="C2447" s="1" t="s">
        <v>5</v>
      </c>
      <c r="D2447" s="1">
        <v>1</v>
      </c>
      <c r="E2447" s="1">
        <v>80.545000000000002</v>
      </c>
      <c r="F2447" s="1">
        <v>0.55846099999999999</v>
      </c>
      <c r="G2447" t="s">
        <v>3862</v>
      </c>
      <c r="H2447" t="s">
        <v>3863</v>
      </c>
      <c r="I2447" t="s">
        <v>4928</v>
      </c>
      <c r="J2447" t="str">
        <f>"Progestin and adipoQ receptor family member 3"</f>
        <v>Progestin and adipoQ receptor family member 3</v>
      </c>
      <c r="K2447" t="str">
        <f>"PAQR3"</f>
        <v>PAQR3</v>
      </c>
    </row>
    <row r="2448" spans="1:11" x14ac:dyDescent="0.25">
      <c r="A2448" s="1">
        <v>700</v>
      </c>
      <c r="B2448" s="1">
        <v>3</v>
      </c>
      <c r="C2448" s="1" t="s">
        <v>4</v>
      </c>
      <c r="D2448" s="1">
        <v>11</v>
      </c>
      <c r="E2448" s="1">
        <v>44.390999999999998</v>
      </c>
      <c r="F2448" s="1">
        <v>0.53126899999999999</v>
      </c>
      <c r="G2448" t="s">
        <v>3864</v>
      </c>
      <c r="H2448" t="s">
        <v>3865</v>
      </c>
      <c r="I2448" t="s">
        <v>5930</v>
      </c>
      <c r="J2448" t="str">
        <f>"Spermatogenesis-associated protein 5"</f>
        <v>Spermatogenesis-associated protein 5</v>
      </c>
      <c r="K2448" t="str">
        <f>"SPATA5"</f>
        <v>SPATA5</v>
      </c>
    </row>
    <row r="2449" spans="1:11" x14ac:dyDescent="0.25">
      <c r="A2449" s="1">
        <v>1345</v>
      </c>
      <c r="B2449" s="1">
        <v>2</v>
      </c>
      <c r="C2449" s="1" t="s">
        <v>3</v>
      </c>
      <c r="D2449" s="1">
        <v>5</v>
      </c>
      <c r="E2449" s="1">
        <v>45.368000000000002</v>
      </c>
      <c r="F2449" s="1">
        <v>1</v>
      </c>
      <c r="G2449" t="s">
        <v>3866</v>
      </c>
      <c r="H2449" t="s">
        <v>3867</v>
      </c>
      <c r="I2449" t="s">
        <v>5931</v>
      </c>
      <c r="J2449" t="str">
        <f>"MIP18 family protein FAM96A"</f>
        <v>MIP18 family protein FAM96A</v>
      </c>
      <c r="K2449" t="str">
        <f>"FAM96A"</f>
        <v>FAM96A</v>
      </c>
    </row>
    <row r="2450" spans="1:11" x14ac:dyDescent="0.25">
      <c r="A2450" s="1">
        <v>51</v>
      </c>
      <c r="B2450" s="1">
        <v>3</v>
      </c>
      <c r="C2450" s="1" t="s">
        <v>5</v>
      </c>
      <c r="D2450" s="1">
        <v>8</v>
      </c>
      <c r="E2450" s="1">
        <v>43.207999999999998</v>
      </c>
      <c r="F2450" s="1">
        <v>0.51064299999999996</v>
      </c>
      <c r="G2450" t="s">
        <v>3868</v>
      </c>
      <c r="H2450" t="s">
        <v>3869</v>
      </c>
      <c r="I2450" t="s">
        <v>5932</v>
      </c>
      <c r="J2450" t="str">
        <f>"Histidine--tRNA ligase, cytoplasmic"</f>
        <v>Histidine--tRNA ligase, cytoplasmic</v>
      </c>
      <c r="K2450" t="str">
        <f>"HARS"</f>
        <v>HARS</v>
      </c>
    </row>
    <row r="2451" spans="1:11" x14ac:dyDescent="0.25">
      <c r="A2451" s="1">
        <v>257</v>
      </c>
      <c r="B2451" s="1">
        <v>3</v>
      </c>
      <c r="C2451" s="1" t="s">
        <v>5</v>
      </c>
      <c r="D2451" s="1">
        <v>8</v>
      </c>
      <c r="E2451" s="1">
        <v>43.207999999999998</v>
      </c>
      <c r="F2451" s="1">
        <v>0.51064299999999996</v>
      </c>
      <c r="G2451" t="s">
        <v>3868</v>
      </c>
      <c r="H2451" t="s">
        <v>2397</v>
      </c>
      <c r="I2451" t="s">
        <v>5933</v>
      </c>
      <c r="J2451" t="str">
        <f>"Probable histidine--tRNA ligase, mitochondrial"</f>
        <v>Probable histidine--tRNA ligase, mitochondrial</v>
      </c>
      <c r="K2451" t="str">
        <f>"HARS2"</f>
        <v>HARS2</v>
      </c>
    </row>
    <row r="2452" spans="1:11" x14ac:dyDescent="0.25">
      <c r="A2452" s="1">
        <v>1589</v>
      </c>
      <c r="B2452" s="1">
        <v>3</v>
      </c>
      <c r="C2452" s="1" t="s">
        <v>3</v>
      </c>
      <c r="D2452" s="1">
        <v>10</v>
      </c>
      <c r="E2452" s="1">
        <v>47.68</v>
      </c>
      <c r="F2452" s="1">
        <v>0.80086000000000002</v>
      </c>
      <c r="G2452" t="s">
        <v>3870</v>
      </c>
      <c r="H2452" t="s">
        <v>3871</v>
      </c>
      <c r="I2452" t="s">
        <v>5934</v>
      </c>
      <c r="J2452" t="str">
        <f>"Tyrosine-protein kinase ABL1;Abelson tyrosine-protein kinase 2"</f>
        <v>Tyrosine-protein kinase ABL1;Abelson tyrosine-protein kinase 2</v>
      </c>
      <c r="K2452" t="str">
        <f>"ABL1;ABL2"</f>
        <v>ABL1;ABL2</v>
      </c>
    </row>
    <row r="2453" spans="1:11" x14ac:dyDescent="0.25">
      <c r="A2453" s="1">
        <v>1333</v>
      </c>
      <c r="B2453" s="1">
        <v>2</v>
      </c>
      <c r="C2453" s="1" t="s">
        <v>3</v>
      </c>
      <c r="D2453" s="1">
        <v>8</v>
      </c>
      <c r="E2453" s="1">
        <v>47.302</v>
      </c>
      <c r="F2453" s="1">
        <v>0.96346600000000004</v>
      </c>
      <c r="G2453" t="s">
        <v>3872</v>
      </c>
      <c r="H2453" t="s">
        <v>3873</v>
      </c>
      <c r="I2453" t="s">
        <v>5935</v>
      </c>
      <c r="J2453" t="str">
        <f>"Myotubularin-related protein 5;Myotubularin-related protein 13"</f>
        <v>Myotubularin-related protein 5;Myotubularin-related protein 13</v>
      </c>
      <c r="K2453" t="str">
        <f>"SBF1;SBF2"</f>
        <v>SBF1;SBF2</v>
      </c>
    </row>
    <row r="2454" spans="1:11" x14ac:dyDescent="0.25">
      <c r="A2454" s="1">
        <v>2552</v>
      </c>
      <c r="B2454" s="1">
        <v>2</v>
      </c>
      <c r="C2454" s="1" t="s">
        <v>3</v>
      </c>
      <c r="D2454" s="1">
        <v>9</v>
      </c>
      <c r="E2454" s="1">
        <v>51.494999999999997</v>
      </c>
      <c r="F2454" s="1">
        <v>0.72534200000000004</v>
      </c>
      <c r="G2454" t="s">
        <v>3874</v>
      </c>
      <c r="H2454" t="s">
        <v>3875</v>
      </c>
      <c r="I2454" t="s">
        <v>5936</v>
      </c>
      <c r="J2454" t="str">
        <f>"Phosphoenolpyruvate carboxykinase [GTP], mitochondrial;Phosphoenolpyruvate carboxykinase, cytosolic [GTP]"</f>
        <v>Phosphoenolpyruvate carboxykinase [GTP], mitochondrial;Phosphoenolpyruvate carboxykinase, cytosolic [GTP]</v>
      </c>
      <c r="K2454" t="str">
        <f>"PCK2;PCK1"</f>
        <v>PCK2;PCK1</v>
      </c>
    </row>
    <row r="2455" spans="1:11" x14ac:dyDescent="0.25">
      <c r="A2455" s="1">
        <v>2098</v>
      </c>
      <c r="B2455" s="1">
        <v>2</v>
      </c>
      <c r="C2455" s="1" t="s">
        <v>3</v>
      </c>
      <c r="D2455" s="1">
        <v>5</v>
      </c>
      <c r="E2455" s="1">
        <v>47.186999999999998</v>
      </c>
      <c r="F2455" s="1">
        <v>0.85019</v>
      </c>
      <c r="G2455" t="s">
        <v>3876</v>
      </c>
      <c r="H2455" t="s">
        <v>3877</v>
      </c>
      <c r="I2455">
        <v>71</v>
      </c>
      <c r="J2455" t="str">
        <f>"Prolyl endopeptidase"</f>
        <v>Prolyl endopeptidase</v>
      </c>
      <c r="K2455" t="str">
        <f>"PREP"</f>
        <v>PREP</v>
      </c>
    </row>
    <row r="2456" spans="1:11" x14ac:dyDescent="0.25">
      <c r="A2456" s="1">
        <v>2517</v>
      </c>
      <c r="B2456" s="1">
        <v>4</v>
      </c>
      <c r="C2456" s="1" t="s">
        <v>3</v>
      </c>
      <c r="D2456" s="1">
        <v>2</v>
      </c>
      <c r="E2456" s="1">
        <v>73.11</v>
      </c>
      <c r="F2456" s="1">
        <v>0.71831299999999998</v>
      </c>
      <c r="G2456" t="s">
        <v>3878</v>
      </c>
      <c r="H2456" t="s">
        <v>1572</v>
      </c>
      <c r="I2456" t="s">
        <v>5937</v>
      </c>
      <c r="J2456" t="str">
        <f>"Plectin"</f>
        <v>Plectin</v>
      </c>
      <c r="K2456" t="str">
        <f>"PLEC"</f>
        <v>PLEC</v>
      </c>
    </row>
    <row r="2457" spans="1:11" x14ac:dyDescent="0.25">
      <c r="A2457" s="1">
        <v>1294</v>
      </c>
      <c r="B2457" s="1">
        <v>3</v>
      </c>
      <c r="C2457" s="1" t="s">
        <v>3</v>
      </c>
      <c r="D2457" s="1">
        <v>5</v>
      </c>
      <c r="E2457" s="1">
        <v>50.957000000000001</v>
      </c>
      <c r="F2457" s="1">
        <v>0.80541799999999997</v>
      </c>
      <c r="G2457" t="s">
        <v>3879</v>
      </c>
      <c r="H2457" t="s">
        <v>2395</v>
      </c>
      <c r="I2457" t="s">
        <v>5938</v>
      </c>
      <c r="J2457" t="str">
        <f>"Proto-oncogene vav"</f>
        <v>Proto-oncogene vav</v>
      </c>
      <c r="K2457" t="str">
        <f>"VAV1"</f>
        <v>VAV1</v>
      </c>
    </row>
    <row r="2458" spans="1:11" x14ac:dyDescent="0.25">
      <c r="A2458" s="1">
        <v>242</v>
      </c>
      <c r="B2458" s="1">
        <v>2</v>
      </c>
      <c r="C2458" s="1" t="s">
        <v>5</v>
      </c>
      <c r="D2458" s="1">
        <v>13</v>
      </c>
      <c r="E2458" s="1">
        <v>50.305</v>
      </c>
      <c r="F2458" s="1">
        <v>0.54080300000000003</v>
      </c>
      <c r="G2458" t="s">
        <v>3880</v>
      </c>
      <c r="H2458" t="s">
        <v>679</v>
      </c>
      <c r="I2458">
        <v>252</v>
      </c>
      <c r="J2458" t="str">
        <f>"Prohibitin"</f>
        <v>Prohibitin</v>
      </c>
      <c r="K2458" t="str">
        <f>"PHB"</f>
        <v>PHB</v>
      </c>
    </row>
    <row r="2459" spans="1:11" x14ac:dyDescent="0.25">
      <c r="A2459" s="1">
        <v>452</v>
      </c>
      <c r="B2459" s="1">
        <v>3</v>
      </c>
      <c r="C2459" s="1" t="s">
        <v>5</v>
      </c>
      <c r="D2459" s="1">
        <v>5</v>
      </c>
      <c r="E2459" s="1">
        <v>45.618000000000002</v>
      </c>
      <c r="F2459" s="1">
        <v>0.52877300000000005</v>
      </c>
      <c r="G2459" t="s">
        <v>3881</v>
      </c>
      <c r="H2459" t="s">
        <v>3335</v>
      </c>
      <c r="I2459">
        <v>133</v>
      </c>
      <c r="J2459" t="str">
        <f>"Transmembrane protein 51"</f>
        <v>Transmembrane protein 51</v>
      </c>
      <c r="K2459" t="str">
        <f>"TMEM51"</f>
        <v>TMEM51</v>
      </c>
    </row>
    <row r="2460" spans="1:11" x14ac:dyDescent="0.25">
      <c r="A2460" s="1">
        <v>1352</v>
      </c>
      <c r="B2460" s="1">
        <v>2</v>
      </c>
      <c r="C2460" s="1" t="s">
        <v>3</v>
      </c>
      <c r="D2460" s="1">
        <v>7</v>
      </c>
      <c r="E2460" s="1">
        <v>42.21</v>
      </c>
      <c r="F2460" s="1">
        <v>0.73477800000000004</v>
      </c>
      <c r="G2460" t="s">
        <v>3882</v>
      </c>
      <c r="H2460" t="s">
        <v>3883</v>
      </c>
      <c r="I2460" t="s">
        <v>5939</v>
      </c>
      <c r="J2460" t="str">
        <f>"Zinc finger protein 768"</f>
        <v>Zinc finger protein 768</v>
      </c>
      <c r="K2460" t="str">
        <f>"ZNF768"</f>
        <v>ZNF768</v>
      </c>
    </row>
    <row r="2461" spans="1:11" x14ac:dyDescent="0.25">
      <c r="A2461" s="1">
        <v>1309</v>
      </c>
      <c r="B2461" s="1">
        <v>3</v>
      </c>
      <c r="C2461" s="1" t="s">
        <v>3</v>
      </c>
      <c r="D2461" s="1">
        <v>8</v>
      </c>
      <c r="E2461" s="1">
        <v>59.728000000000002</v>
      </c>
      <c r="F2461" s="1">
        <v>0.99094099999999996</v>
      </c>
      <c r="G2461" t="s">
        <v>3884</v>
      </c>
      <c r="H2461" t="s">
        <v>3885</v>
      </c>
      <c r="I2461" t="s">
        <v>5940</v>
      </c>
      <c r="J2461" t="str">
        <f>"FYVE, RhoGEF and PH domain-containing protein 6"</f>
        <v>FYVE, RhoGEF and PH domain-containing protein 6</v>
      </c>
      <c r="K2461" t="str">
        <f>"FGD6"</f>
        <v>FGD6</v>
      </c>
    </row>
    <row r="2462" spans="1:11" x14ac:dyDescent="0.25">
      <c r="A2462" s="1">
        <v>1802</v>
      </c>
      <c r="B2462" s="1">
        <v>2</v>
      </c>
      <c r="C2462" s="1" t="s">
        <v>3</v>
      </c>
      <c r="D2462" s="1">
        <v>4</v>
      </c>
      <c r="E2462" s="1">
        <v>42.975999999999999</v>
      </c>
      <c r="F2462" s="1">
        <v>0.75065800000000005</v>
      </c>
      <c r="G2462" t="s">
        <v>3886</v>
      </c>
      <c r="H2462" t="s">
        <v>2404</v>
      </c>
      <c r="I2462" t="s">
        <v>5941</v>
      </c>
      <c r="J2462" t="str">
        <f>"40S ribosomal protein S2"</f>
        <v>40S ribosomal protein S2</v>
      </c>
      <c r="K2462" t="str">
        <f>"RPS2"</f>
        <v>RPS2</v>
      </c>
    </row>
    <row r="2463" spans="1:11" x14ac:dyDescent="0.25">
      <c r="A2463" s="1">
        <v>2416</v>
      </c>
      <c r="B2463" s="1">
        <v>3</v>
      </c>
      <c r="C2463" s="1" t="s">
        <v>3</v>
      </c>
      <c r="D2463" s="1">
        <v>2</v>
      </c>
      <c r="E2463" s="1">
        <v>70.260000000000005</v>
      </c>
      <c r="F2463" s="1">
        <v>0.928485</v>
      </c>
      <c r="G2463" t="s">
        <v>3887</v>
      </c>
      <c r="H2463" t="s">
        <v>3888</v>
      </c>
      <c r="I2463" t="s">
        <v>4599</v>
      </c>
      <c r="J2463" t="str">
        <f>"Ras GTPase-activating protein-binding protein 1"</f>
        <v>Ras GTPase-activating protein-binding protein 1</v>
      </c>
      <c r="K2463" t="str">
        <f>"G3BP1"</f>
        <v>G3BP1</v>
      </c>
    </row>
    <row r="2464" spans="1:11" x14ac:dyDescent="0.25">
      <c r="A2464" s="1">
        <v>2103</v>
      </c>
      <c r="B2464" s="1">
        <v>2</v>
      </c>
      <c r="C2464" s="1" t="s">
        <v>3</v>
      </c>
      <c r="D2464" s="1">
        <v>6</v>
      </c>
      <c r="E2464" s="1">
        <v>44.511000000000003</v>
      </c>
      <c r="F2464" s="1">
        <v>0.76592800000000005</v>
      </c>
      <c r="G2464" t="s">
        <v>3889</v>
      </c>
      <c r="H2464" t="s">
        <v>3036</v>
      </c>
      <c r="I2464">
        <v>2269</v>
      </c>
      <c r="J2464" t="s">
        <v>5542</v>
      </c>
      <c r="K2464" t="str">
        <f>"FASN"</f>
        <v>FASN</v>
      </c>
    </row>
    <row r="2465" spans="1:11" x14ac:dyDescent="0.25">
      <c r="A2465" s="1">
        <v>657</v>
      </c>
      <c r="B2465" s="1">
        <v>2</v>
      </c>
      <c r="C2465" s="1" t="s">
        <v>4</v>
      </c>
      <c r="D2465" s="1">
        <v>7</v>
      </c>
      <c r="E2465" s="1">
        <v>51.03</v>
      </c>
      <c r="F2465" s="1">
        <v>0.53678599999999999</v>
      </c>
      <c r="G2465" t="s">
        <v>3890</v>
      </c>
      <c r="H2465" t="s">
        <v>880</v>
      </c>
      <c r="I2465" t="s">
        <v>5942</v>
      </c>
      <c r="J2465" t="str">
        <f>"Tubulin alpha-1B chain;Tubulin alpha-4A chain;Tubulin alpha-1A chain;Tubulin alpha-3C/D chain;Tubulin alpha-3E chain;Tubulin alpha-1C chain"</f>
        <v>Tubulin alpha-1B chain;Tubulin alpha-4A chain;Tubulin alpha-1A chain;Tubulin alpha-3C/D chain;Tubulin alpha-3E chain;Tubulin alpha-1C chain</v>
      </c>
      <c r="K2465" t="str">
        <f>"TUBA1B;TUBA4A;TUBA1A;TUBA3C;TUBA3E;TUBA1C"</f>
        <v>TUBA1B;TUBA4A;TUBA1A;TUBA3C;TUBA3E;TUBA1C</v>
      </c>
    </row>
    <row r="2466" spans="1:11" x14ac:dyDescent="0.25">
      <c r="A2466" s="1">
        <v>925</v>
      </c>
      <c r="B2466" s="1">
        <v>2</v>
      </c>
      <c r="C2466" s="1" t="s">
        <v>3</v>
      </c>
      <c r="D2466" s="1">
        <v>7</v>
      </c>
      <c r="E2466" s="1">
        <v>60.55</v>
      </c>
      <c r="F2466" s="1">
        <v>0.98394499999999996</v>
      </c>
      <c r="G2466" t="s">
        <v>3891</v>
      </c>
      <c r="H2466" t="s">
        <v>1777</v>
      </c>
      <c r="I2466" t="s">
        <v>5943</v>
      </c>
      <c r="J2466" t="str">
        <f>"Platelet-derived growth factor receptor alpha"</f>
        <v>Platelet-derived growth factor receptor alpha</v>
      </c>
      <c r="K2466" t="str">
        <f>"PDGFRA"</f>
        <v>PDGFRA</v>
      </c>
    </row>
    <row r="2467" spans="1:11" x14ac:dyDescent="0.25">
      <c r="A2467" s="1">
        <v>1174</v>
      </c>
      <c r="B2467" s="1">
        <v>2</v>
      </c>
      <c r="C2467" s="1" t="s">
        <v>3</v>
      </c>
      <c r="D2467" s="1">
        <v>7</v>
      </c>
      <c r="E2467" s="1">
        <v>44.511000000000003</v>
      </c>
      <c r="F2467" s="1">
        <v>0.63976</v>
      </c>
      <c r="G2467" t="s">
        <v>3892</v>
      </c>
      <c r="H2467" t="s">
        <v>3893</v>
      </c>
      <c r="I2467" t="s">
        <v>5944</v>
      </c>
      <c r="J2467" t="str">
        <f>"Long-chain-fatty-acid--CoA ligase 1"</f>
        <v>Long-chain-fatty-acid--CoA ligase 1</v>
      </c>
      <c r="K2467" t="str">
        <f>"ACSL1"</f>
        <v>ACSL1</v>
      </c>
    </row>
    <row r="2468" spans="1:11" x14ac:dyDescent="0.25">
      <c r="A2468" s="1">
        <v>2937</v>
      </c>
      <c r="B2468" s="1">
        <v>2</v>
      </c>
      <c r="C2468" s="1" t="s">
        <v>3</v>
      </c>
      <c r="D2468" s="1">
        <v>3</v>
      </c>
      <c r="E2468" s="1">
        <v>66.266999999999996</v>
      </c>
      <c r="F2468" s="1">
        <v>0.99330399999999996</v>
      </c>
      <c r="G2468" t="s">
        <v>3894</v>
      </c>
      <c r="H2468" t="s">
        <v>3895</v>
      </c>
      <c r="I2468">
        <v>33</v>
      </c>
      <c r="J2468" t="str">
        <f>"Protein MAK16 homolog"</f>
        <v>Protein MAK16 homolog</v>
      </c>
      <c r="K2468" t="str">
        <f>"MAK16"</f>
        <v>MAK16</v>
      </c>
    </row>
    <row r="2469" spans="1:11" x14ac:dyDescent="0.25">
      <c r="A2469" s="1">
        <v>2025</v>
      </c>
      <c r="B2469" s="1">
        <v>2</v>
      </c>
      <c r="C2469" s="1" t="s">
        <v>3</v>
      </c>
      <c r="D2469" s="1">
        <v>2</v>
      </c>
      <c r="E2469" s="1">
        <v>66.393000000000001</v>
      </c>
      <c r="F2469" s="1">
        <v>1</v>
      </c>
      <c r="G2469" t="s">
        <v>3896</v>
      </c>
      <c r="H2469" t="s">
        <v>2543</v>
      </c>
      <c r="I2469" t="s">
        <v>5945</v>
      </c>
      <c r="J2469" t="str">
        <f>"Malate dehydrogenase, mitochondrial"</f>
        <v>Malate dehydrogenase, mitochondrial</v>
      </c>
      <c r="K2469" t="str">
        <f>"MDH2"</f>
        <v>MDH2</v>
      </c>
    </row>
    <row r="2470" spans="1:11" x14ac:dyDescent="0.25">
      <c r="A2470" s="1">
        <v>2487</v>
      </c>
      <c r="B2470" s="1">
        <v>3</v>
      </c>
      <c r="C2470" s="1" t="s">
        <v>3</v>
      </c>
      <c r="D2470" s="1">
        <v>5</v>
      </c>
      <c r="E2470" s="1">
        <v>69.03</v>
      </c>
      <c r="F2470" s="1">
        <v>0.993919</v>
      </c>
      <c r="G2470" t="s">
        <v>3897</v>
      </c>
      <c r="H2470" t="s">
        <v>3898</v>
      </c>
      <c r="I2470" t="s">
        <v>5946</v>
      </c>
      <c r="J2470" t="str">
        <f>"Growth factor receptor-bound protein 14"</f>
        <v>Growth factor receptor-bound protein 14</v>
      </c>
      <c r="K2470" t="str">
        <f>"GRB14"</f>
        <v>GRB14</v>
      </c>
    </row>
    <row r="2471" spans="1:11" x14ac:dyDescent="0.25">
      <c r="A2471" s="1">
        <v>893</v>
      </c>
      <c r="B2471" s="1">
        <v>2</v>
      </c>
      <c r="C2471" s="1" t="s">
        <v>3</v>
      </c>
      <c r="D2471" s="1">
        <v>1</v>
      </c>
      <c r="E2471" s="1">
        <v>60.436</v>
      </c>
      <c r="F2471" s="1">
        <v>1</v>
      </c>
      <c r="G2471" t="s">
        <v>3899</v>
      </c>
      <c r="H2471" t="s">
        <v>3900</v>
      </c>
      <c r="I2471" t="s">
        <v>5947</v>
      </c>
      <c r="J2471" t="str">
        <f>"Plastin-3;Plastin-2"</f>
        <v>Plastin-3;Plastin-2</v>
      </c>
      <c r="K2471" t="str">
        <f>"PLS3;LCP1"</f>
        <v>PLS3;LCP1</v>
      </c>
    </row>
    <row r="2472" spans="1:11" x14ac:dyDescent="0.25">
      <c r="A2472" s="1">
        <v>2813</v>
      </c>
      <c r="B2472" s="1">
        <v>3</v>
      </c>
      <c r="C2472" s="1" t="s">
        <v>3</v>
      </c>
      <c r="D2472" s="1">
        <v>1</v>
      </c>
      <c r="E2472" s="1">
        <v>61.161000000000001</v>
      </c>
      <c r="F2472" s="1">
        <v>1</v>
      </c>
      <c r="G2472" t="s">
        <v>3901</v>
      </c>
      <c r="H2472" t="s">
        <v>3902</v>
      </c>
      <c r="I2472" t="s">
        <v>5948</v>
      </c>
      <c r="J2472" t="str">
        <f>"Golgi apparatus protein 1"</f>
        <v>Golgi apparatus protein 1</v>
      </c>
      <c r="K2472" t="str">
        <f>"GLG1"</f>
        <v>GLG1</v>
      </c>
    </row>
    <row r="2473" spans="1:11" x14ac:dyDescent="0.25">
      <c r="A2473" s="1">
        <v>2689</v>
      </c>
      <c r="B2473" s="1">
        <v>3</v>
      </c>
      <c r="C2473" s="1" t="s">
        <v>3</v>
      </c>
      <c r="D2473" s="1">
        <v>11</v>
      </c>
      <c r="E2473" s="1">
        <v>43.793999999999997</v>
      </c>
      <c r="F2473" s="1">
        <v>0.71675699999999998</v>
      </c>
      <c r="G2473" t="s">
        <v>3903</v>
      </c>
      <c r="H2473" t="s">
        <v>258</v>
      </c>
      <c r="I2473">
        <v>79</v>
      </c>
      <c r="J2473" t="str">
        <f>"Tyrosine-protein kinase SgK223"</f>
        <v>Tyrosine-protein kinase SgK223</v>
      </c>
      <c r="K2473" t="str">
        <f>"SGK223"</f>
        <v>SGK223</v>
      </c>
    </row>
    <row r="2474" spans="1:11" x14ac:dyDescent="0.25">
      <c r="A2474" s="1">
        <v>2215</v>
      </c>
      <c r="B2474" s="1">
        <v>2</v>
      </c>
      <c r="C2474" s="1" t="s">
        <v>3</v>
      </c>
      <c r="D2474" s="1">
        <v>5</v>
      </c>
      <c r="E2474" s="1">
        <v>56.514000000000003</v>
      </c>
      <c r="F2474" s="1">
        <v>0.99807999999999997</v>
      </c>
      <c r="G2474" t="s">
        <v>3904</v>
      </c>
      <c r="H2474" t="s">
        <v>3905</v>
      </c>
      <c r="I2474" t="s">
        <v>5949</v>
      </c>
      <c r="J2474" t="str">
        <f>"Triosephosphate isomerase"</f>
        <v>Triosephosphate isomerase</v>
      </c>
      <c r="K2474" t="str">
        <f>"TPI1"</f>
        <v>TPI1</v>
      </c>
    </row>
    <row r="2475" spans="1:11" x14ac:dyDescent="0.25">
      <c r="A2475" s="1">
        <v>2971</v>
      </c>
      <c r="B2475" s="1">
        <v>3</v>
      </c>
      <c r="C2475" s="1" t="s">
        <v>3</v>
      </c>
      <c r="D2475" s="1">
        <v>1</v>
      </c>
      <c r="E2475" s="1">
        <v>61.11</v>
      </c>
      <c r="F2475" s="1">
        <v>1</v>
      </c>
      <c r="G2475" t="s">
        <v>3906</v>
      </c>
      <c r="H2475" t="s">
        <v>3907</v>
      </c>
      <c r="I2475">
        <v>75</v>
      </c>
      <c r="J2475" t="str">
        <f>"Differentially expressed in FDCP 6 homolog"</f>
        <v>Differentially expressed in FDCP 6 homolog</v>
      </c>
      <c r="K2475" t="str">
        <f>"DEF6"</f>
        <v>DEF6</v>
      </c>
    </row>
    <row r="2476" spans="1:11" x14ac:dyDescent="0.25">
      <c r="A2476" s="1">
        <v>1602</v>
      </c>
      <c r="B2476" s="1">
        <v>2</v>
      </c>
      <c r="C2476" s="1" t="s">
        <v>3</v>
      </c>
      <c r="D2476" s="1">
        <v>4</v>
      </c>
      <c r="E2476" s="1">
        <v>45.433</v>
      </c>
      <c r="F2476" s="1">
        <v>0.99000699999999997</v>
      </c>
      <c r="G2476" t="s">
        <v>3908</v>
      </c>
      <c r="H2476" t="s">
        <v>3909</v>
      </c>
      <c r="I2476">
        <v>708</v>
      </c>
      <c r="J2476" t="str">
        <f>"Alpha-2-macroglobulin"</f>
        <v>Alpha-2-macroglobulin</v>
      </c>
      <c r="K2476" t="str">
        <f>"A2M"</f>
        <v>A2M</v>
      </c>
    </row>
    <row r="2477" spans="1:11" x14ac:dyDescent="0.25">
      <c r="A2477" s="1">
        <v>2100</v>
      </c>
      <c r="B2477" s="1">
        <v>3</v>
      </c>
      <c r="C2477" s="1" t="s">
        <v>3</v>
      </c>
      <c r="D2477" s="1">
        <v>9</v>
      </c>
      <c r="E2477" s="1">
        <v>44.511000000000003</v>
      </c>
      <c r="F2477" s="1">
        <v>0.92356000000000005</v>
      </c>
      <c r="G2477" t="s">
        <v>3910</v>
      </c>
      <c r="H2477" t="s">
        <v>3911</v>
      </c>
      <c r="I2477" t="s">
        <v>5950</v>
      </c>
      <c r="J2477" t="str">
        <f>"MAP kinase-activated protein kinase 2"</f>
        <v>MAP kinase-activated protein kinase 2</v>
      </c>
      <c r="K2477" t="str">
        <f>"MAPKAPK2"</f>
        <v>MAPKAPK2</v>
      </c>
    </row>
    <row r="2478" spans="1:11" x14ac:dyDescent="0.25">
      <c r="A2478" s="1">
        <v>1548</v>
      </c>
      <c r="B2478" s="1">
        <v>3</v>
      </c>
      <c r="C2478" s="1" t="s">
        <v>3</v>
      </c>
      <c r="D2478" s="1">
        <v>15</v>
      </c>
      <c r="E2478" s="1">
        <v>48.899000000000001</v>
      </c>
      <c r="F2478" s="1">
        <v>0.81995499999999999</v>
      </c>
      <c r="G2478" t="s">
        <v>3912</v>
      </c>
      <c r="H2478" t="s">
        <v>3913</v>
      </c>
      <c r="I2478" t="s">
        <v>5217</v>
      </c>
      <c r="J2478" t="str">
        <f>"ATP synthase subunit d, mitochondrial"</f>
        <v>ATP synthase subunit d, mitochondrial</v>
      </c>
      <c r="K2478" t="str">
        <f>"ATP5H"</f>
        <v>ATP5H</v>
      </c>
    </row>
    <row r="2479" spans="1:11" x14ac:dyDescent="0.25">
      <c r="A2479" s="1">
        <v>850</v>
      </c>
      <c r="B2479" s="1">
        <v>2</v>
      </c>
      <c r="C2479" s="1" t="s">
        <v>3</v>
      </c>
      <c r="D2479" s="1">
        <v>6</v>
      </c>
      <c r="E2479" s="1">
        <v>51.436</v>
      </c>
      <c r="F2479" s="1">
        <v>1</v>
      </c>
      <c r="G2479" t="s">
        <v>3914</v>
      </c>
      <c r="H2479" t="s">
        <v>3915</v>
      </c>
      <c r="I2479" t="s">
        <v>5951</v>
      </c>
      <c r="J2479" t="str">
        <f>"Coiled-coil domain-containing protein R3HCC1L"</f>
        <v>Coiled-coil domain-containing protein R3HCC1L</v>
      </c>
      <c r="K2479" t="str">
        <f>"R3HCC1L"</f>
        <v>R3HCC1L</v>
      </c>
    </row>
    <row r="2480" spans="1:11" x14ac:dyDescent="0.25">
      <c r="A2480" s="1">
        <v>2198</v>
      </c>
      <c r="B2480" s="1">
        <v>3</v>
      </c>
      <c r="C2480" s="1" t="s">
        <v>3</v>
      </c>
      <c r="D2480" s="1">
        <v>1</v>
      </c>
      <c r="E2480" s="1">
        <v>52.814</v>
      </c>
      <c r="F2480" s="1">
        <v>0.99914099999999995</v>
      </c>
      <c r="G2480" t="s">
        <v>3916</v>
      </c>
      <c r="H2480" t="s">
        <v>3917</v>
      </c>
      <c r="I2480">
        <v>276</v>
      </c>
      <c r="J2480" t="str">
        <f>"Heterogeneous nuclear ribonucleoprotein H2;Heterogeneous nuclear ribonucleoprotein H2, N-terminally processed"</f>
        <v>Heterogeneous nuclear ribonucleoprotein H2;Heterogeneous nuclear ribonucleoprotein H2, N-terminally processed</v>
      </c>
      <c r="K2480" t="str">
        <f>"HNRNPH2"</f>
        <v>HNRNPH2</v>
      </c>
    </row>
    <row r="2481" spans="1:11" x14ac:dyDescent="0.25">
      <c r="A2481" s="1">
        <v>1164</v>
      </c>
      <c r="B2481" s="1">
        <v>3</v>
      </c>
      <c r="C2481" s="1" t="s">
        <v>3</v>
      </c>
      <c r="D2481" s="1">
        <v>5</v>
      </c>
      <c r="E2481" s="1">
        <v>42.843000000000004</v>
      </c>
      <c r="F2481" s="1">
        <v>0.99919199999999997</v>
      </c>
      <c r="G2481" t="s">
        <v>3918</v>
      </c>
      <c r="H2481" t="s">
        <v>1766</v>
      </c>
      <c r="I2481" t="s">
        <v>5952</v>
      </c>
      <c r="J2481" t="str">
        <f>"Succinate dehydrogenase [ubiquinone] flavoprotein subunit, mitochondrial"</f>
        <v>Succinate dehydrogenase [ubiquinone] flavoprotein subunit, mitochondrial</v>
      </c>
      <c r="K2481" t="str">
        <f>"SDHA"</f>
        <v>SDHA</v>
      </c>
    </row>
    <row r="2482" spans="1:11" x14ac:dyDescent="0.25">
      <c r="A2482" s="1">
        <v>1321</v>
      </c>
      <c r="B2482" s="1">
        <v>3</v>
      </c>
      <c r="C2482" s="1" t="s">
        <v>3</v>
      </c>
      <c r="D2482" s="1">
        <v>16</v>
      </c>
      <c r="E2482" s="1">
        <v>49.594999999999999</v>
      </c>
      <c r="F2482" s="1">
        <v>0.79329700000000003</v>
      </c>
      <c r="G2482" t="s">
        <v>3919</v>
      </c>
      <c r="H2482" t="s">
        <v>3920</v>
      </c>
      <c r="I2482" t="s">
        <v>5953</v>
      </c>
      <c r="J2482" t="str">
        <f>"Tight junction protein ZO-1"</f>
        <v>Tight junction protein ZO-1</v>
      </c>
      <c r="K2482" t="str">
        <f>"TJP1"</f>
        <v>TJP1</v>
      </c>
    </row>
    <row r="2483" spans="1:11" x14ac:dyDescent="0.25">
      <c r="A2483" s="1">
        <v>2694</v>
      </c>
      <c r="B2483" s="1">
        <v>2</v>
      </c>
      <c r="C2483" s="1" t="s">
        <v>3</v>
      </c>
      <c r="D2483" s="1">
        <v>8</v>
      </c>
      <c r="E2483" s="1">
        <v>48.423000000000002</v>
      </c>
      <c r="F2483" s="1">
        <v>0.50667300000000004</v>
      </c>
      <c r="G2483" t="s">
        <v>3921</v>
      </c>
      <c r="H2483" t="s">
        <v>1825</v>
      </c>
      <c r="I2483" t="s">
        <v>5954</v>
      </c>
      <c r="J2483" t="str">
        <f>"Protein AHNAK2"</f>
        <v>Protein AHNAK2</v>
      </c>
      <c r="K2483" t="str">
        <f>"AHNAK2"</f>
        <v>AHNAK2</v>
      </c>
    </row>
    <row r="2484" spans="1:11" x14ac:dyDescent="0.25">
      <c r="A2484" s="1">
        <v>734</v>
      </c>
      <c r="B2484" s="1">
        <v>2</v>
      </c>
      <c r="C2484" s="1" t="s">
        <v>4</v>
      </c>
      <c r="D2484" s="1">
        <v>7</v>
      </c>
      <c r="E2484" s="1">
        <v>42.598999999999997</v>
      </c>
      <c r="F2484" s="1">
        <v>0.76681699999999997</v>
      </c>
      <c r="G2484" t="s">
        <v>3922</v>
      </c>
      <c r="H2484" t="s">
        <v>2910</v>
      </c>
      <c r="I2484" t="s">
        <v>5955</v>
      </c>
      <c r="J2484" t="str">
        <f>"Pleckstrin homology domain-containing family A member 5"</f>
        <v>Pleckstrin homology domain-containing family A member 5</v>
      </c>
      <c r="K2484" t="str">
        <f>"PLEKHA5"</f>
        <v>PLEKHA5</v>
      </c>
    </row>
    <row r="2485" spans="1:11" x14ac:dyDescent="0.25">
      <c r="A2485" s="1">
        <v>1404</v>
      </c>
      <c r="B2485" s="1">
        <v>3</v>
      </c>
      <c r="C2485" s="1" t="s">
        <v>3</v>
      </c>
      <c r="D2485" s="1">
        <v>10</v>
      </c>
      <c r="E2485" s="1">
        <v>48.567999999999998</v>
      </c>
      <c r="F2485" s="1">
        <v>0.84380100000000002</v>
      </c>
      <c r="G2485" t="s">
        <v>3923</v>
      </c>
      <c r="H2485" t="s">
        <v>3924</v>
      </c>
      <c r="I2485" t="s">
        <v>5956</v>
      </c>
      <c r="J2485" t="str">
        <f>"ATP-dependent RNA helicase DDX39A;Spliceosome RNA helicase DDX39B"</f>
        <v>ATP-dependent RNA helicase DDX39A;Spliceosome RNA helicase DDX39B</v>
      </c>
      <c r="K2485" t="str">
        <f>"DDX39A;DDX39B"</f>
        <v>DDX39A;DDX39B</v>
      </c>
    </row>
    <row r="2486" spans="1:11" x14ac:dyDescent="0.25">
      <c r="A2486" s="1">
        <v>1601</v>
      </c>
      <c r="B2486" s="1">
        <v>3</v>
      </c>
      <c r="C2486" s="1" t="s">
        <v>3</v>
      </c>
      <c r="D2486" s="1">
        <v>6</v>
      </c>
      <c r="E2486" s="1">
        <v>42.633000000000003</v>
      </c>
      <c r="F2486" s="1">
        <v>0.78412899999999996</v>
      </c>
      <c r="G2486" t="s">
        <v>3925</v>
      </c>
      <c r="H2486" t="s">
        <v>3662</v>
      </c>
      <c r="I2486">
        <v>322</v>
      </c>
      <c r="J2486" t="str">
        <f>"Argininosuccinate synthase"</f>
        <v>Argininosuccinate synthase</v>
      </c>
      <c r="K2486" t="str">
        <f>"ASS1"</f>
        <v>ASS1</v>
      </c>
    </row>
    <row r="2487" spans="1:11" x14ac:dyDescent="0.25">
      <c r="A2487" s="1">
        <v>1409</v>
      </c>
      <c r="B2487" s="1">
        <v>2</v>
      </c>
      <c r="C2487" s="1" t="s">
        <v>3</v>
      </c>
      <c r="D2487" s="1">
        <v>3</v>
      </c>
      <c r="E2487" s="1">
        <v>42.030999999999999</v>
      </c>
      <c r="F2487" s="1">
        <v>0.98775299999999999</v>
      </c>
      <c r="G2487" t="s">
        <v>3926</v>
      </c>
      <c r="H2487" t="s">
        <v>3927</v>
      </c>
      <c r="I2487">
        <v>511</v>
      </c>
      <c r="J2487" t="str">
        <f>"Unconventional myosin-If"</f>
        <v>Unconventional myosin-If</v>
      </c>
      <c r="K2487" t="str">
        <f>"MYO1F"</f>
        <v>MYO1F</v>
      </c>
    </row>
    <row r="2488" spans="1:11" x14ac:dyDescent="0.25">
      <c r="A2488" s="1">
        <v>606</v>
      </c>
      <c r="B2488" s="1">
        <v>3</v>
      </c>
      <c r="C2488" s="1" t="s">
        <v>4</v>
      </c>
      <c r="D2488" s="1">
        <v>18</v>
      </c>
      <c r="E2488" s="1">
        <v>50.177999999999997</v>
      </c>
      <c r="F2488" s="1">
        <v>0.51669699999999996</v>
      </c>
      <c r="G2488" t="s">
        <v>3928</v>
      </c>
      <c r="H2488" t="s">
        <v>22</v>
      </c>
      <c r="I2488" t="s">
        <v>4576</v>
      </c>
      <c r="J2488" t="str">
        <f>"Mitogen-activated protein kinase 1"</f>
        <v>Mitogen-activated protein kinase 1</v>
      </c>
      <c r="K2488" t="str">
        <f>"MAPK1"</f>
        <v>MAPK1</v>
      </c>
    </row>
    <row r="2489" spans="1:11" x14ac:dyDescent="0.25">
      <c r="A2489" s="1">
        <v>1719</v>
      </c>
      <c r="B2489" s="1">
        <v>3</v>
      </c>
      <c r="C2489" s="1" t="s">
        <v>3</v>
      </c>
      <c r="D2489" s="1">
        <v>1</v>
      </c>
      <c r="E2489" s="1">
        <v>56.488</v>
      </c>
      <c r="F2489" s="1">
        <v>0.93874299999999999</v>
      </c>
      <c r="G2489" t="s">
        <v>3929</v>
      </c>
      <c r="H2489" t="s">
        <v>3011</v>
      </c>
      <c r="I2489">
        <v>763</v>
      </c>
      <c r="J2489" t="str">
        <f>"Platelet-derived growth factor receptor beta"</f>
        <v>Platelet-derived growth factor receptor beta</v>
      </c>
      <c r="K2489" t="str">
        <f>"PDGFRB"</f>
        <v>PDGFRB</v>
      </c>
    </row>
    <row r="2490" spans="1:11" x14ac:dyDescent="0.25">
      <c r="A2490" s="1">
        <v>2141</v>
      </c>
      <c r="B2490" s="1">
        <v>3</v>
      </c>
      <c r="C2490" s="1" t="s">
        <v>3</v>
      </c>
      <c r="D2490" s="1">
        <v>7</v>
      </c>
      <c r="E2490" s="1">
        <v>63.682000000000002</v>
      </c>
      <c r="F2490" s="1">
        <v>0.79393800000000003</v>
      </c>
      <c r="G2490" t="s">
        <v>3930</v>
      </c>
      <c r="H2490" t="s">
        <v>3124</v>
      </c>
      <c r="I2490" t="s">
        <v>5957</v>
      </c>
      <c r="J2490" t="str">
        <f>"Ras-related protein Rab-27A"</f>
        <v>Ras-related protein Rab-27A</v>
      </c>
      <c r="K2490" t="str">
        <f>"RAB27A"</f>
        <v>RAB27A</v>
      </c>
    </row>
    <row r="2491" spans="1:11" x14ac:dyDescent="0.25">
      <c r="A2491" s="1">
        <v>18</v>
      </c>
      <c r="B2491" s="1">
        <v>2</v>
      </c>
      <c r="C2491" s="1" t="s">
        <v>5</v>
      </c>
      <c r="D2491" s="1">
        <v>9</v>
      </c>
      <c r="E2491" s="1">
        <v>46.88</v>
      </c>
      <c r="F2491" s="1">
        <v>0.54651899999999998</v>
      </c>
      <c r="G2491" t="s">
        <v>3931</v>
      </c>
      <c r="H2491" t="s">
        <v>1529</v>
      </c>
      <c r="I2491" t="s">
        <v>5958</v>
      </c>
      <c r="J2491" t="str">
        <f>"SH3 and multiple ankyrin repeat domains protein 2"</f>
        <v>SH3 and multiple ankyrin repeat domains protein 2</v>
      </c>
      <c r="K2491" t="str">
        <f>"SHANK2"</f>
        <v>SHANK2</v>
      </c>
    </row>
    <row r="2492" spans="1:11" x14ac:dyDescent="0.25">
      <c r="A2492" s="1">
        <v>492</v>
      </c>
      <c r="B2492" s="1">
        <v>4</v>
      </c>
      <c r="C2492" s="1" t="s">
        <v>4</v>
      </c>
      <c r="D2492" s="1">
        <v>4</v>
      </c>
      <c r="E2492" s="1">
        <v>50.985999999999997</v>
      </c>
      <c r="F2492" s="1">
        <v>0.50539199999999995</v>
      </c>
      <c r="G2492" t="s">
        <v>3932</v>
      </c>
      <c r="H2492" t="s">
        <v>3933</v>
      </c>
      <c r="I2492" t="s">
        <v>5959</v>
      </c>
      <c r="J2492" t="str">
        <f>"Ribonucleoprotein PTB-binding 1"</f>
        <v>Ribonucleoprotein PTB-binding 1</v>
      </c>
      <c r="K2492" t="str">
        <f>"RAVER1"</f>
        <v>RAVER1</v>
      </c>
    </row>
    <row r="2493" spans="1:11" x14ac:dyDescent="0.25">
      <c r="A2493" s="1">
        <v>1493</v>
      </c>
      <c r="B2493" s="1">
        <v>2</v>
      </c>
      <c r="C2493" s="1" t="s">
        <v>3</v>
      </c>
      <c r="D2493" s="1">
        <v>1</v>
      </c>
      <c r="E2493" s="1">
        <v>57.59</v>
      </c>
      <c r="F2493" s="1">
        <v>0.97626299999999999</v>
      </c>
      <c r="G2493" t="s">
        <v>3934</v>
      </c>
      <c r="H2493" t="s">
        <v>3935</v>
      </c>
      <c r="I2493" t="s">
        <v>5960</v>
      </c>
      <c r="J2493" t="str">
        <f>"Sorting nexin-3"</f>
        <v>Sorting nexin-3</v>
      </c>
      <c r="K2493" t="str">
        <f>"SNX3"</f>
        <v>SNX3</v>
      </c>
    </row>
    <row r="2494" spans="1:11" x14ac:dyDescent="0.25">
      <c r="A2494" s="1">
        <v>2770</v>
      </c>
      <c r="B2494" s="1">
        <v>2</v>
      </c>
      <c r="C2494" s="1" t="s">
        <v>3</v>
      </c>
      <c r="D2494" s="1">
        <v>10</v>
      </c>
      <c r="E2494" s="1">
        <v>42.241999999999997</v>
      </c>
      <c r="F2494" s="1">
        <v>0.97339600000000004</v>
      </c>
      <c r="G2494" t="s">
        <v>3936</v>
      </c>
      <c r="H2494" t="s">
        <v>3937</v>
      </c>
      <c r="I2494" t="s">
        <v>5961</v>
      </c>
      <c r="J2494" t="str">
        <f>"Transient receptor potential cation channel subfamily M member 4"</f>
        <v>Transient receptor potential cation channel subfamily M member 4</v>
      </c>
      <c r="K2494" t="str">
        <f>"TRPM4"</f>
        <v>TRPM4</v>
      </c>
    </row>
    <row r="2495" spans="1:11" x14ac:dyDescent="0.25">
      <c r="A2495" s="1">
        <v>916</v>
      </c>
      <c r="B2495" s="1">
        <v>3</v>
      </c>
      <c r="C2495" s="1" t="s">
        <v>3</v>
      </c>
      <c r="D2495" s="1">
        <v>3</v>
      </c>
      <c r="E2495" s="1">
        <v>54.898000000000003</v>
      </c>
      <c r="F2495" s="1">
        <v>0.99683699999999997</v>
      </c>
      <c r="G2495" t="s">
        <v>3938</v>
      </c>
      <c r="H2495" t="s">
        <v>3939</v>
      </c>
      <c r="I2495" t="s">
        <v>5962</v>
      </c>
      <c r="J2495" t="str">
        <f>"E3 ubiquitin-protein ligase RNF213"</f>
        <v>E3 ubiquitin-protein ligase RNF213</v>
      </c>
      <c r="K2495" t="str">
        <f>"RNF213"</f>
        <v>RNF213</v>
      </c>
    </row>
    <row r="2496" spans="1:11" x14ac:dyDescent="0.25">
      <c r="A2496" s="1">
        <v>1143</v>
      </c>
      <c r="B2496" s="1">
        <v>3</v>
      </c>
      <c r="C2496" s="1" t="s">
        <v>3</v>
      </c>
      <c r="D2496" s="1">
        <v>4</v>
      </c>
      <c r="E2496" s="1">
        <v>43.591999999999999</v>
      </c>
      <c r="F2496" s="1">
        <v>0.81406199999999995</v>
      </c>
      <c r="G2496" t="s">
        <v>3940</v>
      </c>
      <c r="H2496" t="s">
        <v>3941</v>
      </c>
      <c r="I2496">
        <v>171</v>
      </c>
      <c r="J2496" t="str">
        <f>""</f>
        <v/>
      </c>
      <c r="K2496" t="str">
        <f>""</f>
        <v/>
      </c>
    </row>
    <row r="2497" spans="1:11" x14ac:dyDescent="0.25">
      <c r="A2497" s="1">
        <v>1238</v>
      </c>
      <c r="B2497" s="1">
        <v>2</v>
      </c>
      <c r="C2497" s="1" t="s">
        <v>3</v>
      </c>
      <c r="D2497" s="1">
        <v>8</v>
      </c>
      <c r="E2497" s="1">
        <v>50.831000000000003</v>
      </c>
      <c r="F2497" s="1">
        <v>0.99898399999999998</v>
      </c>
      <c r="G2497" t="s">
        <v>3942</v>
      </c>
      <c r="H2497" t="s">
        <v>3943</v>
      </c>
      <c r="I2497" t="s">
        <v>5963</v>
      </c>
      <c r="J2497" t="str">
        <f>"Suppression of tumorigenicity 5 protein"</f>
        <v>Suppression of tumorigenicity 5 protein</v>
      </c>
      <c r="K2497" t="str">
        <f>"ST5"</f>
        <v>ST5</v>
      </c>
    </row>
    <row r="2498" spans="1:11" x14ac:dyDescent="0.25">
      <c r="A2498" s="1">
        <v>1254</v>
      </c>
      <c r="B2498" s="1">
        <v>3</v>
      </c>
      <c r="C2498" s="1" t="s">
        <v>3</v>
      </c>
      <c r="D2498" s="1">
        <v>10</v>
      </c>
      <c r="E2498" s="1">
        <v>50.177999999999997</v>
      </c>
      <c r="F2498" s="1">
        <v>0.87391799999999997</v>
      </c>
      <c r="G2498" t="s">
        <v>3944</v>
      </c>
      <c r="H2498" t="s">
        <v>3945</v>
      </c>
      <c r="I2498" t="s">
        <v>5964</v>
      </c>
      <c r="J2498" t="str">
        <f>"Protein CASC5"</f>
        <v>Protein CASC5</v>
      </c>
      <c r="K2498" t="str">
        <f>"CASC5"</f>
        <v>CASC5</v>
      </c>
    </row>
    <row r="2499" spans="1:11" x14ac:dyDescent="0.25">
      <c r="A2499" s="1">
        <v>1368</v>
      </c>
      <c r="B2499" s="1">
        <v>2</v>
      </c>
      <c r="C2499" s="1" t="s">
        <v>3</v>
      </c>
      <c r="D2499" s="1">
        <v>7</v>
      </c>
      <c r="E2499" s="1">
        <v>47.712000000000003</v>
      </c>
      <c r="F2499" s="1">
        <v>0.99758599999999997</v>
      </c>
      <c r="G2499" t="s">
        <v>3946</v>
      </c>
      <c r="H2499" t="s">
        <v>3947</v>
      </c>
      <c r="I2499" t="s">
        <v>5965</v>
      </c>
      <c r="J2499" t="str">
        <f>"Serine/arginine-rich splicing factor 1"</f>
        <v>Serine/arginine-rich splicing factor 1</v>
      </c>
      <c r="K2499" t="str">
        <f>"SRSF1"</f>
        <v>SRSF1</v>
      </c>
    </row>
    <row r="2500" spans="1:11" x14ac:dyDescent="0.25">
      <c r="A2500" s="1">
        <v>2790</v>
      </c>
      <c r="B2500" s="1">
        <v>3</v>
      </c>
      <c r="C2500" s="1" t="s">
        <v>3</v>
      </c>
      <c r="D2500" s="1">
        <v>11</v>
      </c>
      <c r="E2500" s="1">
        <v>43.03</v>
      </c>
      <c r="F2500" s="1">
        <v>1</v>
      </c>
      <c r="G2500" t="s">
        <v>3948</v>
      </c>
      <c r="H2500" t="s">
        <v>3949</v>
      </c>
      <c r="I2500">
        <v>307</v>
      </c>
      <c r="J2500" t="str">
        <f>"Ubiquitin-like domain-containing CTD phosphatase 1"</f>
        <v>Ubiquitin-like domain-containing CTD phosphatase 1</v>
      </c>
      <c r="K2500" t="str">
        <f>"UBLCP1"</f>
        <v>UBLCP1</v>
      </c>
    </row>
    <row r="2501" spans="1:11" x14ac:dyDescent="0.25">
      <c r="A2501" s="1">
        <v>2820</v>
      </c>
      <c r="B2501" s="1">
        <v>3</v>
      </c>
      <c r="C2501" s="1" t="s">
        <v>3</v>
      </c>
      <c r="D2501" s="1">
        <v>5</v>
      </c>
      <c r="E2501" s="1">
        <v>45.28</v>
      </c>
      <c r="F2501" s="1">
        <v>0.833009</v>
      </c>
      <c r="G2501" t="s">
        <v>3950</v>
      </c>
      <c r="H2501" t="s">
        <v>2390</v>
      </c>
      <c r="I2501">
        <v>61</v>
      </c>
      <c r="J2501" t="str">
        <f>"Ribosomal RNA small subunit methyltransferase NEP1"</f>
        <v>Ribosomal RNA small subunit methyltransferase NEP1</v>
      </c>
      <c r="K2501" t="str">
        <f>"EMG1"</f>
        <v>EMG1</v>
      </c>
    </row>
    <row r="2502" spans="1:11" x14ac:dyDescent="0.25">
      <c r="A2502" s="1">
        <v>2520</v>
      </c>
      <c r="B2502" s="1">
        <v>2</v>
      </c>
      <c r="C2502" s="1" t="s">
        <v>3</v>
      </c>
      <c r="D2502" s="1">
        <v>5</v>
      </c>
      <c r="E2502" s="1">
        <v>51.445</v>
      </c>
      <c r="F2502" s="1">
        <v>0.62101799999999996</v>
      </c>
      <c r="G2502" t="s">
        <v>3951</v>
      </c>
      <c r="H2502" t="s">
        <v>1572</v>
      </c>
      <c r="I2502" t="s">
        <v>5966</v>
      </c>
      <c r="J2502" t="str">
        <f>"Plectin"</f>
        <v>Plectin</v>
      </c>
      <c r="K2502" t="str">
        <f>"PLEC"</f>
        <v>PLEC</v>
      </c>
    </row>
    <row r="2503" spans="1:11" x14ac:dyDescent="0.25">
      <c r="A2503" s="1">
        <v>471</v>
      </c>
      <c r="B2503" s="1">
        <v>3</v>
      </c>
      <c r="C2503" s="1" t="s">
        <v>5</v>
      </c>
      <c r="D2503" s="1">
        <v>10</v>
      </c>
      <c r="E2503" s="1">
        <v>42.947000000000003</v>
      </c>
      <c r="F2503" s="1">
        <v>0.53401299999999996</v>
      </c>
      <c r="G2503" t="s">
        <v>3952</v>
      </c>
      <c r="H2503" t="s">
        <v>3421</v>
      </c>
      <c r="I2503">
        <v>457</v>
      </c>
      <c r="J2503" t="str">
        <f>"Sialic acid-binding Ig-like lectin 9"</f>
        <v>Sialic acid-binding Ig-like lectin 9</v>
      </c>
      <c r="K2503" t="str">
        <f>"SIGLEC9"</f>
        <v>SIGLEC9</v>
      </c>
    </row>
    <row r="2504" spans="1:11" x14ac:dyDescent="0.25">
      <c r="A2504" s="1">
        <v>1260</v>
      </c>
      <c r="B2504" s="1">
        <v>2</v>
      </c>
      <c r="C2504" s="1" t="s">
        <v>3</v>
      </c>
      <c r="D2504" s="1">
        <v>1</v>
      </c>
      <c r="E2504" s="1">
        <v>42.718000000000004</v>
      </c>
      <c r="F2504" s="1">
        <v>1</v>
      </c>
      <c r="G2504" t="s">
        <v>3953</v>
      </c>
      <c r="H2504" t="s">
        <v>3357</v>
      </c>
      <c r="I2504" t="s">
        <v>5967</v>
      </c>
      <c r="J2504" t="str">
        <f>"Protein transport protein Sec16A"</f>
        <v>Protein transport protein Sec16A</v>
      </c>
      <c r="K2504" t="str">
        <f>"SEC16A"</f>
        <v>SEC16A</v>
      </c>
    </row>
    <row r="2505" spans="1:11" x14ac:dyDescent="0.25">
      <c r="A2505" s="1">
        <v>2502</v>
      </c>
      <c r="B2505" s="1">
        <v>2</v>
      </c>
      <c r="C2505" s="1" t="s">
        <v>3</v>
      </c>
      <c r="D2505" s="1">
        <v>4</v>
      </c>
      <c r="E2505" s="1">
        <v>61.11</v>
      </c>
      <c r="F2505" s="1">
        <v>0.98821000000000003</v>
      </c>
      <c r="G2505" t="s">
        <v>3954</v>
      </c>
      <c r="H2505" t="s">
        <v>3955</v>
      </c>
      <c r="I2505" t="s">
        <v>5968</v>
      </c>
      <c r="J2505" t="str">
        <f>"Importin subunit beta-1"</f>
        <v>Importin subunit beta-1</v>
      </c>
      <c r="K2505" t="str">
        <f>"KPNB1"</f>
        <v>KPNB1</v>
      </c>
    </row>
    <row r="2506" spans="1:11" x14ac:dyDescent="0.25">
      <c r="A2506" s="1">
        <v>1933</v>
      </c>
      <c r="B2506" s="1">
        <v>3</v>
      </c>
      <c r="C2506" s="1" t="s">
        <v>3</v>
      </c>
      <c r="D2506" s="1">
        <v>4</v>
      </c>
      <c r="E2506" s="1">
        <v>48.091000000000001</v>
      </c>
      <c r="F2506" s="1">
        <v>1</v>
      </c>
      <c r="G2506" t="s">
        <v>3956</v>
      </c>
      <c r="H2506" t="s">
        <v>3957</v>
      </c>
      <c r="I2506">
        <v>386</v>
      </c>
      <c r="J2506" t="str">
        <f>"Dipeptidyl peptidase 4;Dipeptidyl peptidase 4 membrane form;Dipeptidyl peptidase 4 soluble form"</f>
        <v>Dipeptidyl peptidase 4;Dipeptidyl peptidase 4 membrane form;Dipeptidyl peptidase 4 soluble form</v>
      </c>
      <c r="K2506" t="str">
        <f>"DPP4"</f>
        <v>DPP4</v>
      </c>
    </row>
    <row r="2507" spans="1:11" x14ac:dyDescent="0.25">
      <c r="A2507" s="1">
        <v>192</v>
      </c>
      <c r="B2507" s="1">
        <v>3</v>
      </c>
      <c r="C2507" s="1" t="s">
        <v>5</v>
      </c>
      <c r="D2507" s="1">
        <v>9</v>
      </c>
      <c r="E2507" s="1">
        <v>40.475000000000001</v>
      </c>
      <c r="F2507" s="1">
        <v>0.58973100000000001</v>
      </c>
      <c r="G2507" t="s">
        <v>3958</v>
      </c>
      <c r="H2507" t="s">
        <v>99</v>
      </c>
      <c r="I2507" t="s">
        <v>5969</v>
      </c>
      <c r="J2507" t="str">
        <f>"Hepatocyte growth factor receptor"</f>
        <v>Hepatocyte growth factor receptor</v>
      </c>
      <c r="K2507" t="str">
        <f>"MET"</f>
        <v>MET</v>
      </c>
    </row>
    <row r="2508" spans="1:11" x14ac:dyDescent="0.25">
      <c r="A2508" s="1">
        <v>1006</v>
      </c>
      <c r="B2508" s="1">
        <v>2</v>
      </c>
      <c r="C2508" s="1" t="s">
        <v>3</v>
      </c>
      <c r="D2508" s="1">
        <v>3</v>
      </c>
      <c r="E2508" s="1">
        <v>54.898000000000003</v>
      </c>
      <c r="F2508" s="1">
        <v>0.96131299999999997</v>
      </c>
      <c r="G2508" t="s">
        <v>3959</v>
      </c>
      <c r="H2508" t="s">
        <v>3960</v>
      </c>
      <c r="I2508" t="s">
        <v>5970</v>
      </c>
      <c r="J2508" t="str">
        <f>"Mesencephalic astrocyte-derived neurotrophic factor"</f>
        <v>Mesencephalic astrocyte-derived neurotrophic factor</v>
      </c>
      <c r="K2508" t="str">
        <f>"MANF"</f>
        <v>MANF</v>
      </c>
    </row>
    <row r="2509" spans="1:11" x14ac:dyDescent="0.25">
      <c r="A2509" s="1">
        <v>2758</v>
      </c>
      <c r="B2509" s="1">
        <v>3</v>
      </c>
      <c r="C2509" s="1" t="s">
        <v>3</v>
      </c>
      <c r="D2509" s="1">
        <v>2</v>
      </c>
      <c r="E2509" s="1">
        <v>47.548000000000002</v>
      </c>
      <c r="F2509" s="1">
        <v>0.53766700000000001</v>
      </c>
      <c r="G2509" t="s">
        <v>3961</v>
      </c>
      <c r="H2509" t="s">
        <v>390</v>
      </c>
      <c r="I2509">
        <v>56</v>
      </c>
      <c r="J2509" t="str">
        <f>"Phosphatidylcholine:ceramide cholinephosphotransferase 2"</f>
        <v>Phosphatidylcholine:ceramide cholinephosphotransferase 2</v>
      </c>
      <c r="K2509" t="str">
        <f>"SGMS2"</f>
        <v>SGMS2</v>
      </c>
    </row>
    <row r="2510" spans="1:11" x14ac:dyDescent="0.25">
      <c r="A2510" s="1">
        <v>2674</v>
      </c>
      <c r="B2510" s="1">
        <v>3</v>
      </c>
      <c r="C2510" s="1" t="s">
        <v>3</v>
      </c>
      <c r="D2510" s="1">
        <v>17</v>
      </c>
      <c r="E2510" s="1">
        <v>43.164000000000001</v>
      </c>
      <c r="F2510" s="1">
        <v>0.99882899999999997</v>
      </c>
      <c r="G2510" t="s">
        <v>3962</v>
      </c>
      <c r="H2510" t="s">
        <v>3963</v>
      </c>
      <c r="I2510">
        <v>312</v>
      </c>
      <c r="J2510" t="str">
        <f>"Transmembrane protein adipocyte-associated 1"</f>
        <v>Transmembrane protein adipocyte-associated 1</v>
      </c>
      <c r="K2510" t="str">
        <f>"TPRA1"</f>
        <v>TPRA1</v>
      </c>
    </row>
    <row r="2511" spans="1:11" x14ac:dyDescent="0.25">
      <c r="A2511" s="1">
        <v>3057</v>
      </c>
      <c r="B2511" s="1">
        <v>2</v>
      </c>
      <c r="C2511" s="1" t="s">
        <v>3</v>
      </c>
      <c r="D2511" s="1">
        <v>2</v>
      </c>
      <c r="E2511" s="1">
        <v>49.3</v>
      </c>
      <c r="F2511" s="1">
        <v>1</v>
      </c>
      <c r="G2511" t="s">
        <v>3964</v>
      </c>
      <c r="H2511" t="s">
        <v>3965</v>
      </c>
      <c r="I2511" t="s">
        <v>4318</v>
      </c>
      <c r="J2511" t="str">
        <f>"E3 ubiquitin-protein ligase RNF14"</f>
        <v>E3 ubiquitin-protein ligase RNF14</v>
      </c>
      <c r="K2511" t="str">
        <f>"RNF14"</f>
        <v>RNF14</v>
      </c>
    </row>
    <row r="2512" spans="1:11" x14ac:dyDescent="0.25">
      <c r="A2512" s="1">
        <v>3006</v>
      </c>
      <c r="B2512" s="1">
        <v>2</v>
      </c>
      <c r="C2512" s="1" t="s">
        <v>3</v>
      </c>
      <c r="D2512" s="1">
        <v>3</v>
      </c>
      <c r="E2512" s="1">
        <v>85.837000000000003</v>
      </c>
      <c r="F2512" s="1">
        <v>0.50566800000000001</v>
      </c>
      <c r="G2512" t="s">
        <v>3966</v>
      </c>
      <c r="H2512" t="s">
        <v>1082</v>
      </c>
      <c r="I2512">
        <v>113</v>
      </c>
      <c r="J2512" t="str">
        <f>"14 kDa phosphohistidine phosphatase"</f>
        <v>14 kDa phosphohistidine phosphatase</v>
      </c>
      <c r="K2512" t="str">
        <f>"PHPT1"</f>
        <v>PHPT1</v>
      </c>
    </row>
    <row r="2513" spans="1:11" x14ac:dyDescent="0.25">
      <c r="A2513" s="1">
        <v>1519</v>
      </c>
      <c r="B2513" s="1">
        <v>4</v>
      </c>
      <c r="C2513" s="1" t="s">
        <v>3</v>
      </c>
      <c r="D2513" s="1">
        <v>11</v>
      </c>
      <c r="E2513" s="1">
        <v>46.953000000000003</v>
      </c>
      <c r="F2513" s="1">
        <v>0.79319300000000004</v>
      </c>
      <c r="G2513" t="s">
        <v>3967</v>
      </c>
      <c r="H2513" t="s">
        <v>1457</v>
      </c>
      <c r="I2513">
        <v>54</v>
      </c>
      <c r="J2513" t="str">
        <f>"WD repeat-containing protein 1"</f>
        <v>WD repeat-containing protein 1</v>
      </c>
      <c r="K2513" t="str">
        <f>"WDR1"</f>
        <v>WDR1</v>
      </c>
    </row>
    <row r="2514" spans="1:11" x14ac:dyDescent="0.25">
      <c r="A2514" s="1">
        <v>2881</v>
      </c>
      <c r="B2514" s="1">
        <v>2</v>
      </c>
      <c r="C2514" s="1" t="s">
        <v>3</v>
      </c>
      <c r="D2514" s="1">
        <v>6</v>
      </c>
      <c r="E2514" s="1">
        <v>43.808</v>
      </c>
      <c r="F2514" s="1">
        <v>1</v>
      </c>
      <c r="G2514" t="s">
        <v>3968</v>
      </c>
      <c r="H2514" t="s">
        <v>3969</v>
      </c>
      <c r="I2514" t="s">
        <v>5971</v>
      </c>
      <c r="J2514" t="str">
        <f>"Sorting nexin-18"</f>
        <v>Sorting nexin-18</v>
      </c>
      <c r="K2514" t="str">
        <f>"SNX18"</f>
        <v>SNX18</v>
      </c>
    </row>
    <row r="2515" spans="1:11" x14ac:dyDescent="0.25">
      <c r="A2515" s="1">
        <v>2425</v>
      </c>
      <c r="B2515" s="1">
        <v>3</v>
      </c>
      <c r="C2515" s="1" t="s">
        <v>3</v>
      </c>
      <c r="D2515" s="1">
        <v>5</v>
      </c>
      <c r="E2515" s="1">
        <v>40.941000000000003</v>
      </c>
      <c r="F2515" s="1">
        <v>0.99946299999999999</v>
      </c>
      <c r="G2515" t="s">
        <v>3970</v>
      </c>
      <c r="H2515" t="s">
        <v>1226</v>
      </c>
      <c r="I2515" t="s">
        <v>5972</v>
      </c>
      <c r="J2515" t="str">
        <f>"Non-receptor tyrosine-protein kinase TNK1"</f>
        <v>Non-receptor tyrosine-protein kinase TNK1</v>
      </c>
      <c r="K2515" t="str">
        <f>"TNK1"</f>
        <v>TNK1</v>
      </c>
    </row>
    <row r="2516" spans="1:11" x14ac:dyDescent="0.25">
      <c r="A2516" s="1">
        <v>1370</v>
      </c>
      <c r="B2516" s="1">
        <v>3</v>
      </c>
      <c r="C2516" s="1" t="s">
        <v>3</v>
      </c>
      <c r="D2516" s="1">
        <v>9</v>
      </c>
      <c r="E2516" s="1">
        <v>51.494999999999997</v>
      </c>
      <c r="F2516" s="1">
        <v>0.85093099999999999</v>
      </c>
      <c r="G2516" t="s">
        <v>3971</v>
      </c>
      <c r="H2516" t="s">
        <v>3972</v>
      </c>
      <c r="I2516" t="s">
        <v>5973</v>
      </c>
      <c r="J2516" t="str">
        <f>"StAR-related lipid transfer protein 3"</f>
        <v>StAR-related lipid transfer protein 3</v>
      </c>
      <c r="K2516" t="str">
        <f>"STARD3"</f>
        <v>STARD3</v>
      </c>
    </row>
    <row r="2517" spans="1:11" x14ac:dyDescent="0.25">
      <c r="A2517" s="1">
        <v>1981</v>
      </c>
      <c r="B2517" s="1">
        <v>3</v>
      </c>
      <c r="C2517" s="1" t="s">
        <v>3</v>
      </c>
      <c r="D2517" s="1">
        <v>8</v>
      </c>
      <c r="E2517" s="1">
        <v>73.834000000000003</v>
      </c>
      <c r="F2517" s="1">
        <v>0.96003799999999995</v>
      </c>
      <c r="G2517" t="s">
        <v>3973</v>
      </c>
      <c r="H2517" t="s">
        <v>3974</v>
      </c>
      <c r="I2517" t="s">
        <v>5974</v>
      </c>
      <c r="J2517" t="str">
        <f>"S-adenosylmethionine synthase isoform type-2"</f>
        <v>S-adenosylmethionine synthase isoform type-2</v>
      </c>
      <c r="K2517" t="str">
        <f>"MAT2A"</f>
        <v>MAT2A</v>
      </c>
    </row>
    <row r="2518" spans="1:11" x14ac:dyDescent="0.25">
      <c r="A2518" s="1">
        <v>2648</v>
      </c>
      <c r="B2518" s="1">
        <v>2</v>
      </c>
      <c r="C2518" s="1" t="s">
        <v>3</v>
      </c>
      <c r="D2518" s="1">
        <v>9</v>
      </c>
      <c r="E2518" s="1">
        <v>69.03</v>
      </c>
      <c r="F2518" s="1">
        <v>0.83180699999999996</v>
      </c>
      <c r="G2518" t="s">
        <v>3975</v>
      </c>
      <c r="H2518" t="s">
        <v>3976</v>
      </c>
      <c r="I2518">
        <v>28</v>
      </c>
      <c r="J2518" t="str">
        <f>"Uncharacterized protein FLJ45252"</f>
        <v>Uncharacterized protein FLJ45252</v>
      </c>
      <c r="K2518" t="str">
        <f>""</f>
        <v/>
      </c>
    </row>
    <row r="2519" spans="1:11" x14ac:dyDescent="0.25">
      <c r="A2519" s="1">
        <v>1031</v>
      </c>
      <c r="B2519" s="1">
        <v>2</v>
      </c>
      <c r="C2519" s="1" t="s">
        <v>3</v>
      </c>
      <c r="D2519" s="1">
        <v>7</v>
      </c>
      <c r="E2519" s="1">
        <v>40.726999999999997</v>
      </c>
      <c r="F2519" s="1">
        <v>0.99962600000000001</v>
      </c>
      <c r="G2519" t="s">
        <v>3977</v>
      </c>
      <c r="H2519" t="s">
        <v>3978</v>
      </c>
      <c r="I2519" t="s">
        <v>5975</v>
      </c>
      <c r="J2519" t="str">
        <f>"F-actin-capping protein subunit beta"</f>
        <v>F-actin-capping protein subunit beta</v>
      </c>
      <c r="K2519" t="str">
        <f>"CAPZB"</f>
        <v>CAPZB</v>
      </c>
    </row>
    <row r="2520" spans="1:11" x14ac:dyDescent="0.25">
      <c r="A2520" s="1">
        <v>1490</v>
      </c>
      <c r="B2520" s="1">
        <v>2</v>
      </c>
      <c r="C2520" s="1" t="s">
        <v>3</v>
      </c>
      <c r="D2520" s="1">
        <v>3</v>
      </c>
      <c r="E2520" s="1">
        <v>45.613999999999997</v>
      </c>
      <c r="F2520" s="1">
        <v>0.98573</v>
      </c>
      <c r="G2520" t="s">
        <v>3979</v>
      </c>
      <c r="H2520" t="s">
        <v>2990</v>
      </c>
      <c r="I2520" t="s">
        <v>5976</v>
      </c>
      <c r="J2520" t="str">
        <f>"Long-chain-fatty-acid--CoA ligase 4"</f>
        <v>Long-chain-fatty-acid--CoA ligase 4</v>
      </c>
      <c r="K2520" t="str">
        <f>"ACSL4"</f>
        <v>ACSL4</v>
      </c>
    </row>
    <row r="2521" spans="1:11" x14ac:dyDescent="0.25">
      <c r="A2521" s="1">
        <v>1258</v>
      </c>
      <c r="B2521" s="1">
        <v>2</v>
      </c>
      <c r="C2521" s="1" t="s">
        <v>3</v>
      </c>
      <c r="D2521" s="1">
        <v>7</v>
      </c>
      <c r="E2521" s="1">
        <v>41.241999999999997</v>
      </c>
      <c r="F2521" s="1">
        <v>0.94789100000000004</v>
      </c>
      <c r="G2521" t="s">
        <v>3980</v>
      </c>
      <c r="H2521" t="s">
        <v>3981</v>
      </c>
      <c r="I2521" t="s">
        <v>5977</v>
      </c>
      <c r="J2521" t="str">
        <f>"Membrane-spanning 4-domains subfamily A member 6A"</f>
        <v>Membrane-spanning 4-domains subfamily A member 6A</v>
      </c>
      <c r="K2521" t="str">
        <f>"MS4A6A"</f>
        <v>MS4A6A</v>
      </c>
    </row>
    <row r="2522" spans="1:11" x14ac:dyDescent="0.25">
      <c r="A2522" s="1">
        <v>2696</v>
      </c>
      <c r="B2522" s="1">
        <v>4</v>
      </c>
      <c r="C2522" s="1" t="s">
        <v>3</v>
      </c>
      <c r="D2522" s="1">
        <v>6</v>
      </c>
      <c r="E2522" s="1">
        <v>40.085999999999999</v>
      </c>
      <c r="F2522" s="1">
        <v>0.890208</v>
      </c>
      <c r="G2522" t="s">
        <v>3982</v>
      </c>
      <c r="H2522" t="s">
        <v>2615</v>
      </c>
      <c r="I2522">
        <v>638</v>
      </c>
      <c r="J2522" t="str">
        <f>"Mitotic interactor and substrate of PLK1"</f>
        <v>Mitotic interactor and substrate of PLK1</v>
      </c>
      <c r="K2522" t="str">
        <f>"MISP"</f>
        <v>MISP</v>
      </c>
    </row>
    <row r="2523" spans="1:11" x14ac:dyDescent="0.25">
      <c r="A2523" s="1">
        <v>1915</v>
      </c>
      <c r="B2523" s="1">
        <v>2</v>
      </c>
      <c r="C2523" s="1" t="s">
        <v>3</v>
      </c>
      <c r="D2523" s="1">
        <v>9</v>
      </c>
      <c r="E2523" s="1">
        <v>40.432000000000002</v>
      </c>
      <c r="F2523" s="1">
        <v>0.64605800000000002</v>
      </c>
      <c r="G2523" t="s">
        <v>3983</v>
      </c>
      <c r="H2523" t="s">
        <v>3984</v>
      </c>
      <c r="I2523" t="s">
        <v>5634</v>
      </c>
      <c r="J2523" t="str">
        <f>"Low molecular weight phosphotyrosine protein phosphatase"</f>
        <v>Low molecular weight phosphotyrosine protein phosphatase</v>
      </c>
      <c r="K2523" t="str">
        <f>"ACP1"</f>
        <v>ACP1</v>
      </c>
    </row>
    <row r="2524" spans="1:11" x14ac:dyDescent="0.25">
      <c r="A2524" s="1">
        <v>2354</v>
      </c>
      <c r="B2524" s="1">
        <v>3</v>
      </c>
      <c r="C2524" s="1" t="s">
        <v>3</v>
      </c>
      <c r="D2524" s="1">
        <v>7</v>
      </c>
      <c r="E2524" s="1">
        <v>54.003999999999998</v>
      </c>
      <c r="F2524" s="1">
        <v>0.5</v>
      </c>
      <c r="G2524" t="s">
        <v>3985</v>
      </c>
      <c r="H2524" t="s">
        <v>3273</v>
      </c>
      <c r="I2524" t="s">
        <v>5978</v>
      </c>
      <c r="J2524" t="str">
        <f>"Tyrosine-protein kinase BTK"</f>
        <v>Tyrosine-protein kinase BTK</v>
      </c>
      <c r="K2524" t="str">
        <f>"BTK"</f>
        <v>BTK</v>
      </c>
    </row>
    <row r="2525" spans="1:11" x14ac:dyDescent="0.25">
      <c r="A2525" s="1">
        <v>1077</v>
      </c>
      <c r="B2525" s="1">
        <v>2</v>
      </c>
      <c r="C2525" s="1" t="s">
        <v>3</v>
      </c>
      <c r="D2525" s="1">
        <v>2</v>
      </c>
      <c r="E2525" s="1">
        <v>79.200999999999993</v>
      </c>
      <c r="F2525" s="1">
        <v>0.99999300000000002</v>
      </c>
      <c r="G2525" t="s">
        <v>3986</v>
      </c>
      <c r="H2525" t="s">
        <v>3987</v>
      </c>
      <c r="I2525" t="s">
        <v>5979</v>
      </c>
      <c r="J2525" t="str">
        <f>"Ribosomal protein S6 kinase;Ribosomal protein S6 kinase alpha-2"</f>
        <v>Ribosomal protein S6 kinase;Ribosomal protein S6 kinase alpha-2</v>
      </c>
      <c r="K2525" t="str">
        <f>"RPS6KA2"</f>
        <v>RPS6KA2</v>
      </c>
    </row>
    <row r="2526" spans="1:11" x14ac:dyDescent="0.25">
      <c r="A2526" s="1">
        <v>444</v>
      </c>
      <c r="B2526" s="1">
        <v>3</v>
      </c>
      <c r="C2526" s="1" t="s">
        <v>5</v>
      </c>
      <c r="D2526" s="1">
        <v>19</v>
      </c>
      <c r="E2526" s="1">
        <v>43.695999999999998</v>
      </c>
      <c r="F2526" s="1">
        <v>0.81879900000000005</v>
      </c>
      <c r="G2526" t="s">
        <v>3988</v>
      </c>
      <c r="H2526" t="s">
        <v>2377</v>
      </c>
      <c r="I2526" t="s">
        <v>5980</v>
      </c>
      <c r="J2526" t="str">
        <f>"Synaptotagmin-like protein 2"</f>
        <v>Synaptotagmin-like protein 2</v>
      </c>
      <c r="K2526" t="str">
        <f>"SYTL2"</f>
        <v>SYTL2</v>
      </c>
    </row>
    <row r="2527" spans="1:11" x14ac:dyDescent="0.25">
      <c r="A2527" s="1">
        <v>2732</v>
      </c>
      <c r="B2527" s="1">
        <v>3</v>
      </c>
      <c r="C2527" s="1" t="s">
        <v>3</v>
      </c>
      <c r="D2527" s="1">
        <v>11</v>
      </c>
      <c r="E2527" s="1">
        <v>57.067999999999998</v>
      </c>
      <c r="F2527" s="1">
        <v>0.96706599999999998</v>
      </c>
      <c r="G2527" t="s">
        <v>3989</v>
      </c>
      <c r="H2527" t="s">
        <v>287</v>
      </c>
      <c r="I2527">
        <v>540</v>
      </c>
      <c r="J2527" t="str">
        <f>"Discoidin, CUB and LCCL domain-containing protein 1"</f>
        <v>Discoidin, CUB and LCCL domain-containing protein 1</v>
      </c>
      <c r="K2527" t="str">
        <f>"DCBLD1"</f>
        <v>DCBLD1</v>
      </c>
    </row>
    <row r="2528" spans="1:11" x14ac:dyDescent="0.25">
      <c r="A2528" s="1">
        <v>1557</v>
      </c>
      <c r="B2528" s="1">
        <v>3</v>
      </c>
      <c r="C2528" s="1" t="s">
        <v>3</v>
      </c>
      <c r="D2528" s="1">
        <v>6</v>
      </c>
      <c r="E2528" s="1">
        <v>55.436999999999998</v>
      </c>
      <c r="F2528" s="1">
        <v>0.99955000000000005</v>
      </c>
      <c r="G2528" t="s">
        <v>3990</v>
      </c>
      <c r="H2528" t="s">
        <v>41</v>
      </c>
      <c r="I2528" t="s">
        <v>5981</v>
      </c>
      <c r="J2528" t="str">
        <f>"Glutaminase kidney isoform, mitochondrial"</f>
        <v>Glutaminase kidney isoform, mitochondrial</v>
      </c>
      <c r="K2528" t="str">
        <f>"GLS"</f>
        <v>GLS</v>
      </c>
    </row>
    <row r="2529" spans="1:11" x14ac:dyDescent="0.25">
      <c r="A2529" s="1">
        <v>1630</v>
      </c>
      <c r="B2529" s="1">
        <v>2</v>
      </c>
      <c r="C2529" s="1" t="s">
        <v>3</v>
      </c>
      <c r="D2529" s="1">
        <v>4</v>
      </c>
      <c r="E2529" s="1">
        <v>62.466000000000001</v>
      </c>
      <c r="F2529" s="1">
        <v>0.5</v>
      </c>
      <c r="G2529" t="s">
        <v>3991</v>
      </c>
      <c r="H2529" t="s">
        <v>3691</v>
      </c>
      <c r="I2529">
        <v>147</v>
      </c>
      <c r="J2529" t="str">
        <f>"Eukaryotic translation initiation factor 2 subunit 1"</f>
        <v>Eukaryotic translation initiation factor 2 subunit 1</v>
      </c>
      <c r="K2529" t="str">
        <f>"EIF2S1"</f>
        <v>EIF2S1</v>
      </c>
    </row>
    <row r="2530" spans="1:11" x14ac:dyDescent="0.25">
      <c r="A2530" s="1">
        <v>1821</v>
      </c>
      <c r="B2530" s="1">
        <v>3</v>
      </c>
      <c r="C2530" s="1" t="s">
        <v>3</v>
      </c>
      <c r="D2530" s="1">
        <v>10</v>
      </c>
      <c r="E2530" s="1">
        <v>67.135999999999996</v>
      </c>
      <c r="F2530" s="1">
        <v>0.81718100000000005</v>
      </c>
      <c r="G2530" t="s">
        <v>3992</v>
      </c>
      <c r="H2530" t="s">
        <v>3993</v>
      </c>
      <c r="I2530">
        <v>94</v>
      </c>
      <c r="J2530" t="str">
        <f>"CTP synthase 1"</f>
        <v>CTP synthase 1</v>
      </c>
      <c r="K2530" t="str">
        <f>"CTPS1"</f>
        <v>CTPS1</v>
      </c>
    </row>
    <row r="2531" spans="1:11" x14ac:dyDescent="0.25">
      <c r="A2531" s="1">
        <v>1231</v>
      </c>
      <c r="B2531" s="1">
        <v>3</v>
      </c>
      <c r="C2531" s="1" t="s">
        <v>3</v>
      </c>
      <c r="D2531" s="1">
        <v>9</v>
      </c>
      <c r="E2531" s="1">
        <v>54.225000000000001</v>
      </c>
      <c r="F2531" s="1">
        <v>0.99327100000000002</v>
      </c>
      <c r="G2531" t="s">
        <v>3994</v>
      </c>
      <c r="H2531" t="s">
        <v>3995</v>
      </c>
      <c r="I2531" t="s">
        <v>5982</v>
      </c>
      <c r="J2531" t="str">
        <f>"Ribosomal protein S6 kinase;Ribosomal protein S6 kinase alpha-1"</f>
        <v>Ribosomal protein S6 kinase;Ribosomal protein S6 kinase alpha-1</v>
      </c>
      <c r="K2531" t="str">
        <f>"RPS6KA1"</f>
        <v>RPS6KA1</v>
      </c>
    </row>
    <row r="2532" spans="1:11" x14ac:dyDescent="0.25">
      <c r="A2532" s="1">
        <v>2106</v>
      </c>
      <c r="B2532" s="1">
        <v>3</v>
      </c>
      <c r="C2532" s="1" t="s">
        <v>3</v>
      </c>
      <c r="D2532" s="1">
        <v>4</v>
      </c>
      <c r="E2532" s="1">
        <v>40.941000000000003</v>
      </c>
      <c r="F2532" s="1">
        <v>1</v>
      </c>
      <c r="G2532" t="s">
        <v>3996</v>
      </c>
      <c r="H2532" t="s">
        <v>2089</v>
      </c>
      <c r="I2532">
        <v>92</v>
      </c>
      <c r="J2532" t="str">
        <f>"Elongation factor Tu, mitochondrial"</f>
        <v>Elongation factor Tu, mitochondrial</v>
      </c>
      <c r="K2532" t="str">
        <f>"TUFM"</f>
        <v>TUFM</v>
      </c>
    </row>
    <row r="2533" spans="1:11" x14ac:dyDescent="0.25">
      <c r="A2533" s="1">
        <v>430</v>
      </c>
      <c r="B2533" s="1">
        <v>3</v>
      </c>
      <c r="C2533" s="1" t="s">
        <v>5</v>
      </c>
      <c r="D2533" s="1">
        <v>3</v>
      </c>
      <c r="E2533" s="1">
        <v>44.924999999999997</v>
      </c>
      <c r="F2533" s="1">
        <v>0.52371900000000005</v>
      </c>
      <c r="G2533" t="s">
        <v>3997</v>
      </c>
      <c r="H2533" t="s">
        <v>85</v>
      </c>
      <c r="I2533" t="s">
        <v>5983</v>
      </c>
      <c r="J2533" t="str">
        <f>"Extended synaptotagmin-1"</f>
        <v>Extended synaptotagmin-1</v>
      </c>
      <c r="K2533" t="str">
        <f>"ESYT1"</f>
        <v>ESYT1</v>
      </c>
    </row>
    <row r="2534" spans="1:11" x14ac:dyDescent="0.25">
      <c r="A2534" s="1">
        <v>2111</v>
      </c>
      <c r="B2534" s="1">
        <v>2</v>
      </c>
      <c r="C2534" s="1" t="s">
        <v>3</v>
      </c>
      <c r="D2534" s="1">
        <v>1</v>
      </c>
      <c r="E2534" s="1">
        <v>62.545999999999999</v>
      </c>
      <c r="F2534" s="1">
        <v>0.49998599999999999</v>
      </c>
      <c r="G2534" t="s">
        <v>3998</v>
      </c>
      <c r="H2534" t="s">
        <v>3999</v>
      </c>
      <c r="I2534" t="s">
        <v>5984</v>
      </c>
      <c r="J2534" t="str">
        <f>"Proteasome subunit beta type-2"</f>
        <v>Proteasome subunit beta type-2</v>
      </c>
      <c r="K2534" t="str">
        <f>"PSMB2"</f>
        <v>PSMB2</v>
      </c>
    </row>
    <row r="2535" spans="1:11" x14ac:dyDescent="0.25">
      <c r="A2535" s="1">
        <v>2112</v>
      </c>
      <c r="B2535" s="1">
        <v>2</v>
      </c>
      <c r="C2535" s="1" t="s">
        <v>3</v>
      </c>
      <c r="D2535" s="1">
        <v>2</v>
      </c>
      <c r="E2535" s="1">
        <v>62.545999999999999</v>
      </c>
      <c r="F2535" s="1">
        <v>0.49998599999999999</v>
      </c>
      <c r="G2535" t="s">
        <v>3998</v>
      </c>
      <c r="H2535" t="s">
        <v>3999</v>
      </c>
      <c r="I2535" t="s">
        <v>5985</v>
      </c>
      <c r="J2535" t="str">
        <f>"Proteasome subunit beta type-2"</f>
        <v>Proteasome subunit beta type-2</v>
      </c>
      <c r="K2535" t="str">
        <f>"PSMB2"</f>
        <v>PSMB2</v>
      </c>
    </row>
    <row r="2536" spans="1:11" x14ac:dyDescent="0.25">
      <c r="A2536" s="1">
        <v>217</v>
      </c>
      <c r="B2536" s="1">
        <v>2</v>
      </c>
      <c r="C2536" s="1" t="s">
        <v>5</v>
      </c>
      <c r="D2536" s="1">
        <v>10</v>
      </c>
      <c r="E2536" s="1">
        <v>41.088000000000001</v>
      </c>
      <c r="F2536" s="1">
        <v>0.53390300000000002</v>
      </c>
      <c r="G2536" t="s">
        <v>4000</v>
      </c>
      <c r="H2536" t="s">
        <v>28</v>
      </c>
      <c r="I2536" t="s">
        <v>5986</v>
      </c>
      <c r="J2536" t="str">
        <f>"Receptor-type tyrosine-protein phosphatase alpha"</f>
        <v>Receptor-type tyrosine-protein phosphatase alpha</v>
      </c>
      <c r="K2536" t="str">
        <f>"PTPRA"</f>
        <v>PTPRA</v>
      </c>
    </row>
    <row r="2537" spans="1:11" x14ac:dyDescent="0.25">
      <c r="A2537" s="1">
        <v>1742</v>
      </c>
      <c r="B2537" s="1">
        <v>2</v>
      </c>
      <c r="C2537" s="1" t="s">
        <v>3</v>
      </c>
      <c r="D2537" s="1">
        <v>6</v>
      </c>
      <c r="E2537" s="1">
        <v>59.198</v>
      </c>
      <c r="F2537" s="1">
        <v>0.97269899999999998</v>
      </c>
      <c r="G2537" t="s">
        <v>4001</v>
      </c>
      <c r="H2537" t="s">
        <v>4002</v>
      </c>
      <c r="I2537" t="s">
        <v>5987</v>
      </c>
      <c r="J2537" t="str">
        <f>"Heat shock cognate 71 kDa protein"</f>
        <v>Heat shock cognate 71 kDa protein</v>
      </c>
      <c r="K2537" t="str">
        <f>"HSPA8"</f>
        <v>HSPA8</v>
      </c>
    </row>
    <row r="2538" spans="1:11" x14ac:dyDescent="0.25">
      <c r="A2538" s="1">
        <v>2873</v>
      </c>
      <c r="B2538" s="1">
        <v>3</v>
      </c>
      <c r="C2538" s="1" t="s">
        <v>3</v>
      </c>
      <c r="D2538" s="1">
        <v>9</v>
      </c>
      <c r="E2538" s="1">
        <v>46.460999999999999</v>
      </c>
      <c r="F2538" s="1">
        <v>0.97786300000000004</v>
      </c>
      <c r="G2538" t="s">
        <v>4003</v>
      </c>
      <c r="H2538" t="s">
        <v>4004</v>
      </c>
      <c r="I2538" t="s">
        <v>5988</v>
      </c>
      <c r="J2538" t="str">
        <f>"E3 ubiquitin-protein ligase NEDD4-like"</f>
        <v>E3 ubiquitin-protein ligase NEDD4-like</v>
      </c>
      <c r="K2538" t="str">
        <f>"NEDD4L"</f>
        <v>NEDD4L</v>
      </c>
    </row>
    <row r="2539" spans="1:11" x14ac:dyDescent="0.25">
      <c r="A2539" s="1">
        <v>652</v>
      </c>
      <c r="B2539" s="1">
        <v>2</v>
      </c>
      <c r="C2539" s="1" t="s">
        <v>4</v>
      </c>
      <c r="D2539" s="1">
        <v>9</v>
      </c>
      <c r="E2539" s="1">
        <v>56.404000000000003</v>
      </c>
      <c r="F2539" s="1">
        <v>0.83225300000000002</v>
      </c>
      <c r="G2539" t="s">
        <v>4005</v>
      </c>
      <c r="H2539" t="s">
        <v>49</v>
      </c>
      <c r="I2539">
        <v>55</v>
      </c>
      <c r="J2539" t="str">
        <f>"Histone H4"</f>
        <v>Histone H4</v>
      </c>
      <c r="K2539" t="str">
        <f>"HIST1H4A"</f>
        <v>HIST1H4A</v>
      </c>
    </row>
    <row r="2540" spans="1:11" x14ac:dyDescent="0.25">
      <c r="A2540" s="1">
        <v>2582</v>
      </c>
      <c r="B2540" s="1">
        <v>4</v>
      </c>
      <c r="C2540" s="1" t="s">
        <v>3</v>
      </c>
      <c r="D2540" s="1">
        <v>10</v>
      </c>
      <c r="E2540" s="1">
        <v>56.338999999999999</v>
      </c>
      <c r="F2540" s="1">
        <v>0.99611000000000005</v>
      </c>
      <c r="G2540" t="s">
        <v>4006</v>
      </c>
      <c r="H2540" t="s">
        <v>4007</v>
      </c>
      <c r="I2540" t="s">
        <v>5989</v>
      </c>
      <c r="J2540" t="str">
        <f>"Intracellular hyaluronan-binding protein 4"</f>
        <v>Intracellular hyaluronan-binding protein 4</v>
      </c>
      <c r="K2540" t="str">
        <f>"HABP4"</f>
        <v>HABP4</v>
      </c>
    </row>
    <row r="2541" spans="1:11" x14ac:dyDescent="0.25">
      <c r="A2541" s="1">
        <v>514</v>
      </c>
      <c r="B2541" s="1">
        <v>3</v>
      </c>
      <c r="C2541" s="1" t="s">
        <v>4</v>
      </c>
      <c r="D2541" s="1">
        <v>7</v>
      </c>
      <c r="E2541" s="1">
        <v>40.941000000000003</v>
      </c>
      <c r="F2541" s="1">
        <v>0.538134</v>
      </c>
      <c r="G2541" t="s">
        <v>4008</v>
      </c>
      <c r="H2541" t="s">
        <v>244</v>
      </c>
      <c r="I2541" t="s">
        <v>5990</v>
      </c>
      <c r="J2541" t="str">
        <f>"Myosin-11"</f>
        <v>Myosin-11</v>
      </c>
      <c r="K2541" t="str">
        <f>"MYH11"</f>
        <v>MYH11</v>
      </c>
    </row>
    <row r="2542" spans="1:11" x14ac:dyDescent="0.25">
      <c r="A2542" s="1">
        <v>2459</v>
      </c>
      <c r="B2542" s="1">
        <v>2</v>
      </c>
      <c r="C2542" s="1" t="s">
        <v>3</v>
      </c>
      <c r="D2542" s="1">
        <v>4</v>
      </c>
      <c r="E2542" s="1">
        <v>54.343000000000004</v>
      </c>
      <c r="F2542" s="1">
        <v>0.98658400000000002</v>
      </c>
      <c r="G2542" t="s">
        <v>4009</v>
      </c>
      <c r="H2542" t="s">
        <v>2988</v>
      </c>
      <c r="I2542">
        <v>244</v>
      </c>
      <c r="J2542" t="str">
        <f>"Tubulin--tyrosine ligase-like protein 12"</f>
        <v>Tubulin--tyrosine ligase-like protein 12</v>
      </c>
      <c r="K2542" t="str">
        <f>"TTLL12"</f>
        <v>TTLL12</v>
      </c>
    </row>
    <row r="2543" spans="1:11" x14ac:dyDescent="0.25">
      <c r="A2543" s="1">
        <v>2118</v>
      </c>
      <c r="B2543" s="1">
        <v>3</v>
      </c>
      <c r="C2543" s="1" t="s">
        <v>3</v>
      </c>
      <c r="D2543" s="1">
        <v>1</v>
      </c>
      <c r="E2543" s="1">
        <v>46.892000000000003</v>
      </c>
      <c r="F2543" s="1">
        <v>1</v>
      </c>
      <c r="G2543" t="s">
        <v>4010</v>
      </c>
      <c r="H2543" t="s">
        <v>4011</v>
      </c>
      <c r="I2543" t="s">
        <v>5991</v>
      </c>
      <c r="J2543" t="str">
        <f>"Selenide, water dikinase 1"</f>
        <v>Selenide, water dikinase 1</v>
      </c>
      <c r="K2543" t="str">
        <f>"SEPHS1"</f>
        <v>SEPHS1</v>
      </c>
    </row>
    <row r="2544" spans="1:11" x14ac:dyDescent="0.25">
      <c r="A2544" s="1">
        <v>855</v>
      </c>
      <c r="B2544" s="1">
        <v>2</v>
      </c>
      <c r="C2544" s="1" t="s">
        <v>3</v>
      </c>
      <c r="D2544" s="1">
        <v>4</v>
      </c>
      <c r="E2544" s="1">
        <v>67.646000000000001</v>
      </c>
      <c r="F2544" s="1">
        <v>0.99981699999999996</v>
      </c>
      <c r="G2544" t="s">
        <v>4012</v>
      </c>
      <c r="H2544" t="s">
        <v>4013</v>
      </c>
      <c r="I2544" t="s">
        <v>5992</v>
      </c>
      <c r="J2544" t="str">
        <f>"Double-stranded RNA-binding protein Staufen homolog 1"</f>
        <v>Double-stranded RNA-binding protein Staufen homolog 1</v>
      </c>
      <c r="K2544" t="str">
        <f>"STAU1"</f>
        <v>STAU1</v>
      </c>
    </row>
    <row r="2545" spans="1:11" x14ac:dyDescent="0.25">
      <c r="A2545" s="1">
        <v>1172</v>
      </c>
      <c r="B2545" s="1">
        <v>3</v>
      </c>
      <c r="C2545" s="1" t="s">
        <v>3</v>
      </c>
      <c r="D2545" s="1">
        <v>2</v>
      </c>
      <c r="E2545" s="1">
        <v>42.802</v>
      </c>
      <c r="F2545" s="1">
        <v>0.99968100000000004</v>
      </c>
      <c r="G2545" t="s">
        <v>4014</v>
      </c>
      <c r="H2545" t="s">
        <v>4015</v>
      </c>
      <c r="I2545" t="s">
        <v>5993</v>
      </c>
      <c r="J2545" t="str">
        <f>"Guanine nucleotide-binding protein G(I)/G(S)/G(T) subunit beta-2;Guanine nucleotide-binding protein G(I)/G(S)/G(T) subunit beta-1"</f>
        <v>Guanine nucleotide-binding protein G(I)/G(S)/G(T) subunit beta-2;Guanine nucleotide-binding protein G(I)/G(S)/G(T) subunit beta-1</v>
      </c>
      <c r="K2545" t="str">
        <f>"GNB2;GNB1"</f>
        <v>GNB2;GNB1</v>
      </c>
    </row>
    <row r="2546" spans="1:11" x14ac:dyDescent="0.25">
      <c r="A2546" s="1">
        <v>2404</v>
      </c>
      <c r="B2546" s="1">
        <v>3</v>
      </c>
      <c r="C2546" s="1" t="s">
        <v>3</v>
      </c>
      <c r="D2546" s="1">
        <v>7</v>
      </c>
      <c r="E2546" s="1">
        <v>43.695999999999998</v>
      </c>
      <c r="F2546" s="1">
        <v>0.898038</v>
      </c>
      <c r="G2546" t="s">
        <v>4016</v>
      </c>
      <c r="H2546" t="s">
        <v>2986</v>
      </c>
      <c r="I2546" t="s">
        <v>5994</v>
      </c>
      <c r="J2546" t="str">
        <f>"Calcium-binding and coiled-coil domain-containing protein 2"</f>
        <v>Calcium-binding and coiled-coil domain-containing protein 2</v>
      </c>
      <c r="K2546" t="str">
        <f>"CALCOCO2"</f>
        <v>CALCOCO2</v>
      </c>
    </row>
    <row r="2547" spans="1:11" x14ac:dyDescent="0.25">
      <c r="A2547" s="1">
        <v>3119</v>
      </c>
      <c r="B2547" s="1">
        <v>3</v>
      </c>
      <c r="C2547" s="1" t="s">
        <v>3</v>
      </c>
      <c r="D2547" s="1">
        <v>1</v>
      </c>
      <c r="E2547" s="1">
        <v>50.957000000000001</v>
      </c>
      <c r="F2547" s="1">
        <v>0.80525800000000003</v>
      </c>
      <c r="G2547" t="s">
        <v>4017</v>
      </c>
      <c r="H2547" t="s">
        <v>4018</v>
      </c>
      <c r="I2547" t="s">
        <v>5995</v>
      </c>
      <c r="J2547" t="str">
        <f>"Lambda-crystallin homolog"</f>
        <v>Lambda-crystallin homolog</v>
      </c>
      <c r="K2547" t="str">
        <f>"CRYL1"</f>
        <v>CRYL1</v>
      </c>
    </row>
    <row r="2548" spans="1:11" x14ac:dyDescent="0.25">
      <c r="A2548" s="1">
        <v>3024</v>
      </c>
      <c r="B2548" s="1">
        <v>3</v>
      </c>
      <c r="C2548" s="1" t="s">
        <v>3</v>
      </c>
      <c r="D2548" s="1">
        <v>6</v>
      </c>
      <c r="E2548" s="1">
        <v>88.385000000000005</v>
      </c>
      <c r="F2548" s="1">
        <v>0.85307900000000003</v>
      </c>
      <c r="G2548" t="s">
        <v>4019</v>
      </c>
      <c r="H2548" t="s">
        <v>3335</v>
      </c>
      <c r="I2548">
        <v>134</v>
      </c>
      <c r="J2548" t="str">
        <f>"Transmembrane protein 51"</f>
        <v>Transmembrane protein 51</v>
      </c>
      <c r="K2548" t="str">
        <f>"TMEM51"</f>
        <v>TMEM51</v>
      </c>
    </row>
    <row r="2549" spans="1:11" x14ac:dyDescent="0.25">
      <c r="A2549" s="1">
        <v>1160</v>
      </c>
      <c r="B2549" s="1">
        <v>3</v>
      </c>
      <c r="C2549" s="1" t="s">
        <v>3</v>
      </c>
      <c r="D2549" s="1">
        <v>11</v>
      </c>
      <c r="E2549" s="1">
        <v>53.564999999999998</v>
      </c>
      <c r="F2549" s="1">
        <v>0.97992000000000001</v>
      </c>
      <c r="G2549" t="s">
        <v>4020</v>
      </c>
      <c r="H2549" t="s">
        <v>4021</v>
      </c>
      <c r="I2549" t="s">
        <v>5996</v>
      </c>
      <c r="J2549" t="str">
        <f>"Glutamyl-tRNA(Gln) amidotransferase subunit B, mitochondrial"</f>
        <v>Glutamyl-tRNA(Gln) amidotransferase subunit B, mitochondrial</v>
      </c>
      <c r="K2549" t="str">
        <f>"PET112"</f>
        <v>PET112</v>
      </c>
    </row>
    <row r="2550" spans="1:11" x14ac:dyDescent="0.25">
      <c r="A2550" s="1">
        <v>2809</v>
      </c>
      <c r="B2550" s="1">
        <v>2</v>
      </c>
      <c r="C2550" s="1" t="s">
        <v>3</v>
      </c>
      <c r="D2550" s="1">
        <v>2</v>
      </c>
      <c r="E2550" s="1">
        <v>60.91</v>
      </c>
      <c r="F2550" s="1">
        <v>0.99999899999999997</v>
      </c>
      <c r="G2550" t="s">
        <v>4022</v>
      </c>
      <c r="H2550" t="s">
        <v>3093</v>
      </c>
      <c r="I2550" t="s">
        <v>5997</v>
      </c>
      <c r="J2550" t="str">
        <f>"Phosphatidylinositol 3,4,5-trisphosphate 5-phosphatase 1"</f>
        <v>Phosphatidylinositol 3,4,5-trisphosphate 5-phosphatase 1</v>
      </c>
      <c r="K2550" t="str">
        <f>"INPP5D"</f>
        <v>INPP5D</v>
      </c>
    </row>
    <row r="2551" spans="1:11" x14ac:dyDescent="0.25">
      <c r="A2551" s="1">
        <v>2661</v>
      </c>
      <c r="B2551" s="1">
        <v>3</v>
      </c>
      <c r="C2551" s="1" t="s">
        <v>3</v>
      </c>
      <c r="D2551" s="1">
        <v>1</v>
      </c>
      <c r="E2551" s="1">
        <v>53.3</v>
      </c>
      <c r="F2551" s="1">
        <v>0.99998600000000004</v>
      </c>
      <c r="G2551" t="s">
        <v>4023</v>
      </c>
      <c r="H2551" t="s">
        <v>1447</v>
      </c>
      <c r="I2551">
        <v>264</v>
      </c>
      <c r="J2551" t="str">
        <f>"Amyloid beta A4 precursor protein-binding family B member 1-interacting protein"</f>
        <v>Amyloid beta A4 precursor protein-binding family B member 1-interacting protein</v>
      </c>
      <c r="K2551" t="str">
        <f>"APBB1IP"</f>
        <v>APBB1IP</v>
      </c>
    </row>
    <row r="2552" spans="1:11" x14ac:dyDescent="0.25">
      <c r="A2552" s="1">
        <v>1884</v>
      </c>
      <c r="B2552" s="1">
        <v>3</v>
      </c>
      <c r="C2552" s="1" t="s">
        <v>3</v>
      </c>
      <c r="D2552" s="1">
        <v>7</v>
      </c>
      <c r="E2552" s="1">
        <v>47.058</v>
      </c>
      <c r="F2552" s="1">
        <v>0.69021200000000005</v>
      </c>
      <c r="G2552" t="s">
        <v>4024</v>
      </c>
      <c r="H2552" t="s">
        <v>4025</v>
      </c>
      <c r="I2552" t="s">
        <v>5998</v>
      </c>
      <c r="J2552" t="str">
        <f>"Non-specific lipid-transfer protein"</f>
        <v>Non-specific lipid-transfer protein</v>
      </c>
      <c r="K2552" t="str">
        <f>"SCP2"</f>
        <v>SCP2</v>
      </c>
    </row>
    <row r="2553" spans="1:11" x14ac:dyDescent="0.25">
      <c r="A2553" s="1">
        <v>1919</v>
      </c>
      <c r="B2553" s="1">
        <v>2</v>
      </c>
      <c r="C2553" s="1" t="s">
        <v>3</v>
      </c>
      <c r="D2553" s="1">
        <v>6</v>
      </c>
      <c r="E2553" s="1">
        <v>46.317999999999998</v>
      </c>
      <c r="F2553" s="1">
        <v>0.63109999999999999</v>
      </c>
      <c r="G2553" t="s">
        <v>4026</v>
      </c>
      <c r="H2553" t="s">
        <v>4027</v>
      </c>
      <c r="I2553">
        <v>354</v>
      </c>
      <c r="J2553" t="str">
        <f>"Atypical chemokine receptor 3"</f>
        <v>Atypical chemokine receptor 3</v>
      </c>
      <c r="K2553" t="str">
        <f>"ACKR3"</f>
        <v>ACKR3</v>
      </c>
    </row>
    <row r="2554" spans="1:11" x14ac:dyDescent="0.25">
      <c r="A2554" s="1">
        <v>2756</v>
      </c>
      <c r="B2554" s="1">
        <v>4</v>
      </c>
      <c r="C2554" s="1" t="s">
        <v>3</v>
      </c>
      <c r="D2554" s="1">
        <v>6</v>
      </c>
      <c r="E2554" s="1">
        <v>44.6</v>
      </c>
      <c r="F2554" s="1">
        <v>0.88593100000000002</v>
      </c>
      <c r="G2554" t="s">
        <v>4028</v>
      </c>
      <c r="H2554" t="s">
        <v>4029</v>
      </c>
      <c r="I2554">
        <v>711</v>
      </c>
      <c r="J2554" t="str">
        <f>"Delta and Notch-like epidermal growth factor-related receptor"</f>
        <v>Delta and Notch-like epidermal growth factor-related receptor</v>
      </c>
      <c r="K2554" t="str">
        <f>"DNER"</f>
        <v>DNER</v>
      </c>
    </row>
    <row r="2555" spans="1:11" x14ac:dyDescent="0.25">
      <c r="A2555" s="1">
        <v>1150</v>
      </c>
      <c r="B2555" s="1">
        <v>2</v>
      </c>
      <c r="C2555" s="1" t="s">
        <v>3</v>
      </c>
      <c r="D2555" s="1">
        <v>4</v>
      </c>
      <c r="E2555" s="1">
        <v>44.511000000000003</v>
      </c>
      <c r="F2555" s="1">
        <v>0.96975599999999995</v>
      </c>
      <c r="G2555" t="s">
        <v>4030</v>
      </c>
      <c r="H2555" t="s">
        <v>4031</v>
      </c>
      <c r="I2555" t="s">
        <v>5999</v>
      </c>
      <c r="J2555" t="str">
        <f>"Keratin, type I cytoskeletal 20"</f>
        <v>Keratin, type I cytoskeletal 20</v>
      </c>
      <c r="K2555" t="str">
        <f>"KRT20"</f>
        <v>KRT20</v>
      </c>
    </row>
    <row r="2556" spans="1:11" x14ac:dyDescent="0.25">
      <c r="A2556" s="1">
        <v>1489</v>
      </c>
      <c r="B2556" s="1">
        <v>4</v>
      </c>
      <c r="C2556" s="1" t="s">
        <v>3</v>
      </c>
      <c r="D2556" s="1">
        <v>6</v>
      </c>
      <c r="E2556" s="1">
        <v>50.357999999999997</v>
      </c>
      <c r="F2556" s="1">
        <v>0.99846000000000001</v>
      </c>
      <c r="G2556" t="s">
        <v>4032</v>
      </c>
      <c r="H2556" t="s">
        <v>4033</v>
      </c>
      <c r="I2556">
        <v>47</v>
      </c>
      <c r="J2556" t="str">
        <f>"Aldo-keto reductase family 1 member B10"</f>
        <v>Aldo-keto reductase family 1 member B10</v>
      </c>
      <c r="K2556" t="str">
        <f>"AKR1B10"</f>
        <v>AKR1B10</v>
      </c>
    </row>
    <row r="2557" spans="1:11" x14ac:dyDescent="0.25">
      <c r="A2557" s="1">
        <v>1598</v>
      </c>
      <c r="B2557" s="1">
        <v>3</v>
      </c>
      <c r="C2557" s="1" t="s">
        <v>3</v>
      </c>
      <c r="D2557" s="1">
        <v>5</v>
      </c>
      <c r="E2557" s="1">
        <v>59.709000000000003</v>
      </c>
      <c r="F2557" s="1">
        <v>0.999996</v>
      </c>
      <c r="G2557" t="s">
        <v>4034</v>
      </c>
      <c r="H2557" t="s">
        <v>4035</v>
      </c>
      <c r="I2557" t="s">
        <v>6000</v>
      </c>
      <c r="J2557" t="str">
        <f>"Phosphoglycerate kinase 1;Phosphoglycerate kinase 2"</f>
        <v>Phosphoglycerate kinase 1;Phosphoglycerate kinase 2</v>
      </c>
      <c r="K2557" t="str">
        <f>"PGK1;PGK2"</f>
        <v>PGK1;PGK2</v>
      </c>
    </row>
    <row r="2558" spans="1:11" x14ac:dyDescent="0.25">
      <c r="A2558" s="1">
        <v>2466</v>
      </c>
      <c r="B2558" s="1">
        <v>2</v>
      </c>
      <c r="C2558" s="1" t="s">
        <v>3</v>
      </c>
      <c r="D2558" s="1">
        <v>1</v>
      </c>
      <c r="E2558" s="1">
        <v>69.978999999999999</v>
      </c>
      <c r="F2558" s="1">
        <v>0.99913799999999997</v>
      </c>
      <c r="G2558" t="s">
        <v>4036</v>
      </c>
      <c r="H2558" t="s">
        <v>4037</v>
      </c>
      <c r="I2558">
        <v>3447</v>
      </c>
      <c r="J2558" t="str">
        <f>"Cytoplasmic dynein 1 heavy chain 1"</f>
        <v>Cytoplasmic dynein 1 heavy chain 1</v>
      </c>
      <c r="K2558" t="str">
        <f>"DYNC1H1"</f>
        <v>DYNC1H1</v>
      </c>
    </row>
    <row r="2559" spans="1:11" x14ac:dyDescent="0.25">
      <c r="A2559" s="1">
        <v>999</v>
      </c>
      <c r="B2559" s="1">
        <v>3</v>
      </c>
      <c r="C2559" s="1" t="s">
        <v>3</v>
      </c>
      <c r="D2559" s="1">
        <v>5</v>
      </c>
      <c r="E2559" s="1">
        <v>54.280999999999999</v>
      </c>
      <c r="F2559" s="1">
        <v>0.99905200000000005</v>
      </c>
      <c r="G2559" t="s">
        <v>4038</v>
      </c>
      <c r="H2559" t="s">
        <v>692</v>
      </c>
      <c r="I2559" t="s">
        <v>6001</v>
      </c>
      <c r="J2559" t="str">
        <f>"Pericentriolar material 1 protein"</f>
        <v>Pericentriolar material 1 protein</v>
      </c>
      <c r="K2559" t="str">
        <f>"PCM1"</f>
        <v>PCM1</v>
      </c>
    </row>
    <row r="2560" spans="1:11" x14ac:dyDescent="0.25">
      <c r="A2560" s="1">
        <v>0</v>
      </c>
      <c r="B2560" s="1">
        <v>2</v>
      </c>
      <c r="C2560" s="1" t="s">
        <v>5</v>
      </c>
      <c r="D2560" s="1">
        <v>4</v>
      </c>
      <c r="E2560" s="1">
        <v>64.704999999999998</v>
      </c>
      <c r="F2560" s="1">
        <v>0.54057299999999997</v>
      </c>
      <c r="G2560" t="s">
        <v>4039</v>
      </c>
      <c r="H2560" t="s">
        <v>76</v>
      </c>
      <c r="I2560" t="s">
        <v>6002</v>
      </c>
      <c r="J2560" t="str">
        <f>"Vacuolar protein sorting-associated protein VTA1 homolog"</f>
        <v>Vacuolar protein sorting-associated protein VTA1 homolog</v>
      </c>
      <c r="K2560" t="str">
        <f>"VTA1"</f>
        <v>VTA1</v>
      </c>
    </row>
    <row r="2561" spans="1:11" x14ac:dyDescent="0.25">
      <c r="A2561" s="1">
        <v>2184</v>
      </c>
      <c r="B2561" s="1">
        <v>2</v>
      </c>
      <c r="C2561" s="1" t="s">
        <v>3</v>
      </c>
      <c r="D2561" s="1">
        <v>1</v>
      </c>
      <c r="E2561" s="1">
        <v>44.317999999999998</v>
      </c>
      <c r="F2561" s="1">
        <v>0.99982300000000002</v>
      </c>
      <c r="G2561" t="s">
        <v>4040</v>
      </c>
      <c r="H2561" t="s">
        <v>4041</v>
      </c>
      <c r="I2561" t="s">
        <v>4912</v>
      </c>
      <c r="J2561" t="str">
        <f>"Tyrosine--tRNA ligase, cytoplasmic;Tyrosine--tRNA ligase, cytoplasmic, N-terminally processed"</f>
        <v>Tyrosine--tRNA ligase, cytoplasmic;Tyrosine--tRNA ligase, cytoplasmic, N-terminally processed</v>
      </c>
      <c r="K2561" t="str">
        <f>"YARS"</f>
        <v>YARS</v>
      </c>
    </row>
    <row r="2562" spans="1:11" x14ac:dyDescent="0.25">
      <c r="A2562" s="1">
        <v>2842</v>
      </c>
      <c r="B2562" s="1">
        <v>3</v>
      </c>
      <c r="C2562" s="1" t="s">
        <v>3</v>
      </c>
      <c r="D2562" s="1">
        <v>9</v>
      </c>
      <c r="E2562" s="1">
        <v>41.695</v>
      </c>
      <c r="F2562" s="1">
        <v>0.87901499999999999</v>
      </c>
      <c r="G2562" t="s">
        <v>4042</v>
      </c>
      <c r="H2562" t="s">
        <v>4043</v>
      </c>
      <c r="I2562" t="s">
        <v>6003</v>
      </c>
      <c r="J2562" t="str">
        <f>"Ankyrin repeat and SOCS box protein 9"</f>
        <v>Ankyrin repeat and SOCS box protein 9</v>
      </c>
      <c r="K2562" t="str">
        <f>"ASB9"</f>
        <v>ASB9</v>
      </c>
    </row>
    <row r="2563" spans="1:11" x14ac:dyDescent="0.25">
      <c r="A2563" s="1">
        <v>1200</v>
      </c>
      <c r="B2563" s="1">
        <v>2</v>
      </c>
      <c r="C2563" s="1" t="s">
        <v>3</v>
      </c>
      <c r="D2563" s="1">
        <v>3</v>
      </c>
      <c r="E2563" s="1">
        <v>68.656999999999996</v>
      </c>
      <c r="F2563" s="1">
        <v>0.97639900000000002</v>
      </c>
      <c r="G2563" t="s">
        <v>4044</v>
      </c>
      <c r="H2563" t="s">
        <v>4045</v>
      </c>
      <c r="I2563" t="s">
        <v>6004</v>
      </c>
      <c r="J2563" t="str">
        <f>"Mitogen-activated protein kinase kinase kinase 15;Mitogen-activated protein kinase kinase kinase 5"</f>
        <v>Mitogen-activated protein kinase kinase kinase 15;Mitogen-activated protein kinase kinase kinase 5</v>
      </c>
      <c r="K2563" t="str">
        <f>"MAP3K15;MAP3K5"</f>
        <v>MAP3K15;MAP3K5</v>
      </c>
    </row>
    <row r="2564" spans="1:11" x14ac:dyDescent="0.25">
      <c r="A2564" s="1">
        <v>2664</v>
      </c>
      <c r="B2564" s="1">
        <v>3</v>
      </c>
      <c r="C2564" s="1" t="s">
        <v>3</v>
      </c>
      <c r="D2564" s="1">
        <v>7</v>
      </c>
      <c r="E2564" s="1">
        <v>56.881999999999998</v>
      </c>
      <c r="F2564" s="1">
        <v>0.90363199999999999</v>
      </c>
      <c r="G2564" t="s">
        <v>4046</v>
      </c>
      <c r="H2564" t="s">
        <v>2310</v>
      </c>
      <c r="I2564" t="s">
        <v>6005</v>
      </c>
      <c r="J2564" t="str">
        <f>"Sprouty-related, EVH1 domain-containing protein 2"</f>
        <v>Sprouty-related, EVH1 domain-containing protein 2</v>
      </c>
      <c r="K2564" t="str">
        <f>"SPRED2"</f>
        <v>SPRED2</v>
      </c>
    </row>
    <row r="2565" spans="1:11" x14ac:dyDescent="0.25">
      <c r="A2565" s="1">
        <v>1531</v>
      </c>
      <c r="B2565" s="1">
        <v>3</v>
      </c>
      <c r="C2565" s="1" t="s">
        <v>3</v>
      </c>
      <c r="D2565" s="1">
        <v>2</v>
      </c>
      <c r="E2565" s="1">
        <v>59.728000000000002</v>
      </c>
      <c r="F2565" s="1">
        <v>0.97100500000000001</v>
      </c>
      <c r="G2565" t="s">
        <v>4047</v>
      </c>
      <c r="H2565" t="s">
        <v>4048</v>
      </c>
      <c r="I2565">
        <v>191</v>
      </c>
      <c r="J2565" t="str">
        <f>"Claudin-11"</f>
        <v>Claudin-11</v>
      </c>
      <c r="K2565" t="str">
        <f>"CLDN11"</f>
        <v>CLDN11</v>
      </c>
    </row>
    <row r="2566" spans="1:11" x14ac:dyDescent="0.25">
      <c r="A2566" s="1">
        <v>908</v>
      </c>
      <c r="B2566" s="1">
        <v>3</v>
      </c>
      <c r="C2566" s="1" t="s">
        <v>3</v>
      </c>
      <c r="D2566" s="1">
        <v>8</v>
      </c>
      <c r="E2566" s="1">
        <v>85.492999999999995</v>
      </c>
      <c r="F2566" s="1">
        <v>0.82728199999999996</v>
      </c>
      <c r="G2566" t="s">
        <v>4049</v>
      </c>
      <c r="H2566" t="s">
        <v>1280</v>
      </c>
      <c r="I2566" t="s">
        <v>6006</v>
      </c>
      <c r="J2566" t="str">
        <f>"Sodium/potassium-transporting ATPase subunit alpha-3"</f>
        <v>Sodium/potassium-transporting ATPase subunit alpha-3</v>
      </c>
      <c r="K2566" t="str">
        <f>"ATP1A3"</f>
        <v>ATP1A3</v>
      </c>
    </row>
    <row r="2567" spans="1:11" x14ac:dyDescent="0.25">
      <c r="A2567" s="1">
        <v>2321</v>
      </c>
      <c r="B2567" s="1">
        <v>2</v>
      </c>
      <c r="C2567" s="1" t="s">
        <v>3</v>
      </c>
      <c r="D2567" s="1">
        <v>1</v>
      </c>
      <c r="E2567" s="1">
        <v>45.368000000000002</v>
      </c>
      <c r="F2567" s="1">
        <v>0.99995199999999995</v>
      </c>
      <c r="G2567" t="s">
        <v>4050</v>
      </c>
      <c r="H2567" t="s">
        <v>4051</v>
      </c>
      <c r="I2567" t="s">
        <v>6007</v>
      </c>
      <c r="J2567" t="str">
        <f>"Mitochondrial 2-oxoglutarate/malate carrier protein"</f>
        <v>Mitochondrial 2-oxoglutarate/malate carrier protein</v>
      </c>
      <c r="K2567" t="str">
        <f>"SLC25A11"</f>
        <v>SLC25A11</v>
      </c>
    </row>
    <row r="2568" spans="1:11" x14ac:dyDescent="0.25">
      <c r="A2568" s="1">
        <v>2719</v>
      </c>
      <c r="B2568" s="1">
        <v>3</v>
      </c>
      <c r="C2568" s="1" t="s">
        <v>3</v>
      </c>
      <c r="D2568" s="1">
        <v>16</v>
      </c>
      <c r="E2568" s="1">
        <v>44.787999999999997</v>
      </c>
      <c r="F2568" s="1">
        <v>0.753749</v>
      </c>
      <c r="G2568" t="s">
        <v>4052</v>
      </c>
      <c r="H2568" t="s">
        <v>4053</v>
      </c>
      <c r="I2568" t="s">
        <v>6008</v>
      </c>
      <c r="J2568" t="str">
        <f>"Macoilin"</f>
        <v>Macoilin</v>
      </c>
      <c r="K2568" t="str">
        <f>"TMEM57"</f>
        <v>TMEM57</v>
      </c>
    </row>
    <row r="2569" spans="1:11" x14ac:dyDescent="0.25">
      <c r="A2569" s="1">
        <v>518</v>
      </c>
      <c r="B2569" s="1">
        <v>2</v>
      </c>
      <c r="C2569" s="1" t="s">
        <v>4</v>
      </c>
      <c r="D2569" s="1">
        <v>7</v>
      </c>
      <c r="E2569" s="1">
        <v>44.390999999999998</v>
      </c>
      <c r="F2569" s="1">
        <v>0.89274299999999995</v>
      </c>
      <c r="G2569" t="s">
        <v>4054</v>
      </c>
      <c r="H2569" t="s">
        <v>326</v>
      </c>
      <c r="I2569" t="s">
        <v>6009</v>
      </c>
      <c r="J2569" t="str">
        <f>"Mitogen-activated protein kinase 12"</f>
        <v>Mitogen-activated protein kinase 12</v>
      </c>
      <c r="K2569" t="str">
        <f>"MAPK12"</f>
        <v>MAPK12</v>
      </c>
    </row>
    <row r="2570" spans="1:11" x14ac:dyDescent="0.25">
      <c r="A2570" s="1">
        <v>1082</v>
      </c>
      <c r="B2570" s="1">
        <v>3</v>
      </c>
      <c r="C2570" s="1" t="s">
        <v>3</v>
      </c>
      <c r="D2570" s="1">
        <v>2</v>
      </c>
      <c r="E2570" s="1">
        <v>44.252000000000002</v>
      </c>
      <c r="F2570" s="1">
        <v>0.99994000000000005</v>
      </c>
      <c r="G2570" t="s">
        <v>4055</v>
      </c>
      <c r="H2570" t="s">
        <v>4056</v>
      </c>
      <c r="I2570" t="s">
        <v>6010</v>
      </c>
      <c r="J2570" t="str">
        <f>"FYVE, RhoGEF and PH domain-containing protein 4"</f>
        <v>FYVE, RhoGEF and PH domain-containing protein 4</v>
      </c>
      <c r="K2570" t="str">
        <f>"FGD4"</f>
        <v>FGD4</v>
      </c>
    </row>
    <row r="2571" spans="1:11" x14ac:dyDescent="0.25">
      <c r="A2571" s="1">
        <v>2755</v>
      </c>
      <c r="B2571" s="1">
        <v>2</v>
      </c>
      <c r="C2571" s="1" t="s">
        <v>3</v>
      </c>
      <c r="D2571" s="1">
        <v>7</v>
      </c>
      <c r="E2571" s="1">
        <v>66.055999999999997</v>
      </c>
      <c r="F2571" s="1">
        <v>0.99999499999999997</v>
      </c>
      <c r="G2571" t="s">
        <v>4057</v>
      </c>
      <c r="H2571" t="s">
        <v>4029</v>
      </c>
      <c r="I2571">
        <v>681</v>
      </c>
      <c r="J2571" t="str">
        <f>"Delta and Notch-like epidermal growth factor-related receptor"</f>
        <v>Delta and Notch-like epidermal growth factor-related receptor</v>
      </c>
      <c r="K2571" t="str">
        <f>"DNER"</f>
        <v>DNER</v>
      </c>
    </row>
    <row r="2572" spans="1:11" x14ac:dyDescent="0.25">
      <c r="A2572" s="1">
        <v>1625</v>
      </c>
      <c r="B2572" s="1">
        <v>2</v>
      </c>
      <c r="C2572" s="1" t="s">
        <v>3</v>
      </c>
      <c r="D2572" s="1">
        <v>9</v>
      </c>
      <c r="E2572" s="1">
        <v>74.840999999999994</v>
      </c>
      <c r="F2572" s="1">
        <v>0.99993299999999996</v>
      </c>
      <c r="G2572" t="s">
        <v>4058</v>
      </c>
      <c r="H2572" t="s">
        <v>4059</v>
      </c>
      <c r="I2572">
        <v>45</v>
      </c>
      <c r="J2572" t="str">
        <f>"Protein S100-A8;Protein S100-A8, N-terminally processed"</f>
        <v>Protein S100-A8;Protein S100-A8, N-terminally processed</v>
      </c>
      <c r="K2572" t="str">
        <f>"S100A8"</f>
        <v>S100A8</v>
      </c>
    </row>
    <row r="2573" spans="1:11" x14ac:dyDescent="0.25">
      <c r="A2573" s="1">
        <v>2844</v>
      </c>
      <c r="B2573" s="1">
        <v>2</v>
      </c>
      <c r="C2573" s="1" t="s">
        <v>3</v>
      </c>
      <c r="D2573" s="1">
        <v>6</v>
      </c>
      <c r="E2573" s="1">
        <v>52.716000000000001</v>
      </c>
      <c r="F2573" s="1">
        <v>0.886069</v>
      </c>
      <c r="G2573" t="s">
        <v>4060</v>
      </c>
      <c r="H2573" t="s">
        <v>4061</v>
      </c>
      <c r="I2573">
        <v>124</v>
      </c>
      <c r="J2573" t="str">
        <f>"Pentatricopeptide repeat domain-containing protein 3, mitochondrial"</f>
        <v>Pentatricopeptide repeat domain-containing protein 3, mitochondrial</v>
      </c>
      <c r="K2573" t="str">
        <f>"PTCD3"</f>
        <v>PTCD3</v>
      </c>
    </row>
    <row r="2574" spans="1:11" x14ac:dyDescent="0.25">
      <c r="A2574" s="1">
        <v>2195</v>
      </c>
      <c r="B2574" s="1">
        <v>2</v>
      </c>
      <c r="C2574" s="1" t="s">
        <v>3</v>
      </c>
      <c r="D2574" s="1">
        <v>1</v>
      </c>
      <c r="E2574" s="1">
        <v>43.207999999999998</v>
      </c>
      <c r="F2574" s="1">
        <v>0.99635399999999996</v>
      </c>
      <c r="G2574" t="s">
        <v>4062</v>
      </c>
      <c r="H2574" t="s">
        <v>3635</v>
      </c>
      <c r="I2574" t="s">
        <v>6011</v>
      </c>
      <c r="J2574" t="str">
        <f>"Ephrin type-B receptor 1"</f>
        <v>Ephrin type-B receptor 1</v>
      </c>
      <c r="K2574" t="str">
        <f>"EPHB1"</f>
        <v>EPHB1</v>
      </c>
    </row>
    <row r="2575" spans="1:11" x14ac:dyDescent="0.25">
      <c r="A2575" s="1">
        <v>777</v>
      </c>
      <c r="B2575" s="1">
        <v>3</v>
      </c>
      <c r="C2575" s="1" t="s">
        <v>3</v>
      </c>
      <c r="D2575" s="1">
        <v>8</v>
      </c>
      <c r="E2575" s="1">
        <v>40.496000000000002</v>
      </c>
      <c r="F2575" s="1">
        <v>0.96418400000000004</v>
      </c>
      <c r="G2575" t="s">
        <v>4063</v>
      </c>
      <c r="H2575" t="s">
        <v>1422</v>
      </c>
      <c r="I2575" t="s">
        <v>6012</v>
      </c>
      <c r="J2575" t="str">
        <f>"EH domain-containing protein 4;EH domain-containing protein 2"</f>
        <v>EH domain-containing protein 4;EH domain-containing protein 2</v>
      </c>
      <c r="K2575" t="str">
        <f>"EHD4;EHD2"</f>
        <v>EHD4;EHD2</v>
      </c>
    </row>
    <row r="2576" spans="1:11" x14ac:dyDescent="0.25">
      <c r="A2576" s="1">
        <v>2549</v>
      </c>
      <c r="B2576" s="1">
        <v>3</v>
      </c>
      <c r="C2576" s="1" t="s">
        <v>3</v>
      </c>
      <c r="D2576" s="1">
        <v>16</v>
      </c>
      <c r="E2576" s="1">
        <v>42.707999999999998</v>
      </c>
      <c r="F2576" s="1">
        <v>0.99991600000000003</v>
      </c>
      <c r="G2576" t="s">
        <v>4064</v>
      </c>
      <c r="H2576" t="s">
        <v>4065</v>
      </c>
      <c r="I2576">
        <v>460</v>
      </c>
      <c r="J2576" t="str">
        <f>"Calcitonin gene-related peptide type 1 receptor"</f>
        <v>Calcitonin gene-related peptide type 1 receptor</v>
      </c>
      <c r="K2576" t="str">
        <f>"CALCRL"</f>
        <v>CALCRL</v>
      </c>
    </row>
    <row r="2577" spans="1:11" x14ac:dyDescent="0.25">
      <c r="A2577" s="1">
        <v>415</v>
      </c>
      <c r="B2577" s="1">
        <v>2</v>
      </c>
      <c r="C2577" s="1" t="s">
        <v>5</v>
      </c>
      <c r="D2577" s="1">
        <v>3</v>
      </c>
      <c r="E2577" s="1">
        <v>47.548000000000002</v>
      </c>
      <c r="F2577" s="1">
        <v>0.99099899999999996</v>
      </c>
      <c r="G2577" t="s">
        <v>2671</v>
      </c>
      <c r="H2577" t="s">
        <v>124</v>
      </c>
      <c r="I2577" t="s">
        <v>6013</v>
      </c>
      <c r="J2577" t="str">
        <f>"Plakophilin-4"</f>
        <v>Plakophilin-4</v>
      </c>
      <c r="K2577" t="str">
        <f>"PKP4"</f>
        <v>PKP4</v>
      </c>
    </row>
    <row r="2578" spans="1:11" x14ac:dyDescent="0.25">
      <c r="A2578" s="1">
        <v>2908</v>
      </c>
      <c r="B2578" s="1">
        <v>4</v>
      </c>
      <c r="C2578" s="1" t="s">
        <v>3</v>
      </c>
      <c r="D2578" s="1">
        <v>31</v>
      </c>
      <c r="E2578" s="1">
        <v>52.377000000000002</v>
      </c>
      <c r="F2578" s="1">
        <v>0.40051199999999998</v>
      </c>
      <c r="G2578" t="s">
        <v>4066</v>
      </c>
      <c r="H2578" t="s">
        <v>392</v>
      </c>
      <c r="I2578">
        <v>1055</v>
      </c>
      <c r="J2578" t="str">
        <f>"Plakophilin-4"</f>
        <v>Plakophilin-4</v>
      </c>
      <c r="K2578" t="str">
        <f>"PKP4"</f>
        <v>PKP4</v>
      </c>
    </row>
    <row r="2579" spans="1:11" x14ac:dyDescent="0.25">
      <c r="A2579" s="1">
        <v>1086</v>
      </c>
      <c r="B2579" s="1">
        <v>2</v>
      </c>
      <c r="C2579" s="1" t="s">
        <v>3</v>
      </c>
      <c r="D2579" s="1">
        <v>2</v>
      </c>
      <c r="E2579" s="1">
        <v>68.557000000000002</v>
      </c>
      <c r="F2579" s="1">
        <v>0.999996</v>
      </c>
      <c r="G2579" t="s">
        <v>4067</v>
      </c>
      <c r="H2579" t="s">
        <v>1202</v>
      </c>
      <c r="I2579" t="s">
        <v>6014</v>
      </c>
      <c r="J2579" t="str">
        <f>"Scavenger receptor class B member 1"</f>
        <v>Scavenger receptor class B member 1</v>
      </c>
      <c r="K2579" t="str">
        <f>"SCARB1"</f>
        <v>SCARB1</v>
      </c>
    </row>
    <row r="2580" spans="1:11" x14ac:dyDescent="0.25">
      <c r="A2580" s="1">
        <v>1124</v>
      </c>
      <c r="B2580" s="1">
        <v>2</v>
      </c>
      <c r="C2580" s="1" t="s">
        <v>3</v>
      </c>
      <c r="D2580" s="1">
        <v>2</v>
      </c>
      <c r="E2580" s="1">
        <v>47.712000000000003</v>
      </c>
      <c r="F2580" s="1">
        <v>1</v>
      </c>
      <c r="G2580" t="s">
        <v>4068</v>
      </c>
      <c r="H2580" t="s">
        <v>143</v>
      </c>
      <c r="I2580">
        <v>656</v>
      </c>
      <c r="J2580" t="str">
        <f>""</f>
        <v/>
      </c>
      <c r="K2580" t="str">
        <f>"CTNND1"</f>
        <v>CTNND1</v>
      </c>
    </row>
    <row r="2581" spans="1:11" x14ac:dyDescent="0.25">
      <c r="A2581" s="1">
        <v>647</v>
      </c>
      <c r="B2581" s="1">
        <v>2</v>
      </c>
      <c r="C2581" s="1" t="s">
        <v>4</v>
      </c>
      <c r="D2581" s="1">
        <v>11</v>
      </c>
      <c r="E2581" s="1">
        <v>48.567999999999998</v>
      </c>
      <c r="F2581" s="1">
        <v>0.63999899999999998</v>
      </c>
      <c r="G2581" t="s">
        <v>4069</v>
      </c>
      <c r="H2581" t="s">
        <v>2386</v>
      </c>
      <c r="I2581" t="s">
        <v>6015</v>
      </c>
      <c r="J2581" t="str">
        <f>"Neuronal calcium sensor 1"</f>
        <v>Neuronal calcium sensor 1</v>
      </c>
      <c r="K2581" t="str">
        <f>"NCS1"</f>
        <v>NCS1</v>
      </c>
    </row>
    <row r="2582" spans="1:11" x14ac:dyDescent="0.25">
      <c r="A2582" s="1">
        <v>2541</v>
      </c>
      <c r="B2582" s="1">
        <v>2</v>
      </c>
      <c r="C2582" s="1" t="s">
        <v>3</v>
      </c>
      <c r="D2582" s="1">
        <v>3</v>
      </c>
      <c r="E2582" s="1">
        <v>69.721000000000004</v>
      </c>
      <c r="F2582" s="1">
        <v>0.99999899999999997</v>
      </c>
      <c r="G2582" t="s">
        <v>4070</v>
      </c>
      <c r="H2582" t="s">
        <v>4071</v>
      </c>
      <c r="I2582" t="s">
        <v>6016</v>
      </c>
      <c r="J2582" t="str">
        <f>"Thyroid receptor-interacting protein 6"</f>
        <v>Thyroid receptor-interacting protein 6</v>
      </c>
      <c r="K2582" t="str">
        <f>"TRIP6"</f>
        <v>TRIP6</v>
      </c>
    </row>
    <row r="2583" spans="1:11" x14ac:dyDescent="0.25">
      <c r="A2583" s="1">
        <v>2677</v>
      </c>
      <c r="B2583" s="1">
        <v>4</v>
      </c>
      <c r="C2583" s="1" t="s">
        <v>3</v>
      </c>
      <c r="D2583" s="1">
        <v>8</v>
      </c>
      <c r="E2583" s="1">
        <v>43.695999999999998</v>
      </c>
      <c r="F2583" s="1">
        <v>0.68227800000000005</v>
      </c>
      <c r="G2583" t="s">
        <v>4072</v>
      </c>
      <c r="H2583" t="s">
        <v>4073</v>
      </c>
      <c r="I2583">
        <v>298</v>
      </c>
      <c r="J2583" t="str">
        <f>"Src kinase-associated phosphoprotein 1"</f>
        <v>Src kinase-associated phosphoprotein 1</v>
      </c>
      <c r="K2583" t="str">
        <f>"SKAP1"</f>
        <v>SKAP1</v>
      </c>
    </row>
    <row r="2584" spans="1:11" x14ac:dyDescent="0.25">
      <c r="A2584" s="1">
        <v>2011</v>
      </c>
      <c r="B2584" s="1">
        <v>2</v>
      </c>
      <c r="C2584" s="1" t="s">
        <v>3</v>
      </c>
      <c r="D2584" s="1">
        <v>1</v>
      </c>
      <c r="E2584" s="1">
        <v>48.567999999999998</v>
      </c>
      <c r="F2584" s="1">
        <v>0.99998399999999998</v>
      </c>
      <c r="G2584" t="s">
        <v>4074</v>
      </c>
      <c r="H2584" t="s">
        <v>4075</v>
      </c>
      <c r="I2584">
        <v>407</v>
      </c>
      <c r="J2584" t="str">
        <f>"Bone morphogenetic protein receptor type-1A"</f>
        <v>Bone morphogenetic protein receptor type-1A</v>
      </c>
      <c r="K2584" t="str">
        <f>"BMPR1A"</f>
        <v>BMPR1A</v>
      </c>
    </row>
    <row r="2585" spans="1:11" x14ac:dyDescent="0.25">
      <c r="A2585" s="1">
        <v>1298</v>
      </c>
      <c r="B2585" s="1">
        <v>3</v>
      </c>
      <c r="C2585" s="1" t="s">
        <v>3</v>
      </c>
      <c r="D2585" s="1">
        <v>10</v>
      </c>
      <c r="E2585" s="1">
        <v>49.298000000000002</v>
      </c>
      <c r="F2585" s="1">
        <v>0.90896100000000002</v>
      </c>
      <c r="G2585" t="s">
        <v>4076</v>
      </c>
      <c r="H2585" t="s">
        <v>4077</v>
      </c>
      <c r="I2585" t="s">
        <v>6017</v>
      </c>
      <c r="J2585" t="str">
        <f>"Transient receptor potential cation channel subfamily V member 4"</f>
        <v>Transient receptor potential cation channel subfamily V member 4</v>
      </c>
      <c r="K2585" t="str">
        <f>"TRPV4"</f>
        <v>TRPV4</v>
      </c>
    </row>
    <row r="2586" spans="1:11" x14ac:dyDescent="0.25">
      <c r="A2586" s="1">
        <v>338</v>
      </c>
      <c r="B2586" s="1">
        <v>2</v>
      </c>
      <c r="C2586" s="1" t="s">
        <v>5</v>
      </c>
      <c r="D2586" s="1">
        <v>6</v>
      </c>
      <c r="E2586" s="1">
        <v>90.412000000000006</v>
      </c>
      <c r="F2586" s="1">
        <v>0.77283800000000002</v>
      </c>
      <c r="G2586" t="s">
        <v>4078</v>
      </c>
      <c r="H2586" t="s">
        <v>3528</v>
      </c>
      <c r="I2586" t="s">
        <v>6018</v>
      </c>
      <c r="J2586" t="str">
        <f>"ELAV-like protein 1"</f>
        <v>ELAV-like protein 1</v>
      </c>
      <c r="K2586" t="str">
        <f>"ELAVL1"</f>
        <v>ELAVL1</v>
      </c>
    </row>
    <row r="2587" spans="1:11" x14ac:dyDescent="0.25">
      <c r="A2587" s="1">
        <v>1040</v>
      </c>
      <c r="B2587" s="1">
        <v>3</v>
      </c>
      <c r="C2587" s="1" t="s">
        <v>3</v>
      </c>
      <c r="D2587" s="1">
        <v>13</v>
      </c>
      <c r="E2587" s="1">
        <v>56.680999999999997</v>
      </c>
      <c r="F2587" s="1">
        <v>0.89160700000000004</v>
      </c>
      <c r="G2587" t="s">
        <v>4079</v>
      </c>
      <c r="H2587" t="s">
        <v>4080</v>
      </c>
      <c r="I2587" t="s">
        <v>6019</v>
      </c>
      <c r="J2587" t="str">
        <f>"Epidermal growth factor receptor substrate 15"</f>
        <v>Epidermal growth factor receptor substrate 15</v>
      </c>
      <c r="K2587" t="str">
        <f>"EPS15"</f>
        <v>EPS15</v>
      </c>
    </row>
    <row r="2588" spans="1:11" x14ac:dyDescent="0.25">
      <c r="A2588" s="1">
        <v>86</v>
      </c>
      <c r="B2588" s="1">
        <v>3</v>
      </c>
      <c r="C2588" s="1" t="s">
        <v>5</v>
      </c>
      <c r="D2588" s="1">
        <v>8</v>
      </c>
      <c r="E2588" s="1">
        <v>43.896999999999998</v>
      </c>
      <c r="F2588" s="1">
        <v>0.50357200000000002</v>
      </c>
      <c r="G2588" t="s">
        <v>4081</v>
      </c>
      <c r="H2588" t="s">
        <v>270</v>
      </c>
      <c r="I2588" t="s">
        <v>6020</v>
      </c>
      <c r="J2588" t="str">
        <f>"Tensin-1"</f>
        <v>Tensin-1</v>
      </c>
      <c r="K2588" t="str">
        <f>"TNS1"</f>
        <v>TNS1</v>
      </c>
    </row>
    <row r="2589" spans="1:11" x14ac:dyDescent="0.25">
      <c r="A2589" s="1">
        <v>775</v>
      </c>
      <c r="B2589" s="1">
        <v>3</v>
      </c>
      <c r="C2589" s="1" t="s">
        <v>3</v>
      </c>
      <c r="D2589" s="1">
        <v>10</v>
      </c>
      <c r="E2589" s="1">
        <v>48.287999999999997</v>
      </c>
      <c r="F2589" s="1">
        <v>0.97503200000000001</v>
      </c>
      <c r="G2589" t="s">
        <v>4082</v>
      </c>
      <c r="H2589" t="s">
        <v>3667</v>
      </c>
      <c r="I2589" t="s">
        <v>6021</v>
      </c>
      <c r="J2589" t="str">
        <f>"EH domain-containing protein 4"</f>
        <v>EH domain-containing protein 4</v>
      </c>
      <c r="K2589" t="str">
        <f>"EHD4"</f>
        <v>EHD4</v>
      </c>
    </row>
    <row r="2590" spans="1:11" x14ac:dyDescent="0.25">
      <c r="A2590" s="1">
        <v>1549</v>
      </c>
      <c r="B2590" s="1">
        <v>3</v>
      </c>
      <c r="C2590" s="1" t="s">
        <v>3</v>
      </c>
      <c r="D2590" s="1">
        <v>8</v>
      </c>
      <c r="E2590" s="1">
        <v>62.616999999999997</v>
      </c>
      <c r="F2590" s="1">
        <v>1</v>
      </c>
      <c r="G2590" t="s">
        <v>4083</v>
      </c>
      <c r="H2590" t="s">
        <v>760</v>
      </c>
      <c r="I2590" t="s">
        <v>6022</v>
      </c>
      <c r="J2590" t="str">
        <f>"Flotillin-1"</f>
        <v>Flotillin-1</v>
      </c>
      <c r="K2590" t="str">
        <f>"FLOT1"</f>
        <v>FLOT1</v>
      </c>
    </row>
    <row r="2591" spans="1:11" x14ac:dyDescent="0.25">
      <c r="A2591" s="1">
        <v>2650</v>
      </c>
      <c r="B2591" s="1">
        <v>2</v>
      </c>
      <c r="C2591" s="1" t="s">
        <v>3</v>
      </c>
      <c r="D2591" s="1">
        <v>3</v>
      </c>
      <c r="E2591" s="1">
        <v>85.355000000000004</v>
      </c>
      <c r="F2591" s="1">
        <v>0.99678599999999995</v>
      </c>
      <c r="G2591" t="s">
        <v>4084</v>
      </c>
      <c r="H2591" t="s">
        <v>4085</v>
      </c>
      <c r="I2591">
        <v>1058</v>
      </c>
      <c r="J2591" t="str">
        <f>"Centrosomal protein of 128 kDa"</f>
        <v>Centrosomal protein of 128 kDa</v>
      </c>
      <c r="K2591" t="str">
        <f>"CEP128"</f>
        <v>CEP128</v>
      </c>
    </row>
    <row r="2592" spans="1:11" x14ac:dyDescent="0.25">
      <c r="A2592" s="1">
        <v>1161</v>
      </c>
      <c r="B2592" s="1">
        <v>3</v>
      </c>
      <c r="C2592" s="1" t="s">
        <v>3</v>
      </c>
      <c r="D2592" s="1">
        <v>6</v>
      </c>
      <c r="E2592" s="1">
        <v>48.948</v>
      </c>
      <c r="F2592" s="1">
        <v>1</v>
      </c>
      <c r="G2592" t="s">
        <v>4086</v>
      </c>
      <c r="H2592" t="s">
        <v>4087</v>
      </c>
      <c r="I2592" t="s">
        <v>6023</v>
      </c>
      <c r="J2592" t="str">
        <f>"Protein transport protein Sec31A"</f>
        <v>Protein transport protein Sec31A</v>
      </c>
      <c r="K2592" t="str">
        <f>"SEC31A"</f>
        <v>SEC31A</v>
      </c>
    </row>
    <row r="2593" spans="1:11" x14ac:dyDescent="0.25">
      <c r="A2593" s="1">
        <v>2102</v>
      </c>
      <c r="B2593" s="1">
        <v>3</v>
      </c>
      <c r="C2593" s="1" t="s">
        <v>3</v>
      </c>
      <c r="D2593" s="1">
        <v>8</v>
      </c>
      <c r="E2593" s="1">
        <v>40.493000000000002</v>
      </c>
      <c r="F2593" s="1">
        <v>0.80276099999999995</v>
      </c>
      <c r="G2593" t="s">
        <v>4088</v>
      </c>
      <c r="H2593" t="s">
        <v>3036</v>
      </c>
      <c r="I2593">
        <v>2034</v>
      </c>
      <c r="J2593" t="s">
        <v>5542</v>
      </c>
      <c r="K2593" t="str">
        <f>"FASN"</f>
        <v>FASN</v>
      </c>
    </row>
    <row r="2594" spans="1:11" x14ac:dyDescent="0.25">
      <c r="A2594" s="1">
        <v>2099</v>
      </c>
      <c r="B2594" s="1">
        <v>3</v>
      </c>
      <c r="C2594" s="1" t="s">
        <v>3</v>
      </c>
      <c r="D2594" s="1">
        <v>8</v>
      </c>
      <c r="E2594" s="1">
        <v>55.011000000000003</v>
      </c>
      <c r="F2594" s="1">
        <v>0.79394600000000004</v>
      </c>
      <c r="G2594" t="s">
        <v>4089</v>
      </c>
      <c r="H2594" t="s">
        <v>4090</v>
      </c>
      <c r="I2594" t="s">
        <v>6024</v>
      </c>
      <c r="J2594" t="str">
        <f>"Casein kinase I isoform alpha;Casein kinase I isoform alpha-like"</f>
        <v>Casein kinase I isoform alpha;Casein kinase I isoform alpha-like</v>
      </c>
      <c r="K2594" t="str">
        <f>"CSNK1A1;CSNK1A1L"</f>
        <v>CSNK1A1;CSNK1A1L</v>
      </c>
    </row>
    <row r="2595" spans="1:11" x14ac:dyDescent="0.25">
      <c r="A2595" s="1">
        <v>2237</v>
      </c>
      <c r="B2595" s="1">
        <v>2</v>
      </c>
      <c r="C2595" s="1" t="s">
        <v>3</v>
      </c>
      <c r="D2595" s="1">
        <v>6</v>
      </c>
      <c r="E2595" s="1">
        <v>52.576000000000001</v>
      </c>
      <c r="F2595" s="1">
        <v>0.99919000000000002</v>
      </c>
      <c r="G2595" t="s">
        <v>4091</v>
      </c>
      <c r="H2595" t="s">
        <v>4092</v>
      </c>
      <c r="I2595">
        <v>156</v>
      </c>
      <c r="J2595" t="str">
        <f>"Transforming protein RhoA"</f>
        <v>Transforming protein RhoA</v>
      </c>
      <c r="K2595" t="str">
        <f>"RHOA"</f>
        <v>RHOA</v>
      </c>
    </row>
    <row r="2596" spans="1:11" x14ac:dyDescent="0.25">
      <c r="A2596" s="1">
        <v>2583</v>
      </c>
      <c r="B2596" s="1">
        <v>2</v>
      </c>
      <c r="C2596" s="1" t="s">
        <v>3</v>
      </c>
      <c r="D2596" s="1">
        <v>9</v>
      </c>
      <c r="E2596" s="1">
        <v>47.302</v>
      </c>
      <c r="F2596" s="1">
        <v>0.86465499999999995</v>
      </c>
      <c r="G2596" t="s">
        <v>4093</v>
      </c>
      <c r="H2596" t="s">
        <v>4094</v>
      </c>
      <c r="I2596" t="s">
        <v>6025</v>
      </c>
      <c r="J2596" t="str">
        <f>"Engulfment and cell motility protein 2"</f>
        <v>Engulfment and cell motility protein 2</v>
      </c>
      <c r="K2596" t="str">
        <f>"ELMO2"</f>
        <v>ELMO2</v>
      </c>
    </row>
    <row r="2597" spans="1:11" x14ac:dyDescent="0.25">
      <c r="A2597" s="1">
        <v>67</v>
      </c>
      <c r="B2597" s="1">
        <v>3</v>
      </c>
      <c r="C2597" s="1" t="s">
        <v>5</v>
      </c>
      <c r="D2597" s="1">
        <v>5</v>
      </c>
      <c r="E2597" s="1">
        <v>46.494</v>
      </c>
      <c r="F2597" s="1">
        <v>0.51685899999999996</v>
      </c>
      <c r="G2597" t="s">
        <v>4095</v>
      </c>
      <c r="H2597" t="s">
        <v>791</v>
      </c>
      <c r="I2597" t="s">
        <v>6026</v>
      </c>
      <c r="J2597" t="str">
        <f>"Keratin, type II cytoskeletal 8"</f>
        <v>Keratin, type II cytoskeletal 8</v>
      </c>
      <c r="K2597" t="str">
        <f>"KRT8"</f>
        <v>KRT8</v>
      </c>
    </row>
    <row r="2598" spans="1:11" x14ac:dyDescent="0.25">
      <c r="A2598" s="1">
        <v>2523</v>
      </c>
      <c r="B2598" s="1">
        <v>2</v>
      </c>
      <c r="C2598" s="1" t="s">
        <v>3</v>
      </c>
      <c r="D2598" s="1">
        <v>7</v>
      </c>
      <c r="E2598" s="1">
        <v>42.843000000000004</v>
      </c>
      <c r="F2598" s="1">
        <v>0.68327800000000005</v>
      </c>
      <c r="G2598" t="s">
        <v>4096</v>
      </c>
      <c r="H2598" t="s">
        <v>1572</v>
      </c>
      <c r="I2598" t="s">
        <v>6027</v>
      </c>
      <c r="J2598" t="str">
        <f>"Plectin"</f>
        <v>Plectin</v>
      </c>
      <c r="K2598" t="str">
        <f>"PLEC"</f>
        <v>PLEC</v>
      </c>
    </row>
    <row r="2599" spans="1:11" x14ac:dyDescent="0.25">
      <c r="A2599" s="1">
        <v>2433</v>
      </c>
      <c r="B2599" s="1">
        <v>3</v>
      </c>
      <c r="C2599" s="1" t="s">
        <v>3</v>
      </c>
      <c r="D2599" s="1">
        <v>5</v>
      </c>
      <c r="E2599" s="1">
        <v>77.662000000000006</v>
      </c>
      <c r="F2599" s="1">
        <v>0.99998399999999998</v>
      </c>
      <c r="G2599" t="s">
        <v>4097</v>
      </c>
      <c r="H2599" t="s">
        <v>4098</v>
      </c>
      <c r="I2599" t="s">
        <v>6028</v>
      </c>
      <c r="J2599" t="str">
        <f>"Dynactin subunit 2"</f>
        <v>Dynactin subunit 2</v>
      </c>
      <c r="K2599" t="str">
        <f>"DCTN2"</f>
        <v>DCTN2</v>
      </c>
    </row>
    <row r="2600" spans="1:11" x14ac:dyDescent="0.25">
      <c r="A2600" s="1">
        <v>1284</v>
      </c>
      <c r="B2600" s="1">
        <v>3</v>
      </c>
      <c r="C2600" s="1" t="s">
        <v>3</v>
      </c>
      <c r="D2600" s="1">
        <v>5</v>
      </c>
      <c r="E2600" s="1">
        <v>43.603999999999999</v>
      </c>
      <c r="F2600" s="1">
        <v>1</v>
      </c>
      <c r="G2600" t="s">
        <v>4099</v>
      </c>
      <c r="H2600" t="s">
        <v>4100</v>
      </c>
      <c r="I2600" t="s">
        <v>6029</v>
      </c>
      <c r="J2600" t="str">
        <f>"Vacuolar protein sorting-associated protein 33B"</f>
        <v>Vacuolar protein sorting-associated protein 33B</v>
      </c>
      <c r="K2600" t="str">
        <f>"VPS33B"</f>
        <v>VPS33B</v>
      </c>
    </row>
    <row r="2601" spans="1:11" x14ac:dyDescent="0.25">
      <c r="A2601" s="1">
        <v>2367</v>
      </c>
      <c r="B2601" s="1">
        <v>2</v>
      </c>
      <c r="C2601" s="1" t="s">
        <v>3</v>
      </c>
      <c r="D2601" s="1">
        <v>6</v>
      </c>
      <c r="E2601" s="1">
        <v>53.756</v>
      </c>
      <c r="F2601" s="1">
        <v>0.499948</v>
      </c>
      <c r="G2601" t="s">
        <v>4101</v>
      </c>
      <c r="H2601" t="s">
        <v>4102</v>
      </c>
      <c r="I2601" t="s">
        <v>6030</v>
      </c>
      <c r="J2601" t="str">
        <f>"Acyl-coenzyme A synthetase ACSM2A, mitochondrial;Acyl-coenzyme A synthetase ACSM2B, mitochondrial;Acyl-coenzyme A synthetase ACSM1, mitochondrial"</f>
        <v>Acyl-coenzyme A synthetase ACSM2A, mitochondrial;Acyl-coenzyme A synthetase ACSM2B, mitochondrial;Acyl-coenzyme A synthetase ACSM1, mitochondrial</v>
      </c>
      <c r="K2601" t="str">
        <f>"ACSM2A;ACSM2B;ACSM1"</f>
        <v>ACSM2A;ACSM2B;ACSM1</v>
      </c>
    </row>
    <row r="2602" spans="1:11" x14ac:dyDescent="0.25">
      <c r="A2602" s="1">
        <v>2368</v>
      </c>
      <c r="B2602" s="1">
        <v>2</v>
      </c>
      <c r="C2602" s="1" t="s">
        <v>3</v>
      </c>
      <c r="D2602" s="1">
        <v>8</v>
      </c>
      <c r="E2602" s="1">
        <v>53.756</v>
      </c>
      <c r="F2602" s="1">
        <v>0.499948</v>
      </c>
      <c r="G2602" t="s">
        <v>4101</v>
      </c>
      <c r="H2602" t="s">
        <v>4102</v>
      </c>
      <c r="I2602" t="s">
        <v>6031</v>
      </c>
      <c r="J2602" t="str">
        <f>"Acyl-coenzyme A synthetase ACSM2A, mitochondrial;Acyl-coenzyme A synthetase ACSM2B, mitochondrial;Acyl-coenzyme A synthetase ACSM1, mitochondrial"</f>
        <v>Acyl-coenzyme A synthetase ACSM2A, mitochondrial;Acyl-coenzyme A synthetase ACSM2B, mitochondrial;Acyl-coenzyme A synthetase ACSM1, mitochondrial</v>
      </c>
      <c r="K2602" t="str">
        <f>"ACSM2A;ACSM2B;ACSM1"</f>
        <v>ACSM2A;ACSM2B;ACSM1</v>
      </c>
    </row>
    <row r="2603" spans="1:11" x14ac:dyDescent="0.25">
      <c r="A2603" s="1">
        <v>1295</v>
      </c>
      <c r="B2603" s="1">
        <v>2</v>
      </c>
      <c r="C2603" s="1" t="s">
        <v>3</v>
      </c>
      <c r="D2603" s="1">
        <v>16</v>
      </c>
      <c r="E2603" s="1">
        <v>46.317999999999998</v>
      </c>
      <c r="F2603" s="1">
        <v>0.97797299999999998</v>
      </c>
      <c r="G2603" t="s">
        <v>4103</v>
      </c>
      <c r="H2603" t="s">
        <v>2395</v>
      </c>
      <c r="I2603" t="s">
        <v>6032</v>
      </c>
      <c r="J2603" t="str">
        <f>"Proto-oncogene vav"</f>
        <v>Proto-oncogene vav</v>
      </c>
      <c r="K2603" t="str">
        <f>"VAV1"</f>
        <v>VAV1</v>
      </c>
    </row>
    <row r="2604" spans="1:11" x14ac:dyDescent="0.25">
      <c r="A2604" s="1">
        <v>983</v>
      </c>
      <c r="B2604" s="1">
        <v>2</v>
      </c>
      <c r="C2604" s="1" t="s">
        <v>3</v>
      </c>
      <c r="D2604" s="1">
        <v>1</v>
      </c>
      <c r="E2604" s="1">
        <v>43.77</v>
      </c>
      <c r="F2604" s="1">
        <v>0.83606599999999998</v>
      </c>
      <c r="G2604" t="s">
        <v>4104</v>
      </c>
      <c r="H2604" t="s">
        <v>4105</v>
      </c>
      <c r="I2604" t="s">
        <v>6033</v>
      </c>
      <c r="J2604" t="str">
        <f>"SH3 and PX domain-containing protein 2B"</f>
        <v>SH3 and PX domain-containing protein 2B</v>
      </c>
      <c r="K2604" t="str">
        <f>"SH3PXD2B"</f>
        <v>SH3PXD2B</v>
      </c>
    </row>
    <row r="2605" spans="1:11" x14ac:dyDescent="0.25">
      <c r="A2605" s="1">
        <v>205</v>
      </c>
      <c r="B2605" s="1">
        <v>2</v>
      </c>
      <c r="C2605" s="1" t="s">
        <v>5</v>
      </c>
      <c r="D2605" s="1">
        <v>3</v>
      </c>
      <c r="E2605" s="1">
        <v>45.433</v>
      </c>
      <c r="F2605" s="1">
        <v>0.583982</v>
      </c>
      <c r="G2605" t="s">
        <v>4106</v>
      </c>
      <c r="H2605" t="s">
        <v>2404</v>
      </c>
      <c r="I2605" t="s">
        <v>6034</v>
      </c>
      <c r="J2605" t="str">
        <f>"40S ribosomal protein S2"</f>
        <v>40S ribosomal protein S2</v>
      </c>
      <c r="K2605" t="str">
        <f>"RPS2"</f>
        <v>RPS2</v>
      </c>
    </row>
    <row r="2606" spans="1:11" x14ac:dyDescent="0.25">
      <c r="A2606" s="1">
        <v>1622</v>
      </c>
      <c r="B2606" s="1">
        <v>2</v>
      </c>
      <c r="C2606" s="1" t="s">
        <v>3</v>
      </c>
      <c r="D2606" s="1">
        <v>6</v>
      </c>
      <c r="E2606" s="1">
        <v>73.832999999999998</v>
      </c>
      <c r="F2606" s="1">
        <v>0.97831199999999996</v>
      </c>
      <c r="G2606" t="s">
        <v>4107</v>
      </c>
      <c r="H2606" t="s">
        <v>2606</v>
      </c>
      <c r="I2606" t="s">
        <v>6035</v>
      </c>
      <c r="J2606" t="str">
        <f>"Guanine nucleotide-binding protein G(i) subunit alpha-2"</f>
        <v>Guanine nucleotide-binding protein G(i) subunit alpha-2</v>
      </c>
      <c r="K2606" t="str">
        <f>"GNAI2"</f>
        <v>GNAI2</v>
      </c>
    </row>
    <row r="2607" spans="1:11" x14ac:dyDescent="0.25">
      <c r="A2607" s="1">
        <v>1136</v>
      </c>
      <c r="B2607" s="1">
        <v>2</v>
      </c>
      <c r="C2607" s="1" t="s">
        <v>3</v>
      </c>
      <c r="D2607" s="1">
        <v>1</v>
      </c>
      <c r="E2607" s="1">
        <v>58.698999999999998</v>
      </c>
      <c r="F2607" s="1">
        <v>0.99924500000000005</v>
      </c>
      <c r="G2607" t="s">
        <v>4108</v>
      </c>
      <c r="H2607" t="s">
        <v>4109</v>
      </c>
      <c r="I2607">
        <v>91</v>
      </c>
      <c r="J2607" t="str">
        <f>""</f>
        <v/>
      </c>
      <c r="K2607" t="str">
        <f>""</f>
        <v/>
      </c>
    </row>
    <row r="2608" spans="1:11" x14ac:dyDescent="0.25">
      <c r="A2608" s="1">
        <v>2128</v>
      </c>
      <c r="B2608" s="1">
        <v>3</v>
      </c>
      <c r="C2608" s="1" t="s">
        <v>3</v>
      </c>
      <c r="D2608" s="1">
        <v>1</v>
      </c>
      <c r="E2608" s="1">
        <v>77.221000000000004</v>
      </c>
      <c r="F2608" s="1">
        <v>0.81475600000000004</v>
      </c>
      <c r="G2608" t="s">
        <v>4110</v>
      </c>
      <c r="H2608" t="s">
        <v>454</v>
      </c>
      <c r="I2608" t="s">
        <v>6036</v>
      </c>
      <c r="J2608" t="str">
        <f>"Glycine amidinotransferase, mitochondrial"</f>
        <v>Glycine amidinotransferase, mitochondrial</v>
      </c>
      <c r="K2608" t="str">
        <f>"GATM"</f>
        <v>GATM</v>
      </c>
    </row>
    <row r="2609" spans="1:11" x14ac:dyDescent="0.25">
      <c r="A2609" s="1">
        <v>1234</v>
      </c>
      <c r="B2609" s="1">
        <v>2</v>
      </c>
      <c r="C2609" s="1" t="s">
        <v>3</v>
      </c>
      <c r="D2609" s="1">
        <v>8</v>
      </c>
      <c r="E2609" s="1">
        <v>44.317999999999998</v>
      </c>
      <c r="F2609" s="1">
        <v>0.99996300000000005</v>
      </c>
      <c r="G2609" t="s">
        <v>4111</v>
      </c>
      <c r="H2609" t="s">
        <v>4112</v>
      </c>
      <c r="I2609" t="s">
        <v>6037</v>
      </c>
      <c r="J2609" t="str">
        <f>"Probable leucine--tRNA ligase, mitochondrial"</f>
        <v>Probable leucine--tRNA ligase, mitochondrial</v>
      </c>
      <c r="K2609" t="str">
        <f>"LARS2"</f>
        <v>LARS2</v>
      </c>
    </row>
    <row r="2610" spans="1:11" x14ac:dyDescent="0.25">
      <c r="A2610" s="1">
        <v>1211</v>
      </c>
      <c r="B2610" s="1">
        <v>2</v>
      </c>
      <c r="C2610" s="1" t="s">
        <v>3</v>
      </c>
      <c r="D2610" s="1">
        <v>8</v>
      </c>
      <c r="E2610" s="1">
        <v>46.317999999999998</v>
      </c>
      <c r="F2610" s="1">
        <v>0.98321199999999997</v>
      </c>
      <c r="G2610" t="s">
        <v>4113</v>
      </c>
      <c r="H2610" t="s">
        <v>4114</v>
      </c>
      <c r="I2610" t="s">
        <v>6038</v>
      </c>
      <c r="J2610" t="str">
        <f>"Dihydropyrimidinase-related protein 1"</f>
        <v>Dihydropyrimidinase-related protein 1</v>
      </c>
      <c r="K2610" t="str">
        <f>"CRMP1"</f>
        <v>CRMP1</v>
      </c>
    </row>
    <row r="2611" spans="1:11" x14ac:dyDescent="0.25">
      <c r="A2611" s="1">
        <v>1775</v>
      </c>
      <c r="B2611" s="1">
        <v>2</v>
      </c>
      <c r="C2611" s="1" t="s">
        <v>3</v>
      </c>
      <c r="D2611" s="1">
        <v>1</v>
      </c>
      <c r="E2611" s="1">
        <v>52.481999999999999</v>
      </c>
      <c r="F2611" s="1">
        <v>0.99988699999999997</v>
      </c>
      <c r="G2611" t="s">
        <v>4115</v>
      </c>
      <c r="H2611" t="s">
        <v>1020</v>
      </c>
      <c r="I2611" t="s">
        <v>6039</v>
      </c>
      <c r="J2611" t="str">
        <f>"Alcohol dehydrogenase [NADP(+)]"</f>
        <v>Alcohol dehydrogenase [NADP(+)]</v>
      </c>
      <c r="K2611" t="str">
        <f>"AKR1A1"</f>
        <v>AKR1A1</v>
      </c>
    </row>
    <row r="2612" spans="1:11" x14ac:dyDescent="0.25">
      <c r="A2612" s="1">
        <v>3021</v>
      </c>
      <c r="B2612" s="1">
        <v>2</v>
      </c>
      <c r="C2612" s="1" t="s">
        <v>3</v>
      </c>
      <c r="D2612" s="1">
        <v>7</v>
      </c>
      <c r="E2612" s="1">
        <v>42.947000000000003</v>
      </c>
      <c r="F2612" s="1">
        <v>0.95715899999999998</v>
      </c>
      <c r="G2612" t="s">
        <v>4116</v>
      </c>
      <c r="H2612" t="s">
        <v>4117</v>
      </c>
      <c r="I2612">
        <v>618</v>
      </c>
      <c r="J2612" t="str">
        <f>"WD repeat-containing protein 70"</f>
        <v>WD repeat-containing protein 70</v>
      </c>
      <c r="K2612" t="str">
        <f>"WDR70"</f>
        <v>WDR70</v>
      </c>
    </row>
    <row r="2613" spans="1:11" x14ac:dyDescent="0.25">
      <c r="A2613" s="1">
        <v>1078</v>
      </c>
      <c r="B2613" s="1">
        <v>2</v>
      </c>
      <c r="C2613" s="1" t="s">
        <v>3</v>
      </c>
      <c r="D2613" s="1">
        <v>1</v>
      </c>
      <c r="E2613" s="1">
        <v>61.265000000000001</v>
      </c>
      <c r="F2613" s="1">
        <v>0.99984099999999998</v>
      </c>
      <c r="G2613" t="s">
        <v>4118</v>
      </c>
      <c r="H2613" t="s">
        <v>3987</v>
      </c>
      <c r="I2613" t="s">
        <v>6040</v>
      </c>
      <c r="J2613" t="str">
        <f>"Ribosomal protein S6 kinase;Ribosomal protein S6 kinase alpha-2"</f>
        <v>Ribosomal protein S6 kinase;Ribosomal protein S6 kinase alpha-2</v>
      </c>
      <c r="K2613" t="str">
        <f>"RPS6KA2"</f>
        <v>RPS6KA2</v>
      </c>
    </row>
    <row r="2614" spans="1:11" x14ac:dyDescent="0.25">
      <c r="A2614" s="1">
        <v>3091</v>
      </c>
      <c r="B2614" s="1">
        <v>2</v>
      </c>
      <c r="C2614" s="1" t="s">
        <v>3</v>
      </c>
      <c r="D2614" s="1">
        <v>1</v>
      </c>
      <c r="E2614" s="1">
        <v>47.848999999999997</v>
      </c>
      <c r="F2614" s="1">
        <v>1</v>
      </c>
      <c r="G2614" t="s">
        <v>4119</v>
      </c>
      <c r="H2614" t="s">
        <v>4120</v>
      </c>
      <c r="I2614" t="s">
        <v>6041</v>
      </c>
      <c r="J2614" t="str">
        <f>"Guanine nucleotide exchange factor VAV3"</f>
        <v>Guanine nucleotide exchange factor VAV3</v>
      </c>
      <c r="K2614" t="str">
        <f>"VAV3"</f>
        <v>VAV3</v>
      </c>
    </row>
    <row r="2615" spans="1:11" x14ac:dyDescent="0.25">
      <c r="A2615" s="1">
        <v>2481</v>
      </c>
      <c r="B2615" s="1">
        <v>2</v>
      </c>
      <c r="C2615" s="1" t="s">
        <v>3</v>
      </c>
      <c r="D2615" s="1">
        <v>2</v>
      </c>
      <c r="E2615" s="1">
        <v>61.408999999999999</v>
      </c>
      <c r="F2615" s="1">
        <v>1</v>
      </c>
      <c r="G2615" t="s">
        <v>4121</v>
      </c>
      <c r="H2615" t="s">
        <v>2188</v>
      </c>
      <c r="I2615" t="s">
        <v>6042</v>
      </c>
      <c r="J2615" t="str">
        <f>"Filamin-C"</f>
        <v>Filamin-C</v>
      </c>
      <c r="K2615" t="str">
        <f>"FLNC"</f>
        <v>FLNC</v>
      </c>
    </row>
    <row r="2616" spans="1:11" x14ac:dyDescent="0.25">
      <c r="A2616" s="1">
        <v>2253</v>
      </c>
      <c r="B2616" s="1">
        <v>2</v>
      </c>
      <c r="C2616" s="1" t="s">
        <v>3</v>
      </c>
      <c r="D2616" s="1">
        <v>6</v>
      </c>
      <c r="E2616" s="1">
        <v>42.598999999999997</v>
      </c>
      <c r="F2616" s="1">
        <v>1</v>
      </c>
      <c r="G2616" t="s">
        <v>4122</v>
      </c>
      <c r="H2616" t="s">
        <v>4123</v>
      </c>
      <c r="I2616">
        <v>71</v>
      </c>
      <c r="J2616" t="str">
        <f>"Small nuclear ribonucleoprotein F"</f>
        <v>Small nuclear ribonucleoprotein F</v>
      </c>
      <c r="K2616" t="str">
        <f>"SNRPF"</f>
        <v>SNRPF</v>
      </c>
    </row>
    <row r="2617" spans="1:11" x14ac:dyDescent="0.25">
      <c r="A2617" s="1">
        <v>2824</v>
      </c>
      <c r="B2617" s="1">
        <v>2</v>
      </c>
      <c r="C2617" s="1" t="s">
        <v>3</v>
      </c>
      <c r="D2617" s="1">
        <v>4</v>
      </c>
      <c r="E2617" s="1">
        <v>44.317999999999998</v>
      </c>
      <c r="F2617" s="1">
        <v>0.95047099999999995</v>
      </c>
      <c r="G2617" t="s">
        <v>4124</v>
      </c>
      <c r="H2617" t="s">
        <v>2024</v>
      </c>
      <c r="I2617" t="s">
        <v>6043</v>
      </c>
      <c r="J2617" t="str">
        <f>"UPF0556 protein C19orf10"</f>
        <v>UPF0556 protein C19orf10</v>
      </c>
      <c r="K2617" t="str">
        <f>"C19orf10"</f>
        <v>C19orf10</v>
      </c>
    </row>
    <row r="2618" spans="1:11" x14ac:dyDescent="0.25">
      <c r="A2618" s="1">
        <v>847</v>
      </c>
      <c r="B2618" s="1">
        <v>2</v>
      </c>
      <c r="C2618" s="1" t="s">
        <v>3</v>
      </c>
      <c r="D2618" s="1">
        <v>2</v>
      </c>
      <c r="E2618" s="1">
        <v>40.475000000000001</v>
      </c>
      <c r="F2618" s="1">
        <v>0.82988700000000004</v>
      </c>
      <c r="G2618" t="s">
        <v>4125</v>
      </c>
      <c r="H2618" t="s">
        <v>724</v>
      </c>
      <c r="I2618" t="s">
        <v>6044</v>
      </c>
      <c r="J2618" t="str">
        <f>"Tight junction protein ZO-1"</f>
        <v>Tight junction protein ZO-1</v>
      </c>
      <c r="K2618" t="str">
        <f>"TJP1"</f>
        <v>TJP1</v>
      </c>
    </row>
    <row r="2619" spans="1:11" x14ac:dyDescent="0.25">
      <c r="A2619" s="1">
        <v>2411</v>
      </c>
      <c r="B2619" s="1">
        <v>2</v>
      </c>
      <c r="C2619" s="1" t="s">
        <v>3</v>
      </c>
      <c r="D2619" s="1">
        <v>7</v>
      </c>
      <c r="E2619" s="1">
        <v>47.774000000000001</v>
      </c>
      <c r="F2619" s="1">
        <v>0.99980100000000005</v>
      </c>
      <c r="G2619" t="s">
        <v>4126</v>
      </c>
      <c r="H2619" t="s">
        <v>4127</v>
      </c>
      <c r="I2619">
        <v>199</v>
      </c>
      <c r="J2619" t="str">
        <f>"Mitotic spindle assembly checkpoint protein MAD2A"</f>
        <v>Mitotic spindle assembly checkpoint protein MAD2A</v>
      </c>
      <c r="K2619" t="str">
        <f>"MAD2L1"</f>
        <v>MAD2L1</v>
      </c>
    </row>
    <row r="2620" spans="1:11" x14ac:dyDescent="0.25">
      <c r="A2620" s="1">
        <v>1815</v>
      </c>
      <c r="B2620" s="1">
        <v>2</v>
      </c>
      <c r="C2620" s="1" t="s">
        <v>3</v>
      </c>
      <c r="D2620" s="1">
        <v>3</v>
      </c>
      <c r="E2620" s="1">
        <v>52.247</v>
      </c>
      <c r="F2620" s="1">
        <v>1</v>
      </c>
      <c r="G2620" t="s">
        <v>4128</v>
      </c>
      <c r="H2620" t="s">
        <v>4129</v>
      </c>
      <c r="I2620" t="s">
        <v>6045</v>
      </c>
      <c r="J2620" t="str">
        <f>"Fumarylacetoacetase"</f>
        <v>Fumarylacetoacetase</v>
      </c>
      <c r="K2620" t="str">
        <f>"FAH"</f>
        <v>FAH</v>
      </c>
    </row>
    <row r="2621" spans="1:11" x14ac:dyDescent="0.25">
      <c r="A2621" s="1">
        <v>2590</v>
      </c>
      <c r="B2621" s="1">
        <v>2</v>
      </c>
      <c r="C2621" s="1" t="s">
        <v>3</v>
      </c>
      <c r="D2621" s="1">
        <v>6</v>
      </c>
      <c r="E2621" s="1">
        <v>53.756</v>
      </c>
      <c r="F2621" s="1">
        <v>0.956098</v>
      </c>
      <c r="G2621" t="s">
        <v>4130</v>
      </c>
      <c r="H2621" t="s">
        <v>4131</v>
      </c>
      <c r="I2621" t="s">
        <v>6046</v>
      </c>
      <c r="J2621" t="str">
        <f>"Centrosomal protein of 170 kDa"</f>
        <v>Centrosomal protein of 170 kDa</v>
      </c>
      <c r="K2621" t="str">
        <f>"CEP170"</f>
        <v>CEP170</v>
      </c>
    </row>
    <row r="2622" spans="1:11" x14ac:dyDescent="0.25">
      <c r="A2622" s="1">
        <v>2230</v>
      </c>
      <c r="B2622" s="1">
        <v>2</v>
      </c>
      <c r="C2622" s="1" t="s">
        <v>3</v>
      </c>
      <c r="D2622" s="1">
        <v>3</v>
      </c>
      <c r="E2622" s="1">
        <v>45.433</v>
      </c>
      <c r="F2622" s="1">
        <v>0.99959399999999998</v>
      </c>
      <c r="G2622" t="s">
        <v>4132</v>
      </c>
      <c r="H2622" t="s">
        <v>4133</v>
      </c>
      <c r="I2622">
        <v>172</v>
      </c>
      <c r="J2622" t="str">
        <f>"NEDD8-conjugating enzyme Ubc12"</f>
        <v>NEDD8-conjugating enzyme Ubc12</v>
      </c>
      <c r="K2622" t="str">
        <f>"UBE2M"</f>
        <v>UBE2M</v>
      </c>
    </row>
    <row r="2623" spans="1:11" x14ac:dyDescent="0.25">
      <c r="A2623" s="1">
        <v>228</v>
      </c>
      <c r="B2623" s="1">
        <v>2</v>
      </c>
      <c r="C2623" s="1" t="s">
        <v>5</v>
      </c>
      <c r="D2623" s="1">
        <v>7</v>
      </c>
      <c r="E2623" s="1">
        <v>52.576000000000001</v>
      </c>
      <c r="F2623" s="1">
        <v>0.53933500000000001</v>
      </c>
      <c r="G2623" t="s">
        <v>4134</v>
      </c>
      <c r="H2623" t="s">
        <v>495</v>
      </c>
      <c r="I2623">
        <v>77</v>
      </c>
      <c r="J2623" t="str">
        <f>"Proteasome subunit alpha type-2"</f>
        <v>Proteasome subunit alpha type-2</v>
      </c>
      <c r="K2623" t="str">
        <f>"PSMA2"</f>
        <v>PSMA2</v>
      </c>
    </row>
    <row r="2624" spans="1:11" x14ac:dyDescent="0.25">
      <c r="A2624" s="1">
        <v>2214</v>
      </c>
      <c r="B2624" s="1">
        <v>2</v>
      </c>
      <c r="C2624" s="1" t="s">
        <v>3</v>
      </c>
      <c r="D2624" s="1">
        <v>3</v>
      </c>
      <c r="E2624" s="1">
        <v>51.725999999999999</v>
      </c>
      <c r="F2624" s="1">
        <v>0.95353600000000005</v>
      </c>
      <c r="G2624" t="s">
        <v>4135</v>
      </c>
      <c r="H2624" t="s">
        <v>3905</v>
      </c>
      <c r="I2624" t="s">
        <v>6047</v>
      </c>
      <c r="J2624" t="str">
        <f>"Triosephosphate isomerase"</f>
        <v>Triosephosphate isomerase</v>
      </c>
      <c r="K2624" t="str">
        <f>"TPI1"</f>
        <v>TPI1</v>
      </c>
    </row>
    <row r="2625" spans="1:11" x14ac:dyDescent="0.25">
      <c r="A2625" s="1">
        <v>2701</v>
      </c>
      <c r="B2625" s="1">
        <v>2</v>
      </c>
      <c r="C2625" s="1" t="s">
        <v>3</v>
      </c>
      <c r="D2625" s="1">
        <v>3</v>
      </c>
      <c r="E2625" s="1">
        <v>44.317999999999998</v>
      </c>
      <c r="F2625" s="1">
        <v>1</v>
      </c>
      <c r="G2625" t="s">
        <v>4136</v>
      </c>
      <c r="H2625" t="s">
        <v>4137</v>
      </c>
      <c r="I2625" t="s">
        <v>6048</v>
      </c>
      <c r="J2625" t="str">
        <f>"Lymphocyte transmembrane adapter 1"</f>
        <v>Lymphocyte transmembrane adapter 1</v>
      </c>
      <c r="K2625" t="str">
        <f>"LAX1"</f>
        <v>LAX1</v>
      </c>
    </row>
    <row r="2626" spans="1:11" x14ac:dyDescent="0.25">
      <c r="A2626" s="1">
        <v>2818</v>
      </c>
      <c r="B2626" s="1">
        <v>2</v>
      </c>
      <c r="C2626" s="1" t="s">
        <v>3</v>
      </c>
      <c r="D2626" s="1">
        <v>11</v>
      </c>
      <c r="E2626" s="1">
        <v>56.514000000000003</v>
      </c>
      <c r="F2626" s="1">
        <v>0.99995900000000004</v>
      </c>
      <c r="G2626" t="s">
        <v>4138</v>
      </c>
      <c r="H2626" t="s">
        <v>4139</v>
      </c>
      <c r="I2626" t="s">
        <v>6049</v>
      </c>
      <c r="J2626" t="str">
        <f>"Rho guanine nucleotide exchange factor 2"</f>
        <v>Rho guanine nucleotide exchange factor 2</v>
      </c>
      <c r="K2626" t="str">
        <f>"ARHGEF2"</f>
        <v>ARHGEF2</v>
      </c>
    </row>
    <row r="2627" spans="1:11" x14ac:dyDescent="0.25">
      <c r="A2627" s="1">
        <v>2566</v>
      </c>
      <c r="B2627" s="1">
        <v>3</v>
      </c>
      <c r="C2627" s="1" t="s">
        <v>3</v>
      </c>
      <c r="D2627" s="1">
        <v>10</v>
      </c>
      <c r="E2627" s="1">
        <v>53.237000000000002</v>
      </c>
      <c r="F2627" s="1">
        <v>0.99987999999999999</v>
      </c>
      <c r="G2627" t="s">
        <v>4140</v>
      </c>
      <c r="H2627" t="s">
        <v>3393</v>
      </c>
      <c r="I2627" t="s">
        <v>6050</v>
      </c>
      <c r="J2627" t="str">
        <f>"1-phosphatidylinositol 4,5-bisphosphate phosphodiesterase eta-1"</f>
        <v>1-phosphatidylinositol 4,5-bisphosphate phosphodiesterase eta-1</v>
      </c>
      <c r="K2627" t="str">
        <f>"PLCH1"</f>
        <v>PLCH1</v>
      </c>
    </row>
    <row r="2628" spans="1:11" x14ac:dyDescent="0.25">
      <c r="A2628" s="1">
        <v>1891</v>
      </c>
      <c r="B2628" s="1">
        <v>2</v>
      </c>
      <c r="C2628" s="1" t="s">
        <v>3</v>
      </c>
      <c r="D2628" s="1">
        <v>3</v>
      </c>
      <c r="E2628" s="1">
        <v>43.808</v>
      </c>
      <c r="F2628" s="1">
        <v>0.97836599999999996</v>
      </c>
      <c r="G2628" t="s">
        <v>4141</v>
      </c>
      <c r="H2628" t="s">
        <v>4142</v>
      </c>
      <c r="I2628" t="s">
        <v>6051</v>
      </c>
      <c r="J2628" t="str">
        <f>"Heterogeneous nuclear ribonucleoproteins A2/B1"</f>
        <v>Heterogeneous nuclear ribonucleoproteins A2/B1</v>
      </c>
      <c r="K2628" t="str">
        <f>"HNRNPA2B1"</f>
        <v>HNRNPA2B1</v>
      </c>
    </row>
    <row r="2629" spans="1:11" x14ac:dyDescent="0.25">
      <c r="A2629" s="1">
        <v>3166</v>
      </c>
      <c r="B2629" s="1">
        <v>2</v>
      </c>
      <c r="C2629" s="1" t="s">
        <v>3</v>
      </c>
      <c r="D2629" s="1">
        <v>1</v>
      </c>
      <c r="E2629" s="1">
        <v>59.908000000000001</v>
      </c>
      <c r="F2629" s="1">
        <v>0.99999800000000005</v>
      </c>
      <c r="G2629" t="s">
        <v>4143</v>
      </c>
      <c r="H2629" t="s">
        <v>3696</v>
      </c>
      <c r="I2629">
        <v>212</v>
      </c>
      <c r="J2629" t="str">
        <f>"Calpain-6"</f>
        <v>Calpain-6</v>
      </c>
      <c r="K2629" t="str">
        <f>"CAPN6"</f>
        <v>CAPN6</v>
      </c>
    </row>
    <row r="2630" spans="1:11" x14ac:dyDescent="0.25">
      <c r="A2630" s="1">
        <v>1997</v>
      </c>
      <c r="B2630" s="1">
        <v>3</v>
      </c>
      <c r="C2630" s="1" t="s">
        <v>3</v>
      </c>
      <c r="D2630" s="1">
        <v>12</v>
      </c>
      <c r="E2630" s="1">
        <v>41.088000000000001</v>
      </c>
      <c r="F2630" s="1">
        <v>0.78292399999999995</v>
      </c>
      <c r="G2630" t="s">
        <v>4144</v>
      </c>
      <c r="H2630" t="s">
        <v>4145</v>
      </c>
      <c r="I2630" t="s">
        <v>6052</v>
      </c>
      <c r="J2630" t="str">
        <f>"Tyrosine-protein phosphatase non-receptor type 7"</f>
        <v>Tyrosine-protein phosphatase non-receptor type 7</v>
      </c>
      <c r="K2630" t="str">
        <f>"PTPN7"</f>
        <v>PTPN7</v>
      </c>
    </row>
    <row r="2631" spans="1:11" x14ac:dyDescent="0.25">
      <c r="A2631" s="1">
        <v>491</v>
      </c>
      <c r="B2631" s="1">
        <v>2</v>
      </c>
      <c r="C2631" s="1" t="s">
        <v>4</v>
      </c>
      <c r="D2631" s="1">
        <v>7</v>
      </c>
      <c r="E2631" s="1">
        <v>43.308</v>
      </c>
      <c r="F2631" s="1">
        <v>0.59690500000000002</v>
      </c>
      <c r="G2631" t="s">
        <v>4146</v>
      </c>
      <c r="H2631" t="s">
        <v>3732</v>
      </c>
      <c r="I2631" t="s">
        <v>6053</v>
      </c>
      <c r="J2631" t="str">
        <f>"Gamma-adducin"</f>
        <v>Gamma-adducin</v>
      </c>
      <c r="K2631" t="str">
        <f>"ADD3"</f>
        <v>ADD3</v>
      </c>
    </row>
    <row r="2632" spans="1:11" x14ac:dyDescent="0.25">
      <c r="A2632" s="1">
        <v>876</v>
      </c>
      <c r="B2632" s="1">
        <v>3</v>
      </c>
      <c r="C2632" s="1" t="s">
        <v>3</v>
      </c>
      <c r="D2632" s="1">
        <v>8</v>
      </c>
      <c r="E2632" s="1">
        <v>42.317</v>
      </c>
      <c r="F2632" s="1">
        <v>0.99850000000000005</v>
      </c>
      <c r="G2632" t="s">
        <v>4147</v>
      </c>
      <c r="H2632" t="s">
        <v>4148</v>
      </c>
      <c r="I2632" t="s">
        <v>4883</v>
      </c>
      <c r="J2632" t="str">
        <f>"39S ribosomal protein L19, mitochondrial"</f>
        <v>39S ribosomal protein L19, mitochondrial</v>
      </c>
      <c r="K2632" t="str">
        <f>"MRPL19"</f>
        <v>MRPL19</v>
      </c>
    </row>
    <row r="2633" spans="1:11" x14ac:dyDescent="0.25">
      <c r="A2633" s="1">
        <v>3042</v>
      </c>
      <c r="B2633" s="1">
        <v>3</v>
      </c>
      <c r="C2633" s="1" t="s">
        <v>3</v>
      </c>
      <c r="D2633" s="1">
        <v>1</v>
      </c>
      <c r="E2633" s="1">
        <v>40.432000000000002</v>
      </c>
      <c r="F2633" s="1">
        <v>0.99977899999999997</v>
      </c>
      <c r="G2633" t="s">
        <v>4149</v>
      </c>
      <c r="H2633" t="s">
        <v>3633</v>
      </c>
      <c r="I2633">
        <v>12</v>
      </c>
      <c r="J2633" t="str">
        <f>"Tropomodulin-3"</f>
        <v>Tropomodulin-3</v>
      </c>
      <c r="K2633" t="str">
        <f>"TMOD3"</f>
        <v>TMOD3</v>
      </c>
    </row>
    <row r="2634" spans="1:11" x14ac:dyDescent="0.25">
      <c r="A2634" s="1">
        <v>2432</v>
      </c>
      <c r="B2634" s="1">
        <v>2</v>
      </c>
      <c r="C2634" s="1" t="s">
        <v>3</v>
      </c>
      <c r="D2634" s="1">
        <v>8</v>
      </c>
      <c r="E2634" s="1">
        <v>42.633000000000003</v>
      </c>
      <c r="F2634" s="1">
        <v>0.91242999999999996</v>
      </c>
      <c r="G2634" t="s">
        <v>4150</v>
      </c>
      <c r="H2634" t="s">
        <v>4151</v>
      </c>
      <c r="I2634" t="s">
        <v>6054</v>
      </c>
      <c r="J2634" t="str">
        <f>"Dynactin subunit 2"</f>
        <v>Dynactin subunit 2</v>
      </c>
      <c r="K2634" t="str">
        <f>"DCTN2"</f>
        <v>DCTN2</v>
      </c>
    </row>
    <row r="2635" spans="1:11" x14ac:dyDescent="0.25">
      <c r="A2635" s="1">
        <v>1288</v>
      </c>
      <c r="B2635" s="1">
        <v>2</v>
      </c>
      <c r="C2635" s="1" t="s">
        <v>3</v>
      </c>
      <c r="D2635" s="1">
        <v>11</v>
      </c>
      <c r="E2635" s="1">
        <v>67.646000000000001</v>
      </c>
      <c r="F2635" s="1">
        <v>0.64406600000000003</v>
      </c>
      <c r="G2635" t="s">
        <v>4152</v>
      </c>
      <c r="H2635" t="s">
        <v>4153</v>
      </c>
      <c r="I2635" t="s">
        <v>6055</v>
      </c>
      <c r="J2635" t="str">
        <f>"Nucleosome assembly protein 1-like 1"</f>
        <v>Nucleosome assembly protein 1-like 1</v>
      </c>
      <c r="K2635" t="str">
        <f>"NAP1L1"</f>
        <v>NAP1L1</v>
      </c>
    </row>
    <row r="2636" spans="1:11" x14ac:dyDescent="0.25">
      <c r="A2636" s="1">
        <v>2932</v>
      </c>
      <c r="B2636" s="1">
        <v>3</v>
      </c>
      <c r="C2636" s="1" t="s">
        <v>3</v>
      </c>
      <c r="D2636" s="1">
        <v>1</v>
      </c>
      <c r="E2636" s="1">
        <v>54.09</v>
      </c>
      <c r="F2636" s="1">
        <v>0.95380600000000004</v>
      </c>
      <c r="G2636" t="s">
        <v>4154</v>
      </c>
      <c r="H2636" t="s">
        <v>4155</v>
      </c>
      <c r="I2636" t="s">
        <v>6056</v>
      </c>
      <c r="J2636" t="str">
        <f>"Oxidoreductase HTATIP2"</f>
        <v>Oxidoreductase HTATIP2</v>
      </c>
      <c r="K2636" t="str">
        <f>"HTATIP2"</f>
        <v>HTATIP2</v>
      </c>
    </row>
    <row r="2637" spans="1:11" x14ac:dyDescent="0.25">
      <c r="A2637" s="1">
        <v>2436</v>
      </c>
      <c r="B2637" s="1">
        <v>2</v>
      </c>
      <c r="C2637" s="1" t="s">
        <v>3</v>
      </c>
      <c r="D2637" s="1">
        <v>8</v>
      </c>
      <c r="E2637" s="1">
        <v>63.624000000000002</v>
      </c>
      <c r="F2637" s="1">
        <v>0.99999899999999997</v>
      </c>
      <c r="G2637" t="s">
        <v>4156</v>
      </c>
      <c r="H2637" t="s">
        <v>4157</v>
      </c>
      <c r="I2637" t="s">
        <v>6057</v>
      </c>
      <c r="J2637" t="str">
        <f>"Sorting nexin-1"</f>
        <v>Sorting nexin-1</v>
      </c>
      <c r="K2637" t="str">
        <f>"SNX1"</f>
        <v>SNX1</v>
      </c>
    </row>
    <row r="2638" spans="1:11" x14ac:dyDescent="0.25">
      <c r="A2638" s="1">
        <v>2705</v>
      </c>
      <c r="B2638" s="1">
        <v>2</v>
      </c>
      <c r="C2638" s="1" t="s">
        <v>3</v>
      </c>
      <c r="D2638" s="1">
        <v>2</v>
      </c>
      <c r="E2638" s="1">
        <v>48.793999999999997</v>
      </c>
      <c r="F2638" s="1">
        <v>1</v>
      </c>
      <c r="G2638" t="s">
        <v>4158</v>
      </c>
      <c r="H2638" t="s">
        <v>4159</v>
      </c>
      <c r="I2638">
        <v>796</v>
      </c>
      <c r="J2638" t="str">
        <f>"DIS3-like exonuclease 2"</f>
        <v>DIS3-like exonuclease 2</v>
      </c>
      <c r="K2638" t="str">
        <f>"DIS3L2"</f>
        <v>DIS3L2</v>
      </c>
    </row>
    <row r="2639" spans="1:11" x14ac:dyDescent="0.25">
      <c r="A2639" s="1">
        <v>1846</v>
      </c>
      <c r="B2639" s="1">
        <v>3</v>
      </c>
      <c r="C2639" s="1" t="s">
        <v>3</v>
      </c>
      <c r="D2639" s="1">
        <v>4</v>
      </c>
      <c r="E2639" s="1">
        <v>58.079000000000001</v>
      </c>
      <c r="F2639" s="1">
        <v>0.99999000000000005</v>
      </c>
      <c r="G2639" t="s">
        <v>4160</v>
      </c>
      <c r="H2639" t="s">
        <v>1517</v>
      </c>
      <c r="I2639">
        <v>351</v>
      </c>
      <c r="J2639" t="str">
        <f>"Nucleolin"</f>
        <v>Nucleolin</v>
      </c>
      <c r="K2639" t="str">
        <f>"NCL"</f>
        <v>NCL</v>
      </c>
    </row>
    <row r="2640" spans="1:11" x14ac:dyDescent="0.25">
      <c r="A2640" s="1">
        <v>1443</v>
      </c>
      <c r="B2640" s="1">
        <v>3</v>
      </c>
      <c r="C2640" s="1" t="s">
        <v>3</v>
      </c>
      <c r="D2640" s="1">
        <v>10</v>
      </c>
      <c r="E2640" s="1">
        <v>45.613999999999997</v>
      </c>
      <c r="F2640" s="1">
        <v>0.98248400000000002</v>
      </c>
      <c r="G2640" t="s">
        <v>4161</v>
      </c>
      <c r="H2640" t="s">
        <v>4162</v>
      </c>
      <c r="I2640" t="s">
        <v>6058</v>
      </c>
      <c r="J2640" t="str">
        <f>"Very long-chain acyl-CoA synthetase"</f>
        <v>Very long-chain acyl-CoA synthetase</v>
      </c>
      <c r="K2640" t="str">
        <f>"SLC27A2"</f>
        <v>SLC27A2</v>
      </c>
    </row>
    <row r="2641" spans="1:11" x14ac:dyDescent="0.25">
      <c r="A2641" s="1">
        <v>1562</v>
      </c>
      <c r="B2641" s="1">
        <v>2</v>
      </c>
      <c r="C2641" s="1" t="s">
        <v>3</v>
      </c>
      <c r="D2641" s="1">
        <v>6</v>
      </c>
      <c r="E2641" s="1">
        <v>46.88</v>
      </c>
      <c r="F2641" s="1">
        <v>1</v>
      </c>
      <c r="G2641" t="s">
        <v>4163</v>
      </c>
      <c r="H2641" t="s">
        <v>4164</v>
      </c>
      <c r="I2641" t="s">
        <v>6059</v>
      </c>
      <c r="J2641" t="str">
        <f>"Actin-binding LIM protein 3"</f>
        <v>Actin-binding LIM protein 3</v>
      </c>
      <c r="K2641" t="str">
        <f>"ABLIM3"</f>
        <v>ABLIM3</v>
      </c>
    </row>
    <row r="2642" spans="1:11" x14ac:dyDescent="0.25">
      <c r="A2642" s="1">
        <v>812</v>
      </c>
      <c r="B2642" s="1">
        <v>2</v>
      </c>
      <c r="C2642" s="1" t="s">
        <v>3</v>
      </c>
      <c r="D2642" s="1">
        <v>13</v>
      </c>
      <c r="E2642" s="1">
        <v>51.771000000000001</v>
      </c>
      <c r="F2642" s="1">
        <v>0.80427400000000004</v>
      </c>
      <c r="G2642" t="s">
        <v>4165</v>
      </c>
      <c r="H2642" t="s">
        <v>4166</v>
      </c>
      <c r="I2642" t="s">
        <v>6060</v>
      </c>
      <c r="J2642" t="str">
        <f>"Extended synaptotagmin-2"</f>
        <v>Extended synaptotagmin-2</v>
      </c>
      <c r="K2642" t="str">
        <f>"ESYT2"</f>
        <v>ESYT2</v>
      </c>
    </row>
    <row r="2643" spans="1:11" x14ac:dyDescent="0.25">
      <c r="A2643" s="1">
        <v>2999</v>
      </c>
      <c r="B2643" s="1">
        <v>2</v>
      </c>
      <c r="C2643" s="1" t="s">
        <v>3</v>
      </c>
      <c r="D2643" s="1">
        <v>5</v>
      </c>
      <c r="E2643" s="1">
        <v>50.088000000000001</v>
      </c>
      <c r="F2643" s="1">
        <v>0.77293000000000001</v>
      </c>
      <c r="G2643" t="s">
        <v>4167</v>
      </c>
      <c r="H2643" t="s">
        <v>4168</v>
      </c>
      <c r="I2643" t="s">
        <v>6061</v>
      </c>
      <c r="J2643" t="str">
        <f>"Cas scaffolding protein family member 4"</f>
        <v>Cas scaffolding protein family member 4</v>
      </c>
      <c r="K2643" t="str">
        <f>"CASS4"</f>
        <v>CASS4</v>
      </c>
    </row>
    <row r="2644" spans="1:11" x14ac:dyDescent="0.25">
      <c r="A2644" s="1">
        <v>1466</v>
      </c>
      <c r="B2644" s="1">
        <v>3</v>
      </c>
      <c r="C2644" s="1" t="s">
        <v>3</v>
      </c>
      <c r="D2644" s="1">
        <v>10</v>
      </c>
      <c r="E2644" s="1">
        <v>61.265000000000001</v>
      </c>
      <c r="F2644" s="1">
        <v>0.99931400000000004</v>
      </c>
      <c r="G2644" t="s">
        <v>4169</v>
      </c>
      <c r="H2644" t="s">
        <v>2359</v>
      </c>
      <c r="I2644">
        <v>645</v>
      </c>
      <c r="J2644" t="str">
        <f>"Putative pre-mRNA-splicing factor ATP-dependent RNA helicase DHX15"</f>
        <v>Putative pre-mRNA-splicing factor ATP-dependent RNA helicase DHX15</v>
      </c>
      <c r="K2644" t="str">
        <f>"DHX15"</f>
        <v>DHX15</v>
      </c>
    </row>
    <row r="2645" spans="1:11" x14ac:dyDescent="0.25">
      <c r="A2645" s="1">
        <v>2959</v>
      </c>
      <c r="B2645" s="1">
        <v>3</v>
      </c>
      <c r="C2645" s="1" t="s">
        <v>3</v>
      </c>
      <c r="D2645" s="1">
        <v>4</v>
      </c>
      <c r="E2645" s="1">
        <v>45.433</v>
      </c>
      <c r="F2645" s="1">
        <v>1</v>
      </c>
      <c r="G2645" t="s">
        <v>4170</v>
      </c>
      <c r="H2645" t="s">
        <v>3688</v>
      </c>
      <c r="I2645" t="s">
        <v>4235</v>
      </c>
      <c r="J2645" t="str">
        <f>"Protein SMG9"</f>
        <v>Protein SMG9</v>
      </c>
      <c r="K2645" t="str">
        <f>"SMG9"</f>
        <v>SMG9</v>
      </c>
    </row>
    <row r="2646" spans="1:11" x14ac:dyDescent="0.25">
      <c r="A2646" s="1">
        <v>1608</v>
      </c>
      <c r="B2646" s="1">
        <v>2</v>
      </c>
      <c r="C2646" s="1" t="s">
        <v>3</v>
      </c>
      <c r="D2646" s="1">
        <v>1</v>
      </c>
      <c r="E2646" s="1">
        <v>41.875999999999998</v>
      </c>
      <c r="F2646" s="1">
        <v>0.99989600000000001</v>
      </c>
      <c r="G2646" t="s">
        <v>4171</v>
      </c>
      <c r="H2646" t="s">
        <v>4172</v>
      </c>
      <c r="I2646" t="s">
        <v>6062</v>
      </c>
      <c r="J2646" t="str">
        <f>"Band 3 anion transport protein"</f>
        <v>Band 3 anion transport protein</v>
      </c>
      <c r="K2646" t="str">
        <f>"SLC4A1"</f>
        <v>SLC4A1</v>
      </c>
    </row>
    <row r="2647" spans="1:11" x14ac:dyDescent="0.25">
      <c r="A2647" s="1">
        <v>2047</v>
      </c>
      <c r="B2647" s="1">
        <v>3</v>
      </c>
      <c r="C2647" s="1" t="s">
        <v>3</v>
      </c>
      <c r="D2647" s="1">
        <v>7</v>
      </c>
      <c r="E2647" s="1">
        <v>48.899000000000001</v>
      </c>
      <c r="F2647" s="1">
        <v>0.99916499999999997</v>
      </c>
      <c r="G2647" t="s">
        <v>4173</v>
      </c>
      <c r="H2647" t="s">
        <v>528</v>
      </c>
      <c r="I2647" t="s">
        <v>6063</v>
      </c>
      <c r="J2647" t="str">
        <f>"Tyrosine-protein kinase FRK"</f>
        <v>Tyrosine-protein kinase FRK</v>
      </c>
      <c r="K2647" t="str">
        <f>"FRK"</f>
        <v>FRK</v>
      </c>
    </row>
    <row r="2648" spans="1:11" x14ac:dyDescent="0.25">
      <c r="A2648" s="1">
        <v>1336</v>
      </c>
      <c r="B2648" s="1">
        <v>2</v>
      </c>
      <c r="C2648" s="1" t="s">
        <v>3</v>
      </c>
      <c r="D2648" s="1">
        <v>2</v>
      </c>
      <c r="E2648" s="1">
        <v>52.481999999999999</v>
      </c>
      <c r="F2648" s="1">
        <v>0.99998200000000004</v>
      </c>
      <c r="G2648" t="s">
        <v>4174</v>
      </c>
      <c r="H2648" t="s">
        <v>4175</v>
      </c>
      <c r="I2648">
        <v>640</v>
      </c>
      <c r="J2648" t="str">
        <f>""</f>
        <v/>
      </c>
      <c r="K2648" t="str">
        <f>"CPSF3"</f>
        <v>CPSF3</v>
      </c>
    </row>
    <row r="2649" spans="1:11" x14ac:dyDescent="0.25">
      <c r="A2649" s="1">
        <v>3136</v>
      </c>
      <c r="B2649" s="1">
        <v>2</v>
      </c>
      <c r="C2649" s="1" t="s">
        <v>3</v>
      </c>
      <c r="D2649" s="1">
        <v>7</v>
      </c>
      <c r="E2649" s="1">
        <v>54.981999999999999</v>
      </c>
      <c r="F2649" s="1">
        <v>1</v>
      </c>
      <c r="G2649" t="s">
        <v>4176</v>
      </c>
      <c r="H2649" t="s">
        <v>209</v>
      </c>
      <c r="I2649">
        <v>270</v>
      </c>
      <c r="J2649" t="str">
        <f>"Talin-1"</f>
        <v>Talin-1</v>
      </c>
      <c r="K2649" t="str">
        <f>"TLN1"</f>
        <v>TLN1</v>
      </c>
    </row>
    <row r="2650" spans="1:11" x14ac:dyDescent="0.25">
      <c r="A2650" s="1">
        <v>367</v>
      </c>
      <c r="B2650" s="1">
        <v>2</v>
      </c>
      <c r="C2650" s="1" t="s">
        <v>5</v>
      </c>
      <c r="D2650" s="1">
        <v>5</v>
      </c>
      <c r="E2650" s="1">
        <v>60.91</v>
      </c>
      <c r="F2650" s="1">
        <v>0.55500000000000005</v>
      </c>
      <c r="G2650" t="s">
        <v>4177</v>
      </c>
      <c r="H2650" t="s">
        <v>1825</v>
      </c>
      <c r="I2650" t="s">
        <v>6064</v>
      </c>
      <c r="J2650" t="str">
        <f>"Protein AHNAK2"</f>
        <v>Protein AHNAK2</v>
      </c>
      <c r="K2650" t="str">
        <f>"AHNAK2"</f>
        <v>AHNAK2</v>
      </c>
    </row>
    <row r="2651" spans="1:11" x14ac:dyDescent="0.25">
      <c r="A2651" s="1">
        <v>3158</v>
      </c>
      <c r="B2651" s="1">
        <v>3</v>
      </c>
      <c r="C2651" s="1" t="s">
        <v>3</v>
      </c>
      <c r="D2651" s="1">
        <v>6</v>
      </c>
      <c r="E2651" s="1">
        <v>42.122999999999998</v>
      </c>
      <c r="F2651" s="1">
        <v>0.96886300000000003</v>
      </c>
      <c r="G2651" t="s">
        <v>4178</v>
      </c>
      <c r="H2651" t="s">
        <v>3366</v>
      </c>
      <c r="I2651" t="s">
        <v>6065</v>
      </c>
      <c r="J2651" t="str">
        <f>"Melanoma-associated antigen D1"</f>
        <v>Melanoma-associated antigen D1</v>
      </c>
      <c r="K2651" t="str">
        <f>"MAGED1"</f>
        <v>MAGED1</v>
      </c>
    </row>
    <row r="2652" spans="1:11" x14ac:dyDescent="0.25">
      <c r="A2652" s="1">
        <v>1257</v>
      </c>
      <c r="B2652" s="1">
        <v>3</v>
      </c>
      <c r="C2652" s="1" t="s">
        <v>3</v>
      </c>
      <c r="D2652" s="1">
        <v>12</v>
      </c>
      <c r="E2652" s="1">
        <v>45.347000000000001</v>
      </c>
      <c r="F2652" s="1">
        <v>0.90991699999999998</v>
      </c>
      <c r="G2652" t="s">
        <v>4179</v>
      </c>
      <c r="H2652" t="s">
        <v>4180</v>
      </c>
      <c r="I2652" t="s">
        <v>6066</v>
      </c>
      <c r="J2652" t="str">
        <f>"Pyruvate carboxylase, mitochondrial"</f>
        <v>Pyruvate carboxylase, mitochondrial</v>
      </c>
      <c r="K2652" t="str">
        <f>"PC"</f>
        <v>PC</v>
      </c>
    </row>
    <row r="2653" spans="1:11" x14ac:dyDescent="0.25">
      <c r="A2653" s="1">
        <v>1232</v>
      </c>
      <c r="B2653" s="1">
        <v>3</v>
      </c>
      <c r="C2653" s="1" t="s">
        <v>3</v>
      </c>
      <c r="D2653" s="1">
        <v>4</v>
      </c>
      <c r="E2653" s="1">
        <v>48.981000000000002</v>
      </c>
      <c r="F2653" s="1">
        <v>0.94167199999999995</v>
      </c>
      <c r="G2653" t="s">
        <v>4181</v>
      </c>
      <c r="H2653" t="s">
        <v>3995</v>
      </c>
      <c r="I2653" t="s">
        <v>6067</v>
      </c>
      <c r="J2653" t="str">
        <f>"Ribosomal protein S6 kinase;Ribosomal protein S6 kinase alpha-1"</f>
        <v>Ribosomal protein S6 kinase;Ribosomal protein S6 kinase alpha-1</v>
      </c>
      <c r="K2653" t="str">
        <f>"RPS6KA1"</f>
        <v>RPS6KA1</v>
      </c>
    </row>
    <row r="2654" spans="1:11" x14ac:dyDescent="0.25">
      <c r="A2654" s="1">
        <v>710</v>
      </c>
      <c r="B2654" s="1">
        <v>2</v>
      </c>
      <c r="C2654" s="1" t="s">
        <v>4</v>
      </c>
      <c r="D2654" s="1">
        <v>2</v>
      </c>
      <c r="E2654" s="1">
        <v>56.29</v>
      </c>
      <c r="F2654" s="1">
        <v>0.53184100000000001</v>
      </c>
      <c r="G2654" t="s">
        <v>4182</v>
      </c>
      <c r="H2654" t="s">
        <v>162</v>
      </c>
      <c r="I2654" t="s">
        <v>6068</v>
      </c>
      <c r="J2654" t="str">
        <f>"Caskin-2"</f>
        <v>Caskin-2</v>
      </c>
      <c r="K2654" t="str">
        <f>"CASKIN2"</f>
        <v>CASKIN2</v>
      </c>
    </row>
    <row r="2655" spans="1:11" x14ac:dyDescent="0.25">
      <c r="A2655" s="1">
        <v>244</v>
      </c>
      <c r="B2655" s="1">
        <v>2</v>
      </c>
      <c r="C2655" s="1" t="s">
        <v>5</v>
      </c>
      <c r="D2655" s="1">
        <v>8</v>
      </c>
      <c r="E2655" s="1">
        <v>54.981999999999999</v>
      </c>
      <c r="F2655" s="1">
        <v>0.57006900000000005</v>
      </c>
      <c r="G2655" t="s">
        <v>4183</v>
      </c>
      <c r="H2655" t="s">
        <v>3606</v>
      </c>
      <c r="I2655">
        <v>16</v>
      </c>
      <c r="J2655" t="str">
        <f>"Ubiquitin-like modifier-activating enzyme 7"</f>
        <v>Ubiquitin-like modifier-activating enzyme 7</v>
      </c>
      <c r="K2655" t="str">
        <f>"UBA7"</f>
        <v>UBA7</v>
      </c>
    </row>
    <row r="2656" spans="1:11" x14ac:dyDescent="0.25">
      <c r="A2656" s="1">
        <v>201</v>
      </c>
      <c r="B2656" s="1">
        <v>2</v>
      </c>
      <c r="C2656" s="1" t="s">
        <v>5</v>
      </c>
      <c r="D2656" s="1">
        <v>9</v>
      </c>
      <c r="E2656" s="1">
        <v>51.286000000000001</v>
      </c>
      <c r="F2656" s="1">
        <v>0.59050899999999995</v>
      </c>
      <c r="G2656" t="s">
        <v>4184</v>
      </c>
      <c r="H2656" t="s">
        <v>2632</v>
      </c>
      <c r="I2656">
        <v>571</v>
      </c>
      <c r="J2656" t="str">
        <f>"78 kDa glucose-regulated protein"</f>
        <v>78 kDa glucose-regulated protein</v>
      </c>
      <c r="K2656" t="str">
        <f>"HSPA5"</f>
        <v>HSPA5</v>
      </c>
    </row>
    <row r="2657" spans="1:11" x14ac:dyDescent="0.25">
      <c r="A2657" s="1">
        <v>636</v>
      </c>
      <c r="B2657" s="1">
        <v>2</v>
      </c>
      <c r="C2657" s="1" t="s">
        <v>4</v>
      </c>
      <c r="D2657" s="1">
        <v>9</v>
      </c>
      <c r="E2657" s="1">
        <v>40.496000000000002</v>
      </c>
      <c r="F2657" s="1">
        <v>0.54998499999999995</v>
      </c>
      <c r="G2657" t="s">
        <v>4185</v>
      </c>
      <c r="H2657" t="s">
        <v>1084</v>
      </c>
      <c r="I2657" t="s">
        <v>6069</v>
      </c>
      <c r="J2657" t="str">
        <f>"Coatomer subunit alpha;Xenin;Proxenin"</f>
        <v>Coatomer subunit alpha;Xenin;Proxenin</v>
      </c>
      <c r="K2657" t="str">
        <f>"COPA"</f>
        <v>COPA</v>
      </c>
    </row>
    <row r="2658" spans="1:11" x14ac:dyDescent="0.25">
      <c r="A2658" s="1">
        <v>1538</v>
      </c>
      <c r="B2658" s="1">
        <v>2</v>
      </c>
      <c r="C2658" s="1" t="s">
        <v>3</v>
      </c>
      <c r="D2658" s="1">
        <v>1</v>
      </c>
      <c r="E2658" s="1">
        <v>61.161000000000001</v>
      </c>
      <c r="F2658" s="1">
        <v>1</v>
      </c>
      <c r="G2658" t="s">
        <v>4186</v>
      </c>
      <c r="H2658" t="s">
        <v>4187</v>
      </c>
      <c r="I2658" t="s">
        <v>6070</v>
      </c>
      <c r="J2658" t="str">
        <f>"Serpin B7"</f>
        <v>Serpin B7</v>
      </c>
      <c r="K2658" t="str">
        <f>"SERPINB7"</f>
        <v>SERPINB7</v>
      </c>
    </row>
    <row r="2659" spans="1:11" x14ac:dyDescent="0.25">
      <c r="A2659" s="1">
        <v>2658</v>
      </c>
      <c r="B2659" s="1">
        <v>2</v>
      </c>
      <c r="C2659" s="1" t="s">
        <v>3</v>
      </c>
      <c r="D2659" s="1">
        <v>3</v>
      </c>
      <c r="E2659" s="1">
        <v>48.567999999999998</v>
      </c>
      <c r="F2659" s="1">
        <v>0.946071</v>
      </c>
      <c r="G2659" t="s">
        <v>4188</v>
      </c>
      <c r="H2659" t="s">
        <v>4189</v>
      </c>
      <c r="I2659">
        <v>569</v>
      </c>
      <c r="J2659" t="str">
        <f>"Leucine-rich repeat-containing protein 70"</f>
        <v>Leucine-rich repeat-containing protein 70</v>
      </c>
      <c r="K2659" t="str">
        <f>"LRRC70"</f>
        <v>LRRC70</v>
      </c>
    </row>
    <row r="2660" spans="1:11" x14ac:dyDescent="0.25">
      <c r="A2660" s="1">
        <v>490</v>
      </c>
      <c r="B2660" s="1">
        <v>4</v>
      </c>
      <c r="C2660" s="1" t="s">
        <v>4</v>
      </c>
      <c r="D2660" s="1">
        <v>12</v>
      </c>
      <c r="E2660" s="1">
        <v>58.712000000000003</v>
      </c>
      <c r="F2660" s="1">
        <v>0.53374600000000005</v>
      </c>
      <c r="G2660" t="s">
        <v>4190</v>
      </c>
      <c r="H2660" t="s">
        <v>2230</v>
      </c>
      <c r="I2660" t="s">
        <v>6071</v>
      </c>
      <c r="J2660" t="str">
        <f>"Putative RNA-binding protein 15"</f>
        <v>Putative RNA-binding protein 15</v>
      </c>
      <c r="K2660" t="str">
        <f>"RBM15"</f>
        <v>RBM15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opLeftCell="A25" workbookViewId="0">
      <selection activeCell="C14" sqref="C14"/>
    </sheetView>
  </sheetViews>
  <sheetFormatPr defaultRowHeight="23.1" customHeight="1" x14ac:dyDescent="0.25"/>
  <cols>
    <col min="1" max="1" width="30.7109375" customWidth="1"/>
    <col min="2" max="2" width="38.140625" customWidth="1"/>
    <col min="3" max="4" width="40.7109375" customWidth="1"/>
  </cols>
  <sheetData>
    <row r="1" spans="1:5" ht="23.1" customHeight="1" x14ac:dyDescent="0.25">
      <c r="A1" s="8" t="s">
        <v>6074</v>
      </c>
      <c r="B1" s="8" t="s">
        <v>6075</v>
      </c>
      <c r="C1" s="8" t="s">
        <v>6076</v>
      </c>
      <c r="D1" s="9" t="s">
        <v>6077</v>
      </c>
    </row>
    <row r="2" spans="1:5" ht="23.1" customHeight="1" x14ac:dyDescent="0.35">
      <c r="A2" s="10" t="s">
        <v>6078</v>
      </c>
      <c r="B2" s="15" t="s">
        <v>6079</v>
      </c>
      <c r="C2" s="12" t="s">
        <v>6080</v>
      </c>
      <c r="D2" s="13" t="s">
        <v>6081</v>
      </c>
    </row>
    <row r="3" spans="1:5" ht="23.1" customHeight="1" x14ac:dyDescent="0.35">
      <c r="A3" s="10" t="s">
        <v>6082</v>
      </c>
      <c r="B3" s="15" t="s">
        <v>6079</v>
      </c>
      <c r="C3" s="12" t="s">
        <v>6080</v>
      </c>
      <c r="D3" s="13" t="s">
        <v>6083</v>
      </c>
      <c r="E3" s="14" t="s">
        <v>6145</v>
      </c>
    </row>
    <row r="4" spans="1:5" ht="23.1" customHeight="1" x14ac:dyDescent="0.35">
      <c r="A4" s="10" t="s">
        <v>6084</v>
      </c>
      <c r="B4" s="15" t="s">
        <v>6079</v>
      </c>
      <c r="C4" s="12" t="s">
        <v>6080</v>
      </c>
      <c r="D4" s="13" t="s">
        <v>6085</v>
      </c>
    </row>
    <row r="5" spans="1:5" ht="23.1" customHeight="1" x14ac:dyDescent="0.35">
      <c r="A5" s="10" t="s">
        <v>6086</v>
      </c>
      <c r="B5" s="15" t="s">
        <v>6079</v>
      </c>
      <c r="C5" s="12" t="s">
        <v>6080</v>
      </c>
      <c r="D5" s="13" t="s">
        <v>6087</v>
      </c>
      <c r="E5" t="s">
        <v>6143</v>
      </c>
    </row>
    <row r="6" spans="1:5" ht="23.1" customHeight="1" x14ac:dyDescent="0.35">
      <c r="A6" s="10" t="s">
        <v>6088</v>
      </c>
      <c r="B6" s="15" t="s">
        <v>6079</v>
      </c>
      <c r="C6" s="12" t="s">
        <v>6080</v>
      </c>
      <c r="D6" s="13" t="s">
        <v>6089</v>
      </c>
      <c r="E6" t="s">
        <v>6143</v>
      </c>
    </row>
    <row r="7" spans="1:5" ht="23.1" customHeight="1" x14ac:dyDescent="0.35">
      <c r="A7" s="10" t="s">
        <v>6090</v>
      </c>
      <c r="B7" s="15" t="s">
        <v>6079</v>
      </c>
      <c r="C7" s="12" t="s">
        <v>6080</v>
      </c>
      <c r="D7" s="13" t="s">
        <v>6091</v>
      </c>
    </row>
    <row r="8" spans="1:5" ht="23.1" customHeight="1" x14ac:dyDescent="0.35">
      <c r="A8" s="10" t="s">
        <v>6092</v>
      </c>
      <c r="B8" s="15" t="s">
        <v>6079</v>
      </c>
      <c r="C8" s="12" t="s">
        <v>6093</v>
      </c>
      <c r="D8" s="13" t="s">
        <v>6094</v>
      </c>
    </row>
    <row r="9" spans="1:5" ht="23.1" customHeight="1" x14ac:dyDescent="0.35">
      <c r="A9" s="10" t="s">
        <v>6095</v>
      </c>
      <c r="B9" s="15" t="s">
        <v>6079</v>
      </c>
      <c r="C9" s="12" t="s">
        <v>6093</v>
      </c>
      <c r="D9" s="13" t="s">
        <v>6096</v>
      </c>
    </row>
    <row r="10" spans="1:5" ht="23.1" customHeight="1" x14ac:dyDescent="0.35">
      <c r="A10" s="10" t="s">
        <v>6097</v>
      </c>
      <c r="B10" s="15" t="s">
        <v>6098</v>
      </c>
      <c r="C10" s="12" t="s">
        <v>6099</v>
      </c>
      <c r="D10" s="13" t="s">
        <v>6100</v>
      </c>
    </row>
    <row r="11" spans="1:5" ht="23.1" customHeight="1" x14ac:dyDescent="0.35">
      <c r="A11" s="10" t="s">
        <v>6101</v>
      </c>
      <c r="B11" s="15" t="s">
        <v>6102</v>
      </c>
      <c r="C11" s="12" t="s">
        <v>6099</v>
      </c>
      <c r="D11" s="13" t="s">
        <v>6103</v>
      </c>
    </row>
    <row r="12" spans="1:5" ht="23.1" customHeight="1" x14ac:dyDescent="0.35">
      <c r="A12" s="10" t="s">
        <v>6104</v>
      </c>
      <c r="B12" s="15" t="s">
        <v>6079</v>
      </c>
      <c r="C12" s="12" t="s">
        <v>6080</v>
      </c>
      <c r="D12" s="13" t="s">
        <v>6105</v>
      </c>
    </row>
    <row r="13" spans="1:5" ht="23.1" customHeight="1" x14ac:dyDescent="0.35">
      <c r="A13" s="10" t="s">
        <v>6106</v>
      </c>
      <c r="B13" s="15" t="s">
        <v>6079</v>
      </c>
      <c r="C13" s="12" t="s">
        <v>6080</v>
      </c>
      <c r="D13" s="13" t="s">
        <v>6107</v>
      </c>
    </row>
    <row r="14" spans="1:5" ht="23.1" customHeight="1" x14ac:dyDescent="0.35">
      <c r="A14" s="10" t="s">
        <v>6108</v>
      </c>
      <c r="B14" s="15" t="s">
        <v>6079</v>
      </c>
      <c r="C14" s="12" t="s">
        <v>6080</v>
      </c>
      <c r="D14" s="13" t="s">
        <v>6109</v>
      </c>
    </row>
    <row r="15" spans="1:5" ht="23.1" customHeight="1" x14ac:dyDescent="0.35">
      <c r="A15" s="10" t="s">
        <v>6110</v>
      </c>
      <c r="B15" s="15" t="s">
        <v>6079</v>
      </c>
      <c r="C15" s="12" t="s">
        <v>6080</v>
      </c>
      <c r="D15" s="13" t="s">
        <v>6111</v>
      </c>
    </row>
    <row r="16" spans="1:5" ht="23.1" customHeight="1" x14ac:dyDescent="0.35">
      <c r="A16" s="10" t="s">
        <v>6112</v>
      </c>
      <c r="B16" s="15" t="s">
        <v>6079</v>
      </c>
      <c r="C16" s="12" t="s">
        <v>6080</v>
      </c>
      <c r="D16" s="13" t="s">
        <v>6113</v>
      </c>
    </row>
    <row r="17" spans="1:4" ht="23.1" customHeight="1" x14ac:dyDescent="0.35">
      <c r="A17" s="10" t="s">
        <v>6114</v>
      </c>
      <c r="B17" s="15" t="s">
        <v>6079</v>
      </c>
      <c r="C17" s="12" t="s">
        <v>6080</v>
      </c>
      <c r="D17" s="13" t="s">
        <v>6115</v>
      </c>
    </row>
    <row r="18" spans="1:4" ht="23.1" customHeight="1" x14ac:dyDescent="0.35">
      <c r="A18" s="10" t="s">
        <v>6116</v>
      </c>
      <c r="B18" s="15" t="s">
        <v>6079</v>
      </c>
      <c r="C18" s="12" t="s">
        <v>6093</v>
      </c>
      <c r="D18" s="13" t="s">
        <v>6117</v>
      </c>
    </row>
    <row r="19" spans="1:4" ht="23.1" customHeight="1" x14ac:dyDescent="0.35">
      <c r="A19" s="10" t="s">
        <v>6118</v>
      </c>
      <c r="B19" s="15" t="s">
        <v>6079</v>
      </c>
      <c r="C19" s="12" t="s">
        <v>6093</v>
      </c>
      <c r="D19" s="13" t="s">
        <v>6119</v>
      </c>
    </row>
    <row r="20" spans="1:4" ht="23.1" customHeight="1" x14ac:dyDescent="0.35">
      <c r="A20" s="10" t="s">
        <v>6120</v>
      </c>
      <c r="B20" s="15" t="s">
        <v>6079</v>
      </c>
      <c r="C20" s="12" t="s">
        <v>6121</v>
      </c>
      <c r="D20" s="13" t="s">
        <v>5</v>
      </c>
    </row>
    <row r="21" spans="1:4" ht="23.1" customHeight="1" x14ac:dyDescent="0.35">
      <c r="A21" s="10" t="s">
        <v>6097</v>
      </c>
      <c r="B21" s="15" t="s">
        <v>6098</v>
      </c>
      <c r="C21" s="12" t="s">
        <v>6099</v>
      </c>
      <c r="D21" s="13" t="s">
        <v>4</v>
      </c>
    </row>
    <row r="22" spans="1:4" ht="23.1" customHeight="1" x14ac:dyDescent="0.35">
      <c r="A22" s="10" t="s">
        <v>6101</v>
      </c>
      <c r="B22" s="15" t="s">
        <v>6102</v>
      </c>
      <c r="C22" s="12" t="s">
        <v>6099</v>
      </c>
      <c r="D22" s="13" t="s">
        <v>6122</v>
      </c>
    </row>
    <row r="23" spans="1:4" ht="23.1" customHeight="1" x14ac:dyDescent="0.35">
      <c r="A23" s="10" t="s">
        <v>6123</v>
      </c>
      <c r="B23" s="15" t="s">
        <v>6079</v>
      </c>
      <c r="C23" s="12" t="s">
        <v>6080</v>
      </c>
      <c r="D23" s="13" t="s">
        <v>6124</v>
      </c>
    </row>
    <row r="24" spans="1:4" ht="23.1" customHeight="1" x14ac:dyDescent="0.35">
      <c r="A24" s="10" t="s">
        <v>6125</v>
      </c>
      <c r="B24" s="15" t="s">
        <v>6079</v>
      </c>
      <c r="C24" s="12" t="s">
        <v>6080</v>
      </c>
      <c r="D24" s="13" t="s">
        <v>6126</v>
      </c>
    </row>
    <row r="25" spans="1:4" ht="23.1" customHeight="1" x14ac:dyDescent="0.35">
      <c r="A25" s="10" t="s">
        <v>6127</v>
      </c>
      <c r="B25" s="15" t="s">
        <v>6079</v>
      </c>
      <c r="C25" s="12" t="s">
        <v>6080</v>
      </c>
      <c r="D25" s="13" t="s">
        <v>6128</v>
      </c>
    </row>
    <row r="26" spans="1:4" ht="23.1" customHeight="1" x14ac:dyDescent="0.35">
      <c r="A26" s="10" t="s">
        <v>6129</v>
      </c>
      <c r="B26" s="15" t="s">
        <v>6079</v>
      </c>
      <c r="C26" s="12" t="s">
        <v>6080</v>
      </c>
      <c r="D26" s="13" t="s">
        <v>3</v>
      </c>
    </row>
    <row r="27" spans="1:4" ht="23.1" customHeight="1" x14ac:dyDescent="0.35">
      <c r="A27" s="10" t="s">
        <v>6130</v>
      </c>
      <c r="B27" s="15" t="s">
        <v>6079</v>
      </c>
      <c r="C27" s="12" t="s">
        <v>6080</v>
      </c>
      <c r="D27" s="13" t="s">
        <v>6131</v>
      </c>
    </row>
    <row r="28" spans="1:4" ht="23.1" customHeight="1" x14ac:dyDescent="0.35">
      <c r="A28" s="10" t="s">
        <v>6132</v>
      </c>
      <c r="B28" s="15" t="s">
        <v>6079</v>
      </c>
      <c r="C28" s="12" t="s">
        <v>6080</v>
      </c>
      <c r="D28" s="13" t="s">
        <v>6133</v>
      </c>
    </row>
    <row r="29" spans="1:4" ht="23.1" customHeight="1" x14ac:dyDescent="0.35">
      <c r="A29" s="10" t="s">
        <v>6134</v>
      </c>
      <c r="B29" s="15" t="s">
        <v>6079</v>
      </c>
      <c r="C29" s="12" t="s">
        <v>6080</v>
      </c>
      <c r="D29" s="13" t="s">
        <v>6135</v>
      </c>
    </row>
    <row r="30" spans="1:4" ht="23.1" customHeight="1" x14ac:dyDescent="0.35">
      <c r="A30" s="10" t="s">
        <v>6136</v>
      </c>
      <c r="B30" s="15" t="s">
        <v>6079</v>
      </c>
      <c r="C30" s="12" t="s">
        <v>6093</v>
      </c>
      <c r="D30" s="13" t="s">
        <v>6137</v>
      </c>
    </row>
    <row r="31" spans="1:4" ht="23.1" customHeight="1" x14ac:dyDescent="0.35">
      <c r="A31" s="10" t="s">
        <v>6138</v>
      </c>
      <c r="B31" s="15" t="s">
        <v>6079</v>
      </c>
      <c r="C31" s="12" t="s">
        <v>6093</v>
      </c>
      <c r="D31" s="13" t="s">
        <v>6139</v>
      </c>
    </row>
    <row r="32" spans="1:4" ht="23.1" customHeight="1" x14ac:dyDescent="0.35">
      <c r="A32" s="10" t="s">
        <v>6097</v>
      </c>
      <c r="B32" s="15" t="s">
        <v>6098</v>
      </c>
      <c r="C32" s="12" t="s">
        <v>6099</v>
      </c>
      <c r="D32" s="13" t="s">
        <v>6140</v>
      </c>
    </row>
    <row r="33" spans="1:4" ht="23.1" customHeight="1" x14ac:dyDescent="0.35">
      <c r="A33" s="10" t="s">
        <v>6101</v>
      </c>
      <c r="B33" s="15" t="s">
        <v>6102</v>
      </c>
      <c r="C33" s="12" t="s">
        <v>6099</v>
      </c>
      <c r="D33" s="13" t="s">
        <v>6141</v>
      </c>
    </row>
    <row r="36" spans="1:4" ht="23.1" customHeight="1" x14ac:dyDescent="0.25">
      <c r="A36" s="11" t="s">
        <v>6142</v>
      </c>
    </row>
    <row r="37" spans="1:4" ht="23.1" customHeight="1" x14ac:dyDescent="0.25">
      <c r="A37" s="14" t="s">
        <v>6144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Identified phosphosites</vt:lpstr>
      <vt:lpstr>Sample labeling</vt:lpstr>
    </vt:vector>
  </TitlesOfParts>
  <Company>VUmc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Wijngaart, H. van der (Hanneke)</dc:creator>
  <cp:lastModifiedBy>Chandravadhana Ramesh</cp:lastModifiedBy>
  <dcterms:created xsi:type="dcterms:W3CDTF">2020-11-05T15:38:36Z</dcterms:created>
  <dcterms:modified xsi:type="dcterms:W3CDTF">2023-10-16T06:22:09Z</dcterms:modified>
</cp:coreProperties>
</file>