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or_re\Dropbox\Parima marine turtle hatchlings\Communications Biology\"/>
    </mc:Choice>
  </mc:AlternateContent>
  <xr:revisionPtr revIDLastSave="0" documentId="13_ncr:1_{EF472B76-1D6F-4677-8DA3-4863005C86B7}" xr6:coauthVersionLast="47" xr6:coauthVersionMax="47" xr10:uidLastSave="{00000000-0000-0000-0000-000000000000}"/>
  <bookViews>
    <workbookView xWindow="-110" yWindow="-110" windowWidth="19420" windowHeight="10300" firstSheet="2" activeTab="3" xr2:uid="{0D94E83C-CF05-48E7-A91A-F4C647D6486A}"/>
  </bookViews>
  <sheets>
    <sheet name="Florida experiment" sheetId="2" r:id="rId1"/>
    <sheet name="Meta-analysis (Ch mydas)" sheetId="9" r:id="rId2"/>
    <sheet name="Meta-analysis Ca caretta PCA" sheetId="6" r:id="rId3"/>
    <sheet name="Meta-analysis (Ca caretta)" sheetId="4" r:id="rId4"/>
    <sheet name="Meta-analysis Ch mydas PCA" sheetId="7" r:id="rId5"/>
    <sheet name="Cape Verde analysis" sheetId="3" r:id="rId6"/>
  </sheets>
  <definedNames>
    <definedName name="_xlnm._FilterDatabase" localSheetId="3" hidden="1">'Meta-analysis (Ca caretta)'!$A$1:$AN$37</definedName>
    <definedName name="_xlnm._FilterDatabase" localSheetId="1" hidden="1">'Meta-analysis (Ch mydas)'!$A$1:$AN$44</definedName>
    <definedName name="_xlcn.WorksheetConnection_WorldNewPandTdataA39AN821" hidden="1">'Meta-analysis (Ca caretta)'!$A$39:$AN$82</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World (New P and T data)!$A$39:$AN$8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4" i="3" l="1"/>
  <c r="H124" i="3"/>
  <c r="O73" i="7"/>
  <c r="O78" i="6"/>
  <c r="O79" i="6"/>
  <c r="R10" i="2"/>
  <c r="R9" i="2"/>
  <c r="R8" i="2"/>
  <c r="R7" i="2"/>
  <c r="R6" i="2"/>
  <c r="R5" i="2"/>
  <c r="R4" i="2"/>
  <c r="Q4" i="2"/>
  <c r="F4" i="2"/>
  <c r="H5" i="2"/>
  <c r="H4" i="2"/>
  <c r="AB9" i="4"/>
  <c r="O17" i="7"/>
  <c r="X30" i="9"/>
  <c r="X29" i="9"/>
  <c r="X28" i="9"/>
  <c r="X27" i="9"/>
  <c r="X26" i="9"/>
  <c r="X25" i="9"/>
  <c r="X24" i="9"/>
  <c r="X23" i="9"/>
  <c r="X22" i="9"/>
  <c r="X21" i="9"/>
  <c r="X20" i="9"/>
  <c r="X19" i="9"/>
  <c r="X18" i="9"/>
  <c r="X17" i="9"/>
  <c r="X16" i="9"/>
  <c r="X15" i="9"/>
  <c r="X14" i="9"/>
  <c r="X13" i="9"/>
  <c r="X12" i="9"/>
  <c r="X11" i="9"/>
  <c r="X10" i="9"/>
  <c r="X9" i="9"/>
  <c r="X8" i="9"/>
  <c r="X7" i="9"/>
  <c r="X6" i="9"/>
  <c r="X5" i="9"/>
  <c r="X4" i="9"/>
  <c r="X3" i="9"/>
  <c r="X2" i="9"/>
  <c r="Y2" i="9"/>
  <c r="Y20" i="9"/>
  <c r="Y14" i="9"/>
  <c r="Y13" i="9"/>
  <c r="Y12" i="9"/>
  <c r="Y10" i="9"/>
  <c r="Y9" i="9"/>
  <c r="Y6" i="9"/>
  <c r="Y4" i="9"/>
  <c r="Y3" i="9"/>
  <c r="AC30" i="9"/>
  <c r="AC29" i="9"/>
  <c r="AC28" i="9"/>
  <c r="AC27" i="9"/>
  <c r="AC26" i="9"/>
  <c r="AC25" i="9"/>
  <c r="AC24" i="9"/>
  <c r="AC23" i="9"/>
  <c r="AC22" i="9"/>
  <c r="AC21" i="9"/>
  <c r="AC20" i="9"/>
  <c r="AC19" i="9"/>
  <c r="AC18" i="9"/>
  <c r="AC17" i="9"/>
  <c r="AC16" i="9"/>
  <c r="AC15" i="9"/>
  <c r="AC14" i="9"/>
  <c r="AC13" i="9"/>
  <c r="AC12" i="9"/>
  <c r="AC11" i="9"/>
  <c r="AC10" i="9"/>
  <c r="AC9" i="9"/>
  <c r="AC8" i="9"/>
  <c r="AC7" i="9"/>
  <c r="AC6" i="9"/>
  <c r="AC5" i="9"/>
  <c r="AC4" i="9"/>
  <c r="AC3" i="9"/>
  <c r="AC2" i="9"/>
  <c r="AH30" i="9"/>
  <c r="AH29" i="9"/>
  <c r="AH28" i="9"/>
  <c r="AH27" i="9"/>
  <c r="AH26" i="9"/>
  <c r="AH25" i="9"/>
  <c r="AH24" i="9"/>
  <c r="AH23" i="9"/>
  <c r="AH22" i="9"/>
  <c r="AH21" i="9"/>
  <c r="AH20" i="9"/>
  <c r="AH19" i="9"/>
  <c r="AH18" i="9"/>
  <c r="AH17" i="9"/>
  <c r="AH16" i="9"/>
  <c r="AH15" i="9"/>
  <c r="AH14" i="9"/>
  <c r="AH13" i="9"/>
  <c r="AH12" i="9"/>
  <c r="AH11" i="9"/>
  <c r="AH10" i="9"/>
  <c r="AH9" i="9"/>
  <c r="AH8" i="9"/>
  <c r="AH7" i="9"/>
  <c r="AH6" i="9"/>
  <c r="AH4" i="9"/>
  <c r="AH3" i="9"/>
  <c r="AH2" i="9"/>
  <c r="AI2" i="9"/>
  <c r="AJ2" i="9" s="1"/>
  <c r="AI13" i="9"/>
  <c r="AI12" i="9"/>
  <c r="AI10" i="9"/>
  <c r="AI9" i="9"/>
  <c r="AI7" i="9"/>
  <c r="AI6" i="9"/>
  <c r="AI5" i="9"/>
  <c r="AD2" i="9"/>
  <c r="AE2" i="9" s="1"/>
  <c r="AD20" i="9"/>
  <c r="AD14" i="9"/>
  <c r="AD13" i="9"/>
  <c r="AD12" i="9"/>
  <c r="AD11" i="9"/>
  <c r="AD10" i="9"/>
  <c r="AD9" i="9"/>
  <c r="AD6" i="9"/>
  <c r="AD4" i="9"/>
  <c r="AD3" i="9"/>
  <c r="B53" i="9"/>
  <c r="B52" i="9"/>
  <c r="B51" i="9"/>
  <c r="B50" i="9"/>
  <c r="B49" i="9"/>
  <c r="B48" i="9"/>
  <c r="B47" i="9"/>
  <c r="B41" i="9"/>
  <c r="B40" i="9"/>
  <c r="B39" i="9"/>
  <c r="B38" i="9"/>
  <c r="B37" i="9"/>
  <c r="B36" i="9"/>
  <c r="B35" i="9"/>
  <c r="B34" i="9"/>
  <c r="AJ30" i="9"/>
  <c r="AE30" i="9"/>
  <c r="Z30" i="9"/>
  <c r="Q30" i="9"/>
  <c r="N30" i="9"/>
  <c r="M30" i="9"/>
  <c r="J30" i="9"/>
  <c r="I30" i="9"/>
  <c r="H30" i="9"/>
  <c r="AJ29" i="9"/>
  <c r="AE29" i="9"/>
  <c r="Z29" i="9"/>
  <c r="Q29" i="9"/>
  <c r="N29" i="9"/>
  <c r="M29" i="9"/>
  <c r="J29" i="9"/>
  <c r="I29" i="9"/>
  <c r="H29" i="9"/>
  <c r="AJ28" i="9"/>
  <c r="AE28" i="9"/>
  <c r="Z28" i="9"/>
  <c r="Q28" i="9"/>
  <c r="N28" i="9"/>
  <c r="M28" i="9"/>
  <c r="J28" i="9"/>
  <c r="I28" i="9"/>
  <c r="H28" i="9"/>
  <c r="AJ27" i="9"/>
  <c r="AE27" i="9"/>
  <c r="Z27" i="9"/>
  <c r="Q27" i="9"/>
  <c r="N27" i="9"/>
  <c r="M27" i="9"/>
  <c r="J27" i="9"/>
  <c r="I27" i="9"/>
  <c r="H27" i="9"/>
  <c r="AJ26" i="9"/>
  <c r="AE26" i="9"/>
  <c r="Z26" i="9"/>
  <c r="Q26" i="9"/>
  <c r="N26" i="9"/>
  <c r="M26" i="9"/>
  <c r="J26" i="9"/>
  <c r="I26" i="9"/>
  <c r="H26" i="9"/>
  <c r="AJ25" i="9"/>
  <c r="AE25" i="9"/>
  <c r="Z25" i="9"/>
  <c r="Q25" i="9"/>
  <c r="N25" i="9"/>
  <c r="M25" i="9"/>
  <c r="J25" i="9"/>
  <c r="I25" i="9"/>
  <c r="H25" i="9"/>
  <c r="AJ24" i="9"/>
  <c r="AE24" i="9"/>
  <c r="Z24" i="9"/>
  <c r="Q24" i="9"/>
  <c r="N24" i="9"/>
  <c r="M24" i="9"/>
  <c r="J24" i="9"/>
  <c r="I24" i="9"/>
  <c r="H24" i="9"/>
  <c r="AJ23" i="9"/>
  <c r="AE23" i="9"/>
  <c r="Z23" i="9"/>
  <c r="Q23" i="9"/>
  <c r="J23" i="9"/>
  <c r="I23" i="9"/>
  <c r="H23" i="9"/>
  <c r="AJ22" i="9"/>
  <c r="AE22" i="9"/>
  <c r="Z22" i="9"/>
  <c r="T22" i="9"/>
  <c r="Q22" i="9"/>
  <c r="J22" i="9"/>
  <c r="I22" i="9"/>
  <c r="H22" i="9"/>
  <c r="AJ21" i="9"/>
  <c r="AE21" i="9"/>
  <c r="Z21" i="9"/>
  <c r="T21" i="9"/>
  <c r="Q21" i="9"/>
  <c r="J21" i="9"/>
  <c r="I21" i="9"/>
  <c r="H21" i="9"/>
  <c r="AJ20" i="9"/>
  <c r="AB20" i="9"/>
  <c r="W20" i="9"/>
  <c r="T20" i="9"/>
  <c r="Q20" i="9"/>
  <c r="J20" i="9"/>
  <c r="I20" i="9"/>
  <c r="H20" i="9"/>
  <c r="AJ19" i="9"/>
  <c r="AE19" i="9"/>
  <c r="Z19" i="9"/>
  <c r="T19" i="9"/>
  <c r="Q19" i="9"/>
  <c r="J19" i="9"/>
  <c r="I19" i="9"/>
  <c r="H19" i="9"/>
  <c r="AJ18" i="9"/>
  <c r="AE18" i="9"/>
  <c r="Z18" i="9"/>
  <c r="T18" i="9"/>
  <c r="Q18" i="9"/>
  <c r="J18" i="9"/>
  <c r="I18" i="9"/>
  <c r="H18" i="9"/>
  <c r="AJ17" i="9"/>
  <c r="AE17" i="9"/>
  <c r="Z17" i="9"/>
  <c r="T17" i="9"/>
  <c r="J17" i="9"/>
  <c r="I17" i="9"/>
  <c r="H17" i="9"/>
  <c r="AJ16" i="9"/>
  <c r="AE16" i="9"/>
  <c r="Z16" i="9"/>
  <c r="T16" i="9"/>
  <c r="J16" i="9"/>
  <c r="I16" i="9"/>
  <c r="H16" i="9"/>
  <c r="AJ15" i="9"/>
  <c r="AE15" i="9"/>
  <c r="Z15" i="9"/>
  <c r="T15" i="9"/>
  <c r="Q15" i="9"/>
  <c r="J15" i="9"/>
  <c r="I15" i="9"/>
  <c r="H15" i="9"/>
  <c r="AJ14" i="9"/>
  <c r="W14" i="9"/>
  <c r="J14" i="9"/>
  <c r="I14" i="9"/>
  <c r="H14" i="9"/>
  <c r="AB13" i="9"/>
  <c r="T13" i="9"/>
  <c r="Q13" i="9"/>
  <c r="N13" i="9"/>
  <c r="J13" i="9"/>
  <c r="I13" i="9"/>
  <c r="H13" i="9"/>
  <c r="AB12" i="9"/>
  <c r="T12" i="9"/>
  <c r="Q12" i="9"/>
  <c r="J12" i="9"/>
  <c r="I12" i="9"/>
  <c r="H12" i="9"/>
  <c r="AJ11" i="9"/>
  <c r="AB11" i="9"/>
  <c r="Z11" i="9"/>
  <c r="T11" i="9"/>
  <c r="Q11" i="9"/>
  <c r="J11" i="9"/>
  <c r="I11" i="9"/>
  <c r="H11" i="9"/>
  <c r="AB10" i="9"/>
  <c r="T10" i="9"/>
  <c r="Q10" i="9"/>
  <c r="N10" i="9"/>
  <c r="J10" i="9"/>
  <c r="I10" i="9"/>
  <c r="H10" i="9"/>
  <c r="AB9" i="9"/>
  <c r="T9" i="9"/>
  <c r="J9" i="9"/>
  <c r="I9" i="9"/>
  <c r="H9" i="9"/>
  <c r="AJ8" i="9"/>
  <c r="AE8" i="9"/>
  <c r="Z8" i="9"/>
  <c r="T8" i="9"/>
  <c r="Q8" i="9"/>
  <c r="N8" i="9"/>
  <c r="J8" i="9"/>
  <c r="I8" i="9"/>
  <c r="H8" i="9"/>
  <c r="AG7" i="9"/>
  <c r="AE7" i="9"/>
  <c r="Z7" i="9"/>
  <c r="T7" i="9"/>
  <c r="Q7" i="9"/>
  <c r="N7" i="9"/>
  <c r="J7" i="9"/>
  <c r="I7" i="9"/>
  <c r="H7" i="9"/>
  <c r="T6" i="9"/>
  <c r="Q6" i="9"/>
  <c r="N6" i="9"/>
  <c r="J6" i="9"/>
  <c r="I6" i="9"/>
  <c r="H6" i="9"/>
  <c r="AG5" i="9"/>
  <c r="AE5" i="9"/>
  <c r="Z5" i="9"/>
  <c r="T5" i="9"/>
  <c r="Q5" i="9"/>
  <c r="J5" i="9"/>
  <c r="I5" i="9"/>
  <c r="H5" i="9"/>
  <c r="AG4" i="9"/>
  <c r="T4" i="9"/>
  <c r="Q4" i="9"/>
  <c r="J4" i="9"/>
  <c r="I4" i="9"/>
  <c r="H4" i="9"/>
  <c r="AG3" i="9"/>
  <c r="T3" i="9"/>
  <c r="Q3" i="9"/>
  <c r="J3" i="9"/>
  <c r="I3" i="9"/>
  <c r="H3" i="9"/>
  <c r="T2" i="9"/>
  <c r="Q2" i="9"/>
  <c r="N2" i="9"/>
  <c r="J2" i="9"/>
  <c r="I2" i="9"/>
  <c r="H2" i="9"/>
  <c r="A125" i="3"/>
  <c r="A123" i="3"/>
  <c r="A124" i="3"/>
  <c r="AG21" i="3"/>
  <c r="AF21" i="3"/>
  <c r="N123" i="3"/>
  <c r="O3" i="3" s="1"/>
  <c r="H123" i="3"/>
  <c r="I4" i="3" s="1"/>
  <c r="O4" i="3"/>
  <c r="O39" i="3"/>
  <c r="O15" i="3"/>
  <c r="O25" i="3"/>
  <c r="O51" i="3"/>
  <c r="O27" i="3"/>
  <c r="O31" i="3"/>
  <c r="O36" i="3"/>
  <c r="O35" i="3"/>
  <c r="O41" i="3"/>
  <c r="O52" i="3"/>
  <c r="O61" i="3"/>
  <c r="O68" i="3"/>
  <c r="O72" i="3"/>
  <c r="O62" i="3"/>
  <c r="O92" i="3"/>
  <c r="O70" i="3"/>
  <c r="O73" i="3"/>
  <c r="O17" i="3"/>
  <c r="O32" i="3"/>
  <c r="O88" i="3"/>
  <c r="O97" i="3"/>
  <c r="O84" i="3"/>
  <c r="O85" i="3"/>
  <c r="O107" i="3"/>
  <c r="O99" i="3"/>
  <c r="O110" i="3"/>
  <c r="O109" i="3"/>
  <c r="O113" i="3"/>
  <c r="O118" i="3"/>
  <c r="O115" i="3"/>
  <c r="O121" i="3"/>
  <c r="M6" i="3"/>
  <c r="G6" i="3"/>
  <c r="M2" i="3"/>
  <c r="M3" i="3"/>
  <c r="M5" i="3"/>
  <c r="M10" i="3"/>
  <c r="M4" i="3"/>
  <c r="M39" i="3"/>
  <c r="M13" i="3"/>
  <c r="M14" i="3"/>
  <c r="M37" i="3"/>
  <c r="M7" i="3"/>
  <c r="M11" i="3"/>
  <c r="M29" i="3"/>
  <c r="M15" i="3"/>
  <c r="M25" i="3"/>
  <c r="M18" i="3"/>
  <c r="M30" i="3"/>
  <c r="M45" i="3"/>
  <c r="M12" i="3"/>
  <c r="M24" i="3"/>
  <c r="M26" i="3"/>
  <c r="M51" i="3"/>
  <c r="M27" i="3"/>
  <c r="M46" i="3"/>
  <c r="M49" i="3"/>
  <c r="M56" i="3"/>
  <c r="M57" i="3"/>
  <c r="M9" i="3"/>
  <c r="M22" i="3"/>
  <c r="M31" i="3"/>
  <c r="M36" i="3"/>
  <c r="M40" i="3"/>
  <c r="M42" i="3"/>
  <c r="M47" i="3"/>
  <c r="M66" i="3"/>
  <c r="M16" i="3"/>
  <c r="M21" i="3"/>
  <c r="M35" i="3"/>
  <c r="M41" i="3"/>
  <c r="M48" i="3"/>
  <c r="M53" i="3"/>
  <c r="M60" i="3"/>
  <c r="M71" i="3"/>
  <c r="M34" i="3"/>
  <c r="M50" i="3"/>
  <c r="M52" i="3"/>
  <c r="M61" i="3"/>
  <c r="M78" i="3"/>
  <c r="M23" i="3"/>
  <c r="M28" i="3"/>
  <c r="M54" i="3"/>
  <c r="M63" i="3"/>
  <c r="M67" i="3"/>
  <c r="M68" i="3"/>
  <c r="M72" i="3"/>
  <c r="M77" i="3"/>
  <c r="M87" i="3"/>
  <c r="M19" i="3"/>
  <c r="M43" i="3"/>
  <c r="M55" i="3"/>
  <c r="M59" i="3"/>
  <c r="M62" i="3"/>
  <c r="M92" i="3"/>
  <c r="M102" i="3"/>
  <c r="M8" i="3"/>
  <c r="M20" i="3"/>
  <c r="M33" i="3"/>
  <c r="M65" i="3"/>
  <c r="M69" i="3"/>
  <c r="M70" i="3"/>
  <c r="M73" i="3"/>
  <c r="M74" i="3"/>
  <c r="M82" i="3"/>
  <c r="M89" i="3"/>
  <c r="M91" i="3"/>
  <c r="M93" i="3"/>
  <c r="M98" i="3"/>
  <c r="M17" i="3"/>
  <c r="M32" i="3"/>
  <c r="M58" i="3"/>
  <c r="M64" i="3"/>
  <c r="M79" i="3"/>
  <c r="M80" i="3"/>
  <c r="M83" i="3"/>
  <c r="M86" i="3"/>
  <c r="M88" i="3"/>
  <c r="M97" i="3"/>
  <c r="M38" i="3"/>
  <c r="M44" i="3"/>
  <c r="M101" i="3"/>
  <c r="M106" i="3"/>
  <c r="M75" i="3"/>
  <c r="M81" i="3"/>
  <c r="M84" i="3"/>
  <c r="M85" i="3"/>
  <c r="M90" i="3"/>
  <c r="M94" i="3"/>
  <c r="M100" i="3"/>
  <c r="M105" i="3"/>
  <c r="M76" i="3"/>
  <c r="M107" i="3"/>
  <c r="M99" i="3"/>
  <c r="M103" i="3"/>
  <c r="M95" i="3"/>
  <c r="M96" i="3"/>
  <c r="M110" i="3"/>
  <c r="M109" i="3"/>
  <c r="M108" i="3"/>
  <c r="M112" i="3"/>
  <c r="M117" i="3"/>
  <c r="M113" i="3"/>
  <c r="M111" i="3"/>
  <c r="M118" i="3"/>
  <c r="M114" i="3"/>
  <c r="M119" i="3"/>
  <c r="M116" i="3"/>
  <c r="M115" i="3"/>
  <c r="M121" i="3"/>
  <c r="M120" i="3"/>
  <c r="I3" i="3"/>
  <c r="I14" i="3"/>
  <c r="I15" i="3"/>
  <c r="I12" i="3"/>
  <c r="I49" i="3"/>
  <c r="I31" i="3"/>
  <c r="I66" i="3"/>
  <c r="I53" i="3"/>
  <c r="I52" i="3"/>
  <c r="I54" i="3"/>
  <c r="I87" i="3"/>
  <c r="I62" i="3"/>
  <c r="I33" i="3"/>
  <c r="I82" i="3"/>
  <c r="I17" i="3"/>
  <c r="I80" i="3"/>
  <c r="I44" i="3"/>
  <c r="I84" i="3"/>
  <c r="I105" i="3"/>
  <c r="I96" i="3"/>
  <c r="I117" i="3"/>
  <c r="I119" i="3"/>
  <c r="G2" i="3"/>
  <c r="G3" i="3"/>
  <c r="G5" i="3"/>
  <c r="G10" i="3"/>
  <c r="G4" i="3"/>
  <c r="G39" i="3"/>
  <c r="G13" i="3"/>
  <c r="G14" i="3"/>
  <c r="G37" i="3"/>
  <c r="G7" i="3"/>
  <c r="G11" i="3"/>
  <c r="G29" i="3"/>
  <c r="G15" i="3"/>
  <c r="G25" i="3"/>
  <c r="G18" i="3"/>
  <c r="G30" i="3"/>
  <c r="G45" i="3"/>
  <c r="G12" i="3"/>
  <c r="G24" i="3"/>
  <c r="G26" i="3"/>
  <c r="G51" i="3"/>
  <c r="G27" i="3"/>
  <c r="G46" i="3"/>
  <c r="G49" i="3"/>
  <c r="G56" i="3"/>
  <c r="G57" i="3"/>
  <c r="G9" i="3"/>
  <c r="G22" i="3"/>
  <c r="G31" i="3"/>
  <c r="G36" i="3"/>
  <c r="G40" i="3"/>
  <c r="G42" i="3"/>
  <c r="G47" i="3"/>
  <c r="G66" i="3"/>
  <c r="G16" i="3"/>
  <c r="G21" i="3"/>
  <c r="G35" i="3"/>
  <c r="G41" i="3"/>
  <c r="G48" i="3"/>
  <c r="G53" i="3"/>
  <c r="G60" i="3"/>
  <c r="G71" i="3"/>
  <c r="G34" i="3"/>
  <c r="G50" i="3"/>
  <c r="G52" i="3"/>
  <c r="G61" i="3"/>
  <c r="G78" i="3"/>
  <c r="G23" i="3"/>
  <c r="G28" i="3"/>
  <c r="G54" i="3"/>
  <c r="G63" i="3"/>
  <c r="G67" i="3"/>
  <c r="G68" i="3"/>
  <c r="G72" i="3"/>
  <c r="G77" i="3"/>
  <c r="G87" i="3"/>
  <c r="G19" i="3"/>
  <c r="G43" i="3"/>
  <c r="G55" i="3"/>
  <c r="G59" i="3"/>
  <c r="G62" i="3"/>
  <c r="G92" i="3"/>
  <c r="G102" i="3"/>
  <c r="G8" i="3"/>
  <c r="G20" i="3"/>
  <c r="G33" i="3"/>
  <c r="G65" i="3"/>
  <c r="G69" i="3"/>
  <c r="G70" i="3"/>
  <c r="G73" i="3"/>
  <c r="G74" i="3"/>
  <c r="G82" i="3"/>
  <c r="G89" i="3"/>
  <c r="G91" i="3"/>
  <c r="G93" i="3"/>
  <c r="G98" i="3"/>
  <c r="G17" i="3"/>
  <c r="G32" i="3"/>
  <c r="G58" i="3"/>
  <c r="G64" i="3"/>
  <c r="G79" i="3"/>
  <c r="G80" i="3"/>
  <c r="G83" i="3"/>
  <c r="G86" i="3"/>
  <c r="G88" i="3"/>
  <c r="G97" i="3"/>
  <c r="G38" i="3"/>
  <c r="G44" i="3"/>
  <c r="G101" i="3"/>
  <c r="G106" i="3"/>
  <c r="G75" i="3"/>
  <c r="G81" i="3"/>
  <c r="G84" i="3"/>
  <c r="G85" i="3"/>
  <c r="G90" i="3"/>
  <c r="G94" i="3"/>
  <c r="G100" i="3"/>
  <c r="G105" i="3"/>
  <c r="G76" i="3"/>
  <c r="G107" i="3"/>
  <c r="G99" i="3"/>
  <c r="G103" i="3"/>
  <c r="G95" i="3"/>
  <c r="G96" i="3"/>
  <c r="G110" i="3"/>
  <c r="G109" i="3"/>
  <c r="G108" i="3"/>
  <c r="G112" i="3"/>
  <c r="G117" i="3"/>
  <c r="G113" i="3"/>
  <c r="G111" i="3"/>
  <c r="G118" i="3"/>
  <c r="G114" i="3"/>
  <c r="G119" i="3"/>
  <c r="G116" i="3"/>
  <c r="G115" i="3"/>
  <c r="G121" i="3"/>
  <c r="G120" i="3"/>
  <c r="Q21" i="3"/>
  <c r="Y5" i="3"/>
  <c r="Y10" i="3"/>
  <c r="Y4" i="3"/>
  <c r="Y39" i="3"/>
  <c r="Y13" i="3"/>
  <c r="Y14" i="3"/>
  <c r="Y37" i="3"/>
  <c r="Y7" i="3"/>
  <c r="Y11" i="3"/>
  <c r="Y29" i="3"/>
  <c r="Y15" i="3"/>
  <c r="Y25" i="3"/>
  <c r="Y18" i="3"/>
  <c r="Y30" i="3"/>
  <c r="Y45" i="3"/>
  <c r="Y12" i="3"/>
  <c r="Y24" i="3"/>
  <c r="Y26" i="3"/>
  <c r="Y51" i="3"/>
  <c r="Y27" i="3"/>
  <c r="Y46" i="3"/>
  <c r="Y49" i="3"/>
  <c r="Y56" i="3"/>
  <c r="Y57" i="3"/>
  <c r="Y9" i="3"/>
  <c r="Y22" i="3"/>
  <c r="Y31" i="3"/>
  <c r="Y36" i="3"/>
  <c r="Y40" i="3"/>
  <c r="Y42" i="3"/>
  <c r="Y47" i="3"/>
  <c r="Y66" i="3"/>
  <c r="Y16" i="3"/>
  <c r="Y21" i="3"/>
  <c r="Y35" i="3"/>
  <c r="Y41" i="3"/>
  <c r="Y48" i="3"/>
  <c r="Y53" i="3"/>
  <c r="Y60" i="3"/>
  <c r="Y71" i="3"/>
  <c r="Y34" i="3"/>
  <c r="Y50" i="3"/>
  <c r="Y52" i="3"/>
  <c r="Y61" i="3"/>
  <c r="Y78" i="3"/>
  <c r="Y23" i="3"/>
  <c r="Y28" i="3"/>
  <c r="Y54" i="3"/>
  <c r="Y63" i="3"/>
  <c r="Y67" i="3"/>
  <c r="Y72" i="3"/>
  <c r="Y77" i="3"/>
  <c r="Y87" i="3"/>
  <c r="Y19" i="3"/>
  <c r="Y43" i="3"/>
  <c r="Y55" i="3"/>
  <c r="Y59" i="3"/>
  <c r="Y62" i="3"/>
  <c r="Y92" i="3"/>
  <c r="Y102" i="3"/>
  <c r="Y8" i="3"/>
  <c r="Y20" i="3"/>
  <c r="Y65" i="3"/>
  <c r="Y69" i="3"/>
  <c r="Y70" i="3"/>
  <c r="Y73" i="3"/>
  <c r="Y74" i="3"/>
  <c r="Y82" i="3"/>
  <c r="Y89" i="3"/>
  <c r="Y91" i="3"/>
  <c r="Y93" i="3"/>
  <c r="Y17" i="3"/>
  <c r="Y32" i="3"/>
  <c r="Y58" i="3"/>
  <c r="Y64" i="3"/>
  <c r="Y79" i="3"/>
  <c r="Y80" i="3"/>
  <c r="Y83" i="3"/>
  <c r="Y86" i="3"/>
  <c r="Y88" i="3"/>
  <c r="Y97" i="3"/>
  <c r="Y44" i="3"/>
  <c r="Y101" i="3"/>
  <c r="Y106" i="3"/>
  <c r="Y75" i="3"/>
  <c r="Y81" i="3"/>
  <c r="Y84" i="3"/>
  <c r="Y85" i="3"/>
  <c r="Y90" i="3"/>
  <c r="Y94" i="3"/>
  <c r="Y100" i="3"/>
  <c r="Y105" i="3"/>
  <c r="Y76" i="3"/>
  <c r="Y107" i="3"/>
  <c r="Y99" i="3"/>
  <c r="Y103" i="3"/>
  <c r="Y95" i="3"/>
  <c r="Y96" i="3"/>
  <c r="Y110" i="3"/>
  <c r="Y109" i="3"/>
  <c r="Y108" i="3"/>
  <c r="Y112" i="3"/>
  <c r="Y117" i="3"/>
  <c r="Y113" i="3"/>
  <c r="Y111" i="3"/>
  <c r="Y118" i="3"/>
  <c r="Y114" i="3"/>
  <c r="Y119" i="3"/>
  <c r="Y116" i="3"/>
  <c r="Y115" i="3"/>
  <c r="Y121" i="3"/>
  <c r="Y120" i="3"/>
  <c r="Y6" i="3"/>
  <c r="W2" i="3"/>
  <c r="W3" i="3"/>
  <c r="W5" i="3"/>
  <c r="W10" i="3"/>
  <c r="W4" i="3"/>
  <c r="W39" i="3"/>
  <c r="W13" i="3"/>
  <c r="W14" i="3"/>
  <c r="W37" i="3"/>
  <c r="W7" i="3"/>
  <c r="W11" i="3"/>
  <c r="W29" i="3"/>
  <c r="W15" i="3"/>
  <c r="W25" i="3"/>
  <c r="W18" i="3"/>
  <c r="W30" i="3"/>
  <c r="W45" i="3"/>
  <c r="W12" i="3"/>
  <c r="W24" i="3"/>
  <c r="W26" i="3"/>
  <c r="W51" i="3"/>
  <c r="W27" i="3"/>
  <c r="W46" i="3"/>
  <c r="W49" i="3"/>
  <c r="W56" i="3"/>
  <c r="W57" i="3"/>
  <c r="W9" i="3"/>
  <c r="W22" i="3"/>
  <c r="W31" i="3"/>
  <c r="W36" i="3"/>
  <c r="W40" i="3"/>
  <c r="W42" i="3"/>
  <c r="W47" i="3"/>
  <c r="W66" i="3"/>
  <c r="W16" i="3"/>
  <c r="W21" i="3"/>
  <c r="W35" i="3"/>
  <c r="W41" i="3"/>
  <c r="W48" i="3"/>
  <c r="W53" i="3"/>
  <c r="W60" i="3"/>
  <c r="W71" i="3"/>
  <c r="W34" i="3"/>
  <c r="W50" i="3"/>
  <c r="W52" i="3"/>
  <c r="W61" i="3"/>
  <c r="W78" i="3"/>
  <c r="W23" i="3"/>
  <c r="W28" i="3"/>
  <c r="W54" i="3"/>
  <c r="W63" i="3"/>
  <c r="W67" i="3"/>
  <c r="W68" i="3"/>
  <c r="W72" i="3"/>
  <c r="W77" i="3"/>
  <c r="W87" i="3"/>
  <c r="W19" i="3"/>
  <c r="W43" i="3"/>
  <c r="W55" i="3"/>
  <c r="W59" i="3"/>
  <c r="W62" i="3"/>
  <c r="W92" i="3"/>
  <c r="W102" i="3"/>
  <c r="W8" i="3"/>
  <c r="W20" i="3"/>
  <c r="W33" i="3"/>
  <c r="W65" i="3"/>
  <c r="W69" i="3"/>
  <c r="W70" i="3"/>
  <c r="W73" i="3"/>
  <c r="W74" i="3"/>
  <c r="W82" i="3"/>
  <c r="W89" i="3"/>
  <c r="W91" i="3"/>
  <c r="W93" i="3"/>
  <c r="W98" i="3"/>
  <c r="W17" i="3"/>
  <c r="W32" i="3"/>
  <c r="W58" i="3"/>
  <c r="W64" i="3"/>
  <c r="W79" i="3"/>
  <c r="W80" i="3"/>
  <c r="W83" i="3"/>
  <c r="W86" i="3"/>
  <c r="W88" i="3"/>
  <c r="W97" i="3"/>
  <c r="W38" i="3"/>
  <c r="W44" i="3"/>
  <c r="W101" i="3"/>
  <c r="W106" i="3"/>
  <c r="W75" i="3"/>
  <c r="W81" i="3"/>
  <c r="W84" i="3"/>
  <c r="W85" i="3"/>
  <c r="W90" i="3"/>
  <c r="W94" i="3"/>
  <c r="W100" i="3"/>
  <c r="W105" i="3"/>
  <c r="W76" i="3"/>
  <c r="W107" i="3"/>
  <c r="W99" i="3"/>
  <c r="W103" i="3"/>
  <c r="W95" i="3"/>
  <c r="W96" i="3"/>
  <c r="W110" i="3"/>
  <c r="W109" i="3"/>
  <c r="W108" i="3"/>
  <c r="W112" i="3"/>
  <c r="W117" i="3"/>
  <c r="W113" i="3"/>
  <c r="W111" i="3"/>
  <c r="W118" i="3"/>
  <c r="W114" i="3"/>
  <c r="W119" i="3"/>
  <c r="W116" i="3"/>
  <c r="W115" i="3"/>
  <c r="W121" i="3"/>
  <c r="W120" i="3"/>
  <c r="W6" i="3"/>
  <c r="U6" i="3"/>
  <c r="U2" i="3"/>
  <c r="U3" i="3"/>
  <c r="U5" i="3"/>
  <c r="U10" i="3"/>
  <c r="U4" i="3"/>
  <c r="U39" i="3"/>
  <c r="U13" i="3"/>
  <c r="U14" i="3"/>
  <c r="U37" i="3"/>
  <c r="U7" i="3"/>
  <c r="U11" i="3"/>
  <c r="U29" i="3"/>
  <c r="U15" i="3"/>
  <c r="U25" i="3"/>
  <c r="U18" i="3"/>
  <c r="U30" i="3"/>
  <c r="U45" i="3"/>
  <c r="U12" i="3"/>
  <c r="U24" i="3"/>
  <c r="U26" i="3"/>
  <c r="U51" i="3"/>
  <c r="U27" i="3"/>
  <c r="U46" i="3"/>
  <c r="U49" i="3"/>
  <c r="U56" i="3"/>
  <c r="U57" i="3"/>
  <c r="U9" i="3"/>
  <c r="U22" i="3"/>
  <c r="U31" i="3"/>
  <c r="U36" i="3"/>
  <c r="U40" i="3"/>
  <c r="U42" i="3"/>
  <c r="U47" i="3"/>
  <c r="U66" i="3"/>
  <c r="U16" i="3"/>
  <c r="U21" i="3"/>
  <c r="U35" i="3"/>
  <c r="U41" i="3"/>
  <c r="U48" i="3"/>
  <c r="U53" i="3"/>
  <c r="U60" i="3"/>
  <c r="U71" i="3"/>
  <c r="U34" i="3"/>
  <c r="U50" i="3"/>
  <c r="U52" i="3"/>
  <c r="U61" i="3"/>
  <c r="U78" i="3"/>
  <c r="U23" i="3"/>
  <c r="U28" i="3"/>
  <c r="U54" i="3"/>
  <c r="U63" i="3"/>
  <c r="U67" i="3"/>
  <c r="U68" i="3"/>
  <c r="U72" i="3"/>
  <c r="U77" i="3"/>
  <c r="U87" i="3"/>
  <c r="U19" i="3"/>
  <c r="U43" i="3"/>
  <c r="U55" i="3"/>
  <c r="U59" i="3"/>
  <c r="U62" i="3"/>
  <c r="U92" i="3"/>
  <c r="U102" i="3"/>
  <c r="U8" i="3"/>
  <c r="U20" i="3"/>
  <c r="U33" i="3"/>
  <c r="U65" i="3"/>
  <c r="U69" i="3"/>
  <c r="U70" i="3"/>
  <c r="U73" i="3"/>
  <c r="U74" i="3"/>
  <c r="U82" i="3"/>
  <c r="U89" i="3"/>
  <c r="U91" i="3"/>
  <c r="U93" i="3"/>
  <c r="U98" i="3"/>
  <c r="U17" i="3"/>
  <c r="U32" i="3"/>
  <c r="U58" i="3"/>
  <c r="U64" i="3"/>
  <c r="U79" i="3"/>
  <c r="U80" i="3"/>
  <c r="U83" i="3"/>
  <c r="U86" i="3"/>
  <c r="U88" i="3"/>
  <c r="U97" i="3"/>
  <c r="U38" i="3"/>
  <c r="U44" i="3"/>
  <c r="U101" i="3"/>
  <c r="U106" i="3"/>
  <c r="U75" i="3"/>
  <c r="U81" i="3"/>
  <c r="U84" i="3"/>
  <c r="U85" i="3"/>
  <c r="U90" i="3"/>
  <c r="U94" i="3"/>
  <c r="U100" i="3"/>
  <c r="U105" i="3"/>
  <c r="U76" i="3"/>
  <c r="U107" i="3"/>
  <c r="U99" i="3"/>
  <c r="U103" i="3"/>
  <c r="U95" i="3"/>
  <c r="U96" i="3"/>
  <c r="U110" i="3"/>
  <c r="U109" i="3"/>
  <c r="U108" i="3"/>
  <c r="U112" i="3"/>
  <c r="U117" i="3"/>
  <c r="U113" i="3"/>
  <c r="U111" i="3"/>
  <c r="U118" i="3"/>
  <c r="U114" i="3"/>
  <c r="U119" i="3"/>
  <c r="U116" i="3"/>
  <c r="U115" i="3"/>
  <c r="U121" i="3"/>
  <c r="U120" i="3"/>
  <c r="S5" i="3"/>
  <c r="S10" i="3"/>
  <c r="S4" i="3"/>
  <c r="S39" i="3"/>
  <c r="S13" i="3"/>
  <c r="S14" i="3"/>
  <c r="S37" i="3"/>
  <c r="S7" i="3"/>
  <c r="S11" i="3"/>
  <c r="S29" i="3"/>
  <c r="S15" i="3"/>
  <c r="S25" i="3"/>
  <c r="S18" i="3"/>
  <c r="S30" i="3"/>
  <c r="S45" i="3"/>
  <c r="S12" i="3"/>
  <c r="S24" i="3"/>
  <c r="S26" i="3"/>
  <c r="S51" i="3"/>
  <c r="S27" i="3"/>
  <c r="S46" i="3"/>
  <c r="S49" i="3"/>
  <c r="S56" i="3"/>
  <c r="S57" i="3"/>
  <c r="S9" i="3"/>
  <c r="S22" i="3"/>
  <c r="S31" i="3"/>
  <c r="S36" i="3"/>
  <c r="S40" i="3"/>
  <c r="S42" i="3"/>
  <c r="S47" i="3"/>
  <c r="S66" i="3"/>
  <c r="S16" i="3"/>
  <c r="S21" i="3"/>
  <c r="S35" i="3"/>
  <c r="S41" i="3"/>
  <c r="S48" i="3"/>
  <c r="S53" i="3"/>
  <c r="S60" i="3"/>
  <c r="S71" i="3"/>
  <c r="S34" i="3"/>
  <c r="S50" i="3"/>
  <c r="S52" i="3"/>
  <c r="S61" i="3"/>
  <c r="S78" i="3"/>
  <c r="S23" i="3"/>
  <c r="S28" i="3"/>
  <c r="S54" i="3"/>
  <c r="S63" i="3"/>
  <c r="S67" i="3"/>
  <c r="S68" i="3"/>
  <c r="S72" i="3"/>
  <c r="S77" i="3"/>
  <c r="S87" i="3"/>
  <c r="S19" i="3"/>
  <c r="S43" i="3"/>
  <c r="S55" i="3"/>
  <c r="S59" i="3"/>
  <c r="S62" i="3"/>
  <c r="S92" i="3"/>
  <c r="S102" i="3"/>
  <c r="S8" i="3"/>
  <c r="S20" i="3"/>
  <c r="S33" i="3"/>
  <c r="S65" i="3"/>
  <c r="S69" i="3"/>
  <c r="S70" i="3"/>
  <c r="S73" i="3"/>
  <c r="S74" i="3"/>
  <c r="S82" i="3"/>
  <c r="S89" i="3"/>
  <c r="S91" i="3"/>
  <c r="S93" i="3"/>
  <c r="S98" i="3"/>
  <c r="S17" i="3"/>
  <c r="S32" i="3"/>
  <c r="S58" i="3"/>
  <c r="S64" i="3"/>
  <c r="S79" i="3"/>
  <c r="S80" i="3"/>
  <c r="S83" i="3"/>
  <c r="S86" i="3"/>
  <c r="S88" i="3"/>
  <c r="S97" i="3"/>
  <c r="S38" i="3"/>
  <c r="S44" i="3"/>
  <c r="S101" i="3"/>
  <c r="S106" i="3"/>
  <c r="S75" i="3"/>
  <c r="S81" i="3"/>
  <c r="S84" i="3"/>
  <c r="S85" i="3"/>
  <c r="S90" i="3"/>
  <c r="S94" i="3"/>
  <c r="S100" i="3"/>
  <c r="S105" i="3"/>
  <c r="S76" i="3"/>
  <c r="S107" i="3"/>
  <c r="S99" i="3"/>
  <c r="S103" i="3"/>
  <c r="S95" i="3"/>
  <c r="S96" i="3"/>
  <c r="S110" i="3"/>
  <c r="S109" i="3"/>
  <c r="S108" i="3"/>
  <c r="S112" i="3"/>
  <c r="S117" i="3"/>
  <c r="S113" i="3"/>
  <c r="S111" i="3"/>
  <c r="S118" i="3"/>
  <c r="S114" i="3"/>
  <c r="S119" i="3"/>
  <c r="S116" i="3"/>
  <c r="S115" i="3"/>
  <c r="S121" i="3"/>
  <c r="S120" i="3"/>
  <c r="S104" i="3"/>
  <c r="S6" i="3"/>
  <c r="Q5" i="3"/>
  <c r="Q10" i="3"/>
  <c r="Q4" i="3"/>
  <c r="Q13" i="3"/>
  <c r="Q14" i="3"/>
  <c r="Q37" i="3"/>
  <c r="Q7" i="3"/>
  <c r="Q11" i="3"/>
  <c r="Q29" i="3"/>
  <c r="Q15" i="3"/>
  <c r="Q25" i="3"/>
  <c r="Q18" i="3"/>
  <c r="Q30" i="3"/>
  <c r="Q45" i="3"/>
  <c r="Q12" i="3"/>
  <c r="Q24" i="3"/>
  <c r="Q26" i="3"/>
  <c r="Q51" i="3"/>
  <c r="Q27" i="3"/>
  <c r="Q46" i="3"/>
  <c r="Q49" i="3"/>
  <c r="Q56" i="3"/>
  <c r="Q57" i="3"/>
  <c r="Q22" i="3"/>
  <c r="Q31" i="3"/>
  <c r="Q36" i="3"/>
  <c r="Q40" i="3"/>
  <c r="Q42" i="3"/>
  <c r="Q47" i="3"/>
  <c r="Q66" i="3"/>
  <c r="Q16" i="3"/>
  <c r="Q35" i="3"/>
  <c r="Q41" i="3"/>
  <c r="Q48" i="3"/>
  <c r="Q53" i="3"/>
  <c r="Q60" i="3"/>
  <c r="Q71" i="3"/>
  <c r="Q34" i="3"/>
  <c r="Q50" i="3"/>
  <c r="Q52" i="3"/>
  <c r="Q61" i="3"/>
  <c r="Q78" i="3"/>
  <c r="Q23" i="3"/>
  <c r="Q28" i="3"/>
  <c r="Q54" i="3"/>
  <c r="Q63" i="3"/>
  <c r="Q67" i="3"/>
  <c r="Q68" i="3"/>
  <c r="Q72" i="3"/>
  <c r="Q77" i="3"/>
  <c r="Q87" i="3"/>
  <c r="Q19" i="3"/>
  <c r="Q43" i="3"/>
  <c r="Q55" i="3"/>
  <c r="Q59" i="3"/>
  <c r="Q62" i="3"/>
  <c r="Q92" i="3"/>
  <c r="Q102" i="3"/>
  <c r="Q8" i="3"/>
  <c r="Q20" i="3"/>
  <c r="Q33" i="3"/>
  <c r="Q65" i="3"/>
  <c r="Q69" i="3"/>
  <c r="Q70" i="3"/>
  <c r="Q73" i="3"/>
  <c r="Q74" i="3"/>
  <c r="Q82" i="3"/>
  <c r="Q89" i="3"/>
  <c r="Q91" i="3"/>
  <c r="Q93" i="3"/>
  <c r="Q98" i="3"/>
  <c r="Q17" i="3"/>
  <c r="Q32" i="3"/>
  <c r="Q58" i="3"/>
  <c r="Q64" i="3"/>
  <c r="Q79" i="3"/>
  <c r="Q80" i="3"/>
  <c r="Q83" i="3"/>
  <c r="Q86" i="3"/>
  <c r="Q88" i="3"/>
  <c r="Q97" i="3"/>
  <c r="Q38" i="3"/>
  <c r="Q44" i="3"/>
  <c r="Q101" i="3"/>
  <c r="Q106" i="3"/>
  <c r="Q75" i="3"/>
  <c r="Q81" i="3"/>
  <c r="Q84" i="3"/>
  <c r="Q85" i="3"/>
  <c r="Q90" i="3"/>
  <c r="Q94" i="3"/>
  <c r="Q100" i="3"/>
  <c r="Q105" i="3"/>
  <c r="Q76" i="3"/>
  <c r="Q107" i="3"/>
  <c r="Q99" i="3"/>
  <c r="Q103" i="3"/>
  <c r="Q95" i="3"/>
  <c r="Q96" i="3"/>
  <c r="Q110" i="3"/>
  <c r="Q109" i="3"/>
  <c r="Q108" i="3"/>
  <c r="Q112" i="3"/>
  <c r="Q117" i="3"/>
  <c r="Q113" i="3"/>
  <c r="Q111" i="3"/>
  <c r="Q118" i="3"/>
  <c r="Q114" i="3"/>
  <c r="Q119" i="3"/>
  <c r="Q116" i="3"/>
  <c r="Q115" i="3"/>
  <c r="Q121" i="3"/>
  <c r="Q120" i="3"/>
  <c r="Q104" i="3"/>
  <c r="Q6" i="3"/>
  <c r="Q10" i="2"/>
  <c r="Q9" i="2"/>
  <c r="Q8" i="2"/>
  <c r="Q7" i="2"/>
  <c r="Q6" i="2"/>
  <c r="Q5" i="2"/>
  <c r="P10" i="2"/>
  <c r="P9" i="2"/>
  <c r="P7" i="2"/>
  <c r="P6" i="2"/>
  <c r="P5" i="2"/>
  <c r="P4" i="2"/>
  <c r="P8" i="2"/>
  <c r="F5" i="2"/>
  <c r="G4" i="2"/>
  <c r="E4" i="2"/>
  <c r="E10" i="2"/>
  <c r="E9" i="2"/>
  <c r="E8" i="2"/>
  <c r="E7" i="2"/>
  <c r="E6" i="2"/>
  <c r="E5" i="2"/>
  <c r="C5" i="2"/>
  <c r="C6" i="2"/>
  <c r="C7" i="2"/>
  <c r="C8" i="2"/>
  <c r="C9" i="2"/>
  <c r="C10" i="2"/>
  <c r="C4" i="2"/>
  <c r="B4" i="2"/>
  <c r="F10" i="2"/>
  <c r="F9" i="2"/>
  <c r="F7" i="2"/>
  <c r="F6" i="2"/>
  <c r="O16" i="6"/>
  <c r="O17" i="6" s="1"/>
  <c r="AG2" i="4"/>
  <c r="K6" i="3"/>
  <c r="AE26" i="4"/>
  <c r="J25" i="4"/>
  <c r="J27" i="4"/>
  <c r="J28" i="4"/>
  <c r="J29" i="4"/>
  <c r="J32" i="4"/>
  <c r="J33" i="4"/>
  <c r="J34" i="4"/>
  <c r="J35" i="4"/>
  <c r="J30" i="4"/>
  <c r="J9" i="4"/>
  <c r="J10" i="4"/>
  <c r="J11" i="4"/>
  <c r="J12" i="4"/>
  <c r="J13" i="4"/>
  <c r="J14" i="4"/>
  <c r="J15" i="4"/>
  <c r="J16" i="4"/>
  <c r="J17" i="4"/>
  <c r="J31" i="4"/>
  <c r="J2" i="4"/>
  <c r="J3" i="4"/>
  <c r="J18" i="4"/>
  <c r="J19" i="4"/>
  <c r="J20" i="4"/>
  <c r="J5" i="4"/>
  <c r="J4" i="4"/>
  <c r="J8" i="4"/>
  <c r="J21" i="4"/>
  <c r="J22" i="4"/>
  <c r="J23" i="4"/>
  <c r="J24" i="4"/>
  <c r="J6" i="4"/>
  <c r="J7" i="4"/>
  <c r="I25" i="4"/>
  <c r="I27" i="4"/>
  <c r="I28" i="4"/>
  <c r="I29" i="4"/>
  <c r="I32" i="4"/>
  <c r="I33" i="4"/>
  <c r="I34" i="4"/>
  <c r="I35" i="4"/>
  <c r="I30" i="4"/>
  <c r="I9" i="4"/>
  <c r="I10" i="4"/>
  <c r="I11" i="4"/>
  <c r="I12" i="4"/>
  <c r="I13" i="4"/>
  <c r="I14" i="4"/>
  <c r="I15" i="4"/>
  <c r="I16" i="4"/>
  <c r="I17" i="4"/>
  <c r="I31" i="4"/>
  <c r="I2" i="4"/>
  <c r="I3" i="4"/>
  <c r="I18" i="4"/>
  <c r="I19" i="4"/>
  <c r="I20" i="4"/>
  <c r="I5" i="4"/>
  <c r="I4" i="4"/>
  <c r="I8" i="4"/>
  <c r="I21" i="4"/>
  <c r="I22" i="4"/>
  <c r="I23" i="4"/>
  <c r="I24" i="4"/>
  <c r="I6" i="4"/>
  <c r="I7" i="4"/>
  <c r="H25" i="4"/>
  <c r="H27" i="4"/>
  <c r="H28" i="4"/>
  <c r="H29" i="4"/>
  <c r="H32" i="4"/>
  <c r="H33" i="4"/>
  <c r="H34" i="4"/>
  <c r="H35" i="4"/>
  <c r="H30" i="4"/>
  <c r="H9" i="4"/>
  <c r="H10" i="4"/>
  <c r="H11" i="4"/>
  <c r="H12" i="4"/>
  <c r="H13" i="4"/>
  <c r="H14" i="4"/>
  <c r="H15" i="4"/>
  <c r="H16" i="4"/>
  <c r="H17" i="4"/>
  <c r="H31" i="4"/>
  <c r="H2" i="4"/>
  <c r="H3" i="4"/>
  <c r="H18" i="4"/>
  <c r="H19" i="4"/>
  <c r="H20" i="4"/>
  <c r="H5" i="4"/>
  <c r="H4" i="4"/>
  <c r="H8" i="4"/>
  <c r="H21" i="4"/>
  <c r="H22" i="4"/>
  <c r="H23" i="4"/>
  <c r="H24" i="4"/>
  <c r="H6" i="4"/>
  <c r="H7" i="4"/>
  <c r="H26" i="4"/>
  <c r="J26" i="4"/>
  <c r="I26" i="4"/>
  <c r="T8" i="4"/>
  <c r="Q8" i="4"/>
  <c r="T7" i="4"/>
  <c r="Q7" i="4"/>
  <c r="T6" i="4"/>
  <c r="Q6" i="4"/>
  <c r="Q5" i="4"/>
  <c r="Q20" i="4"/>
  <c r="Q4" i="4"/>
  <c r="Q22" i="4"/>
  <c r="Q23" i="4"/>
  <c r="Q24" i="4"/>
  <c r="Q21" i="4"/>
  <c r="T22" i="4"/>
  <c r="T23" i="4"/>
  <c r="T24" i="4"/>
  <c r="T21" i="4"/>
  <c r="T19" i="4"/>
  <c r="T18" i="4"/>
  <c r="Q19" i="4"/>
  <c r="Q18" i="4"/>
  <c r="AJ25" i="4"/>
  <c r="AJ27" i="4"/>
  <c r="AJ28" i="4"/>
  <c r="AJ29" i="4"/>
  <c r="AJ32" i="4"/>
  <c r="AJ33" i="4"/>
  <c r="AJ34" i="4"/>
  <c r="AJ35" i="4"/>
  <c r="AJ30" i="4"/>
  <c r="AJ9" i="4"/>
  <c r="AJ10" i="4"/>
  <c r="AJ11" i="4"/>
  <c r="AJ12" i="4"/>
  <c r="AJ13" i="4"/>
  <c r="AJ14" i="4"/>
  <c r="AJ15" i="4"/>
  <c r="AJ16" i="4"/>
  <c r="AJ17" i="4"/>
  <c r="AJ31" i="4"/>
  <c r="AJ18" i="4"/>
  <c r="AJ19" i="4"/>
  <c r="AJ20" i="4"/>
  <c r="AJ8" i="4"/>
  <c r="AJ21" i="4"/>
  <c r="AJ22" i="4"/>
  <c r="AJ23" i="4"/>
  <c r="AJ24" i="4"/>
  <c r="AJ7" i="4"/>
  <c r="AJ26" i="4"/>
  <c r="AE25" i="4"/>
  <c r="AE27" i="4"/>
  <c r="AE28" i="4"/>
  <c r="AE29" i="4"/>
  <c r="AE32" i="4"/>
  <c r="AE33" i="4"/>
  <c r="AE34" i="4"/>
  <c r="AE35" i="4"/>
  <c r="AE30" i="4"/>
  <c r="AE31" i="4"/>
  <c r="AE2" i="4"/>
  <c r="AE5" i="4"/>
  <c r="AE8" i="4"/>
  <c r="AE21" i="4"/>
  <c r="AE22" i="4"/>
  <c r="AE23" i="4"/>
  <c r="AE24" i="4"/>
  <c r="AE7" i="4"/>
  <c r="Z26" i="4"/>
  <c r="Z25" i="4"/>
  <c r="Z27" i="4"/>
  <c r="Z28" i="4"/>
  <c r="Z29" i="4"/>
  <c r="Z32" i="4"/>
  <c r="Z33" i="4"/>
  <c r="Z34" i="4"/>
  <c r="Z35" i="4"/>
  <c r="Z30" i="4"/>
  <c r="Z9" i="4"/>
  <c r="Z31" i="4"/>
  <c r="Z2" i="4"/>
  <c r="Z18" i="4"/>
  <c r="Z19" i="4"/>
  <c r="Z20" i="4"/>
  <c r="Z5" i="4"/>
  <c r="Z4" i="4"/>
  <c r="Z8" i="4"/>
  <c r="Z21" i="4"/>
  <c r="Z22" i="4"/>
  <c r="Z23" i="4"/>
  <c r="Z24" i="4"/>
  <c r="Z7" i="4"/>
  <c r="AG6" i="4"/>
  <c r="AG5" i="4"/>
  <c r="AG4" i="4"/>
  <c r="AB4" i="4"/>
  <c r="AB18" i="4"/>
  <c r="AB19" i="4"/>
  <c r="AB20" i="4"/>
  <c r="AG3" i="4"/>
  <c r="W3" i="4"/>
  <c r="AB3" i="4" s="1"/>
  <c r="AC2" i="4" s="1"/>
  <c r="T3" i="4"/>
  <c r="Q3" i="4"/>
  <c r="Q2" i="4"/>
  <c r="T2" i="4"/>
  <c r="T31" i="4"/>
  <c r="Q31" i="4"/>
  <c r="T17" i="4"/>
  <c r="Q17" i="4"/>
  <c r="N17" i="4"/>
  <c r="Q16" i="4"/>
  <c r="N16" i="4"/>
  <c r="T16" i="4"/>
  <c r="T15" i="4"/>
  <c r="Q15" i="4"/>
  <c r="N15" i="4"/>
  <c r="T14" i="4"/>
  <c r="Q14" i="4"/>
  <c r="N14" i="4"/>
  <c r="T13" i="4"/>
  <c r="Q13" i="4"/>
  <c r="N13" i="4"/>
  <c r="T12" i="4"/>
  <c r="Q12" i="4"/>
  <c r="N12" i="4"/>
  <c r="T11" i="4"/>
  <c r="Q11" i="4"/>
  <c r="N11" i="4"/>
  <c r="T10" i="4"/>
  <c r="Q10" i="4"/>
  <c r="N10" i="4"/>
  <c r="O2" i="4" s="1"/>
  <c r="AD10" i="4"/>
  <c r="AB10" i="4"/>
  <c r="AD11" i="4"/>
  <c r="AB11" i="4"/>
  <c r="AD12" i="4"/>
  <c r="AB12" i="4"/>
  <c r="AD13" i="4"/>
  <c r="AB13" i="4"/>
  <c r="AD14" i="4"/>
  <c r="AB14" i="4"/>
  <c r="AD15" i="4"/>
  <c r="AB15" i="4"/>
  <c r="AD16" i="4"/>
  <c r="AD17" i="4"/>
  <c r="AB16" i="4"/>
  <c r="AB17" i="4"/>
  <c r="Y10" i="4"/>
  <c r="W10" i="4"/>
  <c r="Y11" i="4"/>
  <c r="W11" i="4"/>
  <c r="Y12" i="4"/>
  <c r="W12" i="4"/>
  <c r="Y13" i="4"/>
  <c r="W13" i="4"/>
  <c r="Y14" i="4"/>
  <c r="W14" i="4"/>
  <c r="Y15" i="4"/>
  <c r="W15" i="4"/>
  <c r="Y16" i="4"/>
  <c r="W16" i="4"/>
  <c r="Y17" i="4"/>
  <c r="W17" i="4"/>
  <c r="T9" i="4"/>
  <c r="Q9" i="4"/>
  <c r="N9" i="4"/>
  <c r="T30" i="4"/>
  <c r="Q30" i="4"/>
  <c r="N35" i="4"/>
  <c r="N34" i="4"/>
  <c r="N33" i="4"/>
  <c r="N32" i="4"/>
  <c r="N29" i="4"/>
  <c r="N28" i="4"/>
  <c r="N27" i="4"/>
  <c r="Q35" i="4"/>
  <c r="Q34" i="4"/>
  <c r="Q33" i="4"/>
  <c r="Q32" i="4"/>
  <c r="Q29" i="4"/>
  <c r="Q28" i="4"/>
  <c r="Q27" i="4"/>
  <c r="AB21" i="2"/>
  <c r="AB16" i="2"/>
  <c r="M35" i="4"/>
  <c r="M34" i="4"/>
  <c r="M33" i="4"/>
  <c r="M32" i="4"/>
  <c r="M29" i="4"/>
  <c r="M28" i="4"/>
  <c r="M27" i="4"/>
  <c r="T25" i="4"/>
  <c r="Q25" i="4"/>
  <c r="N26" i="4"/>
  <c r="Q26" i="4"/>
  <c r="H6" i="2"/>
  <c r="H7" i="2"/>
  <c r="H8" i="2"/>
  <c r="H9" i="2"/>
  <c r="H10" i="2"/>
  <c r="B5" i="2"/>
  <c r="B6" i="2"/>
  <c r="B7" i="2"/>
  <c r="B8" i="2"/>
  <c r="B9" i="2"/>
  <c r="B10" i="2"/>
  <c r="F8" i="2"/>
  <c r="I121" i="3" l="1"/>
  <c r="I118" i="3"/>
  <c r="I109" i="3"/>
  <c r="I99" i="3"/>
  <c r="I94" i="3"/>
  <c r="I106" i="3"/>
  <c r="I88" i="3"/>
  <c r="I64" i="3"/>
  <c r="I91" i="3"/>
  <c r="I70" i="3"/>
  <c r="I8" i="3"/>
  <c r="I43" i="3"/>
  <c r="I68" i="3"/>
  <c r="I23" i="3"/>
  <c r="I71" i="3"/>
  <c r="I35" i="3"/>
  <c r="I42" i="3"/>
  <c r="I57" i="3"/>
  <c r="I51" i="3"/>
  <c r="I30" i="3"/>
  <c r="I7" i="3"/>
  <c r="O119" i="3"/>
  <c r="O117" i="3"/>
  <c r="O96" i="3"/>
  <c r="O105" i="3"/>
  <c r="O106" i="3"/>
  <c r="O80" i="3"/>
  <c r="O91" i="3"/>
  <c r="O33" i="3"/>
  <c r="O43" i="3"/>
  <c r="O54" i="3"/>
  <c r="O71" i="3"/>
  <c r="O66" i="3"/>
  <c r="O57" i="3"/>
  <c r="O12" i="3"/>
  <c r="O7" i="3"/>
  <c r="H122" i="3"/>
  <c r="I5" i="3"/>
  <c r="I13" i="3"/>
  <c r="I11" i="3"/>
  <c r="I18" i="3"/>
  <c r="I24" i="3"/>
  <c r="I46" i="3"/>
  <c r="I9" i="3"/>
  <c r="I40" i="3"/>
  <c r="I16" i="3"/>
  <c r="I48" i="3"/>
  <c r="I34" i="3"/>
  <c r="I78" i="3"/>
  <c r="I63" i="3"/>
  <c r="I77" i="3"/>
  <c r="I55" i="3"/>
  <c r="I102" i="3"/>
  <c r="I65" i="3"/>
  <c r="I74" i="3"/>
  <c r="I93" i="3"/>
  <c r="I58" i="3"/>
  <c r="I83" i="3"/>
  <c r="I38" i="3"/>
  <c r="I75" i="3"/>
  <c r="I90" i="3"/>
  <c r="I76" i="3"/>
  <c r="I95" i="3"/>
  <c r="I108" i="3"/>
  <c r="I111" i="3"/>
  <c r="I116" i="3"/>
  <c r="I120" i="3"/>
  <c r="I114" i="3"/>
  <c r="I112" i="3"/>
  <c r="I103" i="3"/>
  <c r="I100" i="3"/>
  <c r="I81" i="3"/>
  <c r="I97" i="3"/>
  <c r="I79" i="3"/>
  <c r="I98" i="3"/>
  <c r="I73" i="3"/>
  <c r="I20" i="3"/>
  <c r="I59" i="3"/>
  <c r="I72" i="3"/>
  <c r="I28" i="3"/>
  <c r="I50" i="3"/>
  <c r="I41" i="3"/>
  <c r="I47" i="3"/>
  <c r="I22" i="3"/>
  <c r="I27" i="3"/>
  <c r="I45" i="3"/>
  <c r="I29" i="3"/>
  <c r="I39" i="3"/>
  <c r="I2" i="3"/>
  <c r="I6" i="3"/>
  <c r="O5" i="3"/>
  <c r="O13" i="3"/>
  <c r="O11" i="3"/>
  <c r="O18" i="3"/>
  <c r="O24" i="3"/>
  <c r="O46" i="3"/>
  <c r="O9" i="3"/>
  <c r="O40" i="3"/>
  <c r="O16" i="3"/>
  <c r="O48" i="3"/>
  <c r="O34" i="3"/>
  <c r="O78" i="3"/>
  <c r="O63" i="3"/>
  <c r="O77" i="3"/>
  <c r="O55" i="3"/>
  <c r="O102" i="3"/>
  <c r="O65" i="3"/>
  <c r="O74" i="3"/>
  <c r="O93" i="3"/>
  <c r="O58" i="3"/>
  <c r="O83" i="3"/>
  <c r="O38" i="3"/>
  <c r="O75" i="3"/>
  <c r="O90" i="3"/>
  <c r="O76" i="3"/>
  <c r="O95" i="3"/>
  <c r="O108" i="3"/>
  <c r="O111" i="3"/>
  <c r="O116" i="3"/>
  <c r="O6" i="3"/>
  <c r="N122" i="3"/>
  <c r="O10" i="3"/>
  <c r="O14" i="3"/>
  <c r="O29" i="3"/>
  <c r="O30" i="3"/>
  <c r="O26" i="3"/>
  <c r="O49" i="3"/>
  <c r="O22" i="3"/>
  <c r="O42" i="3"/>
  <c r="O21" i="3"/>
  <c r="O53" i="3"/>
  <c r="O50" i="3"/>
  <c r="O23" i="3"/>
  <c r="O67" i="3"/>
  <c r="O87" i="3"/>
  <c r="O59" i="3"/>
  <c r="O8" i="3"/>
  <c r="O69" i="3"/>
  <c r="O82" i="3"/>
  <c r="O98" i="3"/>
  <c r="O64" i="3"/>
  <c r="O86" i="3"/>
  <c r="O44" i="3"/>
  <c r="O81" i="3"/>
  <c r="O94" i="3"/>
  <c r="I115" i="3"/>
  <c r="I113" i="3"/>
  <c r="I110" i="3"/>
  <c r="I107" i="3"/>
  <c r="I85" i="3"/>
  <c r="I101" i="3"/>
  <c r="I86" i="3"/>
  <c r="I32" i="3"/>
  <c r="I89" i="3"/>
  <c r="I69" i="3"/>
  <c r="I92" i="3"/>
  <c r="I19" i="3"/>
  <c r="I67" i="3"/>
  <c r="I61" i="3"/>
  <c r="I60" i="3"/>
  <c r="I21" i="3"/>
  <c r="I36" i="3"/>
  <c r="I56" i="3"/>
  <c r="I26" i="3"/>
  <c r="I25" i="3"/>
  <c r="I37" i="3"/>
  <c r="I10" i="3"/>
  <c r="O120" i="3"/>
  <c r="O114" i="3"/>
  <c r="O112" i="3"/>
  <c r="O103" i="3"/>
  <c r="O100" i="3"/>
  <c r="O101" i="3"/>
  <c r="O79" i="3"/>
  <c r="O89" i="3"/>
  <c r="O20" i="3"/>
  <c r="O19" i="3"/>
  <c r="O28" i="3"/>
  <c r="O60" i="3"/>
  <c r="O47" i="3"/>
  <c r="O56" i="3"/>
  <c r="O45" i="3"/>
  <c r="O37" i="3"/>
  <c r="O2" i="3"/>
  <c r="AI3" i="9"/>
  <c r="AI4" i="9"/>
  <c r="O4" i="9"/>
  <c r="AH5" i="9"/>
  <c r="O7" i="9"/>
  <c r="U9" i="9"/>
  <c r="U10" i="9"/>
  <c r="AB14" i="9"/>
  <c r="B42" i="9"/>
  <c r="B54" i="9"/>
  <c r="B43" i="9" a="1"/>
  <c r="B43" i="9" s="1"/>
  <c r="B44" i="9" s="1" a="1"/>
  <c r="B44" i="9" s="1"/>
  <c r="U3" i="9"/>
  <c r="U7" i="9"/>
  <c r="U8" i="9"/>
  <c r="R5" i="9"/>
  <c r="R6" i="9"/>
  <c r="R17" i="9"/>
  <c r="R16" i="9"/>
  <c r="R14" i="9"/>
  <c r="R9" i="9"/>
  <c r="R2" i="9"/>
  <c r="R20" i="9"/>
  <c r="R22" i="9"/>
  <c r="R18" i="9"/>
  <c r="R4" i="9"/>
  <c r="R3" i="9"/>
  <c r="AG31" i="9"/>
  <c r="AG32" i="9"/>
  <c r="R10" i="9"/>
  <c r="R11" i="9"/>
  <c r="O23" i="9"/>
  <c r="O19" i="9"/>
  <c r="O12" i="9"/>
  <c r="O21" i="9"/>
  <c r="O15" i="9"/>
  <c r="U30" i="9"/>
  <c r="U29" i="9"/>
  <c r="R7" i="9"/>
  <c r="O8" i="9"/>
  <c r="O11" i="9"/>
  <c r="U11" i="9"/>
  <c r="U13" i="9"/>
  <c r="U14" i="9"/>
  <c r="U15" i="9"/>
  <c r="U16" i="9"/>
  <c r="U17" i="9"/>
  <c r="R19" i="9"/>
  <c r="O20" i="9"/>
  <c r="U20" i="9"/>
  <c r="U21" i="9"/>
  <c r="R23" i="9"/>
  <c r="R24" i="9"/>
  <c r="R25" i="9"/>
  <c r="R26" i="9"/>
  <c r="R27" i="9"/>
  <c r="R28" i="9"/>
  <c r="R29" i="9"/>
  <c r="O30" i="9"/>
  <c r="O2" i="9"/>
  <c r="U2" i="9"/>
  <c r="O3" i="9"/>
  <c r="U4" i="9"/>
  <c r="O6" i="9"/>
  <c r="U6" i="9"/>
  <c r="R8" i="9"/>
  <c r="AB31" i="9"/>
  <c r="AB32" i="9"/>
  <c r="AE12" i="9" s="1"/>
  <c r="U19" i="9"/>
  <c r="U23" i="9"/>
  <c r="U24" i="9"/>
  <c r="U25" i="9"/>
  <c r="U26" i="9"/>
  <c r="U27" i="9"/>
  <c r="U28" i="9"/>
  <c r="R30" i="9"/>
  <c r="R12" i="9"/>
  <c r="O13" i="9"/>
  <c r="O5" i="9"/>
  <c r="U5" i="9"/>
  <c r="O9" i="9"/>
  <c r="O10" i="9"/>
  <c r="U12" i="9"/>
  <c r="R13" i="9"/>
  <c r="O14" i="9"/>
  <c r="R15" i="9"/>
  <c r="O16" i="9"/>
  <c r="O17" i="9"/>
  <c r="O18" i="9"/>
  <c r="U18" i="9"/>
  <c r="R21" i="9"/>
  <c r="O22" i="9"/>
  <c r="U22" i="9"/>
  <c r="O24" i="9"/>
  <c r="O25" i="9"/>
  <c r="O26" i="9"/>
  <c r="O27" i="9"/>
  <c r="O28" i="9"/>
  <c r="O29" i="9"/>
  <c r="W32" i="9"/>
  <c r="B55" i="9" a="1"/>
  <c r="B55" i="9" s="1"/>
  <c r="B56" i="9" s="1" a="1"/>
  <c r="B56" i="9" s="1"/>
  <c r="W31" i="9"/>
  <c r="Q11" i="2"/>
  <c r="AH18" i="4"/>
  <c r="AC30" i="4"/>
  <c r="O26" i="4"/>
  <c r="AH26" i="4"/>
  <c r="AH34" i="4"/>
  <c r="AH5" i="4"/>
  <c r="AH24" i="4"/>
  <c r="AH14" i="4"/>
  <c r="AH6" i="4"/>
  <c r="AH8" i="4"/>
  <c r="AH10" i="4"/>
  <c r="AH19" i="4"/>
  <c r="O29" i="4"/>
  <c r="R29" i="4"/>
  <c r="AC29" i="4"/>
  <c r="AH4" i="4"/>
  <c r="AH29" i="4"/>
  <c r="AH31" i="4"/>
  <c r="AH27" i="4"/>
  <c r="X16" i="4"/>
  <c r="AC14" i="4"/>
  <c r="AC12" i="4"/>
  <c r="AH23" i="4"/>
  <c r="AH17" i="4"/>
  <c r="AH13" i="4"/>
  <c r="AH9" i="4"/>
  <c r="AH33" i="4"/>
  <c r="AH25" i="4"/>
  <c r="AH7" i="4"/>
  <c r="AH22" i="4"/>
  <c r="AH3" i="4"/>
  <c r="AH16" i="4"/>
  <c r="AH12" i="4"/>
  <c r="AH30" i="4"/>
  <c r="AH32" i="4"/>
  <c r="AH21" i="4"/>
  <c r="AH20" i="4"/>
  <c r="AH2" i="4"/>
  <c r="AH15" i="4"/>
  <c r="AH11" i="4"/>
  <c r="AH35" i="4"/>
  <c r="AH28" i="4"/>
  <c r="AC20" i="4"/>
  <c r="AC28" i="4"/>
  <c r="AC15" i="4"/>
  <c r="AC11" i="4"/>
  <c r="AC19" i="4"/>
  <c r="AC10" i="4"/>
  <c r="AC16" i="4"/>
  <c r="AC3" i="4"/>
  <c r="AC26" i="4"/>
  <c r="AC23" i="4"/>
  <c r="AC4" i="4"/>
  <c r="AC18" i="4"/>
  <c r="AC17" i="4"/>
  <c r="AC13" i="4"/>
  <c r="AC9" i="4"/>
  <c r="AC33" i="4"/>
  <c r="AC27" i="4"/>
  <c r="AC7" i="4"/>
  <c r="AC22" i="4"/>
  <c r="AC5" i="4"/>
  <c r="AC32" i="4"/>
  <c r="AC25" i="4"/>
  <c r="AC6" i="4"/>
  <c r="AC21" i="4"/>
  <c r="AC35" i="4"/>
  <c r="AC24" i="4"/>
  <c r="AC8" i="4"/>
  <c r="AC31" i="4"/>
  <c r="AC34" i="4"/>
  <c r="X17" i="4"/>
  <c r="X15" i="4"/>
  <c r="X13" i="4"/>
  <c r="X35" i="4"/>
  <c r="X14" i="4"/>
  <c r="X12" i="4"/>
  <c r="X25" i="4"/>
  <c r="X6" i="4"/>
  <c r="X2" i="4"/>
  <c r="X11" i="4"/>
  <c r="X24" i="4"/>
  <c r="X8" i="4"/>
  <c r="X19" i="4"/>
  <c r="X31" i="4"/>
  <c r="X10" i="4"/>
  <c r="X34" i="4"/>
  <c r="X28" i="4"/>
  <c r="X20" i="4"/>
  <c r="X29" i="4"/>
  <c r="X26" i="4"/>
  <c r="X23" i="4"/>
  <c r="X4" i="4"/>
  <c r="X18" i="4"/>
  <c r="X9" i="4"/>
  <c r="X33" i="4"/>
  <c r="X27" i="4"/>
  <c r="X21" i="4"/>
  <c r="X7" i="4"/>
  <c r="X22" i="4"/>
  <c r="X5" i="4"/>
  <c r="X3" i="4"/>
  <c r="X30" i="4"/>
  <c r="X32" i="4"/>
  <c r="R28" i="4"/>
  <c r="Z15" i="4"/>
  <c r="Z11" i="4"/>
  <c r="AE13" i="4"/>
  <c r="U15" i="4"/>
  <c r="U2" i="4"/>
  <c r="U18" i="4"/>
  <c r="U23" i="4"/>
  <c r="U7" i="4"/>
  <c r="W37" i="4"/>
  <c r="AE17" i="4"/>
  <c r="U10" i="4"/>
  <c r="U14" i="4"/>
  <c r="U19" i="4"/>
  <c r="U27" i="4"/>
  <c r="Z17" i="4"/>
  <c r="Z13" i="4"/>
  <c r="AE15" i="4"/>
  <c r="AE11" i="4"/>
  <c r="U11" i="4"/>
  <c r="U9" i="4"/>
  <c r="U13" i="4"/>
  <c r="U17" i="4"/>
  <c r="U8" i="4"/>
  <c r="R34" i="4"/>
  <c r="R10" i="4"/>
  <c r="R14" i="4"/>
  <c r="R5" i="4"/>
  <c r="U22" i="4"/>
  <c r="U5" i="4"/>
  <c r="U3" i="4"/>
  <c r="U16" i="4"/>
  <c r="U12" i="4"/>
  <c r="U30" i="4"/>
  <c r="U32" i="4"/>
  <c r="U25" i="4"/>
  <c r="R35" i="4"/>
  <c r="O32" i="4"/>
  <c r="R9" i="4"/>
  <c r="R13" i="4"/>
  <c r="R17" i="4"/>
  <c r="R2" i="4"/>
  <c r="R22" i="4"/>
  <c r="R6" i="4"/>
  <c r="R8" i="4"/>
  <c r="U6" i="4"/>
  <c r="U21" i="4"/>
  <c r="U20" i="4"/>
  <c r="U35" i="4"/>
  <c r="U29" i="4"/>
  <c r="W36" i="4"/>
  <c r="R32" i="4"/>
  <c r="R30" i="4"/>
  <c r="R12" i="4"/>
  <c r="R31" i="4"/>
  <c r="R3" i="4"/>
  <c r="R18" i="4"/>
  <c r="U24" i="4"/>
  <c r="U31" i="4"/>
  <c r="U34" i="4"/>
  <c r="U28" i="4"/>
  <c r="R4" i="4"/>
  <c r="R25" i="4"/>
  <c r="R27" i="4"/>
  <c r="R33" i="4"/>
  <c r="R16" i="4"/>
  <c r="R19" i="4"/>
  <c r="R24" i="4"/>
  <c r="R7" i="4"/>
  <c r="U26" i="4"/>
  <c r="U4" i="4"/>
  <c r="U33" i="4"/>
  <c r="R21" i="4"/>
  <c r="R20" i="4"/>
  <c r="R15" i="4"/>
  <c r="R11" i="4"/>
  <c r="O27" i="4"/>
  <c r="O33" i="4"/>
  <c r="Z16" i="4"/>
  <c r="Z14" i="4"/>
  <c r="Z12" i="4"/>
  <c r="AE16" i="4"/>
  <c r="AE14" i="4"/>
  <c r="AE10" i="4"/>
  <c r="O16" i="4"/>
  <c r="O28" i="4"/>
  <c r="O34" i="4"/>
  <c r="O10" i="4"/>
  <c r="O14" i="4"/>
  <c r="R26" i="4"/>
  <c r="R23" i="4"/>
  <c r="O12" i="4"/>
  <c r="O25" i="4"/>
  <c r="O35" i="4"/>
  <c r="O9" i="4"/>
  <c r="O13" i="4"/>
  <c r="O17" i="4"/>
  <c r="O11" i="4"/>
  <c r="AE12" i="4"/>
  <c r="O24" i="4"/>
  <c r="O8" i="4"/>
  <c r="O19" i="4"/>
  <c r="O31" i="4"/>
  <c r="O6" i="4"/>
  <c r="O20" i="4"/>
  <c r="O15" i="4"/>
  <c r="Z10" i="4"/>
  <c r="O23" i="4"/>
  <c r="O4" i="4"/>
  <c r="O18" i="4"/>
  <c r="O21" i="4"/>
  <c r="O7" i="4"/>
  <c r="O22" i="4"/>
  <c r="O5" i="4"/>
  <c r="O3" i="4"/>
  <c r="O30" i="4"/>
  <c r="AG37" i="4"/>
  <c r="AG36" i="4"/>
  <c r="AB36" i="4"/>
  <c r="AB37" i="4"/>
  <c r="G6" i="2"/>
  <c r="G10" i="2"/>
  <c r="G9" i="2"/>
  <c r="G8" i="2"/>
  <c r="G7" i="2"/>
  <c r="G5" i="2"/>
  <c r="K120" i="3"/>
  <c r="K121" i="3"/>
  <c r="K115" i="3"/>
  <c r="K116" i="3"/>
  <c r="K119" i="3"/>
  <c r="K114" i="3"/>
  <c r="K118" i="3"/>
  <c r="K111" i="3"/>
  <c r="K113" i="3"/>
  <c r="K117" i="3"/>
  <c r="K112" i="3"/>
  <c r="K108" i="3"/>
  <c r="K109" i="3"/>
  <c r="K110" i="3"/>
  <c r="K96" i="3"/>
  <c r="K95" i="3"/>
  <c r="K103" i="3"/>
  <c r="K99" i="3"/>
  <c r="K107" i="3"/>
  <c r="K76" i="3"/>
  <c r="K105" i="3"/>
  <c r="K100" i="3"/>
  <c r="K94" i="3"/>
  <c r="K90" i="3"/>
  <c r="K85" i="3"/>
  <c r="K84" i="3"/>
  <c r="K81" i="3"/>
  <c r="K75" i="3"/>
  <c r="K106" i="3"/>
  <c r="K101" i="3"/>
  <c r="K44" i="3"/>
  <c r="K38" i="3"/>
  <c r="K97" i="3"/>
  <c r="K88" i="3"/>
  <c r="K86" i="3"/>
  <c r="K83" i="3"/>
  <c r="K80" i="3"/>
  <c r="K79" i="3"/>
  <c r="K64" i="3"/>
  <c r="K32" i="3"/>
  <c r="K17" i="3"/>
  <c r="K98" i="3"/>
  <c r="K93" i="3"/>
  <c r="K91" i="3"/>
  <c r="K89" i="3"/>
  <c r="K82" i="3"/>
  <c r="K74" i="3"/>
  <c r="K73" i="3"/>
  <c r="K70" i="3"/>
  <c r="K69" i="3"/>
  <c r="K65" i="3"/>
  <c r="K33" i="3"/>
  <c r="K20" i="3"/>
  <c r="K8" i="3"/>
  <c r="K102" i="3"/>
  <c r="K92" i="3"/>
  <c r="K62" i="3"/>
  <c r="K59" i="3"/>
  <c r="K55" i="3"/>
  <c r="K43" i="3"/>
  <c r="K19" i="3"/>
  <c r="K87" i="3"/>
  <c r="K77" i="3"/>
  <c r="K72" i="3"/>
  <c r="K68" i="3"/>
  <c r="K67" i="3"/>
  <c r="K63" i="3"/>
  <c r="K54" i="3"/>
  <c r="K28" i="3"/>
  <c r="K23" i="3"/>
  <c r="K78" i="3"/>
  <c r="K61" i="3"/>
  <c r="K52" i="3"/>
  <c r="K50" i="3"/>
  <c r="K34" i="3"/>
  <c r="K71" i="3"/>
  <c r="K60" i="3"/>
  <c r="K53" i="3"/>
  <c r="K48" i="3"/>
  <c r="K41" i="3"/>
  <c r="K35" i="3"/>
  <c r="K21" i="3"/>
  <c r="K16" i="3"/>
  <c r="K66" i="3"/>
  <c r="K47" i="3"/>
  <c r="K42" i="3"/>
  <c r="K40" i="3"/>
  <c r="K36" i="3"/>
  <c r="K31" i="3"/>
  <c r="K22" i="3"/>
  <c r="K9" i="3"/>
  <c r="K57" i="3"/>
  <c r="K56" i="3"/>
  <c r="K49" i="3"/>
  <c r="K46" i="3"/>
  <c r="K27" i="3"/>
  <c r="K51" i="3"/>
  <c r="K26" i="3"/>
  <c r="K24" i="3"/>
  <c r="K12" i="3"/>
  <c r="K45" i="3"/>
  <c r="K30" i="3"/>
  <c r="K18" i="3"/>
  <c r="K25" i="3"/>
  <c r="K15" i="3"/>
  <c r="K29" i="3"/>
  <c r="K11" i="3"/>
  <c r="K7" i="3"/>
  <c r="K37" i="3"/>
  <c r="K14" i="3"/>
  <c r="K13" i="3"/>
  <c r="K39" i="3"/>
  <c r="K4" i="3"/>
  <c r="K10" i="3"/>
  <c r="K5" i="3"/>
  <c r="K3" i="3"/>
  <c r="K2" i="3"/>
  <c r="G11" i="2" l="1"/>
  <c r="AJ3" i="9"/>
  <c r="AE3" i="9"/>
  <c r="AE20" i="9"/>
  <c r="AE14" i="9"/>
  <c r="AE11" i="9"/>
  <c r="AE4" i="9"/>
  <c r="AE9" i="9"/>
  <c r="AE6" i="9"/>
  <c r="AE13" i="9"/>
  <c r="AJ10" i="9"/>
  <c r="AJ5" i="9"/>
  <c r="AJ13" i="9"/>
  <c r="AJ12" i="9"/>
  <c r="AJ6" i="9"/>
  <c r="AJ7" i="9"/>
  <c r="AE10" i="9"/>
  <c r="Z20" i="9"/>
  <c r="Z14" i="9"/>
  <c r="Z13" i="9"/>
  <c r="Z9" i="9"/>
  <c r="Z12" i="9"/>
  <c r="Z6" i="9"/>
  <c r="Z4" i="9"/>
  <c r="Z3" i="9"/>
  <c r="Z2" i="9"/>
  <c r="Z10" i="9"/>
  <c r="AJ4" i="9"/>
  <c r="AJ9" i="9"/>
  <c r="AI3" i="4"/>
  <c r="AJ3" i="4" s="1"/>
  <c r="AD3" i="4"/>
  <c r="AE3" i="4" s="1"/>
  <c r="AI2" i="4"/>
  <c r="AJ2" i="4" s="1"/>
  <c r="Y6" i="4"/>
  <c r="Z6" i="4" s="1"/>
  <c r="AD9" i="4"/>
  <c r="AE9" i="4" s="1"/>
  <c r="AD20" i="4"/>
  <c r="AE20" i="4" s="1"/>
  <c r="AD4" i="4"/>
  <c r="AE4" i="4" s="1"/>
  <c r="AI5" i="4"/>
  <c r="AJ5" i="4" s="1"/>
  <c r="Y3" i="4"/>
  <c r="Z3" i="4" s="1"/>
  <c r="AD6" i="4"/>
  <c r="AE6" i="4" s="1"/>
  <c r="AD18" i="4"/>
  <c r="AE18" i="4" s="1"/>
  <c r="AI6" i="4"/>
  <c r="AJ6" i="4" s="1"/>
  <c r="AD19" i="4"/>
  <c r="AE19" i="4" s="1"/>
  <c r="AI4" i="4"/>
  <c r="AJ4" i="4" s="1"/>
  <c r="AA27" i="9" l="1"/>
  <c r="AA23" i="9"/>
  <c r="AA19" i="9"/>
  <c r="AA15" i="9"/>
  <c r="AA11" i="9"/>
  <c r="AA7" i="9"/>
  <c r="AA3" i="9"/>
  <c r="AA25" i="9"/>
  <c r="AA21" i="9"/>
  <c r="AA13" i="9"/>
  <c r="AA5" i="9"/>
  <c r="AA24" i="9"/>
  <c r="AA20" i="9"/>
  <c r="AA12" i="9"/>
  <c r="AA4" i="9"/>
  <c r="AA30" i="9"/>
  <c r="AA26" i="9"/>
  <c r="AA22" i="9"/>
  <c r="AA18" i="9"/>
  <c r="AA14" i="9"/>
  <c r="AA10" i="9"/>
  <c r="AA6" i="9"/>
  <c r="AA2" i="9"/>
  <c r="AA29" i="9"/>
  <c r="AA17" i="9"/>
  <c r="AA9" i="9"/>
  <c r="AA28" i="9"/>
  <c r="AA16" i="9"/>
  <c r="AA8" i="9"/>
  <c r="AK2" i="9"/>
  <c r="AF2" i="9"/>
  <c r="AF6" i="9"/>
  <c r="AK4" i="9"/>
  <c r="AK10" i="9"/>
  <c r="AF14" i="9"/>
  <c r="AK3" i="9"/>
  <c r="AF10" i="9"/>
  <c r="AK13" i="9"/>
  <c r="AF13" i="9"/>
  <c r="AF9" i="9"/>
  <c r="AF20" i="9"/>
  <c r="AK7" i="9"/>
  <c r="AK30" i="9"/>
  <c r="AK21" i="9"/>
  <c r="AK17" i="9"/>
  <c r="AK16" i="9"/>
  <c r="AK15" i="9"/>
  <c r="AK19" i="9"/>
  <c r="AK23" i="9"/>
  <c r="AK25" i="9"/>
  <c r="AK27" i="9"/>
  <c r="AK20" i="9"/>
  <c r="AK29" i="9"/>
  <c r="AK8" i="9"/>
  <c r="AK18" i="9"/>
  <c r="AK22" i="9"/>
  <c r="AK11" i="9"/>
  <c r="AK24" i="9"/>
  <c r="AK26" i="9"/>
  <c r="AK28" i="9"/>
  <c r="AK14" i="9"/>
  <c r="AF12" i="9"/>
  <c r="AF4" i="9"/>
  <c r="AF29" i="9"/>
  <c r="AF22" i="9"/>
  <c r="AF18" i="9"/>
  <c r="AF28" i="9"/>
  <c r="AF27" i="9"/>
  <c r="AF26" i="9"/>
  <c r="AF25" i="9"/>
  <c r="AF24" i="9"/>
  <c r="AF23" i="9"/>
  <c r="AF8" i="9"/>
  <c r="AF5" i="9"/>
  <c r="AF16" i="9"/>
  <c r="AF7" i="9"/>
  <c r="AF30" i="9"/>
  <c r="AF19" i="9"/>
  <c r="AF15" i="9"/>
  <c r="AF17" i="9"/>
  <c r="AF21" i="9"/>
  <c r="AK12" i="9"/>
  <c r="AK9" i="9"/>
  <c r="AK6" i="9"/>
  <c r="AK5" i="9"/>
  <c r="AF11" i="9"/>
  <c r="AF3" i="9"/>
  <c r="AK30" i="4"/>
  <c r="AK23" i="4"/>
  <c r="AF29" i="4"/>
  <c r="AF31" i="4"/>
  <c r="AA3" i="4"/>
  <c r="AK6" i="4"/>
  <c r="AA29" i="4"/>
  <c r="AK2" i="4"/>
  <c r="AK7" i="4"/>
  <c r="AK26" i="4"/>
  <c r="AK13" i="4"/>
  <c r="AK24" i="4"/>
  <c r="AK14" i="4"/>
  <c r="AK21" i="4"/>
  <c r="AK22" i="4"/>
  <c r="AK32" i="4"/>
  <c r="AK18" i="4"/>
  <c r="AK28" i="4"/>
  <c r="AK9" i="4"/>
  <c r="AK29" i="4"/>
  <c r="AK8" i="4"/>
  <c r="AK10" i="4"/>
  <c r="AK11" i="4"/>
  <c r="AK16" i="4"/>
  <c r="AK25" i="4"/>
  <c r="AK15" i="4"/>
  <c r="AK33" i="4"/>
  <c r="AK19" i="4"/>
  <c r="AK34" i="4"/>
  <c r="AK20" i="4"/>
  <c r="AK12" i="4"/>
  <c r="AK35" i="4"/>
  <c r="AK17" i="4"/>
  <c r="AK31" i="4"/>
  <c r="AK27" i="4"/>
  <c r="AK5" i="4"/>
  <c r="AF26" i="4"/>
  <c r="AK4" i="4"/>
  <c r="AK3" i="4"/>
  <c r="AF13" i="4"/>
  <c r="AF18" i="4"/>
  <c r="AA21" i="4"/>
  <c r="AF12" i="4"/>
  <c r="AF16" i="4"/>
  <c r="AA8" i="4"/>
  <c r="AA23" i="4"/>
  <c r="AF19" i="4"/>
  <c r="AF9" i="4"/>
  <c r="AF34" i="4"/>
  <c r="AF30" i="4"/>
  <c r="AF2" i="4"/>
  <c r="AF27" i="4"/>
  <c r="AF8" i="4"/>
  <c r="AF33" i="4"/>
  <c r="AF32" i="4"/>
  <c r="AF28" i="4"/>
  <c r="AF23" i="4"/>
  <c r="AF21" i="4"/>
  <c r="AF24" i="4"/>
  <c r="AF25" i="4"/>
  <c r="AF7" i="4"/>
  <c r="AF5" i="4"/>
  <c r="AF35" i="4"/>
  <c r="AF22" i="4"/>
  <c r="AA7" i="4"/>
  <c r="AA20" i="4"/>
  <c r="AF17" i="4"/>
  <c r="AF15" i="4"/>
  <c r="AF4" i="4"/>
  <c r="AF20" i="4"/>
  <c r="AF3" i="4"/>
  <c r="AF6" i="4"/>
  <c r="AA33" i="4"/>
  <c r="AF10" i="4"/>
  <c r="AF11" i="4"/>
  <c r="AF14" i="4"/>
  <c r="AA6" i="4"/>
  <c r="AA34" i="4"/>
  <c r="AA22" i="4"/>
  <c r="AA28" i="4"/>
  <c r="AA2" i="4"/>
  <c r="AA24" i="4"/>
  <c r="AA35" i="4"/>
  <c r="AA9" i="4"/>
  <c r="AA32" i="4"/>
  <c r="AA26" i="4"/>
  <c r="AA17" i="4"/>
  <c r="AA19" i="4"/>
  <c r="AA13" i="4"/>
  <c r="AA27" i="4"/>
  <c r="AA15" i="4"/>
  <c r="AA4" i="4"/>
  <c r="AA11" i="4"/>
  <c r="AA18" i="4"/>
  <c r="AA16" i="4"/>
  <c r="AA25" i="4"/>
  <c r="AA14" i="4"/>
  <c r="AA5" i="4"/>
  <c r="AA12" i="4"/>
  <c r="AA10" i="4"/>
  <c r="AA31" i="4"/>
  <c r="AA3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Elena</author>
  </authors>
  <commentList>
    <comment ref="A2" authorId="0" shapeId="0" xr:uid="{D9B2A890-F892-41CD-A4EC-6D1A42629289}">
      <text>
        <r>
          <rPr>
            <b/>
            <sz val="8"/>
            <color indexed="81"/>
            <rFont val="Tahoma"/>
          </rPr>
          <t>Elena:</t>
        </r>
        <r>
          <rPr>
            <sz val="8"/>
            <color indexed="81"/>
            <rFont val="Tahoma"/>
          </rPr>
          <t xml:space="preserve">
NIDO ANTERIOR AL HATCHERY</t>
        </r>
      </text>
    </comment>
    <comment ref="A3" authorId="0" shapeId="0" xr:uid="{45EE63A8-29A3-43B4-81E9-663F669AAE7A}">
      <text>
        <r>
          <rPr>
            <b/>
            <sz val="8"/>
            <color indexed="81"/>
            <rFont val="Tahoma"/>
          </rPr>
          <t>Elena:</t>
        </r>
        <r>
          <rPr>
            <sz val="8"/>
            <color indexed="81"/>
            <rFont val="Tahoma"/>
          </rPr>
          <t xml:space="preserve">
NIDO ANTERIOR AL HATCHERY</t>
        </r>
      </text>
    </comment>
    <comment ref="A39" authorId="0" shapeId="0" xr:uid="{DB3FFFE7-128B-40D2-8973-BCDEE41B5346}">
      <text>
        <r>
          <rPr>
            <b/>
            <sz val="8"/>
            <color indexed="81"/>
            <rFont val="Tahoma"/>
          </rPr>
          <t>Elena:</t>
        </r>
        <r>
          <rPr>
            <sz val="8"/>
            <color indexed="81"/>
            <rFont val="Tahoma"/>
          </rPr>
          <t xml:space="preserve">
NIDO ANTERIOR AL HATCHERY</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8647717-94EC-4DB9-A616-82C8E2296771}"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F8A170A-0653-4B00-ABFD-1F397B1B4B11}" name="WorksheetConnection_World (New P and T data)!$A$39:$AN$82" type="102" refreshedVersion="8" minRefreshableVersion="5">
    <extLst>
      <ext xmlns:x15="http://schemas.microsoft.com/office/spreadsheetml/2010/11/main" uri="{DE250136-89BD-433C-8126-D09CA5730AF9}">
        <x15:connection id="Range">
          <x15:rangePr sourceName="_xlcn.WorksheetConnection_WorldNewPandTdataA39AN821"/>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<sst xmlns="http://schemas.openxmlformats.org/spreadsheetml/2006/main" count="1236" uniqueCount="330">
  <si>
    <t>Location</t>
  </si>
  <si>
    <t>Straight carapace length [mm]</t>
  </si>
  <si>
    <t>Straight carapace width [mm]</t>
  </si>
  <si>
    <t>Hatchling mass [g]</t>
  </si>
  <si>
    <t>Standard deviation</t>
  </si>
  <si>
    <t>Goksu Delta, Turkey</t>
  </si>
  <si>
    <t>Caretta caretta</t>
  </si>
  <si>
    <t>Fethiye, Turkey</t>
  </si>
  <si>
    <t>Dalyan, Turkey</t>
  </si>
  <si>
    <t>Kizilot, Turkey</t>
  </si>
  <si>
    <t>Belek, Turkey</t>
  </si>
  <si>
    <t>Zakynthos, Greece</t>
  </si>
  <si>
    <t>Chelonia mydas</t>
  </si>
  <si>
    <t>Species</t>
  </si>
  <si>
    <t>Year</t>
  </si>
  <si>
    <t>s.d.</t>
  </si>
  <si>
    <t>Annual Precipitation (mm)</t>
  </si>
  <si>
    <t>SCL [mm] Cc</t>
  </si>
  <si>
    <t>SCW [mm] Cc</t>
  </si>
  <si>
    <t>M [g] Cc</t>
  </si>
  <si>
    <t>SCL [mm] Cm</t>
  </si>
  <si>
    <t>SCW [mm] Cm</t>
  </si>
  <si>
    <t>M [g] Cm</t>
  </si>
  <si>
    <t>PC</t>
  </si>
  <si>
    <t>Eigenvalue</t>
  </si>
  <si>
    <t>% variance</t>
  </si>
  <si>
    <t>PC 1</t>
  </si>
  <si>
    <t>PC 2</t>
  </si>
  <si>
    <t>PC 3</t>
  </si>
  <si>
    <t>PC 4</t>
  </si>
  <si>
    <t>PC 5</t>
  </si>
  <si>
    <t>PC 6</t>
  </si>
  <si>
    <t>PC 7</t>
  </si>
  <si>
    <t>PC 8</t>
  </si>
  <si>
    <t>PC 9</t>
  </si>
  <si>
    <t>Nest</t>
  </si>
  <si>
    <t>Beach</t>
  </si>
  <si>
    <t>clutch size</t>
  </si>
  <si>
    <t>Laying day</t>
  </si>
  <si>
    <t>Emergence day</t>
  </si>
  <si>
    <t>Middle incubation</t>
  </si>
  <si>
    <t>Temperature - 50% (average, C)</t>
  </si>
  <si>
    <t>Precipitation - 50% (mm)</t>
  </si>
  <si>
    <t>days</t>
  </si>
  <si>
    <t>Middle incubation -2</t>
  </si>
  <si>
    <t>% females</t>
  </si>
  <si>
    <t>mass (g)</t>
  </si>
  <si>
    <t>SCL (mm)</t>
  </si>
  <si>
    <t>SCW (mm)</t>
  </si>
  <si>
    <t>Ponta Cosme</t>
  </si>
  <si>
    <t>Benguinho</t>
  </si>
  <si>
    <t>Min</t>
  </si>
  <si>
    <t>Max</t>
  </si>
  <si>
    <t>Ervatao</t>
  </si>
  <si>
    <t xml:space="preserve">Ervatao </t>
  </si>
  <si>
    <t>Mean</t>
  </si>
  <si>
    <t>Ponta cosme</t>
  </si>
  <si>
    <t>ervatao</t>
  </si>
  <si>
    <t>Jan</t>
  </si>
  <si>
    <t>Feb</t>
  </si>
  <si>
    <t>Mar</t>
  </si>
  <si>
    <t>Apr</t>
  </si>
  <si>
    <t>May</t>
  </si>
  <si>
    <t>Jun</t>
  </si>
  <si>
    <t>Jul</t>
  </si>
  <si>
    <t>Aug</t>
  </si>
  <si>
    <t>Sep</t>
  </si>
  <si>
    <t>Oct</t>
  </si>
  <si>
    <t>Nov</t>
  </si>
  <si>
    <t>Dec</t>
  </si>
  <si>
    <t>Annual</t>
  </si>
  <si>
    <t>Monthly Total Precipitation for FORT LAUDERDALE BEACH, FL</t>
  </si>
  <si>
    <t>Nesting season Precipitation average (in)</t>
  </si>
  <si>
    <t>Nesting season Precipitation average (mm)</t>
  </si>
  <si>
    <t>s.d</t>
  </si>
  <si>
    <t>https://www.weather.gov/wrh/Climate?wfo=mfl</t>
  </si>
  <si>
    <t>x</t>
  </si>
  <si>
    <t>y</t>
  </si>
  <si>
    <t>Latitude</t>
  </si>
  <si>
    <t xml:space="preserve">Longitude </t>
  </si>
  <si>
    <t>Average temperature during nesting season [°C] (local)</t>
  </si>
  <si>
    <t>Annual mean temperature [°C] (local)</t>
  </si>
  <si>
    <t>Precipitation during nesting season [mm] (local)</t>
  </si>
  <si>
    <t>Period</t>
  </si>
  <si>
    <t>5 Jan to 11 Feb</t>
  </si>
  <si>
    <t>Notes</t>
  </si>
  <si>
    <t>From previous year</t>
  </si>
  <si>
    <t>Source</t>
  </si>
  <si>
    <t>Bureau of Meteorology Australia</t>
  </si>
  <si>
    <t>Station</t>
  </si>
  <si>
    <t>Bargara, QLD</t>
  </si>
  <si>
    <t>Observations of Daily rainfall are nominally made at 9 am local clock time and record the total for the previous 24 hours. Rainfall includes all forms of precipitation that reach the ground, such as rain, drizzle, hail and snow.</t>
  </si>
  <si>
    <t xml:space="preserve">Station is in Bundaberg Aero, 15.9 km from nesting. The Monthly mean maximum temperature is the average of all available daily maxima for the month. The Daily maximum air temperature is nominally recorded at 9 am local clock time. It is the highest temperature for the 24 hours leading up to the observation, and is recorded as the maximum temperature for the previous day. </t>
  </si>
  <si>
    <t>Bureau of Meteorology Australia (http://www.bom.gov.au/qld/observations/qldall.shtml?ref=hdr)</t>
  </si>
  <si>
    <t>late June to early October</t>
  </si>
  <si>
    <t>Author</t>
  </si>
  <si>
    <t>Journal</t>
  </si>
  <si>
    <t>Pereira, Booth, Limpus</t>
  </si>
  <si>
    <t>Endangered Species Research</t>
  </si>
  <si>
    <t>Marco, Abella et al.</t>
  </si>
  <si>
    <t>Journal of Experimental Marine Biology and Ecology</t>
  </si>
  <si>
    <t>Cape Verde has three distinct seasons, determined by the activity and intensity of the dominant regional weather systems, identified in a transition season (November to February), a dry season (March June), a rainy season (July to October). Annual temperatures have a low temperature range. The average annual temperature is around 25ºC for coastal areas, reaching 19ºC in areas above 1,000 m. The minimum values between 20ºC and 21ºC, correspond to January to April, and the maximum values of 26ºC to 28ºC in August September.</t>
  </si>
  <si>
    <t>Climate Knowledge Portal, World Bank</t>
  </si>
  <si>
    <t>Observed, historical data is produced by the Climatic Research Unit (CRU) of University of East Anglia. Data is presented at a 0.5º x 0.5º (50km x 50km) resolution.</t>
  </si>
  <si>
    <t>-</t>
  </si>
  <si>
    <t>Aggregate from a decade</t>
  </si>
  <si>
    <t>Boa Vista, Cape Verde</t>
  </si>
  <si>
    <t>Mon Repos, Queensland, Australia</t>
  </si>
  <si>
    <t>Boca Raton, Florida, US</t>
  </si>
  <si>
    <t>Meteorological Center (https://www.weather.gov/wrh/Climate?wfo=mfl)</t>
  </si>
  <si>
    <t>Fort Lauderdale</t>
  </si>
  <si>
    <t>Distance to nesting site (km)</t>
  </si>
  <si>
    <t>19 June to 30 September</t>
  </si>
  <si>
    <t>26 June to 15 October</t>
  </si>
  <si>
    <t>28 June to 28 September</t>
  </si>
  <si>
    <t>8 July to 9 October</t>
  </si>
  <si>
    <t>30 June to 23 September</t>
  </si>
  <si>
    <t>5 July to 2 October</t>
  </si>
  <si>
    <t>22 June to 22 October</t>
  </si>
  <si>
    <t>28 July to  11 November</t>
  </si>
  <si>
    <t>24 July to  22 October</t>
  </si>
  <si>
    <t>6 August to 14 October</t>
  </si>
  <si>
    <t>30 July to 2 October</t>
  </si>
  <si>
    <t>1 August to 14 October</t>
  </si>
  <si>
    <t>28 July to  12 October</t>
  </si>
  <si>
    <t>23 July to 22 October</t>
  </si>
  <si>
    <t>Nagata, Yakushima Island, Kagoshima Prefecture, Japan</t>
  </si>
  <si>
    <t>22 May to 11 June</t>
  </si>
  <si>
    <t>Japan Meteorological Agency (https://www.jma.go.jp/)</t>
  </si>
  <si>
    <t>Tanegashima</t>
  </si>
  <si>
    <t>Wassaw National Wildlife Refuge (NWR) and Blackbeard Island NWR, Georgia</t>
  </si>
  <si>
    <t>2000 to 2003, mid-May until early August, eggs hatch from late June until early October</t>
  </si>
  <si>
    <t>Hatase, Omuta, Komatsu</t>
  </si>
  <si>
    <t>Pers. Comm.</t>
  </si>
  <si>
    <t>Marine Biology</t>
  </si>
  <si>
    <t>LeBlanc et al.</t>
  </si>
  <si>
    <t>Southeastern Naturalist</t>
  </si>
  <si>
    <t>Early, Middle and Late phases of the 2002-nesting season</t>
  </si>
  <si>
    <t>Stokes et al.</t>
  </si>
  <si>
    <t>Herpetological Conservation Society</t>
  </si>
  <si>
    <t>Sikadway Island</t>
  </si>
  <si>
    <t>Morehead City</t>
  </si>
  <si>
    <t>Downtown Charleston</t>
  </si>
  <si>
    <t>Melbourne International Airport</t>
  </si>
  <si>
    <t>Nettles Island</t>
  </si>
  <si>
    <t>West Palm Beach Area</t>
  </si>
  <si>
    <t>Nii and Nino beaches on the E and W side of the Niyodo River Mouth</t>
  </si>
  <si>
    <t>early May to early August</t>
  </si>
  <si>
    <t>Kochi Station</t>
  </si>
  <si>
    <t>Saito et al.</t>
  </si>
  <si>
    <t>nesting season 1977, 1978, 1979 (here the average for 1978 is taken) (end of May, end of July)</t>
  </si>
  <si>
    <t>Zakynthos</t>
  </si>
  <si>
    <t>Margaritoulis</t>
  </si>
  <si>
    <t>Biological Conservation</t>
  </si>
  <si>
    <t>nesting season 1989</t>
  </si>
  <si>
    <t>Chrysochou Bay, Cyprus</t>
  </si>
  <si>
    <t>Hellenic National Meteorological Service (http://climatlas.hnms.gr/sdi/?lang=EN)</t>
  </si>
  <si>
    <t>Paphos</t>
  </si>
  <si>
    <t>average of CCKP in 1961-1990</t>
  </si>
  <si>
    <t>NA</t>
  </si>
  <si>
    <t>Ozdemir et al.</t>
  </si>
  <si>
    <t>Zoological Science</t>
  </si>
  <si>
    <t>nesting season (May to September)</t>
  </si>
  <si>
    <t>Margaritoulis et al.</t>
  </si>
  <si>
    <t>Heron Island, Queensland, Australia</t>
  </si>
  <si>
    <t>Booth and Astill</t>
  </si>
  <si>
    <t>Australian Journal of Zoology</t>
  </si>
  <si>
    <t>Ackerman</t>
  </si>
  <si>
    <t>Copeia</t>
  </si>
  <si>
    <t>Experiment: November 1998, December 1999 (1998 has the more nests)</t>
  </si>
  <si>
    <t>French Frigate Shoals</t>
  </si>
  <si>
    <t>March to September, peak August</t>
  </si>
  <si>
    <t>Year around, peak October to February</t>
  </si>
  <si>
    <t>Year around, peak October to December</t>
  </si>
  <si>
    <t>Year around, peak February to October</t>
  </si>
  <si>
    <t>Year around, peak July to August</t>
  </si>
  <si>
    <t>May to August</t>
  </si>
  <si>
    <t>November to April, peal December to January</t>
  </si>
  <si>
    <t>May to September, peak June to July</t>
  </si>
  <si>
    <t>Rainey</t>
  </si>
  <si>
    <t>Hughes</t>
  </si>
  <si>
    <t>Bustard</t>
  </si>
  <si>
    <t>Balazs</t>
  </si>
  <si>
    <t>nesting season  (27 May to 27 September)</t>
  </si>
  <si>
    <t>Peters et al.</t>
  </si>
  <si>
    <t>Herpetologica</t>
  </si>
  <si>
    <t>Loughran et al.</t>
  </si>
  <si>
    <t>Eighteenth International Sea Turtle Symposium</t>
  </si>
  <si>
    <t>nesting season</t>
  </si>
  <si>
    <t>June to early August (natural nest)</t>
  </si>
  <si>
    <t>June to early August (relocated nests)</t>
  </si>
  <si>
    <t>Turkozan and Yilmaz</t>
  </si>
  <si>
    <t>Marine Turtle Newsletter</t>
  </si>
  <si>
    <t>June to early August (natural nest) (scute deviations)</t>
  </si>
  <si>
    <t>June to early August (relocated nests) (scute deviations)</t>
  </si>
  <si>
    <t>Sak, Baran</t>
  </si>
  <si>
    <t>Turkish Journal of Zoology</t>
  </si>
  <si>
    <t>20 July to 18 September</t>
  </si>
  <si>
    <t>CV SCL</t>
  </si>
  <si>
    <t>CV SCW</t>
  </si>
  <si>
    <t>CV m</t>
  </si>
  <si>
    <t>mean</t>
  </si>
  <si>
    <t>stdev</t>
  </si>
  <si>
    <t>Meteonorm Aggregator</t>
  </si>
  <si>
    <t>Dalaman Station 172950 LTBS (36.7 N, 28.78 E)</t>
  </si>
  <si>
    <t>Silikfke Meteorological Station</t>
  </si>
  <si>
    <t>Dervisoglu, 2022</t>
  </si>
  <si>
    <t>taken for 1996, first measurement in Dalaman</t>
  </si>
  <si>
    <t>Antalya (173000 LTAI, 36.86 N, 30.73 E)</t>
  </si>
  <si>
    <t>Alagadi, Northern Cyprus</t>
  </si>
  <si>
    <t>Girne (Kyrenia)</t>
  </si>
  <si>
    <t>z AAT</t>
  </si>
  <si>
    <t>z NSAT</t>
  </si>
  <si>
    <t>z P</t>
  </si>
  <si>
    <t>z</t>
  </si>
  <si>
    <t>z SCL</t>
  </si>
  <si>
    <t>z CV SCL</t>
  </si>
  <si>
    <t>z SCW</t>
  </si>
  <si>
    <t>z CV SCW</t>
  </si>
  <si>
    <t>z m</t>
  </si>
  <si>
    <t>z CV m</t>
  </si>
  <si>
    <t>Booth</t>
  </si>
  <si>
    <t>Experimental Biology</t>
  </si>
  <si>
    <t>4 to 11 December</t>
  </si>
  <si>
    <t>Heron Islands</t>
  </si>
  <si>
    <t>year 2006</t>
  </si>
  <si>
    <t>November 2006 to March 2007</t>
  </si>
  <si>
    <t>Rusli et al.</t>
  </si>
  <si>
    <t>Sains Malaysiana</t>
  </si>
  <si>
    <t>Chagar Hutang, Redang Island, Terengganu: Experiment in situ</t>
  </si>
  <si>
    <t>March to October</t>
  </si>
  <si>
    <t>Kuala Trengganu, station 486180, 5.38 N, 103.1 E</t>
  </si>
  <si>
    <t>No precipitation, but relative humidity was in average 70</t>
  </si>
  <si>
    <t>Özdemir and Türkozan</t>
  </si>
  <si>
    <t>Ronas, Northern Cyprus</t>
  </si>
  <si>
    <t>Golden Beach, Northern Cyprus</t>
  </si>
  <si>
    <t>Larnaca International Airport 176090 LCK</t>
  </si>
  <si>
    <t>Taken for year 2001 as the data from 2002 is missing</t>
  </si>
  <si>
    <t>June to early August</t>
  </si>
  <si>
    <t>Iskenderun station 173700 LTAK 36.5 N, 36.16 E</t>
  </si>
  <si>
    <t>Samandag, Turkey, in situ</t>
  </si>
  <si>
    <t>Samandag, Turkey, relocated</t>
  </si>
  <si>
    <t>Sönmez et al.</t>
  </si>
  <si>
    <t>Zoology in the Middle East</t>
  </si>
  <si>
    <t>Experiment: incubation was performed at the University of Florida on constant temperature</t>
  </si>
  <si>
    <t>Tortuguero, Costa Rica (Florida)</t>
  </si>
  <si>
    <t>Experimental variables</t>
  </si>
  <si>
    <t>Carr and Hirth</t>
  </si>
  <si>
    <t>American Museum Novitates</t>
  </si>
  <si>
    <t>February, March, April</t>
  </si>
  <si>
    <t>Reported in the paper</t>
  </si>
  <si>
    <t>Ascension Island, UK</t>
  </si>
  <si>
    <t>Country</t>
  </si>
  <si>
    <t>AUS</t>
  </si>
  <si>
    <t>CPV</t>
  </si>
  <si>
    <t>USA</t>
  </si>
  <si>
    <t>JPN</t>
  </si>
  <si>
    <t>GRC</t>
  </si>
  <si>
    <t>CYP</t>
  </si>
  <si>
    <t>TUR</t>
  </si>
  <si>
    <t>Aves Island, Venezuela</t>
  </si>
  <si>
    <t>Servan</t>
  </si>
  <si>
    <t>Servan 1976</t>
  </si>
  <si>
    <t>Stdev</t>
  </si>
  <si>
    <t>Revue d'Ecologie (La Terre et la Vie)</t>
  </si>
  <si>
    <t>Ocean. Res. Inst. Invest. Rep.</t>
  </si>
  <si>
    <t>Hirth and Carr</t>
  </si>
  <si>
    <t>Abul Wadi beach, Aden, Yemen</t>
  </si>
  <si>
    <t>Reported in the paper as an average of 8 years</t>
  </si>
  <si>
    <t>Frazier</t>
  </si>
  <si>
    <t>Philosophical Transactions of the Royal Society of London, Series B</t>
  </si>
  <si>
    <t>Astove, Seychelles</t>
  </si>
  <si>
    <t>Aldabra Atoll, Seychelles</t>
  </si>
  <si>
    <t>Hendrickson</t>
  </si>
  <si>
    <t>Proceedings Zoological Society of London</t>
  </si>
  <si>
    <t>Sarawak Island, Malaysia</t>
  </si>
  <si>
    <t>Lihue WSO AP 1020.1</t>
  </si>
  <si>
    <t>Tortuguero, Costa Rica</t>
  </si>
  <si>
    <t>Europa Island, France (Mozambique)</t>
  </si>
  <si>
    <t>Tromelin Island, France (Mozambique)</t>
  </si>
  <si>
    <t>Infoclimat</t>
  </si>
  <si>
    <t>Station Des Rosiers</t>
  </si>
  <si>
    <t>Station Serge Frolow</t>
  </si>
  <si>
    <t>Farrow, 1971</t>
  </si>
  <si>
    <t>taken from Table 4 (1958)</t>
  </si>
  <si>
    <t>Taken from Table 7 for 1959</t>
  </si>
  <si>
    <t>MYS</t>
  </si>
  <si>
    <t>GBR</t>
  </si>
  <si>
    <t>CRI</t>
  </si>
  <si>
    <t>VEN</t>
  </si>
  <si>
    <t>FRA</t>
  </si>
  <si>
    <t>YEM</t>
  </si>
  <si>
    <t>SYC</t>
  </si>
  <si>
    <t>Cape Island, South Carolina</t>
  </si>
  <si>
    <t>Cape Lookout, North Carolina</t>
  </si>
  <si>
    <t>Kiawah Island, South Carolina</t>
  </si>
  <si>
    <t>Wassaw National Wildlife Refuge, Georgia</t>
  </si>
  <si>
    <t>Melbourne Beach, Florida</t>
  </si>
  <si>
    <t>Hutchinson Island, Florida</t>
  </si>
  <si>
    <t>Juno Beach, Florida</t>
  </si>
  <si>
    <t>Annual temperature (C)</t>
  </si>
  <si>
    <t>Nesting season temperature (C)</t>
  </si>
  <si>
    <t>Monthly Mean Avg Temperature for Fort Lauderdale Area, FL (ThreadEx)</t>
  </si>
  <si>
    <t>Collect season</t>
  </si>
  <si>
    <t>z clutch size</t>
  </si>
  <si>
    <t>z %</t>
  </si>
  <si>
    <t>z mass</t>
  </si>
  <si>
    <t>z T1</t>
  </si>
  <si>
    <t>z P1</t>
  </si>
  <si>
    <t>z T2</t>
  </si>
  <si>
    <t>z P2</t>
  </si>
  <si>
    <t>Eig 2.5%</t>
  </si>
  <si>
    <t>Eig 97.5%</t>
  </si>
  <si>
    <t>Cumulative</t>
  </si>
  <si>
    <t>St. dev.</t>
  </si>
  <si>
    <t>Average</t>
  </si>
  <si>
    <t>Year of sampling</t>
  </si>
  <si>
    <t>AP (mm)</t>
  </si>
  <si>
    <t>AAT (C)</t>
  </si>
  <si>
    <t>NSAT (C)</t>
  </si>
  <si>
    <t>NSP (C)</t>
  </si>
  <si>
    <t>1. Summary table of geoclimatic variables and hatchling size</t>
  </si>
  <si>
    <t>2. Raw climatic data</t>
  </si>
  <si>
    <t>3. Correlation matrices</t>
  </si>
  <si>
    <t>Heatmap</t>
  </si>
  <si>
    <t>3.1 Caretta caretta</t>
  </si>
  <si>
    <t>3.2 Chelonia mydas</t>
  </si>
  <si>
    <t>1. Correlation using standardised values</t>
  </si>
  <si>
    <t>2. Correlation using coefficents of variation</t>
  </si>
  <si>
    <t>pers. comm.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</si>
</sst>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m\-yy;@"/>
    <numFmt numFmtId="165" formatCode="[$-C0A]d\-mmm\-yy;@"/>
    <numFmt numFmtId="166" formatCode="dd\-mm\-yyyy;@"/>
    <numFmt numFmtId="167" formatCode="0.0"/>
    <numFmt numFmtId="168" formatCode="0.000"/>
    <numFmt numFmtId="169" formatCode="dd\-mm\-yy;@"/>
    <numFmt numFmtId="170" formatCode="0.0000"/>
    <numFmt numFmtId="171" formatCode="0.00000"/>
  </numFmts>
  <fonts count="16" x14ac:knownFonts="1">
    <font>
      <sz val="11"/>
      <color theme="1"/>
      <name val="Calibri"/>
      <family val="2"/>
      <scheme val="minor"/>
    </font>
    <font>
      <b/>
      <sz val="11"/>
      <color theme="1"/>
      <name val="Calibri"/>
      <family val="2"/>
      <scheme val="minor"/>
    </font>
    <font>
      <sz val="10"/>
      <name val="Arial"/>
    </font>
    <font>
      <b/>
      <sz val="10"/>
      <name val="Arial"/>
      <family val="2"/>
    </font>
    <font>
      <sz val="10"/>
      <name val="Arial"/>
      <family val="2"/>
    </font>
    <font>
      <b/>
      <sz val="8"/>
      <color indexed="81"/>
      <name val="Tahoma"/>
    </font>
    <font>
      <sz val="8"/>
      <color indexed="81"/>
      <name val="Tahoma"/>
    </font>
    <font>
      <sz val="8"/>
      <name val="Calibri"/>
      <family val="2"/>
      <scheme val="minor"/>
    </font>
    <font>
      <sz val="12"/>
      <color rgb="FF000000"/>
      <name val="Arial"/>
      <family val="2"/>
    </font>
    <font>
      <sz val="12"/>
      <color rgb="FF000000"/>
      <name val="Arial"/>
      <family val="2"/>
    </font>
    <font>
      <sz val="12"/>
      <color theme="1"/>
      <name val="Arial"/>
      <family val="2"/>
    </font>
    <font>
      <u/>
      <sz val="11"/>
      <color theme="10"/>
      <name val="Calibri"/>
      <family val="2"/>
      <scheme val="minor"/>
    </font>
    <font>
      <i/>
      <sz val="11"/>
      <color theme="1"/>
      <name val="Calibri"/>
      <family val="2"/>
      <scheme val="minor"/>
    </font>
    <font>
      <sz val="12"/>
      <color rgb="FF000000"/>
      <name val="Arial"/>
      <family val="2"/>
    </font>
    <font>
      <sz val="11"/>
      <color theme="1"/>
      <name val="Calibri"/>
      <family val="2"/>
    </font>
    <font>
      <b/>
      <sz val="12"/>
      <color theme="1"/>
      <name val="Calibri"/>
      <family val="2"/>
      <scheme val="minor"/>
    </font>
  </fonts>
  <fills count="27">
    <fill>
      <patternFill patternType="none"/>
    </fill>
    <fill>
      <patternFill patternType="gray125"/>
    </fill>
    <fill>
      <patternFill patternType="solid">
        <fgColor rgb="FFFFFFFF"/>
        <bgColor indexed="64"/>
      </patternFill>
    </fill>
    <fill>
      <patternFill patternType="solid">
        <fgColor rgb="FFE4F1FB"/>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rgb="FFFF6699"/>
        <bgColor indexed="64"/>
      </patternFill>
    </fill>
    <fill>
      <patternFill patternType="solid">
        <fgColor theme="9" tint="-0.249977111117893"/>
        <bgColor indexed="64"/>
      </patternFill>
    </fill>
    <fill>
      <patternFill patternType="solid">
        <fgColor rgb="FF7030A0"/>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rgb="FF92D050"/>
        <bgColor indexed="64"/>
      </patternFill>
    </fill>
    <fill>
      <patternFill patternType="solid">
        <fgColor rgb="FF00B0F0"/>
        <bgColor indexed="64"/>
      </patternFill>
    </fill>
  </fills>
  <borders count="9">
    <border>
      <left/>
      <right/>
      <top/>
      <bottom/>
      <diagonal/>
    </border>
    <border>
      <left style="medium">
        <color rgb="FF3BAAE3"/>
      </left>
      <right style="medium">
        <color rgb="FF3BAAE3"/>
      </right>
      <top style="medium">
        <color rgb="FF3BAAE3"/>
      </top>
      <bottom style="medium">
        <color rgb="FF3BAAE3"/>
      </bottom>
      <diagonal/>
    </border>
    <border>
      <left style="medium">
        <color rgb="FF3BAAE3"/>
      </left>
      <right/>
      <top style="medium">
        <color rgb="FF3BAAE3"/>
      </top>
      <bottom style="medium">
        <color rgb="FF3BAAE3"/>
      </bottom>
      <diagonal/>
    </border>
    <border>
      <left style="medium">
        <color rgb="FF3BAAE3"/>
      </left>
      <right style="medium">
        <color rgb="FF3BAAE3"/>
      </right>
      <top style="medium">
        <color rgb="FF3BAAE3"/>
      </top>
      <bottom/>
      <diagonal/>
    </border>
    <border>
      <left style="medium">
        <color rgb="FF3BAAE3"/>
      </left>
      <right style="medium">
        <color rgb="FF3BAAE3"/>
      </right>
      <top/>
      <bottom style="medium">
        <color rgb="FF3BAAE3"/>
      </bottom>
      <diagonal/>
    </border>
    <border>
      <left style="medium">
        <color rgb="FF3BAAE3"/>
      </left>
      <right/>
      <top style="medium">
        <color rgb="FF3BAAE3"/>
      </top>
      <bottom/>
      <diagonal/>
    </border>
    <border>
      <left style="medium">
        <color rgb="FF3BAAE3"/>
      </left>
      <right/>
      <top/>
      <bottom style="medium">
        <color rgb="FF3BAAE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11" fillId="0" borderId="0" applyNumberFormat="0" applyFill="0" applyBorder="0" applyAlignment="0" applyProtection="0"/>
  </cellStyleXfs>
  <cellXfs count="132">
    <xf numFmtId="0" fontId="0" fillId="0" borderId="0" xfId="0"/>
    <xf numFmtId="0" fontId="0" fillId="0" borderId="0" xfId="0" applyAlignment="1">
      <alignment wrapText="1"/>
    </xf>
    <xf numFmtId="0" fontId="1" fillId="0" borderId="0" xfId="0" applyFont="1"/>
    <xf numFmtId="0" fontId="3" fillId="0" borderId="0" xfId="1" applyFont="1" applyAlignment="1">
      <alignment horizontal="center"/>
    </xf>
    <xf numFmtId="164" fontId="3" fillId="0" borderId="0" xfId="1" applyNumberFormat="1" applyFont="1" applyAlignment="1">
      <alignment horizontal="center"/>
    </xf>
    <xf numFmtId="165" fontId="3" fillId="0" borderId="0" xfId="1" applyNumberFormat="1" applyFont="1" applyAlignment="1">
      <alignment horizontal="center"/>
    </xf>
    <xf numFmtId="165" fontId="3" fillId="0" borderId="0" xfId="1" applyNumberFormat="1" applyFont="1" applyAlignment="1">
      <alignment horizontal="center" wrapText="1"/>
    </xf>
    <xf numFmtId="2" fontId="3" fillId="0" borderId="0" xfId="1" applyNumberFormat="1" applyFont="1" applyAlignment="1">
      <alignment horizontal="center"/>
    </xf>
    <xf numFmtId="0" fontId="3" fillId="0" borderId="0" xfId="1" applyFont="1"/>
    <xf numFmtId="0" fontId="2" fillId="0" borderId="0" xfId="1" applyAlignment="1">
      <alignment horizontal="center"/>
    </xf>
    <xf numFmtId="166" fontId="2" fillId="0" borderId="0" xfId="1" applyNumberFormat="1" applyAlignment="1">
      <alignment horizontal="center"/>
    </xf>
    <xf numFmtId="2" fontId="2" fillId="0" borderId="0" xfId="1" applyNumberFormat="1" applyAlignment="1">
      <alignment horizontal="center"/>
    </xf>
    <xf numFmtId="167" fontId="2" fillId="0" borderId="0" xfId="1" applyNumberFormat="1" applyAlignment="1">
      <alignment horizontal="center"/>
    </xf>
    <xf numFmtId="0" fontId="2" fillId="0" borderId="0" xfId="1"/>
    <xf numFmtId="0" fontId="4" fillId="0" borderId="0" xfId="1" applyFont="1"/>
    <xf numFmtId="0" fontId="4" fillId="0" borderId="0" xfId="1" applyFont="1" applyAlignment="1">
      <alignment horizontal="center"/>
    </xf>
    <xf numFmtId="2" fontId="4" fillId="0" borderId="0" xfId="1" applyNumberFormat="1" applyFont="1" applyAlignment="1">
      <alignment horizontal="center"/>
    </xf>
    <xf numFmtId="1" fontId="2" fillId="0" borderId="0" xfId="1" applyNumberFormat="1" applyAlignment="1">
      <alignment horizontal="center"/>
    </xf>
    <xf numFmtId="165" fontId="4" fillId="0" borderId="0" xfId="1" applyNumberFormat="1" applyFont="1" applyAlignment="1">
      <alignment horizontal="center"/>
    </xf>
    <xf numFmtId="0" fontId="8" fillId="2" borderId="1" xfId="0" applyFont="1" applyFill="1" applyBorder="1" applyAlignment="1">
      <alignment vertical="center"/>
    </xf>
    <xf numFmtId="0" fontId="9" fillId="3" borderId="1" xfId="0" applyFont="1" applyFill="1" applyBorder="1" applyAlignment="1">
      <alignment horizontal="center" vertical="center" wrapText="1"/>
    </xf>
    <xf numFmtId="0" fontId="8" fillId="2" borderId="2" xfId="0" applyFont="1" applyFill="1" applyBorder="1" applyAlignment="1">
      <alignment vertical="center"/>
    </xf>
    <xf numFmtId="0" fontId="8" fillId="2" borderId="5" xfId="0" applyFont="1" applyFill="1" applyBorder="1" applyAlignment="1">
      <alignment vertical="center"/>
    </xf>
    <xf numFmtId="0" fontId="8" fillId="2" borderId="3" xfId="0" applyFont="1" applyFill="1" applyBorder="1" applyAlignment="1">
      <alignment vertical="center"/>
    </xf>
    <xf numFmtId="0" fontId="8" fillId="2" borderId="6" xfId="0" applyFont="1" applyFill="1" applyBorder="1" applyAlignment="1">
      <alignment vertical="center"/>
    </xf>
    <xf numFmtId="0" fontId="8" fillId="2" borderId="4" xfId="0" applyFont="1" applyFill="1" applyBorder="1" applyAlignment="1">
      <alignment vertical="center"/>
    </xf>
    <xf numFmtId="0" fontId="10" fillId="0" borderId="0" xfId="0" applyFont="1"/>
    <xf numFmtId="0" fontId="9" fillId="0" borderId="0" xfId="0" applyFont="1"/>
    <xf numFmtId="0" fontId="11" fillId="0" borderId="0" xfId="2"/>
    <xf numFmtId="0" fontId="0" fillId="7" borderId="0" xfId="0" applyFill="1"/>
    <xf numFmtId="0" fontId="0" fillId="0" borderId="7" xfId="0" applyBorder="1"/>
    <xf numFmtId="0" fontId="0" fillId="4" borderId="7" xfId="0" applyFill="1" applyBorder="1"/>
    <xf numFmtId="0" fontId="0" fillId="6" borderId="7" xfId="0" applyFill="1" applyBorder="1"/>
    <xf numFmtId="167" fontId="0" fillId="6" borderId="7" xfId="0" applyNumberFormat="1" applyFill="1" applyBorder="1"/>
    <xf numFmtId="2" fontId="0" fillId="6" borderId="7" xfId="0" applyNumberFormat="1" applyFill="1" applyBorder="1"/>
    <xf numFmtId="2" fontId="0" fillId="0" borderId="0" xfId="0" applyNumberFormat="1"/>
    <xf numFmtId="11" fontId="0" fillId="0" borderId="0" xfId="0" applyNumberFormat="1"/>
    <xf numFmtId="0" fontId="0" fillId="0" borderId="7" xfId="0" applyBorder="1" applyAlignment="1">
      <alignment wrapText="1"/>
    </xf>
    <xf numFmtId="0" fontId="0" fillId="11" borderId="7" xfId="0" applyFill="1" applyBorder="1"/>
    <xf numFmtId="2" fontId="0" fillId="4" borderId="7" xfId="0" applyNumberFormat="1" applyFill="1" applyBorder="1"/>
    <xf numFmtId="2" fontId="0" fillId="11" borderId="7" xfId="0" applyNumberFormat="1" applyFill="1" applyBorder="1"/>
    <xf numFmtId="2" fontId="0" fillId="9" borderId="7" xfId="0" applyNumberFormat="1" applyFill="1" applyBorder="1"/>
    <xf numFmtId="0" fontId="0" fillId="8" borderId="7" xfId="0" applyFill="1" applyBorder="1"/>
    <xf numFmtId="0" fontId="0" fillId="10" borderId="7" xfId="0" applyFill="1" applyBorder="1"/>
    <xf numFmtId="0" fontId="0" fillId="5" borderId="7" xfId="0" applyFill="1" applyBorder="1"/>
    <xf numFmtId="2" fontId="0" fillId="5" borderId="7" xfId="0" applyNumberFormat="1" applyFill="1" applyBorder="1"/>
    <xf numFmtId="0" fontId="0" fillId="7" borderId="7" xfId="0" applyFill="1" applyBorder="1"/>
    <xf numFmtId="2" fontId="0" fillId="8" borderId="7" xfId="0" applyNumberFormat="1" applyFill="1" applyBorder="1"/>
    <xf numFmtId="0" fontId="0" fillId="12" borderId="7" xfId="0" applyFill="1" applyBorder="1"/>
    <xf numFmtId="0" fontId="0" fillId="9" borderId="7" xfId="0" applyFill="1" applyBorder="1"/>
    <xf numFmtId="2" fontId="0" fillId="12" borderId="7" xfId="0" applyNumberFormat="1" applyFill="1" applyBorder="1"/>
    <xf numFmtId="0" fontId="0" fillId="13" borderId="7" xfId="0" applyFill="1" applyBorder="1"/>
    <xf numFmtId="2" fontId="0" fillId="13" borderId="7" xfId="0" applyNumberFormat="1" applyFill="1" applyBorder="1"/>
    <xf numFmtId="0" fontId="0" fillId="14" borderId="7" xfId="0" applyFill="1" applyBorder="1"/>
    <xf numFmtId="0" fontId="0" fillId="15" borderId="7" xfId="0" applyFill="1" applyBorder="1"/>
    <xf numFmtId="0" fontId="1" fillId="15" borderId="7" xfId="0" applyFont="1" applyFill="1" applyBorder="1"/>
    <xf numFmtId="0" fontId="12" fillId="0" borderId="7" xfId="0" applyFont="1" applyBorder="1"/>
    <xf numFmtId="167" fontId="0" fillId="4" borderId="7" xfId="0" applyNumberFormat="1" applyFill="1" applyBorder="1"/>
    <xf numFmtId="167" fontId="0" fillId="5" borderId="7" xfId="0" applyNumberFormat="1" applyFill="1" applyBorder="1"/>
    <xf numFmtId="167" fontId="0" fillId="7" borderId="7" xfId="0" applyNumberFormat="1" applyFill="1" applyBorder="1"/>
    <xf numFmtId="167" fontId="0" fillId="8" borderId="7" xfId="0" applyNumberFormat="1" applyFill="1" applyBorder="1"/>
    <xf numFmtId="167" fontId="0" fillId="11" borderId="7" xfId="0" applyNumberFormat="1" applyFill="1" applyBorder="1"/>
    <xf numFmtId="167" fontId="0" fillId="12" borderId="7" xfId="0" applyNumberFormat="1" applyFill="1" applyBorder="1"/>
    <xf numFmtId="167" fontId="0" fillId="13" borderId="7" xfId="0" applyNumberFormat="1" applyFill="1" applyBorder="1"/>
    <xf numFmtId="167" fontId="0" fillId="14" borderId="7" xfId="0" applyNumberFormat="1" applyFill="1" applyBorder="1"/>
    <xf numFmtId="0" fontId="13" fillId="3" borderId="1" xfId="0" applyFont="1" applyFill="1" applyBorder="1" applyAlignment="1">
      <alignment horizontal="center" vertical="center" wrapText="1"/>
    </xf>
    <xf numFmtId="169" fontId="2" fillId="0" borderId="0" xfId="1" applyNumberFormat="1" applyAlignment="1">
      <alignment horizontal="center"/>
    </xf>
    <xf numFmtId="169" fontId="4" fillId="0" borderId="0" xfId="1" applyNumberFormat="1" applyFont="1" applyAlignment="1">
      <alignment horizontal="center"/>
    </xf>
    <xf numFmtId="0" fontId="14" fillId="0" borderId="0" xfId="0" applyFont="1"/>
    <xf numFmtId="170" fontId="0" fillId="0" borderId="0" xfId="0" applyNumberFormat="1"/>
    <xf numFmtId="171" fontId="0" fillId="0" borderId="0" xfId="0" applyNumberFormat="1"/>
    <xf numFmtId="171" fontId="0" fillId="16" borderId="0" xfId="0" applyNumberFormat="1" applyFill="1"/>
    <xf numFmtId="0" fontId="15" fillId="0" borderId="0" xfId="0" applyFont="1"/>
    <xf numFmtId="0" fontId="12" fillId="17" borderId="7" xfId="0" applyFont="1" applyFill="1" applyBorder="1"/>
    <xf numFmtId="0" fontId="0" fillId="17" borderId="7" xfId="0" applyFill="1" applyBorder="1"/>
    <xf numFmtId="0" fontId="0" fillId="17" borderId="0" xfId="0" applyFill="1"/>
    <xf numFmtId="2" fontId="0" fillId="17" borderId="7" xfId="0" applyNumberFormat="1" applyFill="1" applyBorder="1"/>
    <xf numFmtId="167" fontId="0" fillId="17" borderId="7" xfId="0" applyNumberFormat="1" applyFill="1" applyBorder="1"/>
    <xf numFmtId="0" fontId="12" fillId="18" borderId="7" xfId="0" applyFont="1" applyFill="1" applyBorder="1"/>
    <xf numFmtId="0" fontId="0" fillId="18" borderId="7" xfId="0" applyFill="1" applyBorder="1"/>
    <xf numFmtId="2" fontId="0" fillId="18" borderId="7" xfId="0" applyNumberFormat="1" applyFill="1" applyBorder="1"/>
    <xf numFmtId="167" fontId="0" fillId="18" borderId="7" xfId="0" applyNumberFormat="1" applyFill="1" applyBorder="1"/>
    <xf numFmtId="0" fontId="12" fillId="19" borderId="7" xfId="0" applyFont="1" applyFill="1" applyBorder="1"/>
    <xf numFmtId="0" fontId="0" fillId="19" borderId="7" xfId="0" applyFill="1" applyBorder="1"/>
    <xf numFmtId="2" fontId="0" fillId="19" borderId="7" xfId="0" applyNumberFormat="1" applyFill="1" applyBorder="1"/>
    <xf numFmtId="167" fontId="0" fillId="19" borderId="7" xfId="0" applyNumberFormat="1" applyFill="1" applyBorder="1"/>
    <xf numFmtId="0" fontId="12" fillId="20" borderId="7" xfId="0" applyFont="1" applyFill="1" applyBorder="1"/>
    <xf numFmtId="0" fontId="0" fillId="20" borderId="7" xfId="0" applyFill="1" applyBorder="1"/>
    <xf numFmtId="2" fontId="0" fillId="20" borderId="7" xfId="0" applyNumberFormat="1" applyFill="1" applyBorder="1"/>
    <xf numFmtId="167" fontId="0" fillId="20" borderId="7" xfId="0" applyNumberFormat="1" applyFill="1" applyBorder="1"/>
    <xf numFmtId="168" fontId="0" fillId="20" borderId="7" xfId="0" applyNumberFormat="1" applyFill="1" applyBorder="1"/>
    <xf numFmtId="0" fontId="12" fillId="21" borderId="7" xfId="0" applyFont="1" applyFill="1" applyBorder="1"/>
    <xf numFmtId="0" fontId="0" fillId="21" borderId="7" xfId="0" applyFill="1" applyBorder="1"/>
    <xf numFmtId="2" fontId="0" fillId="21" borderId="7" xfId="0" applyNumberFormat="1" applyFill="1" applyBorder="1"/>
    <xf numFmtId="167" fontId="0" fillId="21" borderId="7" xfId="0" applyNumberFormat="1" applyFill="1" applyBorder="1"/>
    <xf numFmtId="0" fontId="12" fillId="10" borderId="7" xfId="0" applyFont="1" applyFill="1" applyBorder="1"/>
    <xf numFmtId="2" fontId="0" fillId="10" borderId="7" xfId="0" applyNumberFormat="1" applyFill="1" applyBorder="1"/>
    <xf numFmtId="167" fontId="0" fillId="10" borderId="7" xfId="0" applyNumberFormat="1" applyFill="1" applyBorder="1"/>
    <xf numFmtId="0" fontId="12" fillId="14" borderId="7" xfId="0" applyFont="1" applyFill="1" applyBorder="1"/>
    <xf numFmtId="2" fontId="0" fillId="14" borderId="7" xfId="0" applyNumberFormat="1" applyFill="1" applyBorder="1"/>
    <xf numFmtId="0" fontId="12" fillId="22" borderId="7" xfId="0" applyFont="1" applyFill="1" applyBorder="1"/>
    <xf numFmtId="0" fontId="0" fillId="22" borderId="7" xfId="0" applyFill="1" applyBorder="1"/>
    <xf numFmtId="2" fontId="0" fillId="22" borderId="7" xfId="0" applyNumberFormat="1" applyFill="1" applyBorder="1"/>
    <xf numFmtId="167" fontId="0" fillId="22" borderId="7" xfId="0" applyNumberFormat="1" applyFill="1" applyBorder="1"/>
    <xf numFmtId="0" fontId="12" fillId="23" borderId="7" xfId="0" applyFont="1" applyFill="1" applyBorder="1"/>
    <xf numFmtId="0" fontId="0" fillId="23" borderId="7" xfId="0" applyFill="1" applyBorder="1"/>
    <xf numFmtId="2" fontId="0" fillId="23" borderId="7" xfId="0" applyNumberFormat="1" applyFill="1" applyBorder="1"/>
    <xf numFmtId="167" fontId="0" fillId="23" borderId="7" xfId="0" applyNumberFormat="1" applyFill="1" applyBorder="1"/>
    <xf numFmtId="0" fontId="12" fillId="7" borderId="7" xfId="0" applyFont="1" applyFill="1" applyBorder="1"/>
    <xf numFmtId="2" fontId="0" fillId="7" borderId="7" xfId="0" applyNumberFormat="1" applyFill="1" applyBorder="1"/>
    <xf numFmtId="0" fontId="0" fillId="7" borderId="8" xfId="0" applyFill="1" applyBorder="1"/>
    <xf numFmtId="0" fontId="0" fillId="14" borderId="0" xfId="0" applyFill="1"/>
    <xf numFmtId="0" fontId="12" fillId="24" borderId="7" xfId="0" applyFont="1" applyFill="1" applyBorder="1"/>
    <xf numFmtId="0" fontId="0" fillId="24" borderId="7" xfId="0" applyFill="1" applyBorder="1"/>
    <xf numFmtId="2" fontId="0" fillId="24" borderId="7" xfId="0" applyNumberFormat="1" applyFill="1" applyBorder="1"/>
    <xf numFmtId="167" fontId="0" fillId="24" borderId="7" xfId="0" applyNumberFormat="1" applyFill="1" applyBorder="1"/>
    <xf numFmtId="0" fontId="12" fillId="25" borderId="7" xfId="0" applyFont="1" applyFill="1" applyBorder="1"/>
    <xf numFmtId="0" fontId="0" fillId="25" borderId="7" xfId="0" applyFill="1" applyBorder="1"/>
    <xf numFmtId="2" fontId="0" fillId="25" borderId="7" xfId="0" applyNumberFormat="1" applyFill="1" applyBorder="1"/>
    <xf numFmtId="167" fontId="0" fillId="25" borderId="7" xfId="0" applyNumberFormat="1" applyFill="1" applyBorder="1"/>
    <xf numFmtId="0" fontId="12" fillId="26" borderId="7" xfId="0" applyFont="1" applyFill="1" applyBorder="1"/>
    <xf numFmtId="0" fontId="0" fillId="26" borderId="7" xfId="0" applyFill="1" applyBorder="1"/>
    <xf numFmtId="167" fontId="0" fillId="26" borderId="7" xfId="0" applyNumberFormat="1" applyFill="1" applyBorder="1"/>
    <xf numFmtId="2" fontId="0" fillId="26" borderId="7" xfId="0" applyNumberFormat="1" applyFill="1" applyBorder="1"/>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left"/>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8" fillId="2" borderId="3" xfId="0" applyFont="1" applyFill="1" applyBorder="1" applyAlignment="1">
      <alignment vertical="center"/>
    </xf>
    <xf numFmtId="0" fontId="8" fillId="2" borderId="4" xfId="0" applyFont="1" applyFill="1" applyBorder="1" applyAlignment="1">
      <alignment vertical="center"/>
    </xf>
  </cellXfs>
  <cellStyles count="3">
    <cellStyle name="Hyperlink" xfId="2" builtinId="8"/>
    <cellStyle name="Normal" xfId="0" builtinId="0"/>
    <cellStyle name="Normal 2" xfId="1" xr:uid="{FBC28D3B-58E4-43E3-80C7-A109A46342D3}"/>
  </cellStyles>
  <dxfs count="13">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powerPivotData" Target="model/item.data"/><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27214</xdr:colOff>
      <xdr:row>32</xdr:row>
      <xdr:rowOff>9071</xdr:rowOff>
    </xdr:from>
    <xdr:to>
      <xdr:col>17</xdr:col>
      <xdr:colOff>517309</xdr:colOff>
      <xdr:row>59</xdr:row>
      <xdr:rowOff>100976</xdr:rowOff>
    </xdr:to>
    <xdr:pic>
      <xdr:nvPicPr>
        <xdr:cNvPr id="2" name="Picture 1">
          <a:extLst>
            <a:ext uri="{FF2B5EF4-FFF2-40B4-BE49-F238E27FC236}">
              <a16:creationId xmlns:a16="http://schemas.microsoft.com/office/drawing/2014/main" id="{A6403245-31E7-1426-5FD1-0CBCA57640C5}"/>
            </a:ext>
          </a:extLst>
        </xdr:cNvPr>
        <xdr:cNvPicPr>
          <a:picLocks noChangeAspect="1"/>
        </xdr:cNvPicPr>
      </xdr:nvPicPr>
      <xdr:blipFill>
        <a:blip xmlns:r="http://schemas.openxmlformats.org/officeDocument/2006/relationships" r:embed="rId1"/>
        <a:stretch>
          <a:fillRect/>
        </a:stretch>
      </xdr:blipFill>
      <xdr:spPr>
        <a:xfrm>
          <a:off x="8227785" y="7030357"/>
          <a:ext cx="5352381" cy="4990476"/>
        </a:xfrm>
        <a:prstGeom prst="rect">
          <a:avLst/>
        </a:prstGeom>
      </xdr:spPr>
    </xdr:pic>
    <xdr:clientData/>
  </xdr:twoCellAnchor>
  <xdr:twoCellAnchor editAs="oneCell">
    <xdr:from>
      <xdr:col>9</xdr:col>
      <xdr:colOff>9072</xdr:colOff>
      <xdr:row>59</xdr:row>
      <xdr:rowOff>99786</xdr:rowOff>
    </xdr:from>
    <xdr:to>
      <xdr:col>17</xdr:col>
      <xdr:colOff>489643</xdr:colOff>
      <xdr:row>87</xdr:row>
      <xdr:rowOff>19786</xdr:rowOff>
    </xdr:to>
    <xdr:pic>
      <xdr:nvPicPr>
        <xdr:cNvPr id="3" name="Picture 2">
          <a:extLst>
            <a:ext uri="{FF2B5EF4-FFF2-40B4-BE49-F238E27FC236}">
              <a16:creationId xmlns:a16="http://schemas.microsoft.com/office/drawing/2014/main" id="{E0750041-5BE0-A173-207E-FED7AE3FAD8C}"/>
            </a:ext>
          </a:extLst>
        </xdr:cNvPr>
        <xdr:cNvPicPr>
          <a:picLocks noChangeAspect="1"/>
        </xdr:cNvPicPr>
      </xdr:nvPicPr>
      <xdr:blipFill>
        <a:blip xmlns:r="http://schemas.openxmlformats.org/officeDocument/2006/relationships" r:embed="rId2"/>
        <a:stretch>
          <a:fillRect/>
        </a:stretch>
      </xdr:blipFill>
      <xdr:spPr>
        <a:xfrm>
          <a:off x="8209643" y="12019643"/>
          <a:ext cx="5342857" cy="50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588818</xdr:colOff>
      <xdr:row>0</xdr:row>
      <xdr:rowOff>103909</xdr:rowOff>
    </xdr:from>
    <xdr:to>
      <xdr:col>37</xdr:col>
      <xdr:colOff>109883</xdr:colOff>
      <xdr:row>17</xdr:row>
      <xdr:rowOff>69273</xdr:rowOff>
    </xdr:to>
    <xdr:pic>
      <xdr:nvPicPr>
        <xdr:cNvPr id="2" name="Picture 1">
          <a:extLst>
            <a:ext uri="{FF2B5EF4-FFF2-40B4-BE49-F238E27FC236}">
              <a16:creationId xmlns:a16="http://schemas.microsoft.com/office/drawing/2014/main" id="{0ADFD682-82B4-6C01-9A20-8C8CAAF6A5FC}"/>
            </a:ext>
          </a:extLst>
        </xdr:cNvPr>
        <xdr:cNvPicPr>
          <a:picLocks noChangeAspect="1"/>
        </xdr:cNvPicPr>
      </xdr:nvPicPr>
      <xdr:blipFill>
        <a:blip xmlns:r="http://schemas.openxmlformats.org/officeDocument/2006/relationships" r:embed="rId1"/>
        <a:stretch>
          <a:fillRect/>
        </a:stretch>
      </xdr:blipFill>
      <xdr:spPr>
        <a:xfrm>
          <a:off x="14374091" y="103909"/>
          <a:ext cx="6794701" cy="3671455"/>
        </a:xfrm>
        <a:prstGeom prst="rect">
          <a:avLst/>
        </a:prstGeom>
      </xdr:spPr>
    </xdr:pic>
    <xdr:clientData/>
  </xdr:twoCellAnchor>
  <xdr:twoCellAnchor editAs="oneCell">
    <xdr:from>
      <xdr:col>37</xdr:col>
      <xdr:colOff>554183</xdr:colOff>
      <xdr:row>0</xdr:row>
      <xdr:rowOff>12990</xdr:rowOff>
    </xdr:from>
    <xdr:to>
      <xdr:col>50</xdr:col>
      <xdr:colOff>246334</xdr:colOff>
      <xdr:row>19</xdr:row>
      <xdr:rowOff>17319</xdr:rowOff>
    </xdr:to>
    <xdr:pic>
      <xdr:nvPicPr>
        <xdr:cNvPr id="3" name="Picture 2">
          <a:extLst>
            <a:ext uri="{FF2B5EF4-FFF2-40B4-BE49-F238E27FC236}">
              <a16:creationId xmlns:a16="http://schemas.microsoft.com/office/drawing/2014/main" id="{FFF10C4D-A9D9-01C0-F1C6-93C588255115}"/>
            </a:ext>
          </a:extLst>
        </xdr:cNvPr>
        <xdr:cNvPicPr>
          <a:picLocks noChangeAspect="1"/>
        </xdr:cNvPicPr>
      </xdr:nvPicPr>
      <xdr:blipFill>
        <a:blip xmlns:r="http://schemas.openxmlformats.org/officeDocument/2006/relationships" r:embed="rId2"/>
        <a:stretch>
          <a:fillRect/>
        </a:stretch>
      </xdr:blipFill>
      <xdr:spPr>
        <a:xfrm>
          <a:off x="21613092" y="12990"/>
          <a:ext cx="7571924" cy="409142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weather.gov/wrh/Climate?wfo=mf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78D5-2025-4574-A717-A13382C9657D}">
  <dimension ref="A1:AB108"/>
  <sheetViews>
    <sheetView topLeftCell="D1" zoomScale="70" zoomScaleNormal="70" workbookViewId="0">
      <selection activeCell="H22" sqref="H22"/>
    </sheetView>
  </sheetViews>
  <sheetFormatPr defaultColWidth="8.81640625" defaultRowHeight="14.5" x14ac:dyDescent="0.35"/>
  <cols>
    <col min="2" max="2" width="14" customWidth="1"/>
    <col min="3" max="9" width="13.54296875" customWidth="1"/>
    <col min="10" max="10" width="7.81640625" customWidth="1"/>
    <col min="17" max="17" width="8.81640625" customWidth="1"/>
  </cols>
  <sheetData>
    <row r="1" spans="1:28" ht="15.5" x14ac:dyDescent="0.35">
      <c r="A1" s="72" t="s">
        <v>321</v>
      </c>
    </row>
    <row r="2" spans="1:28" x14ac:dyDescent="0.35">
      <c r="D2" s="2" t="s">
        <v>6</v>
      </c>
      <c r="O2" s="2" t="s">
        <v>12</v>
      </c>
    </row>
    <row r="3" spans="1:28" s="1" customFormat="1" ht="87" x14ac:dyDescent="0.35">
      <c r="A3" s="1" t="s">
        <v>14</v>
      </c>
      <c r="B3" s="1" t="s">
        <v>16</v>
      </c>
      <c r="C3" s="1" t="s">
        <v>300</v>
      </c>
      <c r="D3" s="1" t="s">
        <v>303</v>
      </c>
      <c r="E3" s="1" t="s">
        <v>301</v>
      </c>
      <c r="F3" s="1" t="s">
        <v>72</v>
      </c>
      <c r="G3" s="1" t="s">
        <v>73</v>
      </c>
      <c r="H3" s="1" t="s">
        <v>74</v>
      </c>
      <c r="I3" s="1" t="s">
        <v>17</v>
      </c>
      <c r="J3" s="1" t="s">
        <v>15</v>
      </c>
      <c r="K3" s="1" t="s">
        <v>18</v>
      </c>
      <c r="L3" s="1" t="s">
        <v>15</v>
      </c>
      <c r="M3" s="1" t="s">
        <v>19</v>
      </c>
      <c r="N3" s="1" t="s">
        <v>15</v>
      </c>
      <c r="O3" s="1" t="s">
        <v>303</v>
      </c>
      <c r="P3" s="1" t="s">
        <v>301</v>
      </c>
      <c r="Q3" s="1" t="s">
        <v>73</v>
      </c>
      <c r="R3" s="1" t="s">
        <v>74</v>
      </c>
      <c r="S3" s="1" t="s">
        <v>20</v>
      </c>
      <c r="T3" s="1" t="s">
        <v>15</v>
      </c>
      <c r="U3" s="1" t="s">
        <v>21</v>
      </c>
      <c r="V3" s="1" t="s">
        <v>15</v>
      </c>
      <c r="W3" s="1" t="s">
        <v>22</v>
      </c>
      <c r="X3" s="1" t="s">
        <v>15</v>
      </c>
    </row>
    <row r="4" spans="1:28" x14ac:dyDescent="0.35">
      <c r="A4">
        <v>2012</v>
      </c>
      <c r="B4">
        <f>ROUND(CONVERT((AVERAGE(P16:AA16)),"in","mm"),1)</f>
        <v>112.4</v>
      </c>
      <c r="C4">
        <f>ROUND(CONVERT((AVERAGE(N16)),"F","C"),1)</f>
        <v>25.1</v>
      </c>
      <c r="D4" t="s">
        <v>112</v>
      </c>
      <c r="E4">
        <f t="shared" ref="E4:E9" si="0">ROUND(CONVERT(AVERAGE(D16:J16),"F","C"),1)</f>
        <v>26.8</v>
      </c>
      <c r="F4">
        <f>AVERAGE(R16:W16)</f>
        <v>6.951666666666668</v>
      </c>
      <c r="G4">
        <f>ROUND(CONVERT(F4,"in","mm"),1)</f>
        <v>176.6</v>
      </c>
      <c r="H4">
        <f>ROUND(CONVERT(_xlfn.STDEV.P(R16:Y16),"in","mm"),1)</f>
        <v>108.6</v>
      </c>
      <c r="I4">
        <v>41.2</v>
      </c>
      <c r="J4">
        <v>1.6</v>
      </c>
      <c r="K4">
        <v>32.700000000000003</v>
      </c>
      <c r="L4">
        <v>1.57</v>
      </c>
      <c r="M4">
        <v>18.75</v>
      </c>
      <c r="N4">
        <v>1.91</v>
      </c>
      <c r="O4" t="s">
        <v>119</v>
      </c>
      <c r="P4">
        <f>ROUND(CONVERT(AVERAGE(F16:L16),"F","C"),1)</f>
        <v>26.7</v>
      </c>
      <c r="Q4">
        <f>ROUND(CONVERT(AVERAGE(T16:Z16),"in","mm"),1)</f>
        <v>134.9</v>
      </c>
      <c r="R4">
        <f>ROUND(CONVERT(_xlfn.STDEV.P(T16:Z16),"in","mm"),1)</f>
        <v>118.2</v>
      </c>
      <c r="S4">
        <v>52.82</v>
      </c>
      <c r="T4">
        <v>0.21</v>
      </c>
      <c r="U4">
        <v>41.15</v>
      </c>
      <c r="V4">
        <v>0.42</v>
      </c>
      <c r="W4">
        <v>25.55</v>
      </c>
      <c r="X4">
        <v>0.35</v>
      </c>
    </row>
    <row r="5" spans="1:28" x14ac:dyDescent="0.35">
      <c r="A5">
        <v>2013</v>
      </c>
      <c r="B5">
        <f t="shared" ref="B5:B10" si="1">ROUND(CONVERT((AVERAGE(P17:AA17)),"in","mm"),1)</f>
        <v>156.80000000000001</v>
      </c>
      <c r="C5">
        <f t="shared" ref="C5:C10" si="2">ROUND(CONVERT((AVERAGE(N17)),"F","C"),1)</f>
        <v>25.2</v>
      </c>
      <c r="D5" t="s">
        <v>113</v>
      </c>
      <c r="E5">
        <f t="shared" si="0"/>
        <v>26.2</v>
      </c>
      <c r="F5">
        <f>AVERAGE(R17:Y17)</f>
        <v>7.3487500000000008</v>
      </c>
      <c r="G5">
        <f t="shared" ref="G5:G10" si="3">ROUND(CONVERT(F5,"in","mm"),1)</f>
        <v>186.7</v>
      </c>
      <c r="H5">
        <f>ROUND(CONVERT(_xlfn.STDEV.P(R17:Y17),"in","mm"),1)</f>
        <v>124.5</v>
      </c>
      <c r="I5">
        <v>43.05</v>
      </c>
      <c r="J5">
        <v>2.62</v>
      </c>
      <c r="K5">
        <v>33.35</v>
      </c>
      <c r="L5">
        <v>0.78</v>
      </c>
      <c r="M5">
        <v>18</v>
      </c>
      <c r="N5">
        <v>1.98</v>
      </c>
      <c r="O5" t="s">
        <v>120</v>
      </c>
      <c r="P5">
        <f>ROUND(CONVERT(AVERAGE(F17:K17),"F","C"),1)</f>
        <v>27.4</v>
      </c>
      <c r="Q5">
        <f>ROUND(CONVERT(AVERAGE(T17:Y17),"in","mm"),1)</f>
        <v>230.5</v>
      </c>
      <c r="R5">
        <f>ROUND(CONVERT(_xlfn.STDEV.P(T17:Y17),"in","mm"),1)</f>
        <v>110.4</v>
      </c>
      <c r="S5">
        <v>50.7</v>
      </c>
      <c r="T5">
        <v>0.67</v>
      </c>
      <c r="U5">
        <v>39.1</v>
      </c>
      <c r="V5">
        <v>1.98</v>
      </c>
      <c r="W5">
        <v>23.35</v>
      </c>
      <c r="X5">
        <v>1.63</v>
      </c>
    </row>
    <row r="6" spans="1:28" x14ac:dyDescent="0.35">
      <c r="A6">
        <v>2014</v>
      </c>
      <c r="B6">
        <f t="shared" si="1"/>
        <v>124.7</v>
      </c>
      <c r="C6">
        <f t="shared" si="2"/>
        <v>25.4</v>
      </c>
      <c r="D6" t="s">
        <v>114</v>
      </c>
      <c r="E6">
        <f t="shared" si="0"/>
        <v>27.2</v>
      </c>
      <c r="F6">
        <f>AVERAGE(R18:X18)</f>
        <v>6.152857142857143</v>
      </c>
      <c r="G6">
        <f t="shared" si="3"/>
        <v>156.30000000000001</v>
      </c>
      <c r="H6">
        <f t="shared" ref="H6:H10" si="4">ROUND(CONVERT(_xlfn.STDEV.P(R18:Y18),"in","mm"),1)</f>
        <v>57.4</v>
      </c>
      <c r="I6">
        <v>45.25</v>
      </c>
      <c r="J6">
        <v>1.77</v>
      </c>
      <c r="K6">
        <v>35.049999999999997</v>
      </c>
      <c r="L6">
        <v>2.33</v>
      </c>
      <c r="M6">
        <v>19.850000000000001</v>
      </c>
      <c r="N6">
        <v>1.91</v>
      </c>
      <c r="O6" t="s">
        <v>121</v>
      </c>
      <c r="P6">
        <f>ROUND(CONVERT(AVERAGE(F18:K18),"F","C"),1)</f>
        <v>28.2</v>
      </c>
      <c r="Q6">
        <f>ROUND(CONVERT(AVERAGE(T18:Y18),"in","mm"),1)</f>
        <v>169.7</v>
      </c>
      <c r="R6">
        <f>ROUND(CONVERT(_xlfn.STDEV.P(T18:Y18),"in","mm"),1)</f>
        <v>48.4</v>
      </c>
      <c r="S6">
        <v>51.9</v>
      </c>
      <c r="T6">
        <v>0.71</v>
      </c>
      <c r="U6">
        <v>40.1</v>
      </c>
      <c r="V6">
        <v>0.14000000000000001</v>
      </c>
      <c r="W6">
        <v>24.3</v>
      </c>
      <c r="X6">
        <v>1.7</v>
      </c>
    </row>
    <row r="7" spans="1:28" x14ac:dyDescent="0.35">
      <c r="A7">
        <v>2015</v>
      </c>
      <c r="B7">
        <f t="shared" si="1"/>
        <v>117.1</v>
      </c>
      <c r="C7">
        <f t="shared" si="2"/>
        <v>25.9</v>
      </c>
      <c r="D7" t="s">
        <v>115</v>
      </c>
      <c r="E7">
        <f t="shared" si="0"/>
        <v>27.5</v>
      </c>
      <c r="F7">
        <f>AVERAGE(R19:X19)</f>
        <v>4.4128571428571428</v>
      </c>
      <c r="G7">
        <f t="shared" si="3"/>
        <v>112.1</v>
      </c>
      <c r="H7">
        <f t="shared" si="4"/>
        <v>107.7</v>
      </c>
      <c r="I7">
        <v>46.15</v>
      </c>
      <c r="J7">
        <v>4.88</v>
      </c>
      <c r="K7">
        <v>37.15</v>
      </c>
      <c r="L7">
        <v>5.3</v>
      </c>
      <c r="M7">
        <v>21.05</v>
      </c>
      <c r="N7">
        <v>5.87</v>
      </c>
      <c r="O7" t="s">
        <v>122</v>
      </c>
      <c r="P7">
        <f>ROUND(CONVERT(AVERAGE(F19:J19),"F","C"),1)</f>
        <v>28.4</v>
      </c>
      <c r="Q7">
        <f>ROUND(CONVERT(AVERAGE(T19:Y19),"in","mm"),1)</f>
        <v>132.30000000000001</v>
      </c>
      <c r="R7">
        <f>ROUND(CONVERT(_xlfn.STDEV.P(T19:Y19),"in","mm"),1)</f>
        <v>121.2</v>
      </c>
      <c r="S7">
        <v>47.85</v>
      </c>
      <c r="T7">
        <v>1.06</v>
      </c>
      <c r="U7">
        <v>38.65</v>
      </c>
      <c r="V7">
        <v>2.4700000000000002</v>
      </c>
      <c r="W7">
        <v>21.55</v>
      </c>
      <c r="X7">
        <v>2.5</v>
      </c>
    </row>
    <row r="8" spans="1:28" x14ac:dyDescent="0.35">
      <c r="A8">
        <v>2016</v>
      </c>
      <c r="B8">
        <f t="shared" si="1"/>
        <v>143.80000000000001</v>
      </c>
      <c r="C8">
        <f t="shared" si="2"/>
        <v>25.4</v>
      </c>
      <c r="D8" t="s">
        <v>116</v>
      </c>
      <c r="E8">
        <f t="shared" si="0"/>
        <v>27.3</v>
      </c>
      <c r="F8">
        <f>AVERAGE(R20:Y20)</f>
        <v>6.32</v>
      </c>
      <c r="G8">
        <f t="shared" si="3"/>
        <v>160.5</v>
      </c>
      <c r="H8">
        <f t="shared" si="4"/>
        <v>72.5</v>
      </c>
      <c r="I8">
        <v>45</v>
      </c>
      <c r="J8">
        <v>4.24</v>
      </c>
      <c r="K8">
        <v>35.049999999999997</v>
      </c>
      <c r="L8">
        <v>2.33</v>
      </c>
      <c r="M8">
        <v>19.850000000000001</v>
      </c>
      <c r="N8">
        <v>1.91</v>
      </c>
      <c r="O8" t="s">
        <v>123</v>
      </c>
      <c r="P8">
        <f>ROUND(CONVERT(AVERAGE(F20:K20),"F","C"),1)</f>
        <v>28.1</v>
      </c>
      <c r="Q8">
        <f>ROUND(CONVERT(AVERAGE(T20:Y20),"in","mm"),1)</f>
        <v>194.6</v>
      </c>
      <c r="R8">
        <f>ROUND(CONVERT(_xlfn.STDEV.P(T20:Y20),"in","mm"),1)</f>
        <v>47.2</v>
      </c>
      <c r="S8">
        <v>47.1</v>
      </c>
      <c r="T8">
        <v>0.14000000000000001</v>
      </c>
      <c r="U8">
        <v>34.9</v>
      </c>
      <c r="V8">
        <v>0.71</v>
      </c>
      <c r="W8">
        <v>21.55</v>
      </c>
      <c r="X8">
        <v>2.06</v>
      </c>
    </row>
    <row r="9" spans="1:28" x14ac:dyDescent="0.35">
      <c r="A9">
        <v>2017</v>
      </c>
      <c r="B9">
        <f t="shared" si="1"/>
        <v>135.6</v>
      </c>
      <c r="C9">
        <f t="shared" si="2"/>
        <v>25.5</v>
      </c>
      <c r="D9" t="s">
        <v>117</v>
      </c>
      <c r="E9">
        <f t="shared" si="0"/>
        <v>27.1</v>
      </c>
      <c r="F9">
        <f>AVERAGE(R21:X21)</f>
        <v>5.5514285714285716</v>
      </c>
      <c r="G9">
        <f t="shared" si="3"/>
        <v>141</v>
      </c>
      <c r="H9">
        <f t="shared" si="4"/>
        <v>122.9</v>
      </c>
      <c r="I9">
        <v>44.65</v>
      </c>
      <c r="J9">
        <v>4.88</v>
      </c>
      <c r="K9">
        <v>37.15</v>
      </c>
      <c r="L9">
        <v>5.16</v>
      </c>
      <c r="M9">
        <v>21.3</v>
      </c>
      <c r="N9">
        <v>7.21</v>
      </c>
      <c r="O9" t="s">
        <v>124</v>
      </c>
      <c r="P9">
        <f>ROUND(CONVERT(AVERAGE(F21:K21),"F","C"),1)</f>
        <v>28.1</v>
      </c>
      <c r="Q9">
        <f>ROUND(CONVERT(AVERAGE(T21:Z21),"in","mm"),1)</f>
        <v>188.2</v>
      </c>
      <c r="R9">
        <f>ROUND(CONVERT(_xlfn.STDEV.P(T21:Z21),"in","mm"),1)</f>
        <v>116.8</v>
      </c>
      <c r="S9">
        <v>48.8</v>
      </c>
      <c r="T9">
        <v>0.99</v>
      </c>
      <c r="U9">
        <v>36.950000000000003</v>
      </c>
      <c r="V9">
        <v>0.35</v>
      </c>
      <c r="W9">
        <v>24.45</v>
      </c>
      <c r="X9">
        <v>1.34</v>
      </c>
    </row>
    <row r="10" spans="1:28" x14ac:dyDescent="0.35">
      <c r="A10">
        <v>2018</v>
      </c>
      <c r="B10">
        <f t="shared" si="1"/>
        <v>123</v>
      </c>
      <c r="C10">
        <f t="shared" si="2"/>
        <v>25.3</v>
      </c>
      <c r="D10" t="s">
        <v>118</v>
      </c>
      <c r="E10">
        <f>ROUND(CONVERT(AVERAGE(D22:K22),"F","C"),1)</f>
        <v>26.7</v>
      </c>
      <c r="F10">
        <f>AVERAGE(R22:Y22)</f>
        <v>6.1362499999999995</v>
      </c>
      <c r="G10">
        <f t="shared" si="3"/>
        <v>155.9</v>
      </c>
      <c r="H10">
        <f t="shared" si="4"/>
        <v>120.4</v>
      </c>
      <c r="I10">
        <v>44</v>
      </c>
      <c r="J10">
        <v>0.56999999999999995</v>
      </c>
      <c r="K10">
        <v>34.9</v>
      </c>
      <c r="L10">
        <v>0.85</v>
      </c>
      <c r="M10">
        <v>18.7</v>
      </c>
      <c r="N10">
        <v>0.41</v>
      </c>
      <c r="O10" t="s">
        <v>125</v>
      </c>
      <c r="P10">
        <f>ROUND(CONVERT(AVERAGE(F22:K22),"F","C"),1)</f>
        <v>28</v>
      </c>
      <c r="Q10">
        <f>ROUND(CONVERT(AVERAGE(T22:Z22),"in","mm"),1)</f>
        <v>170.7</v>
      </c>
      <c r="R10">
        <f>ROUND(CONVERT(_xlfn.STDEV.P(T22:Z22),"in","mm"),1)</f>
        <v>120.3</v>
      </c>
      <c r="S10">
        <v>50.8</v>
      </c>
      <c r="T10">
        <v>2.97</v>
      </c>
      <c r="U10">
        <v>41.9</v>
      </c>
      <c r="V10">
        <v>6.22</v>
      </c>
      <c r="W10">
        <v>24.8</v>
      </c>
      <c r="X10">
        <v>6.22</v>
      </c>
    </row>
    <row r="11" spans="1:28" x14ac:dyDescent="0.35">
      <c r="G11">
        <f>AVERAGE(G4:G10)</f>
        <v>155.58571428571426</v>
      </c>
      <c r="Q11">
        <f>AVERAGE(Q4:Q10)</f>
        <v>174.41428571428568</v>
      </c>
    </row>
    <row r="12" spans="1:28" x14ac:dyDescent="0.35">
      <c r="A12" s="2"/>
    </row>
    <row r="13" spans="1:28" ht="15.5" x14ac:dyDescent="0.35">
      <c r="A13" s="72" t="s">
        <v>322</v>
      </c>
    </row>
    <row r="14" spans="1:28" ht="16" thickBot="1" x14ac:dyDescent="0.4">
      <c r="A14" s="126" t="s">
        <v>302</v>
      </c>
      <c r="B14" s="127"/>
      <c r="C14" s="127"/>
      <c r="D14" s="127"/>
      <c r="E14" s="127"/>
      <c r="F14" s="127"/>
      <c r="G14" s="127"/>
      <c r="H14" s="127"/>
      <c r="I14" s="127"/>
      <c r="J14" s="127"/>
      <c r="K14" s="127"/>
      <c r="L14" s="127"/>
      <c r="M14" s="127"/>
      <c r="N14" s="127"/>
      <c r="O14" s="27" t="s">
        <v>71</v>
      </c>
    </row>
    <row r="15" spans="1:28" ht="16" thickBot="1" x14ac:dyDescent="0.4">
      <c r="A15" s="65" t="s">
        <v>14</v>
      </c>
      <c r="B15" s="65" t="s">
        <v>58</v>
      </c>
      <c r="C15" s="65" t="s">
        <v>59</v>
      </c>
      <c r="D15" s="65" t="s">
        <v>60</v>
      </c>
      <c r="E15" s="65" t="s">
        <v>61</v>
      </c>
      <c r="F15" s="65" t="s">
        <v>62</v>
      </c>
      <c r="G15" s="65" t="s">
        <v>63</v>
      </c>
      <c r="H15" s="65" t="s">
        <v>64</v>
      </c>
      <c r="I15" s="65" t="s">
        <v>65</v>
      </c>
      <c r="J15" s="65" t="s">
        <v>66</v>
      </c>
      <c r="K15" s="65" t="s">
        <v>67</v>
      </c>
      <c r="L15" s="65" t="s">
        <v>68</v>
      </c>
      <c r="M15" s="65" t="s">
        <v>69</v>
      </c>
      <c r="N15" s="65" t="s">
        <v>70</v>
      </c>
      <c r="O15" s="26" t="s">
        <v>14</v>
      </c>
      <c r="P15" s="26" t="s">
        <v>58</v>
      </c>
      <c r="Q15" s="26" t="s">
        <v>59</v>
      </c>
      <c r="R15" s="26" t="s">
        <v>60</v>
      </c>
      <c r="S15" s="26" t="s">
        <v>61</v>
      </c>
      <c r="T15" s="26" t="s">
        <v>62</v>
      </c>
      <c r="U15" s="26" t="s">
        <v>63</v>
      </c>
      <c r="V15" s="26" t="s">
        <v>64</v>
      </c>
      <c r="W15" s="26" t="s">
        <v>65</v>
      </c>
      <c r="X15" s="26" t="s">
        <v>66</v>
      </c>
      <c r="Y15" s="26" t="s">
        <v>67</v>
      </c>
      <c r="Z15" s="26" t="s">
        <v>68</v>
      </c>
      <c r="AA15" s="26" t="s">
        <v>69</v>
      </c>
      <c r="AB15" s="26" t="s">
        <v>70</v>
      </c>
    </row>
    <row r="16" spans="1:28" ht="16" thickBot="1" x14ac:dyDescent="0.4">
      <c r="A16" s="19">
        <v>2012</v>
      </c>
      <c r="B16" s="19">
        <v>68.5</v>
      </c>
      <c r="C16" s="19">
        <v>72.8</v>
      </c>
      <c r="D16" s="19">
        <v>75.400000000000006</v>
      </c>
      <c r="E16" s="19">
        <v>75.099999999999994</v>
      </c>
      <c r="F16" s="19">
        <v>79.099999999999994</v>
      </c>
      <c r="G16" s="19">
        <v>82.4</v>
      </c>
      <c r="H16" s="19">
        <v>83</v>
      </c>
      <c r="I16" s="19">
        <v>83.8</v>
      </c>
      <c r="J16" s="19">
        <v>82.3</v>
      </c>
      <c r="K16" s="19">
        <v>79</v>
      </c>
      <c r="L16" s="19">
        <v>71.3</v>
      </c>
      <c r="M16" s="19">
        <v>72.099999999999994</v>
      </c>
      <c r="N16" s="19">
        <v>77.099999999999994</v>
      </c>
      <c r="O16" s="19">
        <v>2012</v>
      </c>
      <c r="P16" s="19">
        <v>0.23</v>
      </c>
      <c r="Q16" s="19">
        <v>3.09</v>
      </c>
      <c r="R16" s="19">
        <v>2.39</v>
      </c>
      <c r="S16" s="19">
        <v>9.2100000000000009</v>
      </c>
      <c r="T16" s="19">
        <v>9.06</v>
      </c>
      <c r="U16" s="19">
        <v>10.49</v>
      </c>
      <c r="V16" s="19">
        <v>0</v>
      </c>
      <c r="W16" s="19">
        <v>10.56</v>
      </c>
      <c r="X16" s="19">
        <v>6.73</v>
      </c>
      <c r="Y16" s="19">
        <v>0</v>
      </c>
      <c r="Z16" s="19">
        <v>0.34</v>
      </c>
      <c r="AA16" s="19">
        <v>1</v>
      </c>
      <c r="AB16" s="19">
        <f>AVERAGE(P16:AA16)</f>
        <v>4.4250000000000007</v>
      </c>
    </row>
    <row r="17" spans="1:28" ht="16" thickBot="1" x14ac:dyDescent="0.4">
      <c r="A17" s="19">
        <v>2013</v>
      </c>
      <c r="B17" s="19">
        <v>73</v>
      </c>
      <c r="C17" s="19">
        <v>71.3</v>
      </c>
      <c r="D17" s="19">
        <v>67.7</v>
      </c>
      <c r="E17" s="19">
        <v>77.400000000000006</v>
      </c>
      <c r="F17" s="19">
        <v>78.5</v>
      </c>
      <c r="G17" s="19">
        <v>82.9</v>
      </c>
      <c r="H17" s="19">
        <v>81.7</v>
      </c>
      <c r="I17" s="19">
        <v>83.5</v>
      </c>
      <c r="J17" s="19">
        <v>81.900000000000006</v>
      </c>
      <c r="K17" s="19">
        <v>79.8</v>
      </c>
      <c r="L17" s="19">
        <v>75.400000000000006</v>
      </c>
      <c r="M17" s="19">
        <v>74</v>
      </c>
      <c r="N17" s="19">
        <v>77.3</v>
      </c>
      <c r="O17" s="19">
        <v>2013</v>
      </c>
      <c r="P17" s="19">
        <v>3</v>
      </c>
      <c r="Q17" s="19">
        <v>3.21</v>
      </c>
      <c r="R17" s="19">
        <v>0.23</v>
      </c>
      <c r="S17" s="19">
        <v>4.12</v>
      </c>
      <c r="T17" s="19">
        <v>14.38</v>
      </c>
      <c r="U17" s="19">
        <v>8.26</v>
      </c>
      <c r="V17" s="19">
        <v>15.35</v>
      </c>
      <c r="W17" s="19">
        <v>4.25</v>
      </c>
      <c r="X17" s="19">
        <v>7.53</v>
      </c>
      <c r="Y17" s="19">
        <v>4.67</v>
      </c>
      <c r="Z17" s="19">
        <v>8.07</v>
      </c>
      <c r="AA17" s="19">
        <v>1</v>
      </c>
      <c r="AB17" s="19">
        <v>74.069999999999993</v>
      </c>
    </row>
    <row r="18" spans="1:28" ht="16" thickBot="1" x14ac:dyDescent="0.4">
      <c r="A18" s="19">
        <v>2014</v>
      </c>
      <c r="B18" s="19">
        <v>66.5</v>
      </c>
      <c r="C18" s="19">
        <v>73.900000000000006</v>
      </c>
      <c r="D18" s="19">
        <v>73.5</v>
      </c>
      <c r="E18" s="19">
        <v>77.900000000000006</v>
      </c>
      <c r="F18" s="19">
        <v>80.400000000000006</v>
      </c>
      <c r="G18" s="19">
        <v>81.900000000000006</v>
      </c>
      <c r="H18" s="19">
        <v>84.6</v>
      </c>
      <c r="I18" s="19">
        <v>85.6</v>
      </c>
      <c r="J18" s="19">
        <v>83.3</v>
      </c>
      <c r="K18" s="19">
        <v>80.3</v>
      </c>
      <c r="L18" s="19">
        <v>72.900000000000006</v>
      </c>
      <c r="M18" s="19">
        <v>71.099999999999994</v>
      </c>
      <c r="N18" s="19">
        <v>77.7</v>
      </c>
      <c r="O18" s="19">
        <v>2014</v>
      </c>
      <c r="P18" s="19">
        <v>3.36</v>
      </c>
      <c r="Q18" s="19">
        <v>2.17</v>
      </c>
      <c r="R18" s="19">
        <v>1.98</v>
      </c>
      <c r="S18" s="19">
        <v>5.6</v>
      </c>
      <c r="T18" s="19">
        <v>5.29</v>
      </c>
      <c r="U18" s="19">
        <v>5.0199999999999996</v>
      </c>
      <c r="V18" s="19">
        <v>7.66</v>
      </c>
      <c r="W18" s="19">
        <v>7.51</v>
      </c>
      <c r="X18" s="19">
        <v>10.01</v>
      </c>
      <c r="Y18" s="19">
        <v>4.5999999999999996</v>
      </c>
      <c r="Z18" s="19">
        <v>2.64</v>
      </c>
      <c r="AA18" s="19">
        <v>3.05</v>
      </c>
      <c r="AB18" s="19">
        <v>58.89</v>
      </c>
    </row>
    <row r="19" spans="1:28" ht="16" thickBot="1" x14ac:dyDescent="0.4">
      <c r="A19" s="19">
        <v>2015</v>
      </c>
      <c r="B19" s="19">
        <v>69.3</v>
      </c>
      <c r="C19" s="19">
        <v>67.2</v>
      </c>
      <c r="D19" s="19">
        <v>75.400000000000006</v>
      </c>
      <c r="E19" s="19">
        <v>79.8</v>
      </c>
      <c r="F19" s="19">
        <v>80.2</v>
      </c>
      <c r="G19" s="19">
        <v>83.4</v>
      </c>
      <c r="H19" s="19">
        <v>84.9</v>
      </c>
      <c r="I19" s="19">
        <v>84.6</v>
      </c>
      <c r="J19" s="19">
        <v>82.8</v>
      </c>
      <c r="K19" s="19">
        <v>80.8</v>
      </c>
      <c r="L19" s="19">
        <v>78.900000000000006</v>
      </c>
      <c r="M19" s="19">
        <v>77.5</v>
      </c>
      <c r="N19" s="19">
        <v>78.7</v>
      </c>
      <c r="O19" s="19">
        <v>2015</v>
      </c>
      <c r="P19" s="19">
        <v>1.99</v>
      </c>
      <c r="Q19" s="19">
        <v>2.2599999999999998</v>
      </c>
      <c r="R19" s="19">
        <v>3.04</v>
      </c>
      <c r="S19" s="19">
        <v>2.93</v>
      </c>
      <c r="T19" s="19">
        <v>1.66</v>
      </c>
      <c r="U19" s="19">
        <v>1.4</v>
      </c>
      <c r="V19" s="19">
        <v>2.0299999999999998</v>
      </c>
      <c r="W19" s="19">
        <v>4.7300000000000004</v>
      </c>
      <c r="X19" s="19">
        <v>15.1</v>
      </c>
      <c r="Y19" s="19">
        <v>6.33</v>
      </c>
      <c r="Z19" s="19">
        <v>6.87</v>
      </c>
      <c r="AA19" s="19">
        <v>6.97</v>
      </c>
      <c r="AB19" s="19">
        <v>55.31</v>
      </c>
    </row>
    <row r="20" spans="1:28" ht="16" thickBot="1" x14ac:dyDescent="0.4">
      <c r="A20" s="19">
        <v>2016</v>
      </c>
      <c r="B20" s="19">
        <v>67.3</v>
      </c>
      <c r="C20" s="19">
        <v>68.099999999999994</v>
      </c>
      <c r="D20" s="19">
        <v>75.099999999999994</v>
      </c>
      <c r="E20" s="19">
        <v>77</v>
      </c>
      <c r="F20" s="19">
        <v>79.8</v>
      </c>
      <c r="G20" s="19">
        <v>83.5</v>
      </c>
      <c r="H20" s="19">
        <v>85.2</v>
      </c>
      <c r="I20" s="19">
        <v>83.8</v>
      </c>
      <c r="J20" s="19">
        <v>83</v>
      </c>
      <c r="K20" s="19">
        <v>80.099999999999994</v>
      </c>
      <c r="L20" s="19">
        <v>74.8</v>
      </c>
      <c r="M20" s="19">
        <v>75.8</v>
      </c>
      <c r="N20" s="19">
        <v>77.8</v>
      </c>
      <c r="O20" s="19">
        <v>2016</v>
      </c>
      <c r="P20" s="19">
        <v>8.65</v>
      </c>
      <c r="Q20" s="19">
        <v>3.31</v>
      </c>
      <c r="R20" s="19">
        <v>3.15</v>
      </c>
      <c r="S20" s="19">
        <v>1.45</v>
      </c>
      <c r="T20" s="19">
        <v>9.7200000000000006</v>
      </c>
      <c r="U20" s="19">
        <v>8.6199999999999992</v>
      </c>
      <c r="V20" s="19">
        <v>7.16</v>
      </c>
      <c r="W20" s="19">
        <v>9.41</v>
      </c>
      <c r="X20" s="19">
        <v>4.28</v>
      </c>
      <c r="Y20" s="19">
        <v>6.77</v>
      </c>
      <c r="Z20" s="19">
        <v>1.66</v>
      </c>
      <c r="AA20" s="19">
        <v>3.77</v>
      </c>
      <c r="AB20" s="19">
        <v>67.95</v>
      </c>
    </row>
    <row r="21" spans="1:28" ht="16" thickBot="1" x14ac:dyDescent="0.4">
      <c r="A21" s="19">
        <v>2017</v>
      </c>
      <c r="B21" s="19">
        <v>70.7</v>
      </c>
      <c r="C21" s="19">
        <v>73.400000000000006</v>
      </c>
      <c r="D21" s="19">
        <v>72.7</v>
      </c>
      <c r="E21" s="19">
        <v>77.400000000000006</v>
      </c>
      <c r="F21" s="19">
        <v>80.599999999999994</v>
      </c>
      <c r="G21" s="19">
        <v>82.5</v>
      </c>
      <c r="H21" s="19">
        <v>84.3</v>
      </c>
      <c r="I21" s="19">
        <v>84.4</v>
      </c>
      <c r="J21" s="19">
        <v>83.9</v>
      </c>
      <c r="K21" s="19">
        <v>79.599999999999994</v>
      </c>
      <c r="L21" s="19">
        <v>75.5</v>
      </c>
      <c r="M21" s="19">
        <v>70.2</v>
      </c>
      <c r="N21" s="19">
        <v>77.900000000000006</v>
      </c>
      <c r="O21" s="19">
        <v>2017</v>
      </c>
      <c r="P21" s="19">
        <v>3.63</v>
      </c>
      <c r="Q21" s="19">
        <v>1.35</v>
      </c>
      <c r="R21" s="19">
        <v>1.91</v>
      </c>
      <c r="S21" s="19">
        <v>2.86</v>
      </c>
      <c r="T21" s="19">
        <v>3.78</v>
      </c>
      <c r="U21" s="19">
        <v>15.51</v>
      </c>
      <c r="V21" s="19">
        <v>6.21</v>
      </c>
      <c r="W21" s="19">
        <v>8.59</v>
      </c>
      <c r="X21" s="19">
        <v>0</v>
      </c>
      <c r="Y21" s="19">
        <v>10.79</v>
      </c>
      <c r="Z21" s="19">
        <v>6.98</v>
      </c>
      <c r="AA21" s="19">
        <v>2.4700000000000002</v>
      </c>
      <c r="AB21" s="19">
        <f>AVERAGE(P21:AA21)</f>
        <v>5.34</v>
      </c>
    </row>
    <row r="22" spans="1:28" ht="16" thickBot="1" x14ac:dyDescent="0.4">
      <c r="A22" s="19">
        <v>2018</v>
      </c>
      <c r="B22" s="19">
        <v>66.099999999999994</v>
      </c>
      <c r="C22" s="19">
        <v>75.400000000000006</v>
      </c>
      <c r="D22" s="19">
        <v>70.2</v>
      </c>
      <c r="E22" s="19">
        <v>77</v>
      </c>
      <c r="F22" s="19">
        <v>78.5</v>
      </c>
      <c r="G22" s="19">
        <v>82.7</v>
      </c>
      <c r="H22" s="19">
        <v>84</v>
      </c>
      <c r="I22" s="19">
        <v>84</v>
      </c>
      <c r="J22" s="19">
        <v>83.3</v>
      </c>
      <c r="K22" s="19">
        <v>81.400000000000006</v>
      </c>
      <c r="L22" s="19">
        <v>75.900000000000006</v>
      </c>
      <c r="M22" s="19">
        <v>71.599999999999994</v>
      </c>
      <c r="N22" s="19">
        <v>77.5</v>
      </c>
      <c r="O22" s="19">
        <v>2018</v>
      </c>
      <c r="P22" s="19">
        <v>3.36</v>
      </c>
      <c r="Q22" s="19">
        <v>1.23</v>
      </c>
      <c r="R22" s="19">
        <v>1.1100000000000001</v>
      </c>
      <c r="S22" s="19">
        <v>3.98</v>
      </c>
      <c r="T22" s="19">
        <v>17.850000000000001</v>
      </c>
      <c r="U22" s="19">
        <v>5.17</v>
      </c>
      <c r="V22" s="19">
        <v>5.45</v>
      </c>
      <c r="W22" s="19">
        <v>6.18</v>
      </c>
      <c r="X22" s="19">
        <v>6.55</v>
      </c>
      <c r="Y22" s="19">
        <v>2.8</v>
      </c>
      <c r="Z22" s="19">
        <v>3.04</v>
      </c>
      <c r="AA22" s="19">
        <v>1.41</v>
      </c>
      <c r="AB22" s="19">
        <v>58.13</v>
      </c>
    </row>
    <row r="23" spans="1:28" ht="16" thickBot="1" x14ac:dyDescent="0.4">
      <c r="A23" s="65" t="s">
        <v>55</v>
      </c>
      <c r="B23" s="21">
        <v>68.8</v>
      </c>
      <c r="C23" s="21">
        <v>71.7</v>
      </c>
      <c r="D23" s="21">
        <v>72.900000000000006</v>
      </c>
      <c r="E23" s="21">
        <v>77.3</v>
      </c>
      <c r="F23" s="21">
        <v>79.599999999999994</v>
      </c>
      <c r="G23" s="21">
        <v>82.8</v>
      </c>
      <c r="H23" s="21">
        <v>84</v>
      </c>
      <c r="I23" s="21">
        <v>84.2</v>
      </c>
      <c r="J23" s="21">
        <v>82.9</v>
      </c>
      <c r="K23" s="21">
        <v>80.099999999999994</v>
      </c>
      <c r="L23" s="21">
        <v>75</v>
      </c>
      <c r="M23" s="21">
        <v>73.2</v>
      </c>
      <c r="N23" s="19">
        <v>77.7</v>
      </c>
      <c r="O23" s="20" t="s">
        <v>55</v>
      </c>
      <c r="P23" s="21">
        <v>3.46</v>
      </c>
      <c r="Q23" s="21">
        <v>2.37</v>
      </c>
      <c r="R23" s="21">
        <v>1.97</v>
      </c>
      <c r="S23" s="21">
        <v>4.3099999999999996</v>
      </c>
      <c r="T23" s="21">
        <v>8.82</v>
      </c>
      <c r="U23" s="21">
        <v>7.78</v>
      </c>
      <c r="V23" s="21">
        <v>7.31</v>
      </c>
      <c r="W23" s="21">
        <v>7.32</v>
      </c>
      <c r="X23" s="21">
        <v>8.3699999999999992</v>
      </c>
      <c r="Y23" s="21">
        <v>5.99</v>
      </c>
      <c r="Z23" s="21">
        <v>4.2300000000000004</v>
      </c>
      <c r="AA23" s="21">
        <v>2.81</v>
      </c>
      <c r="AB23" s="19">
        <v>62.87</v>
      </c>
    </row>
    <row r="24" spans="1:28" ht="15.5" x14ac:dyDescent="0.35">
      <c r="A24" s="128" t="s">
        <v>52</v>
      </c>
      <c r="B24" s="22">
        <v>73</v>
      </c>
      <c r="C24" s="22">
        <v>75.400000000000006</v>
      </c>
      <c r="D24" s="22">
        <v>75.400000000000006</v>
      </c>
      <c r="E24" s="22">
        <v>79.8</v>
      </c>
      <c r="F24" s="22">
        <v>80.599999999999994</v>
      </c>
      <c r="G24" s="22">
        <v>83.5</v>
      </c>
      <c r="H24" s="22">
        <v>85.2</v>
      </c>
      <c r="I24" s="22">
        <v>85.6</v>
      </c>
      <c r="J24" s="22">
        <v>83.9</v>
      </c>
      <c r="K24" s="22">
        <v>81.400000000000006</v>
      </c>
      <c r="L24" s="22">
        <v>78.900000000000006</v>
      </c>
      <c r="M24" s="22">
        <v>77.5</v>
      </c>
      <c r="N24" s="130">
        <v>78.7</v>
      </c>
      <c r="O24" s="124" t="s">
        <v>52</v>
      </c>
      <c r="P24" s="22">
        <v>8.65</v>
      </c>
      <c r="Q24" s="22">
        <v>3.31</v>
      </c>
      <c r="R24" s="22">
        <v>3.15</v>
      </c>
      <c r="S24" s="22">
        <v>9.2100000000000009</v>
      </c>
      <c r="T24" s="22">
        <v>17.850000000000001</v>
      </c>
      <c r="U24" s="22">
        <v>15.51</v>
      </c>
      <c r="V24" s="22">
        <v>15.35</v>
      </c>
      <c r="W24" s="22">
        <v>10.56</v>
      </c>
      <c r="X24" s="22">
        <v>15.1</v>
      </c>
      <c r="Y24" s="22">
        <v>10.79</v>
      </c>
      <c r="Z24" s="22">
        <v>8.07</v>
      </c>
      <c r="AA24" s="22">
        <v>6.97</v>
      </c>
      <c r="AB24" s="23">
        <v>74.069999999999993</v>
      </c>
    </row>
    <row r="25" spans="1:28" ht="16" thickBot="1" x14ac:dyDescent="0.4">
      <c r="A25" s="129"/>
      <c r="B25" s="24">
        <v>2013</v>
      </c>
      <c r="C25" s="24">
        <v>2018</v>
      </c>
      <c r="D25" s="24">
        <v>2012</v>
      </c>
      <c r="E25" s="24">
        <v>2015</v>
      </c>
      <c r="F25" s="24">
        <v>2017</v>
      </c>
      <c r="G25" s="24">
        <v>2016</v>
      </c>
      <c r="H25" s="24">
        <v>2016</v>
      </c>
      <c r="I25" s="24">
        <v>2014</v>
      </c>
      <c r="J25" s="24">
        <v>2017</v>
      </c>
      <c r="K25" s="24">
        <v>2018</v>
      </c>
      <c r="L25" s="24">
        <v>2015</v>
      </c>
      <c r="M25" s="24">
        <v>2015</v>
      </c>
      <c r="N25" s="131"/>
      <c r="O25" s="125"/>
      <c r="P25" s="24">
        <v>2016</v>
      </c>
      <c r="Q25" s="24">
        <v>2016</v>
      </c>
      <c r="R25" s="24">
        <v>2016</v>
      </c>
      <c r="S25" s="24">
        <v>2012</v>
      </c>
      <c r="T25" s="24">
        <v>2018</v>
      </c>
      <c r="U25" s="24">
        <v>2017</v>
      </c>
      <c r="V25" s="24">
        <v>2013</v>
      </c>
      <c r="W25" s="24">
        <v>2012</v>
      </c>
      <c r="X25" s="24">
        <v>2015</v>
      </c>
      <c r="Y25" s="24">
        <v>2017</v>
      </c>
      <c r="Z25" s="24">
        <v>2013</v>
      </c>
      <c r="AA25" s="24">
        <v>2015</v>
      </c>
      <c r="AB25" s="25">
        <v>2013</v>
      </c>
    </row>
    <row r="26" spans="1:28" ht="15.5" x14ac:dyDescent="0.35">
      <c r="A26" s="128" t="s">
        <v>51</v>
      </c>
      <c r="B26" s="22">
        <v>66.099999999999994</v>
      </c>
      <c r="C26" s="22">
        <v>67.2</v>
      </c>
      <c r="D26" s="22">
        <v>67.7</v>
      </c>
      <c r="E26" s="22">
        <v>75.099999999999994</v>
      </c>
      <c r="F26" s="22">
        <v>78.5</v>
      </c>
      <c r="G26" s="22">
        <v>81.900000000000006</v>
      </c>
      <c r="H26" s="22">
        <v>81.7</v>
      </c>
      <c r="I26" s="22">
        <v>83.5</v>
      </c>
      <c r="J26" s="22">
        <v>81.900000000000006</v>
      </c>
      <c r="K26" s="22">
        <v>79</v>
      </c>
      <c r="L26" s="22">
        <v>71.3</v>
      </c>
      <c r="M26" s="22">
        <v>70.2</v>
      </c>
      <c r="N26" s="130">
        <v>77.099999999999994</v>
      </c>
      <c r="O26" s="124" t="s">
        <v>51</v>
      </c>
      <c r="P26" s="22">
        <v>0.23</v>
      </c>
      <c r="Q26" s="22">
        <v>1.23</v>
      </c>
      <c r="R26" s="22">
        <v>0.23</v>
      </c>
      <c r="S26" s="22">
        <v>1.45</v>
      </c>
      <c r="T26" s="22">
        <v>1.66</v>
      </c>
      <c r="U26" s="22">
        <v>1.4</v>
      </c>
      <c r="V26" s="22">
        <v>2.0299999999999998</v>
      </c>
      <c r="W26" s="22">
        <v>4.25</v>
      </c>
      <c r="X26" s="22">
        <v>4.28</v>
      </c>
      <c r="Y26" s="22">
        <v>2.8</v>
      </c>
      <c r="Z26" s="22">
        <v>0.34</v>
      </c>
      <c r="AA26" s="22">
        <v>1</v>
      </c>
      <c r="AB26" s="23">
        <v>55.31</v>
      </c>
    </row>
    <row r="27" spans="1:28" ht="16" thickBot="1" x14ac:dyDescent="0.4">
      <c r="A27" s="129"/>
      <c r="B27" s="24">
        <v>2018</v>
      </c>
      <c r="C27" s="24">
        <v>2015</v>
      </c>
      <c r="D27" s="24">
        <v>2013</v>
      </c>
      <c r="E27" s="24">
        <v>2012</v>
      </c>
      <c r="F27" s="24">
        <v>2018</v>
      </c>
      <c r="G27" s="24">
        <v>2014</v>
      </c>
      <c r="H27" s="24">
        <v>2013</v>
      </c>
      <c r="I27" s="24">
        <v>2013</v>
      </c>
      <c r="J27" s="24">
        <v>2013</v>
      </c>
      <c r="K27" s="24">
        <v>2012</v>
      </c>
      <c r="L27" s="24">
        <v>2012</v>
      </c>
      <c r="M27" s="24">
        <v>2017</v>
      </c>
      <c r="N27" s="131"/>
      <c r="O27" s="125"/>
      <c r="P27" s="24">
        <v>2012</v>
      </c>
      <c r="Q27" s="24">
        <v>2018</v>
      </c>
      <c r="R27" s="24">
        <v>2013</v>
      </c>
      <c r="S27" s="24">
        <v>2016</v>
      </c>
      <c r="T27" s="24">
        <v>2015</v>
      </c>
      <c r="U27" s="24">
        <v>2015</v>
      </c>
      <c r="V27" s="24">
        <v>2015</v>
      </c>
      <c r="W27" s="24">
        <v>2013</v>
      </c>
      <c r="X27" s="24">
        <v>2016</v>
      </c>
      <c r="Y27" s="24">
        <v>2018</v>
      </c>
      <c r="Z27" s="24">
        <v>2012</v>
      </c>
      <c r="AA27" s="24">
        <v>2012</v>
      </c>
      <c r="AB27" s="25">
        <v>2015</v>
      </c>
    </row>
    <row r="28" spans="1:28" x14ac:dyDescent="0.35">
      <c r="M28" s="28" t="s">
        <v>75</v>
      </c>
    </row>
    <row r="30" spans="1:28" x14ac:dyDescent="0.35">
      <c r="A30" s="2" t="s">
        <v>323</v>
      </c>
    </row>
    <row r="31" spans="1:28" x14ac:dyDescent="0.35">
      <c r="A31" s="2" t="s">
        <v>325</v>
      </c>
      <c r="J31" t="s">
        <v>324</v>
      </c>
    </row>
    <row r="33" spans="1:8" x14ac:dyDescent="0.35">
      <c r="B33" t="s">
        <v>317</v>
      </c>
      <c r="C33" t="s">
        <v>318</v>
      </c>
      <c r="D33" t="s">
        <v>319</v>
      </c>
      <c r="E33" t="s">
        <v>320</v>
      </c>
      <c r="F33" t="s">
        <v>17</v>
      </c>
      <c r="G33" t="s">
        <v>18</v>
      </c>
      <c r="H33" t="s">
        <v>19</v>
      </c>
    </row>
    <row r="34" spans="1:8" x14ac:dyDescent="0.35">
      <c r="A34" t="s">
        <v>317</v>
      </c>
      <c r="C34">
        <v>0.64219999999999999</v>
      </c>
      <c r="D34">
        <v>0.31508000000000003</v>
      </c>
      <c r="E34">
        <v>0.32623999999999997</v>
      </c>
      <c r="F34">
        <v>0.93140000000000001</v>
      </c>
      <c r="G34">
        <v>0.80574000000000001</v>
      </c>
      <c r="H34">
        <v>0.59474000000000005</v>
      </c>
    </row>
    <row r="35" spans="1:8" x14ac:dyDescent="0.35">
      <c r="A35" t="s">
        <v>318</v>
      </c>
      <c r="B35">
        <v>-0.21575</v>
      </c>
      <c r="D35">
        <v>5.1908000000000003E-2</v>
      </c>
      <c r="E35">
        <v>1.0168E-3</v>
      </c>
      <c r="F35">
        <v>1.423E-2</v>
      </c>
      <c r="G35">
        <v>8.4218999999999995E-3</v>
      </c>
      <c r="H35">
        <v>2.6076999999999999E-2</v>
      </c>
    </row>
    <row r="36" spans="1:8" x14ac:dyDescent="0.35">
      <c r="A36" s="2" t="s">
        <v>319</v>
      </c>
      <c r="B36">
        <v>-0.44663000000000003</v>
      </c>
      <c r="C36">
        <v>0.75056</v>
      </c>
      <c r="E36">
        <v>3.2811E-2</v>
      </c>
      <c r="F36">
        <v>7.5857999999999995E-2</v>
      </c>
      <c r="G36">
        <v>7.8401999999999999E-2</v>
      </c>
      <c r="H36">
        <v>1.7054E-2</v>
      </c>
    </row>
    <row r="37" spans="1:8" x14ac:dyDescent="0.35">
      <c r="A37" t="s">
        <v>320</v>
      </c>
      <c r="B37">
        <v>0.43752000000000002</v>
      </c>
      <c r="C37">
        <v>-0.95055000000000001</v>
      </c>
      <c r="D37">
        <v>-0.79447999999999996</v>
      </c>
      <c r="F37">
        <v>3.9715E-2</v>
      </c>
      <c r="G37">
        <v>4.7304000000000001E-3</v>
      </c>
      <c r="H37">
        <v>1.4023000000000001E-2</v>
      </c>
    </row>
    <row r="38" spans="1:8" x14ac:dyDescent="0.35">
      <c r="A38" t="s">
        <v>17</v>
      </c>
      <c r="B38">
        <v>4.0439999999999997E-2</v>
      </c>
      <c r="C38">
        <v>0.85487000000000002</v>
      </c>
      <c r="D38">
        <v>0.70665999999999995</v>
      </c>
      <c r="E38">
        <v>-0.77727999999999997</v>
      </c>
      <c r="G38">
        <v>1.6881E-2</v>
      </c>
      <c r="H38">
        <v>7.4481000000000006E-2</v>
      </c>
    </row>
    <row r="39" spans="1:8" x14ac:dyDescent="0.35">
      <c r="A39" t="s">
        <v>18</v>
      </c>
      <c r="B39">
        <v>-0.11519</v>
      </c>
      <c r="C39">
        <v>0.88307999999999998</v>
      </c>
      <c r="D39">
        <v>0.70245999999999997</v>
      </c>
      <c r="E39">
        <v>-0.90768000000000004</v>
      </c>
      <c r="F39">
        <v>0.84423000000000004</v>
      </c>
      <c r="H39">
        <v>4.4079000000000002E-3</v>
      </c>
    </row>
    <row r="40" spans="1:8" x14ac:dyDescent="0.35">
      <c r="A40" t="s">
        <v>19</v>
      </c>
      <c r="B40">
        <v>-0.24610000000000001</v>
      </c>
      <c r="C40">
        <v>0.81333</v>
      </c>
      <c r="D40">
        <v>0.84358</v>
      </c>
      <c r="E40">
        <v>-0.85575000000000001</v>
      </c>
      <c r="F40">
        <v>0.70896000000000003</v>
      </c>
      <c r="G40">
        <v>0.9103</v>
      </c>
    </row>
    <row r="60" spans="1:8" x14ac:dyDescent="0.35">
      <c r="A60" s="2" t="s">
        <v>326</v>
      </c>
    </row>
    <row r="61" spans="1:8" x14ac:dyDescent="0.35">
      <c r="B61" t="s">
        <v>317</v>
      </c>
      <c r="C61" t="s">
        <v>318</v>
      </c>
      <c r="D61" t="s">
        <v>319</v>
      </c>
      <c r="E61" t="s">
        <v>320</v>
      </c>
      <c r="F61" t="s">
        <v>20</v>
      </c>
      <c r="G61" t="s">
        <v>21</v>
      </c>
      <c r="H61" t="s">
        <v>22</v>
      </c>
    </row>
    <row r="62" spans="1:8" x14ac:dyDescent="0.35">
      <c r="A62" t="s">
        <v>317</v>
      </c>
      <c r="C62">
        <v>0.64219999999999999</v>
      </c>
      <c r="D62">
        <v>0.93164999999999998</v>
      </c>
      <c r="E62">
        <v>3.8633999999999999E-4</v>
      </c>
      <c r="F62">
        <v>0.47614000000000001</v>
      </c>
      <c r="G62">
        <v>0.20794000000000001</v>
      </c>
      <c r="H62">
        <v>0.45852999999999999</v>
      </c>
    </row>
    <row r="63" spans="1:8" x14ac:dyDescent="0.35">
      <c r="A63" t="s">
        <v>318</v>
      </c>
      <c r="B63">
        <v>-0.21575</v>
      </c>
      <c r="D63">
        <v>0.11055</v>
      </c>
      <c r="E63">
        <v>0.44155</v>
      </c>
      <c r="F63">
        <v>8.8881000000000002E-2</v>
      </c>
      <c r="G63">
        <v>0.43475000000000003</v>
      </c>
      <c r="H63">
        <v>0.11161</v>
      </c>
    </row>
    <row r="64" spans="1:8" x14ac:dyDescent="0.35">
      <c r="A64" t="s">
        <v>319</v>
      </c>
      <c r="B64">
        <v>4.0293000000000002E-2</v>
      </c>
      <c r="C64">
        <v>0.65468000000000004</v>
      </c>
      <c r="E64">
        <v>0.93296000000000001</v>
      </c>
      <c r="F64">
        <v>0.17735999999999999</v>
      </c>
      <c r="G64">
        <v>0.46945999999999999</v>
      </c>
      <c r="H64">
        <v>0.23105999999999999</v>
      </c>
    </row>
    <row r="65" spans="1:22" x14ac:dyDescent="0.35">
      <c r="A65" t="s">
        <v>320</v>
      </c>
      <c r="B65">
        <v>0.96653999999999995</v>
      </c>
      <c r="C65">
        <v>-0.34999000000000002</v>
      </c>
      <c r="D65">
        <v>3.952E-2</v>
      </c>
      <c r="F65">
        <v>0.73816999999999999</v>
      </c>
      <c r="G65">
        <v>0.39790999999999999</v>
      </c>
      <c r="H65">
        <v>0.78203999999999996</v>
      </c>
    </row>
    <row r="66" spans="1:22" x14ac:dyDescent="0.35">
      <c r="A66" t="s">
        <v>20</v>
      </c>
      <c r="B66">
        <v>-0.32555000000000001</v>
      </c>
      <c r="C66">
        <v>-0.68591000000000002</v>
      </c>
      <c r="D66">
        <v>-0.57447000000000004</v>
      </c>
      <c r="E66">
        <v>-0.15612999999999999</v>
      </c>
      <c r="G66">
        <v>2.1666000000000001E-2</v>
      </c>
      <c r="H66">
        <v>1.7399999999999999E-2</v>
      </c>
    </row>
    <row r="67" spans="1:22" x14ac:dyDescent="0.35">
      <c r="A67" t="s">
        <v>21</v>
      </c>
      <c r="B67">
        <v>-0.54288999999999998</v>
      </c>
      <c r="C67">
        <v>-0.35487999999999997</v>
      </c>
      <c r="D67">
        <v>-0.33022000000000001</v>
      </c>
      <c r="E67">
        <v>-0.38189000000000001</v>
      </c>
      <c r="F67">
        <v>0.82721999999999996</v>
      </c>
      <c r="H67">
        <v>8.7204000000000004E-2</v>
      </c>
    </row>
    <row r="68" spans="1:22" x14ac:dyDescent="0.35">
      <c r="A68" t="s">
        <v>22</v>
      </c>
      <c r="B68">
        <v>-0.33790999999999999</v>
      </c>
      <c r="C68">
        <v>-0.65322999999999998</v>
      </c>
      <c r="D68">
        <v>-0.52046999999999999</v>
      </c>
      <c r="E68">
        <v>-0.12947</v>
      </c>
      <c r="F68">
        <v>0.84226999999999996</v>
      </c>
      <c r="G68">
        <v>0.68849000000000005</v>
      </c>
    </row>
    <row r="75" spans="1:22" x14ac:dyDescent="0.35">
      <c r="A75" s="2"/>
    </row>
    <row r="80" spans="1:22" x14ac:dyDescent="0.35">
      <c r="I80" s="1"/>
      <c r="J80" s="1"/>
      <c r="K80" s="1"/>
      <c r="L80" s="1"/>
      <c r="M80" s="1"/>
      <c r="N80" s="1"/>
      <c r="O80" s="1"/>
      <c r="P80" s="1"/>
      <c r="R80" s="1"/>
      <c r="S80" s="1"/>
      <c r="T80" s="1"/>
      <c r="U80" s="1"/>
      <c r="V80" s="1"/>
    </row>
    <row r="82" spans="9:22" x14ac:dyDescent="0.35">
      <c r="I82" s="68"/>
    </row>
    <row r="90" spans="9:22" x14ac:dyDescent="0.35">
      <c r="I90" s="1"/>
      <c r="J90" s="1"/>
      <c r="K90" s="1"/>
      <c r="L90" s="1"/>
      <c r="M90" s="1"/>
      <c r="N90" s="1"/>
      <c r="O90" s="1"/>
      <c r="P90" s="1"/>
      <c r="R90" s="1"/>
      <c r="S90" s="1"/>
      <c r="T90" s="1"/>
      <c r="U90" s="1"/>
      <c r="V90" s="1"/>
    </row>
    <row r="98" spans="1:8" x14ac:dyDescent="0.35">
      <c r="A98" s="1"/>
      <c r="B98" s="1"/>
      <c r="C98" s="1"/>
      <c r="E98" s="1"/>
      <c r="F98" s="1"/>
      <c r="G98" s="1"/>
      <c r="H98" s="1"/>
    </row>
    <row r="108" spans="1:8" x14ac:dyDescent="0.35">
      <c r="A108" s="1"/>
      <c r="B108" s="1"/>
      <c r="C108" s="1"/>
      <c r="E108" s="1"/>
      <c r="F108" s="1"/>
      <c r="G108" s="1"/>
      <c r="H108" s="1"/>
    </row>
  </sheetData>
  <mergeCells count="7">
    <mergeCell ref="O24:O25"/>
    <mergeCell ref="O26:O27"/>
    <mergeCell ref="A14:N14"/>
    <mergeCell ref="A24:A25"/>
    <mergeCell ref="N24:N25"/>
    <mergeCell ref="A26:A27"/>
    <mergeCell ref="N26:N27"/>
  </mergeCells>
  <phoneticPr fontId="7" type="noConversion"/>
  <conditionalFormatting sqref="B4:B10">
    <cfRule type="colorScale" priority="15">
      <colorScale>
        <cfvo type="min"/>
        <cfvo type="percentile" val="50"/>
        <cfvo type="max"/>
        <color rgb="FFF8696B"/>
        <color rgb="FFFFEB84"/>
        <color rgb="FF63BE7B"/>
      </colorScale>
    </cfRule>
  </conditionalFormatting>
  <conditionalFormatting sqref="C34:H34">
    <cfRule type="cellIs" dxfId="12" priority="12" operator="lessThan">
      <formula>0.05</formula>
    </cfRule>
  </conditionalFormatting>
  <conditionalFormatting sqref="C62:H62">
    <cfRule type="cellIs" dxfId="11" priority="6" operator="lessThan">
      <formula>0.05</formula>
    </cfRule>
  </conditionalFormatting>
  <conditionalFormatting sqref="D35:H35">
    <cfRule type="cellIs" dxfId="10" priority="11" operator="lessThan">
      <formula>0.05</formula>
    </cfRule>
  </conditionalFormatting>
  <conditionalFormatting sqref="D63:H63">
    <cfRule type="cellIs" dxfId="9" priority="5" operator="lessThan">
      <formula>0.05</formula>
    </cfRule>
  </conditionalFormatting>
  <conditionalFormatting sqref="E36:H36">
    <cfRule type="cellIs" dxfId="8" priority="10" operator="lessThan">
      <formula>0.05</formula>
    </cfRule>
  </conditionalFormatting>
  <conditionalFormatting sqref="E64:H64">
    <cfRule type="cellIs" dxfId="7" priority="4" operator="lessThan">
      <formula>0.05</formula>
    </cfRule>
  </conditionalFormatting>
  <conditionalFormatting sqref="F37:H37">
    <cfRule type="cellIs" dxfId="6" priority="9" operator="lessThan">
      <formula>0.05</formula>
    </cfRule>
  </conditionalFormatting>
  <conditionalFormatting sqref="F65:H65">
    <cfRule type="cellIs" dxfId="5" priority="3" operator="lessThan">
      <formula>0.05</formula>
    </cfRule>
  </conditionalFormatting>
  <conditionalFormatting sqref="G4:G13">
    <cfRule type="colorScale" priority="14">
      <colorScale>
        <cfvo type="min"/>
        <cfvo type="percentile" val="50"/>
        <cfvo type="max"/>
        <color rgb="FFF8696B"/>
        <color rgb="FFFFEB84"/>
        <color rgb="FF63BE7B"/>
      </colorScale>
    </cfRule>
  </conditionalFormatting>
  <conditionalFormatting sqref="G38:H38">
    <cfRule type="cellIs" dxfId="4" priority="8" operator="lessThan">
      <formula>0.05</formula>
    </cfRule>
  </conditionalFormatting>
  <conditionalFormatting sqref="G66:H66">
    <cfRule type="cellIs" dxfId="3" priority="2" operator="lessThan">
      <formula>0.05</formula>
    </cfRule>
  </conditionalFormatting>
  <conditionalFormatting sqref="H39">
    <cfRule type="cellIs" dxfId="2" priority="7" operator="lessThan">
      <formula>0.05</formula>
    </cfRule>
  </conditionalFormatting>
  <conditionalFormatting sqref="H67">
    <cfRule type="cellIs" dxfId="1" priority="1" operator="lessThan">
      <formula>0.05</formula>
    </cfRule>
  </conditionalFormatting>
  <conditionalFormatting sqref="Q4:Q10">
    <cfRule type="colorScale" priority="13">
      <colorScale>
        <cfvo type="min"/>
        <cfvo type="percentile" val="50"/>
        <cfvo type="max"/>
        <color rgb="FFF8696B"/>
        <color rgb="FFFFEB84"/>
        <color rgb="FF63BE7B"/>
      </colorScale>
    </cfRule>
  </conditionalFormatting>
  <hyperlinks>
    <hyperlink ref="M28" r:id="rId1" xr:uid="{E4F3D47F-BE8F-4AFE-9219-AA0E0BB9129F}"/>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39290-5497-4E00-8996-0658F99A73E5}">
  <dimension ref="A1:AQ56"/>
  <sheetViews>
    <sheetView zoomScale="70" zoomScaleNormal="70" workbookViewId="0">
      <pane xSplit="2" ySplit="1" topLeftCell="AA17" activePane="bottomRight" state="frozen"/>
      <selection pane="topRight" activeCell="C1" sqref="C1"/>
      <selection pane="bottomLeft" activeCell="A2" sqref="A2"/>
      <selection pane="bottomRight" activeCell="AL24" sqref="AL24:AL30"/>
    </sheetView>
  </sheetViews>
  <sheetFormatPr defaultColWidth="8.81640625" defaultRowHeight="14.5" x14ac:dyDescent="0.35"/>
  <cols>
    <col min="1" max="1" width="20.453125" customWidth="1"/>
    <col min="2" max="2" width="19.26953125" customWidth="1"/>
    <col min="3" max="3" width="16.1796875" customWidth="1"/>
    <col min="4" max="4" width="19.26953125" customWidth="1"/>
    <col min="5" max="5" width="5.81640625" customWidth="1"/>
    <col min="6" max="6" width="12.81640625" customWidth="1"/>
    <col min="7" max="13" width="15.453125" customWidth="1"/>
    <col min="14" max="16" width="17.1796875" customWidth="1"/>
    <col min="17" max="19" width="20.453125" customWidth="1"/>
    <col min="20" max="22" width="16.1796875" customWidth="1"/>
    <col min="23" max="24" width="13" customWidth="1"/>
    <col min="25" max="27" width="17.54296875" customWidth="1"/>
    <col min="28" max="29" width="11.81640625" customWidth="1"/>
    <col min="30" max="32" width="15.453125" customWidth="1"/>
    <col min="34" max="34" width="8.81640625" customWidth="1"/>
    <col min="36" max="37" width="8.81640625" customWidth="1"/>
    <col min="38" max="38" width="15.1796875" customWidth="1"/>
    <col min="40" max="40" width="29.36328125" customWidth="1"/>
  </cols>
  <sheetData>
    <row r="1" spans="1:40" ht="58" x14ac:dyDescent="0.35">
      <c r="A1" s="37" t="s">
        <v>13</v>
      </c>
      <c r="B1" s="37" t="s">
        <v>0</v>
      </c>
      <c r="C1" s="37" t="s">
        <v>252</v>
      </c>
      <c r="D1" s="37" t="s">
        <v>83</v>
      </c>
      <c r="E1" s="37" t="s">
        <v>14</v>
      </c>
      <c r="F1" s="37" t="s">
        <v>78</v>
      </c>
      <c r="G1" s="37" t="s">
        <v>79</v>
      </c>
      <c r="H1" s="37" t="s">
        <v>76</v>
      </c>
      <c r="I1" s="37" t="s">
        <v>77</v>
      </c>
      <c r="J1" s="37" t="s">
        <v>214</v>
      </c>
      <c r="K1" s="37" t="s">
        <v>87</v>
      </c>
      <c r="L1" s="37" t="s">
        <v>89</v>
      </c>
      <c r="M1" s="37" t="s">
        <v>111</v>
      </c>
      <c r="N1" s="37" t="s">
        <v>81</v>
      </c>
      <c r="O1" s="37" t="s">
        <v>211</v>
      </c>
      <c r="P1" s="37" t="s">
        <v>85</v>
      </c>
      <c r="Q1" s="37" t="s">
        <v>80</v>
      </c>
      <c r="R1" s="37" t="s">
        <v>212</v>
      </c>
      <c r="S1" s="37" t="s">
        <v>85</v>
      </c>
      <c r="T1" s="37" t="s">
        <v>82</v>
      </c>
      <c r="U1" s="37" t="s">
        <v>213</v>
      </c>
      <c r="V1" s="37" t="s">
        <v>85</v>
      </c>
      <c r="W1" s="37" t="s">
        <v>1</v>
      </c>
      <c r="X1" s="37" t="s">
        <v>215</v>
      </c>
      <c r="Y1" s="37" t="s">
        <v>4</v>
      </c>
      <c r="Z1" s="37" t="s">
        <v>198</v>
      </c>
      <c r="AA1" s="37" t="s">
        <v>216</v>
      </c>
      <c r="AB1" s="37" t="s">
        <v>2</v>
      </c>
      <c r="AC1" s="37" t="s">
        <v>217</v>
      </c>
      <c r="AD1" s="37" t="s">
        <v>4</v>
      </c>
      <c r="AE1" s="37" t="s">
        <v>199</v>
      </c>
      <c r="AF1" s="37" t="s">
        <v>218</v>
      </c>
      <c r="AG1" s="37" t="s">
        <v>3</v>
      </c>
      <c r="AH1" s="37" t="s">
        <v>219</v>
      </c>
      <c r="AI1" s="37" t="s">
        <v>4</v>
      </c>
      <c r="AJ1" s="37" t="s">
        <v>200</v>
      </c>
      <c r="AK1" s="37" t="s">
        <v>220</v>
      </c>
      <c r="AL1" s="37" t="s">
        <v>95</v>
      </c>
      <c r="AM1" s="37" t="s">
        <v>316</v>
      </c>
      <c r="AN1" s="37" t="s">
        <v>96</v>
      </c>
    </row>
    <row r="2" spans="1:40" x14ac:dyDescent="0.35">
      <c r="A2" s="73" t="s">
        <v>12</v>
      </c>
      <c r="B2" s="74" t="s">
        <v>275</v>
      </c>
      <c r="C2" s="75" t="s">
        <v>286</v>
      </c>
      <c r="D2" s="74" t="s">
        <v>175</v>
      </c>
      <c r="E2" s="74">
        <v>1951</v>
      </c>
      <c r="F2" s="74">
        <v>4.76</v>
      </c>
      <c r="G2" s="74">
        <v>115.01</v>
      </c>
      <c r="H2" s="43">
        <f t="shared" ref="H2:H30" si="0">COS(F2)*COS(G2)</f>
        <v>-1.5955455736816393E-2</v>
      </c>
      <c r="I2" s="43">
        <f t="shared" ref="I2:I30" si="1">COS(F2)*SIN(G2)</f>
        <v>4.4838826151797607E-2</v>
      </c>
      <c r="J2" s="43">
        <f t="shared" ref="J2:J30" si="2">SIN(F2)</f>
        <v>-0.99886680949041418</v>
      </c>
      <c r="K2" s="74" t="s">
        <v>250</v>
      </c>
      <c r="L2" s="74" t="s">
        <v>250</v>
      </c>
      <c r="M2" s="74"/>
      <c r="N2" s="76">
        <f>AVERAGE(27,26,27,27.8,28,27.74,28,27.7,27.43,27.1)</f>
        <v>27.377000000000002</v>
      </c>
      <c r="O2" s="96">
        <f t="shared" ref="O2:O30" si="3">(N2-(AVERAGE($N$2:$N$30)))/STDEV($N$2:$N$30)</f>
        <v>0.60868696826710034</v>
      </c>
      <c r="P2" s="74" t="s">
        <v>250</v>
      </c>
      <c r="Q2" s="77">
        <f>AVERAGE(27,26,27,27.8,28,27.74,28,27.7,27.43,27.1)</f>
        <v>27.377000000000002</v>
      </c>
      <c r="R2" s="96">
        <f t="shared" ref="R2:R30" si="4">(Q2-(AVERAGE($Q$2:$Q$30)))/STDEV($Q$2:$Q$30)</f>
        <v>8.2230161694273787E-2</v>
      </c>
      <c r="S2" s="74" t="s">
        <v>268</v>
      </c>
      <c r="T2" s="74">
        <f>CONVERT(AVERAGE(16.19,17.54,20,16.13,12.52,12.38,10.32),"in","mm")</f>
        <v>381.29028571428563</v>
      </c>
      <c r="U2" s="96">
        <f t="shared" ref="U2:U30" si="5">(T2-(AVERAGE($T$2:$T$30)))/STDEV($T$2:$T$30)</f>
        <v>3.2832421725440595</v>
      </c>
      <c r="V2" s="74" t="s">
        <v>268</v>
      </c>
      <c r="W2" s="75">
        <v>44</v>
      </c>
      <c r="X2" s="96">
        <f t="shared" ref="X2:X30" si="6">(W2-(AVERAGE($W$2:$W$30)))/STDEV($W$2:$W$30)</f>
        <v>-1.3186941381786828</v>
      </c>
      <c r="Y2" s="74">
        <f>((MAX($W$2:$W$30)-MIN($W$2:$W$30))/(2*_xlfn.NORM.DIST(W2,$W$31,$W$32,TRUE)^-1)*((200-0.375)/(200+0.25)))</f>
        <v>0.7238471565481357</v>
      </c>
      <c r="Z2" s="74">
        <f>(Y2/W2)*100</f>
        <v>1.6451071739730359</v>
      </c>
      <c r="AA2" s="96">
        <f t="shared" ref="AA2:AA30" si="7">(Z2-(AVERAGE($Z$2:$Z$30)))/STDEV($Z$2:$Z$30)</f>
        <v>-0.76935428187879817</v>
      </c>
      <c r="AB2" s="75">
        <v>47.7</v>
      </c>
      <c r="AC2" s="96">
        <f t="shared" ref="AC2:AC30" si="8">(AB2-(AVERAGE($AB$2:$AB$30)))/STDEV($AB$2:$AB$30)</f>
        <v>2.5080154137508912</v>
      </c>
      <c r="AD2" s="74">
        <f>((MAX($AB$2:$AB$30)-MIN($AB$2:$AB$30))/(2*_xlfn.NORM.DIST(AB2,$AB$31,$AB$32,TRUE)^-1)*((200-0.375)/(200+0.25)))</f>
        <v>9.7141004658667107</v>
      </c>
      <c r="AE2" s="74">
        <f>(AD2/AB2)*100</f>
        <v>20.364990494479475</v>
      </c>
      <c r="AF2" s="96">
        <f>(AE2-(AVERAGE($AE$2:$AE$30)))/STDEV($AE$2:$AE$30)</f>
        <v>2.1319187319736397</v>
      </c>
      <c r="AG2" s="74">
        <v>21.2</v>
      </c>
      <c r="AH2" s="96">
        <f>(AG2-(AVERAGE($AG$2:$AG$30)))/STDEV($AG$2:$AG$30)</f>
        <v>-0.81172503666060647</v>
      </c>
      <c r="AI2" s="74">
        <f>((MAX($AG$2:$AG$30)-MIN($AG$2:$AG$30))/(2*_xlfn.NORM.DIST(AG2,$AG$31,$AG$32,TRUE)^-1)*((200-0.375)/(200+0.25)))</f>
        <v>1.1596581558442089</v>
      </c>
      <c r="AJ2" s="74">
        <f>(AI2/AG2)*100</f>
        <v>5.4700856407745704</v>
      </c>
      <c r="AK2" s="96">
        <f>(AJ2-(AVERAGE($AJ$2:$AJ$30)))/STDEV($AJ$2:$AJ$30)</f>
        <v>-0.82313312954646634</v>
      </c>
      <c r="AL2" s="54" t="s">
        <v>273</v>
      </c>
      <c r="AM2" s="55">
        <v>1958</v>
      </c>
      <c r="AN2" s="54" t="s">
        <v>274</v>
      </c>
    </row>
    <row r="3" spans="1:40" x14ac:dyDescent="0.35">
      <c r="A3" s="78" t="s">
        <v>12</v>
      </c>
      <c r="B3" s="79" t="s">
        <v>251</v>
      </c>
      <c r="C3" s="79" t="s">
        <v>287</v>
      </c>
      <c r="D3" s="79" t="s">
        <v>249</v>
      </c>
      <c r="E3" s="79">
        <v>1960</v>
      </c>
      <c r="F3" s="79">
        <v>-7.9</v>
      </c>
      <c r="G3" s="79">
        <v>-14.37</v>
      </c>
      <c r="H3" s="43">
        <f t="shared" si="0"/>
        <v>1.0614303180004539E-2</v>
      </c>
      <c r="I3" s="43">
        <f t="shared" si="1"/>
        <v>4.4760832558819637E-2</v>
      </c>
      <c r="J3" s="43">
        <f t="shared" si="2"/>
        <v>-0.99894134183977201</v>
      </c>
      <c r="K3" s="79" t="s">
        <v>250</v>
      </c>
      <c r="L3" s="79" t="s">
        <v>250</v>
      </c>
      <c r="M3" s="79" t="s">
        <v>159</v>
      </c>
      <c r="N3" s="80">
        <v>27.2</v>
      </c>
      <c r="O3" s="96">
        <f t="shared" si="3"/>
        <v>0.54948226239445641</v>
      </c>
      <c r="P3" s="79"/>
      <c r="Q3" s="81">
        <f>CONVERT(AVERAGE(85.9,88.2,87.3,75.3,76.4,77,79,83.4,76.3),"F","C")</f>
        <v>27.209876543209873</v>
      </c>
      <c r="R3" s="96">
        <f t="shared" si="4"/>
        <v>-1.0748079218508394E-2</v>
      </c>
      <c r="S3" s="79"/>
      <c r="T3" s="80">
        <f>AVERAGE(3.7,52,56.9)</f>
        <v>37.533333333333331</v>
      </c>
      <c r="U3" s="96">
        <f t="shared" si="5"/>
        <v>-0.58343557464689444</v>
      </c>
      <c r="V3" s="79"/>
      <c r="W3" s="79">
        <v>51.7</v>
      </c>
      <c r="X3" s="96">
        <f t="shared" si="6"/>
        <v>0.9240890108686145</v>
      </c>
      <c r="Y3" s="79">
        <f>(55-49.1)/(2*_xlfn.NORM.DIST(W3,$W$31,$W$32,TRUE)^-1)*((100-0.375)/(100+0.25))</f>
        <v>2.4106030576318047</v>
      </c>
      <c r="Z3" s="79">
        <f t="shared" ref="Z3:Z30" si="9">(Y3/W3)*100</f>
        <v>4.6626751598294094</v>
      </c>
      <c r="AA3" s="96">
        <f t="shared" si="7"/>
        <v>7.8794364823096277E-2</v>
      </c>
      <c r="AB3" s="80">
        <v>41.6</v>
      </c>
      <c r="AC3" s="96">
        <f t="shared" si="8"/>
        <v>0.97269299549734367</v>
      </c>
      <c r="AD3" s="79">
        <f>(48-38)/(2*_xlfn.NORM.DIST(AB3,$AB$31,$AB$32,TRUE)^-1)*((100-0.375)/(100+0.25))</f>
        <v>4.1472175550952191</v>
      </c>
      <c r="AE3" s="79">
        <f t="shared" ref="AE3:AE30" si="10">(AD3/AB3)*100</f>
        <v>9.9692729689788919</v>
      </c>
      <c r="AF3" s="96">
        <f t="shared" ref="AF3:AF30" si="11">(AE3-(AVERAGE($AE$2:$AE$30)))/STDEV($AE$2:$AE$30)</f>
        <v>0.42875776978440994</v>
      </c>
      <c r="AG3" s="49">
        <f>W3*0.3805+5.026</f>
        <v>24.697850000000003</v>
      </c>
      <c r="AH3" s="96">
        <f>(AG3-(AVERAGE($AG$2:$AG$30)))/STDEV($AG$2:$AG$30)</f>
        <v>0.40313503798892503</v>
      </c>
      <c r="AI3" s="79">
        <f>((MAX($AG$2:$AH$30)-MIN($AG$2:$AG$30))/(2*_xlfn.NORM.DIST(AG3,$AG15,$AG16,TRUE)^-1)*((100-0.375)/(100+0.25)))</f>
        <v>3.1456308756925222</v>
      </c>
      <c r="AJ3" s="79">
        <f t="shared" ref="AJ3:AJ30" si="12">(AI3/AG3)*100</f>
        <v>12.736456313778413</v>
      </c>
      <c r="AK3" s="96">
        <f t="shared" ref="AK3:AK30" si="13">(AJ3-(AVERAGE($AJ$2:$AJ$30)))/STDEV($AJ$2:$AJ$30)</f>
        <v>1.0659739648512945</v>
      </c>
      <c r="AL3" s="54" t="s">
        <v>247</v>
      </c>
      <c r="AM3" s="54">
        <v>1962</v>
      </c>
      <c r="AN3" s="54" t="s">
        <v>248</v>
      </c>
    </row>
    <row r="4" spans="1:40" x14ac:dyDescent="0.35">
      <c r="A4" s="82" t="s">
        <v>12</v>
      </c>
      <c r="B4" s="83" t="s">
        <v>277</v>
      </c>
      <c r="C4" s="83" t="s">
        <v>288</v>
      </c>
      <c r="D4" s="83" t="s">
        <v>249</v>
      </c>
      <c r="E4" s="83">
        <v>1960</v>
      </c>
      <c r="F4" s="83">
        <v>10.54</v>
      </c>
      <c r="G4" s="83">
        <v>-83.5</v>
      </c>
      <c r="H4" s="43">
        <f t="shared" si="0"/>
        <v>0.1079119318295297</v>
      </c>
      <c r="I4" s="43">
        <f t="shared" si="1"/>
        <v>0.42653926515798368</v>
      </c>
      <c r="J4" s="43">
        <f t="shared" si="2"/>
        <v>-0.8980085023246196</v>
      </c>
      <c r="K4" s="83" t="s">
        <v>250</v>
      </c>
      <c r="L4" s="83" t="s">
        <v>250</v>
      </c>
      <c r="M4" s="83" t="s">
        <v>159</v>
      </c>
      <c r="N4" s="84">
        <v>27.2</v>
      </c>
      <c r="O4" s="96">
        <f t="shared" si="3"/>
        <v>0.54948226239445641</v>
      </c>
      <c r="P4" s="83"/>
      <c r="Q4" s="85">
        <f>CONVERT(AVERAGE(85.9,88.2,87.3,75.3,76.4,77,79,83.4,76.3),"F","C")</f>
        <v>27.209876543209873</v>
      </c>
      <c r="R4" s="96">
        <f t="shared" si="4"/>
        <v>-1.0748079218508394E-2</v>
      </c>
      <c r="S4" s="83"/>
      <c r="T4" s="84">
        <f>AVERAGE(3.7,52,56.9)</f>
        <v>37.533333333333331</v>
      </c>
      <c r="U4" s="96">
        <f t="shared" si="5"/>
        <v>-0.58343557464689444</v>
      </c>
      <c r="V4" s="83"/>
      <c r="W4" s="83">
        <v>49.7</v>
      </c>
      <c r="X4" s="96">
        <f t="shared" si="6"/>
        <v>0.34154793319399201</v>
      </c>
      <c r="Y4" s="83">
        <f>(55-49.1)/(2*_xlfn.NORM.DIST(W4,$W$31,$W$32,TRUE)^-1)*((100-0.375)/(100+0.25))</f>
        <v>1.8576267196258316</v>
      </c>
      <c r="Z4" s="83">
        <f t="shared" si="9"/>
        <v>3.7376795163497616</v>
      </c>
      <c r="AA4" s="96">
        <f t="shared" si="7"/>
        <v>-0.18119440987878135</v>
      </c>
      <c r="AB4" s="84">
        <v>42.6</v>
      </c>
      <c r="AC4" s="96">
        <f t="shared" si="8"/>
        <v>1.2243851952110401</v>
      </c>
      <c r="AD4" s="83">
        <f>(48.2-35)/(2*_xlfn.NORM.DIST(AB4,$AB$31,$AB$32,TRUE)^-1)*((100-0.375)/(100+0.25))</f>
        <v>5.8347327140721816</v>
      </c>
      <c r="AE4" s="83">
        <f t="shared" si="10"/>
        <v>13.696555666836108</v>
      </c>
      <c r="AF4" s="96">
        <f t="shared" si="11"/>
        <v>1.0394094511581864</v>
      </c>
      <c r="AG4" s="49">
        <f>W4*0.3805+5.026</f>
        <v>23.93685</v>
      </c>
      <c r="AH4" s="96">
        <f>(AG4-(AVERAGE($AG$2:$AG$30)))/STDEV($AG$2:$AG$30)</f>
        <v>0.13882738705812581</v>
      </c>
      <c r="AI4" s="83">
        <f>((MAX($AG$2:$AH$30)-MIN($AG$2:$AG$30))/(2*_xlfn.NORM.DIST(AG4,$AG15,$AG16,TRUE)^-1)*((100-0.375)/(100+0.25)))</f>
        <v>3.0866554808127531</v>
      </c>
      <c r="AJ4" s="83">
        <f t="shared" si="12"/>
        <v>12.894994457552908</v>
      </c>
      <c r="AK4" s="96">
        <f t="shared" si="13"/>
        <v>1.1071906252192745</v>
      </c>
      <c r="AL4" s="54" t="s">
        <v>247</v>
      </c>
      <c r="AM4" s="54">
        <v>1962</v>
      </c>
      <c r="AN4" s="54" t="s">
        <v>248</v>
      </c>
    </row>
    <row r="5" spans="1:40" x14ac:dyDescent="0.35">
      <c r="A5" s="91" t="s">
        <v>12</v>
      </c>
      <c r="B5" s="92" t="s">
        <v>272</v>
      </c>
      <c r="C5" s="92" t="s">
        <v>292</v>
      </c>
      <c r="D5" s="92" t="s">
        <v>174</v>
      </c>
      <c r="E5" s="92">
        <v>1964</v>
      </c>
      <c r="F5" s="92">
        <v>-9.42</v>
      </c>
      <c r="G5" s="92">
        <v>46.34</v>
      </c>
      <c r="H5" s="43">
        <f t="shared" si="0"/>
        <v>0.70816446427446511</v>
      </c>
      <c r="I5" s="43">
        <f t="shared" si="1"/>
        <v>-0.70603134689861002</v>
      </c>
      <c r="J5" s="43">
        <f t="shared" si="2"/>
        <v>-4.7779425901285115E-3</v>
      </c>
      <c r="K5" s="92" t="s">
        <v>283</v>
      </c>
      <c r="L5" s="92" t="s">
        <v>284</v>
      </c>
      <c r="M5" s="92"/>
      <c r="N5" s="93">
        <v>29.9</v>
      </c>
      <c r="O5" s="96">
        <f t="shared" si="3"/>
        <v>1.4526048943500245</v>
      </c>
      <c r="P5" s="92"/>
      <c r="Q5" s="94">
        <f>AVERAGE(29.9,28.8,27.2,27.7,28.8)</f>
        <v>28.48</v>
      </c>
      <c r="R5" s="96">
        <f t="shared" si="4"/>
        <v>0.69587830957566454</v>
      </c>
      <c r="S5" s="92"/>
      <c r="T5" s="92">
        <f>AVERAGE(102,199,6,1)</f>
        <v>77</v>
      </c>
      <c r="U5" s="96">
        <f t="shared" si="5"/>
        <v>-0.13950307903096321</v>
      </c>
      <c r="V5" s="92" t="s">
        <v>285</v>
      </c>
      <c r="W5" s="92">
        <v>50</v>
      </c>
      <c r="X5" s="96">
        <f t="shared" si="6"/>
        <v>0.42892909484518454</v>
      </c>
      <c r="Y5" s="92">
        <v>1.3879999999999999</v>
      </c>
      <c r="Z5" s="92">
        <f t="shared" si="9"/>
        <v>2.7759999999999998</v>
      </c>
      <c r="AA5" s="96">
        <f t="shared" si="7"/>
        <v>-0.45149393061070797</v>
      </c>
      <c r="AB5" s="93">
        <v>40.6</v>
      </c>
      <c r="AC5" s="96">
        <f t="shared" si="8"/>
        <v>0.7210007957836474</v>
      </c>
      <c r="AD5" s="92">
        <v>1.581</v>
      </c>
      <c r="AE5" s="92">
        <f t="shared" si="10"/>
        <v>3.8940886699507384</v>
      </c>
      <c r="AF5" s="96">
        <f t="shared" si="11"/>
        <v>-0.566557532966802</v>
      </c>
      <c r="AG5" s="92">
        <f>W5*0.3805+5.026</f>
        <v>24.050999999999998</v>
      </c>
      <c r="AH5" s="96">
        <f t="shared" ref="AH5" si="14">(AG5-(AVERAGE($AG$2:$AG$30)))/STDEV($AG$2:$AG$30)</f>
        <v>0.17847353469774507</v>
      </c>
      <c r="AI5" s="92">
        <f>(28-20)/(2*_xlfn.NORM.DIST(AG5,$AG$31,$AG$32,TRUE)^-1)*((111-0.375)/(111+0.25))</f>
        <v>2.2704702767912002</v>
      </c>
      <c r="AJ5" s="92">
        <f t="shared" si="12"/>
        <v>9.4402323262700101</v>
      </c>
      <c r="AK5" s="96">
        <f t="shared" si="13"/>
        <v>0.20902344584452651</v>
      </c>
      <c r="AL5" s="54" t="s">
        <v>269</v>
      </c>
      <c r="AM5" s="54">
        <v>1970</v>
      </c>
      <c r="AN5" s="54" t="s">
        <v>270</v>
      </c>
    </row>
    <row r="6" spans="1:40" x14ac:dyDescent="0.35">
      <c r="A6" s="86" t="s">
        <v>12</v>
      </c>
      <c r="B6" s="87" t="s">
        <v>267</v>
      </c>
      <c r="C6" s="87" t="s">
        <v>291</v>
      </c>
      <c r="D6" s="87" t="s">
        <v>174</v>
      </c>
      <c r="E6" s="87">
        <v>1966</v>
      </c>
      <c r="F6" s="87">
        <v>12.77</v>
      </c>
      <c r="G6" s="87">
        <v>44.99</v>
      </c>
      <c r="H6" s="43">
        <f t="shared" si="0"/>
        <v>0.52277572022650143</v>
      </c>
      <c r="I6" s="43">
        <f t="shared" si="1"/>
        <v>0.82813680865374051</v>
      </c>
      <c r="J6" s="43">
        <f t="shared" si="2"/>
        <v>0.20222505407209254</v>
      </c>
      <c r="K6" s="87" t="s">
        <v>250</v>
      </c>
      <c r="L6" s="87" t="s">
        <v>250</v>
      </c>
      <c r="M6" s="87"/>
      <c r="N6" s="88">
        <f>CONVERT(90,"F","C")</f>
        <v>32.222222222222221</v>
      </c>
      <c r="O6" s="96">
        <f t="shared" si="3"/>
        <v>2.2293646889126331</v>
      </c>
      <c r="P6" s="87" t="s">
        <v>268</v>
      </c>
      <c r="Q6" s="89">
        <f>CONVERT(AVERAGE(84,86,89,93,98,97,96,91,87,84),"F","C")</f>
        <v>32.5</v>
      </c>
      <c r="R6" s="96">
        <f t="shared" si="4"/>
        <v>2.9323837986810095</v>
      </c>
      <c r="S6" s="87" t="s">
        <v>268</v>
      </c>
      <c r="T6" s="90">
        <f>CONVERT(2.6/12,"in","mm")</f>
        <v>5.503333333333333</v>
      </c>
      <c r="U6" s="96">
        <f t="shared" si="5"/>
        <v>-0.94371829005006036</v>
      </c>
      <c r="V6" s="87" t="s">
        <v>268</v>
      </c>
      <c r="W6" s="87">
        <v>46.9</v>
      </c>
      <c r="X6" s="96">
        <f t="shared" si="6"/>
        <v>-0.47400957555048062</v>
      </c>
      <c r="Y6" s="87">
        <f>(48.4-44)/(2*_xlfn.NORM.DIST(W6,$W$31,$W$32,TRUE)^-1)*((20-0.375)/(20+0.25))</f>
        <v>0.67746700446726871</v>
      </c>
      <c r="Z6" s="87">
        <f t="shared" si="9"/>
        <v>1.4444925468385261</v>
      </c>
      <c r="AA6" s="96">
        <f t="shared" si="7"/>
        <v>-0.82574108917204025</v>
      </c>
      <c r="AB6" s="88">
        <v>33.5</v>
      </c>
      <c r="AC6" s="96">
        <f t="shared" si="8"/>
        <v>-1.0660138221835966</v>
      </c>
      <c r="AD6" s="87">
        <f>(37.5-31.2)/(2*_xlfn.NORM.DIST(AB6,$AB$31,$AB$32,TRUE)^-1)*((20-0.375)/(20+0.25))</f>
        <v>0.43718432729348655</v>
      </c>
      <c r="AE6" s="87">
        <f t="shared" si="10"/>
        <v>1.305027842667124</v>
      </c>
      <c r="AF6" s="96">
        <f t="shared" si="11"/>
        <v>-0.99073097928699427</v>
      </c>
      <c r="AG6" s="87">
        <v>23</v>
      </c>
      <c r="AH6" s="96">
        <f t="shared" ref="AH6:AH30" si="15">(AG6-(AVERAGE($AG$2:$AG$30)))/STDEV($AG$2:$AG$30)</f>
        <v>-0.18655582289524905</v>
      </c>
      <c r="AI6" s="87">
        <f>(28-20)/(2*_xlfn.NORM.DIST(AG6,$AG$31,$AG$32,TRUE)^-1)*((20-0.375)/(20+0.25))</f>
        <v>1.6514246711398752</v>
      </c>
      <c r="AJ6" s="87">
        <f t="shared" si="12"/>
        <v>7.1801072658255443</v>
      </c>
      <c r="AK6" s="96">
        <f t="shared" si="13"/>
        <v>-0.37856263777963739</v>
      </c>
      <c r="AL6" s="54" t="s">
        <v>266</v>
      </c>
      <c r="AM6" s="54">
        <v>1970</v>
      </c>
      <c r="AN6" s="54" t="s">
        <v>159</v>
      </c>
    </row>
    <row r="7" spans="1:40" x14ac:dyDescent="0.35">
      <c r="A7" s="91" t="s">
        <v>12</v>
      </c>
      <c r="B7" s="92" t="s">
        <v>271</v>
      </c>
      <c r="C7" s="92" t="s">
        <v>292</v>
      </c>
      <c r="D7" s="92" t="s">
        <v>174</v>
      </c>
      <c r="E7" s="92">
        <v>1968</v>
      </c>
      <c r="F7" s="92">
        <v>-10.07</v>
      </c>
      <c r="G7" s="92">
        <v>47.74</v>
      </c>
      <c r="H7" s="43">
        <f t="shared" si="0"/>
        <v>0.65206225457249867</v>
      </c>
      <c r="I7" s="43">
        <f t="shared" si="1"/>
        <v>0.46169459273014968</v>
      </c>
      <c r="J7" s="43">
        <f t="shared" si="2"/>
        <v>0.60137585519005587</v>
      </c>
      <c r="K7" s="92" t="s">
        <v>283</v>
      </c>
      <c r="L7" s="92"/>
      <c r="M7" s="92"/>
      <c r="N7" s="93">
        <f>AVERAGE(30.9,32,31.6,31.9,31.1,31.4,30.2,28.9,27.5,27.9,28.8,29.9,24.3,25.6,24.9,25.6,24.7,24.3,23.8,23.1,21.9,22,22.6,23.5)</f>
        <v>27.016666666666666</v>
      </c>
      <c r="O7" s="96">
        <f t="shared" si="3"/>
        <v>0.48815912071846101</v>
      </c>
      <c r="P7" s="92"/>
      <c r="Q7" s="94">
        <f>AVERAGE(30.9,24.3,32,25.6,31.6,24.9,31.9,25.6,31.1,24.7)</f>
        <v>28.26</v>
      </c>
      <c r="R7" s="96">
        <f t="shared" si="4"/>
        <v>0.57348248678880553</v>
      </c>
      <c r="S7" s="92"/>
      <c r="T7" s="92">
        <f>AVERAGE(5,28,150,144,28,38,71)</f>
        <v>66.285714285714292</v>
      </c>
      <c r="U7" s="96">
        <f t="shared" si="5"/>
        <v>-0.2600204674402109</v>
      </c>
      <c r="V7" s="92"/>
      <c r="W7" s="92">
        <v>48.45</v>
      </c>
      <c r="X7" s="96">
        <f t="shared" si="6"/>
        <v>-2.2540240352646995E-2</v>
      </c>
      <c r="Y7" s="92">
        <v>0.82</v>
      </c>
      <c r="Z7" s="92">
        <f t="shared" si="9"/>
        <v>1.6924664602683177</v>
      </c>
      <c r="AA7" s="96">
        <f t="shared" si="7"/>
        <v>-0.75604299452143597</v>
      </c>
      <c r="AB7" s="92">
        <v>39.36</v>
      </c>
      <c r="AC7" s="96">
        <f t="shared" si="8"/>
        <v>0.40890246813866349</v>
      </c>
      <c r="AD7" s="93">
        <v>0.92500000000000004</v>
      </c>
      <c r="AE7" s="92">
        <f t="shared" si="10"/>
        <v>2.3501016260162602</v>
      </c>
      <c r="AF7" s="96">
        <f t="shared" si="11"/>
        <v>-0.81951346918809964</v>
      </c>
      <c r="AG7" s="92">
        <f>W7*0.3805+5.026</f>
        <v>23.461225000000002</v>
      </c>
      <c r="AH7" s="96">
        <f t="shared" si="15"/>
        <v>-2.6364894773622166E-2</v>
      </c>
      <c r="AI7" s="92">
        <f>(28-20)/(2*_xlfn.NORM.DIST(AG7,$AG$31,$AG$32,TRUE)^-1)*((11-0.375)/(11+0.25))</f>
        <v>1.8491585559432051</v>
      </c>
      <c r="AJ7" s="92">
        <f t="shared" si="12"/>
        <v>7.881764724319404</v>
      </c>
      <c r="AK7" s="96">
        <f t="shared" si="13"/>
        <v>-0.19614611344756636</v>
      </c>
      <c r="AL7" s="54" t="s">
        <v>269</v>
      </c>
      <c r="AM7" s="54">
        <v>1970</v>
      </c>
      <c r="AN7" s="54" t="s">
        <v>270</v>
      </c>
    </row>
    <row r="8" spans="1:40" x14ac:dyDescent="0.35">
      <c r="A8" s="91" t="s">
        <v>12</v>
      </c>
      <c r="B8" s="92" t="s">
        <v>272</v>
      </c>
      <c r="C8" s="92" t="s">
        <v>292</v>
      </c>
      <c r="D8" s="92" t="s">
        <v>174</v>
      </c>
      <c r="E8" s="92">
        <v>1968</v>
      </c>
      <c r="F8" s="92">
        <v>-9.42</v>
      </c>
      <c r="G8" s="92">
        <v>46.34</v>
      </c>
      <c r="H8" s="43">
        <f t="shared" si="0"/>
        <v>0.70816446427446511</v>
      </c>
      <c r="I8" s="43">
        <f t="shared" si="1"/>
        <v>-0.70603134689861002</v>
      </c>
      <c r="J8" s="43">
        <f t="shared" si="2"/>
        <v>-4.7779425901285115E-3</v>
      </c>
      <c r="K8" s="92" t="s">
        <v>283</v>
      </c>
      <c r="L8" s="92"/>
      <c r="M8" s="92"/>
      <c r="N8" s="93">
        <f>AVERAGE(30.9,32,31.6,31.9,31.1,31.4,30.2,28.9,27.5,27.9,28.8,29.9,24.3,25.6,24.9,25.6,24.7,24.3,23.8,23.1,21.9,22,22.6,23.5)</f>
        <v>27.016666666666666</v>
      </c>
      <c r="O8" s="96">
        <f t="shared" si="3"/>
        <v>0.48815912071846101</v>
      </c>
      <c r="P8" s="92"/>
      <c r="Q8" s="94">
        <f>AVERAGE(30.9,24.3,32,25.6,31.6,24.9,31.9,25.6,31.1,24.7)</f>
        <v>28.26</v>
      </c>
      <c r="R8" s="96">
        <f t="shared" si="4"/>
        <v>0.57348248678880553</v>
      </c>
      <c r="S8" s="92"/>
      <c r="T8" s="92">
        <f>AVERAGE(5,28,150,144,28,38,71)</f>
        <v>66.285714285714292</v>
      </c>
      <c r="U8" s="96">
        <f t="shared" si="5"/>
        <v>-0.2600204674402109</v>
      </c>
      <c r="V8" s="92"/>
      <c r="W8" s="92">
        <v>51.31</v>
      </c>
      <c r="X8" s="96">
        <f t="shared" si="6"/>
        <v>0.81049350072206294</v>
      </c>
      <c r="Y8" s="92">
        <v>0.86199999999999999</v>
      </c>
      <c r="Z8" s="92">
        <f t="shared" si="9"/>
        <v>1.679984408497369</v>
      </c>
      <c r="AA8" s="96">
        <f t="shared" si="7"/>
        <v>-0.75955132817529691</v>
      </c>
      <c r="AB8" s="93">
        <v>41.57</v>
      </c>
      <c r="AC8" s="96">
        <f t="shared" si="8"/>
        <v>0.96514222950593254</v>
      </c>
      <c r="AD8" s="92">
        <v>0.86699999999999999</v>
      </c>
      <c r="AE8" s="92">
        <f t="shared" si="10"/>
        <v>2.0856386817416408</v>
      </c>
      <c r="AF8" s="96">
        <f t="shared" si="11"/>
        <v>-0.86284121078258558</v>
      </c>
      <c r="AG8" s="92">
        <v>29.37</v>
      </c>
      <c r="AH8" s="96">
        <f t="shared" si="15"/>
        <v>2.0258485613743766</v>
      </c>
      <c r="AI8" s="92">
        <v>0.74</v>
      </c>
      <c r="AJ8" s="92">
        <f t="shared" si="12"/>
        <v>2.5195778004766769</v>
      </c>
      <c r="AK8" s="96">
        <f t="shared" si="13"/>
        <v>-1.5902045526835966</v>
      </c>
      <c r="AL8" s="54" t="s">
        <v>269</v>
      </c>
      <c r="AM8" s="54">
        <v>1970</v>
      </c>
      <c r="AN8" s="54" t="s">
        <v>270</v>
      </c>
    </row>
    <row r="9" spans="1:40" x14ac:dyDescent="0.35">
      <c r="A9" s="95" t="s">
        <v>12</v>
      </c>
      <c r="B9" s="43" t="s">
        <v>260</v>
      </c>
      <c r="C9" s="43" t="s">
        <v>289</v>
      </c>
      <c r="D9" s="43" t="s">
        <v>171</v>
      </c>
      <c r="E9" s="43">
        <v>1969</v>
      </c>
      <c r="F9" s="43">
        <v>-15.67</v>
      </c>
      <c r="G9" s="43">
        <v>-63.62</v>
      </c>
      <c r="H9" s="43">
        <f t="shared" si="0"/>
        <v>-0.70465236104105411</v>
      </c>
      <c r="I9" s="43">
        <f t="shared" si="1"/>
        <v>0.70853689571869449</v>
      </c>
      <c r="J9" s="43">
        <f t="shared" si="2"/>
        <v>-3.7954149767631784E-2</v>
      </c>
      <c r="K9" s="43"/>
      <c r="L9" s="43"/>
      <c r="M9" s="43"/>
      <c r="N9" s="96">
        <v>27.8</v>
      </c>
      <c r="O9" s="96">
        <f t="shared" si="3"/>
        <v>0.75017618060680546</v>
      </c>
      <c r="P9" s="43"/>
      <c r="Q9" s="97">
        <v>27</v>
      </c>
      <c r="R9" s="96">
        <f t="shared" si="4"/>
        <v>-0.12751177099048255</v>
      </c>
      <c r="S9" s="43"/>
      <c r="T9" s="43">
        <f>AVERAGE(5.5,114.6,302.6,393.7,312.8,506.5,316.9)</f>
        <v>278.94285714285712</v>
      </c>
      <c r="U9" s="96">
        <f t="shared" si="5"/>
        <v>2.132008657706538</v>
      </c>
      <c r="V9" s="43"/>
      <c r="W9" s="43">
        <v>54.6</v>
      </c>
      <c r="X9" s="96">
        <f t="shared" si="6"/>
        <v>1.7687735734968166</v>
      </c>
      <c r="Y9" s="43">
        <f>(56-46)/(2*_xlfn.NORM.DIST(W9,$W$31,$W$32,TRUE)^-1)*((100-0.375)/(100+0.25))</f>
        <v>4.7776978185263346</v>
      </c>
      <c r="Z9" s="43">
        <f t="shared" si="9"/>
        <v>8.7503623049932866</v>
      </c>
      <c r="AA9" s="96">
        <f t="shared" si="7"/>
        <v>1.22772169191613</v>
      </c>
      <c r="AB9" s="96">
        <f t="shared" ref="AB9:AB14" si="16">0.9368*(W9)-8.5282</f>
        <v>42.621079999999999</v>
      </c>
      <c r="AC9" s="96">
        <f t="shared" si="8"/>
        <v>1.229690866781004</v>
      </c>
      <c r="AD9" s="43">
        <f>((MAX($AB$2:$AB$30)-MIN($AB$2:$AB$30))/(2*_xlfn.NORM.DIST(AB9,$AB$31,$AB$32,TRUE)^-1)*((100-0.375)/(100+0.25)))</f>
        <v>8.6769708219605182</v>
      </c>
      <c r="AE9" s="43">
        <f t="shared" si="10"/>
        <v>20.358402044154015</v>
      </c>
      <c r="AF9" s="96">
        <f t="shared" si="11"/>
        <v>2.1308393267889452</v>
      </c>
      <c r="AG9" s="43">
        <v>27</v>
      </c>
      <c r="AH9" s="96">
        <f t="shared" si="15"/>
        <v>1.2027090965833225</v>
      </c>
      <c r="AI9" s="43">
        <f>((MAX($AG$2:$AG$30)-MIN($AG$2:$AG$30))/(2*_xlfn.NORM.DIST(AG9,$AG19,$AG20,TRUE)^-1)*((100-0.375)/(100+0.25)))</f>
        <v>3.3720958510640977</v>
      </c>
      <c r="AJ9" s="43">
        <f t="shared" si="12"/>
        <v>12.489243892829991</v>
      </c>
      <c r="AK9" s="96">
        <f t="shared" si="13"/>
        <v>1.0017038141456667</v>
      </c>
      <c r="AL9" s="54" t="s">
        <v>179</v>
      </c>
      <c r="AM9" s="54">
        <v>1971</v>
      </c>
      <c r="AN9" s="54" t="s">
        <v>159</v>
      </c>
    </row>
    <row r="10" spans="1:40" x14ac:dyDescent="0.35">
      <c r="A10" s="98" t="s">
        <v>12</v>
      </c>
      <c r="B10" s="53" t="s">
        <v>164</v>
      </c>
      <c r="C10" s="53" t="s">
        <v>253</v>
      </c>
      <c r="D10" s="53" t="s">
        <v>177</v>
      </c>
      <c r="E10" s="53">
        <v>1971</v>
      </c>
      <c r="F10" s="53">
        <v>-23.43</v>
      </c>
      <c r="G10" s="53">
        <v>151.85</v>
      </c>
      <c r="H10" s="43">
        <f t="shared" si="0"/>
        <v>-6.5055795613440576E-2</v>
      </c>
      <c r="I10" s="43">
        <f t="shared" si="1"/>
        <v>-0.11435211013786797</v>
      </c>
      <c r="J10" s="43">
        <f t="shared" si="2"/>
        <v>0.99130789281843168</v>
      </c>
      <c r="K10" s="53" t="s">
        <v>88</v>
      </c>
      <c r="L10" s="53" t="s">
        <v>224</v>
      </c>
      <c r="M10" s="53"/>
      <c r="N10" s="99">
        <f>AVERAGE(25.6,20.3)</f>
        <v>22.950000000000003</v>
      </c>
      <c r="O10" s="96">
        <f t="shared" si="3"/>
        <v>-0.87209965827634439</v>
      </c>
      <c r="P10" s="53"/>
      <c r="Q10" s="64">
        <f>AVERAGE(22.7,22.8,23,22.4,19.8,29,27.7,26.9,27,28.5,28.5)</f>
        <v>25.299999999999997</v>
      </c>
      <c r="R10" s="96">
        <f t="shared" si="4"/>
        <v>-1.0732976743434908</v>
      </c>
      <c r="S10" s="53"/>
      <c r="T10" s="53">
        <f>AVERAGE(107.1,102.1,56.7,253.8,49.1,104)</f>
        <v>112.13333333333334</v>
      </c>
      <c r="U10" s="96">
        <f t="shared" si="5"/>
        <v>0.25568682838389456</v>
      </c>
      <c r="V10" s="53"/>
      <c r="W10" s="53">
        <v>50</v>
      </c>
      <c r="X10" s="96">
        <f t="shared" si="6"/>
        <v>0.42892909484518454</v>
      </c>
      <c r="Y10" s="53">
        <f>(MAX($W$2:$W$30)-MIN($W$2:$W$30))/(2*_xlfn.NORM.DIST(W10,$W$31,$W$32,TRUE)^-1)*((100-0.375)/(100+0.25))</f>
        <v>5.1325055357027916</v>
      </c>
      <c r="Z10" s="53">
        <f t="shared" si="9"/>
        <v>10.265011071405583</v>
      </c>
      <c r="AA10" s="96">
        <f t="shared" si="7"/>
        <v>1.6534444287301957</v>
      </c>
      <c r="AB10" s="99">
        <f t="shared" si="16"/>
        <v>38.311799999999998</v>
      </c>
      <c r="AC10" s="96">
        <f t="shared" si="8"/>
        <v>0.14507870439876672</v>
      </c>
      <c r="AD10" s="53">
        <f>((MAX($AB$2:$AB$30)-MIN($AB$2:$AB$30))/(2*_xlfn.NORM.DIST(AB10,$AB$31,$AB$32,TRUE)^-1)*((100-0.375)/(100+0.25)))</f>
        <v>5.433382234998275</v>
      </c>
      <c r="AE10" s="53">
        <f t="shared" si="10"/>
        <v>14.182007201432132</v>
      </c>
      <c r="AF10" s="96">
        <f t="shared" si="11"/>
        <v>1.1189424031387172</v>
      </c>
      <c r="AG10" s="53">
        <v>21</v>
      </c>
      <c r="AH10" s="96">
        <f t="shared" si="15"/>
        <v>-0.88118828263453486</v>
      </c>
      <c r="AI10" s="53">
        <f>((MAX($AG$2:$AG$30)-MIN($AG$2:$AG$30))/(2*_xlfn.NORM.DIST(AG10,$AG$31,$AG$32,TRUE)^-1)*((100-0.375)/(100+0.25)))</f>
        <v>1.0486437241159088</v>
      </c>
      <c r="AJ10" s="53">
        <f t="shared" si="12"/>
        <v>4.9935415434090888</v>
      </c>
      <c r="AK10" s="96">
        <f t="shared" si="13"/>
        <v>-0.94702480472223283</v>
      </c>
      <c r="AL10" s="54" t="s">
        <v>181</v>
      </c>
      <c r="AM10" s="54">
        <v>1972</v>
      </c>
      <c r="AN10" s="54" t="s">
        <v>159</v>
      </c>
    </row>
    <row r="11" spans="1:40" x14ac:dyDescent="0.35">
      <c r="A11" s="100" t="s">
        <v>12</v>
      </c>
      <c r="B11" s="101" t="s">
        <v>278</v>
      </c>
      <c r="C11" s="101" t="s">
        <v>290</v>
      </c>
      <c r="D11" s="101" t="s">
        <v>172</v>
      </c>
      <c r="E11" s="101">
        <v>1973</v>
      </c>
      <c r="F11" s="101">
        <v>-22.36</v>
      </c>
      <c r="G11" s="101">
        <v>40.369999999999997</v>
      </c>
      <c r="H11" s="43">
        <f t="shared" si="0"/>
        <v>0.8313054492616565</v>
      </c>
      <c r="I11" s="43">
        <f t="shared" si="1"/>
        <v>-0.42301184951569465</v>
      </c>
      <c r="J11" s="43">
        <f t="shared" si="2"/>
        <v>0.36054434567357563</v>
      </c>
      <c r="K11" s="101" t="s">
        <v>280</v>
      </c>
      <c r="L11" s="101" t="s">
        <v>281</v>
      </c>
      <c r="M11" s="101"/>
      <c r="N11" s="102">
        <v>24.2</v>
      </c>
      <c r="O11" s="96">
        <f t="shared" si="3"/>
        <v>-0.45398732866728614</v>
      </c>
      <c r="P11" s="101"/>
      <c r="Q11" s="103">
        <f>AVERAGE(26,24.2,22.4,21.7,22.1,23,24.1)</f>
        <v>23.357142857142858</v>
      </c>
      <c r="R11" s="96">
        <f t="shared" si="4"/>
        <v>-2.1541958496040676</v>
      </c>
      <c r="S11" s="101"/>
      <c r="T11" s="101">
        <f>AVERAGE(42.4,41.4,16.3,24.2,29.3,21,25.6)</f>
        <v>28.599999999999998</v>
      </c>
      <c r="U11" s="96">
        <f t="shared" si="5"/>
        <v>-0.68392029493833839</v>
      </c>
      <c r="V11" s="101"/>
      <c r="W11" s="101">
        <v>50.9</v>
      </c>
      <c r="X11" s="96">
        <f t="shared" si="6"/>
        <v>0.69107257979876424</v>
      </c>
      <c r="Y11" s="101">
        <v>1.07443580901434</v>
      </c>
      <c r="Z11" s="101">
        <f t="shared" si="9"/>
        <v>2.1108758526804325</v>
      </c>
      <c r="AA11" s="96">
        <f t="shared" si="7"/>
        <v>-0.6384405538788317</v>
      </c>
      <c r="AB11" s="102">
        <f t="shared" si="16"/>
        <v>39.154919999999997</v>
      </c>
      <c r="AC11" s="96">
        <f t="shared" si="8"/>
        <v>0.35728543182137806</v>
      </c>
      <c r="AD11" s="101">
        <f>((MAX($AB$2:$AB$30)-MIN($AB$2:$AB$30))/(2*_xlfn.NORM.DIST(AB11,$AB$31,$AB$32,TRUE)^-1)*((131-0.375)/(131+0.25)))</f>
        <v>6.240416177458374</v>
      </c>
      <c r="AE11" s="101">
        <f t="shared" si="10"/>
        <v>15.937757445190476</v>
      </c>
      <c r="AF11" s="96">
        <f t="shared" si="11"/>
        <v>1.4065921269012378</v>
      </c>
      <c r="AG11" s="101">
        <v>25.4</v>
      </c>
      <c r="AH11" s="96">
        <f t="shared" si="15"/>
        <v>0.64700312879189337</v>
      </c>
      <c r="AI11" s="101">
        <v>1.47547228423256</v>
      </c>
      <c r="AJ11" s="101">
        <f t="shared" si="12"/>
        <v>5.8089460009155909</v>
      </c>
      <c r="AK11" s="96">
        <f t="shared" si="13"/>
        <v>-0.73503639746935723</v>
      </c>
      <c r="AL11" s="54" t="s">
        <v>261</v>
      </c>
      <c r="AM11" s="54">
        <v>1976</v>
      </c>
      <c r="AN11" s="54" t="s">
        <v>264</v>
      </c>
    </row>
    <row r="12" spans="1:40" x14ac:dyDescent="0.35">
      <c r="A12" s="100" t="s">
        <v>12</v>
      </c>
      <c r="B12" s="101" t="s">
        <v>279</v>
      </c>
      <c r="C12" s="101" t="s">
        <v>290</v>
      </c>
      <c r="D12" s="101" t="s">
        <v>173</v>
      </c>
      <c r="E12" s="101">
        <v>1973</v>
      </c>
      <c r="F12" s="101">
        <v>-15.89</v>
      </c>
      <c r="G12" s="101">
        <v>54.52</v>
      </c>
      <c r="H12" s="43">
        <f t="shared" si="0"/>
        <v>0.43473598320978435</v>
      </c>
      <c r="I12" s="43">
        <f t="shared" si="1"/>
        <v>0.88217439780909035</v>
      </c>
      <c r="J12" s="43">
        <f t="shared" si="2"/>
        <v>0.1810330266906871</v>
      </c>
      <c r="K12" s="101" t="s">
        <v>280</v>
      </c>
      <c r="L12" s="101" t="s">
        <v>282</v>
      </c>
      <c r="M12" s="101"/>
      <c r="N12" s="102">
        <v>26.2</v>
      </c>
      <c r="O12" s="96">
        <f t="shared" si="3"/>
        <v>0.21499239870720893</v>
      </c>
      <c r="P12" s="101"/>
      <c r="Q12" s="103">
        <f>AVERAGE(27.6,26.4,24.9,24.1,23.9,24.3,25.2)</f>
        <v>25.2</v>
      </c>
      <c r="R12" s="96">
        <f t="shared" si="4"/>
        <v>-1.1289321392466076</v>
      </c>
      <c r="S12" s="101"/>
      <c r="T12" s="101">
        <f>AVERAGE(113.7,90.9,101.1,68,95.3,73,59.2)</f>
        <v>85.885714285714286</v>
      </c>
      <c r="U12" s="96">
        <f t="shared" si="5"/>
        <v>-3.9553991576893738E-2</v>
      </c>
      <c r="V12" s="101"/>
      <c r="W12" s="101">
        <v>42.2</v>
      </c>
      <c r="X12" s="96">
        <f t="shared" si="6"/>
        <v>-1.842981108085842</v>
      </c>
      <c r="Y12" s="101">
        <f>(55-48)/(2*_xlfn.NORM.DIST(W12,$W$31,$W$32,TRUE)^-1)*((50-0.375)/(50+0.25))</f>
        <v>0.11290857314157465</v>
      </c>
      <c r="Z12" s="101">
        <f t="shared" si="9"/>
        <v>0.26755586052505842</v>
      </c>
      <c r="AA12" s="96">
        <f t="shared" si="7"/>
        <v>-1.1565430006548365</v>
      </c>
      <c r="AB12" s="102">
        <f t="shared" si="16"/>
        <v>31.004760000000005</v>
      </c>
      <c r="AC12" s="96">
        <f t="shared" si="8"/>
        <v>-1.6940462665971989</v>
      </c>
      <c r="AD12" s="101">
        <f>(48.2-35)/(2*_xlfn.NORM.DIST(AB12,$AB$31,$AB$32,TRUE)^-1)*((100-0.375)/(100+0.25))</f>
        <v>0.29598952459924494</v>
      </c>
      <c r="AE12" s="101">
        <f t="shared" si="10"/>
        <v>0.95465833181500159</v>
      </c>
      <c r="AF12" s="96">
        <f t="shared" si="11"/>
        <v>-1.0481330462208913</v>
      </c>
      <c r="AG12" s="101">
        <v>22.85</v>
      </c>
      <c r="AH12" s="96">
        <f t="shared" si="15"/>
        <v>-0.23865325737569501</v>
      </c>
      <c r="AI12" s="101">
        <f>(32-24)/(2*_xlfn.NORM.DIST(AG12,$AG$31,$AG$32,TRUE)^-1)*((50-0.375)/(50+0.25))</f>
        <v>1.6025654849416489</v>
      </c>
      <c r="AJ12" s="101">
        <f t="shared" si="12"/>
        <v>7.0134156890225325</v>
      </c>
      <c r="AK12" s="96">
        <f t="shared" si="13"/>
        <v>-0.42189902323060735</v>
      </c>
      <c r="AL12" s="54" t="s">
        <v>180</v>
      </c>
      <c r="AM12" s="54">
        <v>1974</v>
      </c>
      <c r="AN12" s="54" t="s">
        <v>265</v>
      </c>
    </row>
    <row r="13" spans="1:40" x14ac:dyDescent="0.35">
      <c r="A13" s="104" t="s">
        <v>12</v>
      </c>
      <c r="B13" s="105" t="s">
        <v>170</v>
      </c>
      <c r="C13" s="105" t="s">
        <v>255</v>
      </c>
      <c r="D13" s="105" t="s">
        <v>178</v>
      </c>
      <c r="E13" s="105">
        <v>1974</v>
      </c>
      <c r="F13" s="105">
        <v>23.74</v>
      </c>
      <c r="G13" s="105">
        <v>166.15</v>
      </c>
      <c r="H13" s="43">
        <f t="shared" si="0"/>
        <v>-0.16610822157365904</v>
      </c>
      <c r="I13" s="43">
        <f t="shared" si="1"/>
        <v>6.1465843686646468E-2</v>
      </c>
      <c r="J13" s="43">
        <f t="shared" si="2"/>
        <v>-0.98419002676593148</v>
      </c>
      <c r="K13" s="105" t="s">
        <v>109</v>
      </c>
      <c r="L13" s="105" t="s">
        <v>276</v>
      </c>
      <c r="M13" s="105"/>
      <c r="N13" s="106">
        <f>CONVERT(77,"F","C")</f>
        <v>25</v>
      </c>
      <c r="O13" s="96">
        <f t="shared" si="3"/>
        <v>-0.18639543771748787</v>
      </c>
      <c r="P13" s="105"/>
      <c r="Q13" s="107">
        <f>CONVERT(AVERAGE(76.9,78.6,79,80,79.9),"F","C")</f>
        <v>26.044444444444441</v>
      </c>
      <c r="R13" s="96">
        <f t="shared" si="4"/>
        <v>-0.65912999117583471</v>
      </c>
      <c r="S13" s="105"/>
      <c r="T13" s="105">
        <f>CONVERT(AVERAGE(3.67,1.87,4.6,2.23,3.73),"in","mm")</f>
        <v>81.787999999999997</v>
      </c>
      <c r="U13" s="96">
        <f t="shared" si="5"/>
        <v>-8.5646268498638614E-2</v>
      </c>
      <c r="V13" s="105"/>
      <c r="W13" s="105">
        <v>53</v>
      </c>
      <c r="X13" s="96">
        <f t="shared" si="6"/>
        <v>1.3027407113571181</v>
      </c>
      <c r="Y13" s="105">
        <f>(59-48)/(2*_xlfn.NORM.DIST(W13,$W$31,$W$32,TRUE)^-1)*((556-0.375)/(556+0.25))</f>
        <v>4.9645914629675501</v>
      </c>
      <c r="Z13" s="105">
        <f t="shared" si="9"/>
        <v>9.3671537037123578</v>
      </c>
      <c r="AA13" s="96">
        <f t="shared" si="7"/>
        <v>1.4010834165145194</v>
      </c>
      <c r="AB13" s="106">
        <f t="shared" si="16"/>
        <v>41.122199999999999</v>
      </c>
      <c r="AC13" s="96">
        <f t="shared" si="8"/>
        <v>0.85243446247413912</v>
      </c>
      <c r="AD13" s="105">
        <f>((MAX($AB$2:$AB$30)-MIN($AB$2:$AB$30))/(2*_xlfn.NORM.DIST(AB13,$AB$31,$AB$32,TRUE)^-1)*((556-0.375)/(556+0.25)))</f>
        <v>7.8639227136451071</v>
      </c>
      <c r="AE13" s="105">
        <f t="shared" si="10"/>
        <v>19.123302531589037</v>
      </c>
      <c r="AF13" s="96">
        <f t="shared" si="11"/>
        <v>1.928489342859546</v>
      </c>
      <c r="AG13" s="105">
        <v>31</v>
      </c>
      <c r="AH13" s="96">
        <f t="shared" si="15"/>
        <v>2.591974016061894</v>
      </c>
      <c r="AI13" s="105">
        <f>(35-25)/(2*_xlfn.NORM.DIST(AG13,$AG$31,$AG$32,TRUE)^-1)*((120-0.375)/(120+0.25))</f>
        <v>4.9502797248806312</v>
      </c>
      <c r="AJ13" s="105">
        <f t="shared" si="12"/>
        <v>15.968644273808488</v>
      </c>
      <c r="AK13" s="96">
        <f t="shared" si="13"/>
        <v>1.906276432272173</v>
      </c>
      <c r="AL13" s="54" t="s">
        <v>182</v>
      </c>
      <c r="AM13" s="54">
        <v>1979</v>
      </c>
      <c r="AN13" s="54"/>
    </row>
    <row r="14" spans="1:40" x14ac:dyDescent="0.35">
      <c r="A14" s="82" t="s">
        <v>12</v>
      </c>
      <c r="B14" s="83" t="s">
        <v>245</v>
      </c>
      <c r="C14" s="83" t="s">
        <v>255</v>
      </c>
      <c r="D14" s="83" t="s">
        <v>244</v>
      </c>
      <c r="E14" s="83">
        <v>1980</v>
      </c>
      <c r="F14" s="83">
        <v>29.64</v>
      </c>
      <c r="G14" s="83">
        <v>82.35</v>
      </c>
      <c r="H14" s="43">
        <f t="shared" si="0"/>
        <v>-0.15983833986990309</v>
      </c>
      <c r="I14" s="43">
        <f t="shared" si="1"/>
        <v>-0.12626643184570194</v>
      </c>
      <c r="J14" s="43">
        <f t="shared" si="2"/>
        <v>-0.97903446992258047</v>
      </c>
      <c r="K14" s="83" t="s">
        <v>246</v>
      </c>
      <c r="L14" s="83" t="s">
        <v>159</v>
      </c>
      <c r="M14" s="83" t="s">
        <v>159</v>
      </c>
      <c r="N14" s="84">
        <v>30</v>
      </c>
      <c r="O14" s="96">
        <f t="shared" si="3"/>
        <v>1.4860538807187498</v>
      </c>
      <c r="P14" s="83"/>
      <c r="Q14" s="85">
        <v>30</v>
      </c>
      <c r="R14" s="96">
        <f t="shared" si="4"/>
        <v>1.5415221761030584</v>
      </c>
      <c r="S14" s="83"/>
      <c r="T14" s="83">
        <v>0</v>
      </c>
      <c r="U14" s="96">
        <f t="shared" si="5"/>
        <v>-1.0056213770654236</v>
      </c>
      <c r="V14" s="83"/>
      <c r="W14" s="49">
        <f>(AG14-5.026)/0.3805</f>
        <v>39.090670170827856</v>
      </c>
      <c r="X14" s="96">
        <f t="shared" si="6"/>
        <v>-2.748637282851738</v>
      </c>
      <c r="Y14" s="83">
        <f>((MAX($W$2:$W$30)-MIN($W$2:$W$30))/(2*_xlfn.NORM.DIST(W14,$W$31,$W$32,TRUE)^-1)*((5-0.375)/(5+0.25)))</f>
        <v>2.0441038599509308E-2</v>
      </c>
      <c r="Z14" s="83">
        <f t="shared" si="9"/>
        <v>5.2291348575455775E-2</v>
      </c>
      <c r="AA14" s="96">
        <f t="shared" si="7"/>
        <v>-1.2170474550196597</v>
      </c>
      <c r="AB14" s="41">
        <f t="shared" si="16"/>
        <v>28.091939816031534</v>
      </c>
      <c r="AC14" s="96">
        <f t="shared" si="8"/>
        <v>-2.4271803860706767</v>
      </c>
      <c r="AD14" s="83">
        <f>((MAX($AB$2:$AB$30)-MIN($AB$2:$AB$30))/(2*_xlfn.NORM.DIST(AB14,$AB$31,$AB$32,TRUE)^-1)*((5-0.375)/(5+0.25)))</f>
        <v>6.5712381424860036E-2</v>
      </c>
      <c r="AE14" s="83">
        <f t="shared" si="10"/>
        <v>0.23391898834753747</v>
      </c>
      <c r="AF14" s="96">
        <f t="shared" si="11"/>
        <v>-1.166213891597514</v>
      </c>
      <c r="AG14" s="83">
        <v>19.899999999999999</v>
      </c>
      <c r="AH14" s="96">
        <f t="shared" si="15"/>
        <v>-1.2632361354911426</v>
      </c>
      <c r="AI14" s="83">
        <v>1.82</v>
      </c>
      <c r="AJ14" s="83">
        <f t="shared" si="12"/>
        <v>9.1457286432160814</v>
      </c>
      <c r="AK14" s="96">
        <f t="shared" si="13"/>
        <v>0.13245853854487488</v>
      </c>
      <c r="AL14" s="54" t="s">
        <v>167</v>
      </c>
      <c r="AM14" s="54">
        <v>1981</v>
      </c>
      <c r="AN14" s="54" t="s">
        <v>168</v>
      </c>
    </row>
    <row r="15" spans="1:40" x14ac:dyDescent="0.35">
      <c r="A15" s="108" t="s">
        <v>12</v>
      </c>
      <c r="B15" s="46" t="s">
        <v>209</v>
      </c>
      <c r="C15" s="46" t="s">
        <v>258</v>
      </c>
      <c r="D15" s="46" t="s">
        <v>188</v>
      </c>
      <c r="E15" s="46">
        <v>1997</v>
      </c>
      <c r="F15" s="46">
        <v>36.28</v>
      </c>
      <c r="G15" s="46">
        <v>34.979999999999997</v>
      </c>
      <c r="H15" s="43">
        <f t="shared" si="0"/>
        <v>-0.13781764701456428</v>
      </c>
      <c r="I15" s="43">
        <f t="shared" si="1"/>
        <v>-6.1956116679061875E-2</v>
      </c>
      <c r="J15" s="43">
        <f t="shared" si="2"/>
        <v>-0.9885179491427657</v>
      </c>
      <c r="K15" s="46" t="s">
        <v>203</v>
      </c>
      <c r="L15" s="46" t="s">
        <v>236</v>
      </c>
      <c r="M15" s="46"/>
      <c r="N15" s="109">
        <v>19.2</v>
      </c>
      <c r="O15" s="96">
        <f t="shared" si="3"/>
        <v>-2.1264366471035236</v>
      </c>
      <c r="P15" s="46"/>
      <c r="Q15" s="59">
        <f>AVERAGE(21.5,25,27.9,25.9,24.6)</f>
        <v>24.98</v>
      </c>
      <c r="R15" s="96">
        <f t="shared" si="4"/>
        <v>-1.2513279620334665</v>
      </c>
      <c r="S15" s="46"/>
      <c r="T15" s="46">
        <f>AVERAGE(2.03,0,0,0,12.95)</f>
        <v>2.9959999999999996</v>
      </c>
      <c r="U15" s="96">
        <f t="shared" si="5"/>
        <v>-0.97192150146917378</v>
      </c>
      <c r="V15" s="46"/>
      <c r="W15" s="46">
        <v>45.68</v>
      </c>
      <c r="X15" s="96">
        <f t="shared" si="6"/>
        <v>-0.82935963293199999</v>
      </c>
      <c r="Y15" s="46">
        <v>1.68</v>
      </c>
      <c r="Z15" s="46">
        <f t="shared" si="9"/>
        <v>3.6777583187390541</v>
      </c>
      <c r="AA15" s="96">
        <f t="shared" si="7"/>
        <v>-0.19803647703368432</v>
      </c>
      <c r="AB15" s="109">
        <v>35.03</v>
      </c>
      <c r="AC15" s="96">
        <f t="shared" si="8"/>
        <v>-0.68092475662164098</v>
      </c>
      <c r="AD15" s="46">
        <v>1.8</v>
      </c>
      <c r="AE15" s="46">
        <f t="shared" si="10"/>
        <v>5.1384527547816159</v>
      </c>
      <c r="AF15" s="96">
        <f t="shared" si="11"/>
        <v>-0.36268970692828861</v>
      </c>
      <c r="AG15" s="46">
        <v>19.920000000000002</v>
      </c>
      <c r="AH15" s="96">
        <f t="shared" si="15"/>
        <v>-1.2562898108937486</v>
      </c>
      <c r="AI15" s="46">
        <v>2.1800000000000002</v>
      </c>
      <c r="AJ15" s="46">
        <f t="shared" si="12"/>
        <v>10.943775100401606</v>
      </c>
      <c r="AK15" s="96">
        <f t="shared" si="13"/>
        <v>0.5999136782813359</v>
      </c>
      <c r="AL15" s="54" t="s">
        <v>186</v>
      </c>
      <c r="AM15" s="54">
        <v>2000</v>
      </c>
      <c r="AN15" s="54" t="s">
        <v>187</v>
      </c>
    </row>
    <row r="16" spans="1:40" x14ac:dyDescent="0.35">
      <c r="A16" s="78" t="s">
        <v>12</v>
      </c>
      <c r="B16" s="79" t="s">
        <v>164</v>
      </c>
      <c r="C16" s="79" t="s">
        <v>253</v>
      </c>
      <c r="D16" s="79" t="s">
        <v>169</v>
      </c>
      <c r="E16" s="79">
        <v>1998</v>
      </c>
      <c r="F16" s="79">
        <v>-23.44</v>
      </c>
      <c r="G16" s="79">
        <v>151.91</v>
      </c>
      <c r="H16" s="43">
        <f t="shared" si="0"/>
        <v>-5.3702495799766756E-2</v>
      </c>
      <c r="I16" s="43">
        <f t="shared" si="1"/>
        <v>-0.10914685459972465</v>
      </c>
      <c r="J16" s="43">
        <f t="shared" si="2"/>
        <v>0.9925739297784637</v>
      </c>
      <c r="K16" s="79" t="s">
        <v>88</v>
      </c>
      <c r="L16" s="79" t="s">
        <v>224</v>
      </c>
      <c r="M16" s="79"/>
      <c r="N16" s="80">
        <v>26.6</v>
      </c>
      <c r="O16" s="96">
        <f t="shared" si="3"/>
        <v>0.34878834418210863</v>
      </c>
      <c r="P16" s="79">
        <v>1999</v>
      </c>
      <c r="Q16" s="81">
        <v>26</v>
      </c>
      <c r="R16" s="96">
        <f t="shared" si="4"/>
        <v>-0.68385642002166291</v>
      </c>
      <c r="S16" s="79"/>
      <c r="T16" s="79">
        <f>AVERAGE(81.1,67.8)</f>
        <v>74.449999999999989</v>
      </c>
      <c r="U16" s="96">
        <f t="shared" si="5"/>
        <v>-0.16818621747236429</v>
      </c>
      <c r="V16" s="79"/>
      <c r="W16" s="79">
        <v>47.2</v>
      </c>
      <c r="X16" s="96">
        <f t="shared" si="6"/>
        <v>-0.38662841389928604</v>
      </c>
      <c r="Y16" s="79">
        <v>0.4</v>
      </c>
      <c r="Z16" s="79">
        <f t="shared" si="9"/>
        <v>0.84745762711864403</v>
      </c>
      <c r="AA16" s="96">
        <f t="shared" si="7"/>
        <v>-0.99354985489583381</v>
      </c>
      <c r="AB16" s="79">
        <v>37.6</v>
      </c>
      <c r="AC16" s="96">
        <f t="shared" si="8"/>
        <v>-3.407580335744146E-2</v>
      </c>
      <c r="AD16" s="79">
        <v>0.3</v>
      </c>
      <c r="AE16" s="79">
        <f t="shared" si="10"/>
        <v>0.7978723404255319</v>
      </c>
      <c r="AF16" s="96">
        <f t="shared" si="11"/>
        <v>-1.0738197560894172</v>
      </c>
      <c r="AG16" s="79">
        <v>28.2</v>
      </c>
      <c r="AH16" s="96">
        <f t="shared" si="15"/>
        <v>1.6194885724268937</v>
      </c>
      <c r="AI16" s="79">
        <v>0.5</v>
      </c>
      <c r="AJ16" s="79">
        <f t="shared" si="12"/>
        <v>1.773049645390071</v>
      </c>
      <c r="AK16" s="96">
        <f t="shared" si="13"/>
        <v>-1.7842865363045599</v>
      </c>
      <c r="AL16" s="54" t="s">
        <v>165</v>
      </c>
      <c r="AM16" s="54">
        <v>2001</v>
      </c>
      <c r="AN16" s="54" t="s">
        <v>166</v>
      </c>
    </row>
    <row r="17" spans="1:43" x14ac:dyDescent="0.35">
      <c r="A17" s="78" t="s">
        <v>12</v>
      </c>
      <c r="B17" s="79" t="s">
        <v>164</v>
      </c>
      <c r="C17" s="79" t="s">
        <v>253</v>
      </c>
      <c r="D17" s="79" t="s">
        <v>169</v>
      </c>
      <c r="E17" s="79">
        <v>1998</v>
      </c>
      <c r="F17" s="79">
        <v>-23.44</v>
      </c>
      <c r="G17" s="79">
        <v>151.91</v>
      </c>
      <c r="H17" s="43">
        <f t="shared" si="0"/>
        <v>-5.3702495799766756E-2</v>
      </c>
      <c r="I17" s="43">
        <f t="shared" si="1"/>
        <v>-0.10914685459972465</v>
      </c>
      <c r="J17" s="43">
        <f t="shared" si="2"/>
        <v>0.9925739297784637</v>
      </c>
      <c r="K17" s="79" t="s">
        <v>88</v>
      </c>
      <c r="L17" s="79" t="s">
        <v>224</v>
      </c>
      <c r="M17" s="79"/>
      <c r="N17" s="80">
        <v>26.6</v>
      </c>
      <c r="O17" s="96">
        <f t="shared" si="3"/>
        <v>0.34878834418210863</v>
      </c>
      <c r="P17" s="79">
        <v>1999</v>
      </c>
      <c r="Q17" s="81">
        <v>30</v>
      </c>
      <c r="R17" s="96">
        <f t="shared" si="4"/>
        <v>1.5415221761030584</v>
      </c>
      <c r="S17" s="79"/>
      <c r="T17" s="79">
        <f>AVERAGE(81.1,67.8)</f>
        <v>74.449999999999989</v>
      </c>
      <c r="U17" s="96">
        <f t="shared" si="5"/>
        <v>-0.16818621747236429</v>
      </c>
      <c r="V17" s="79"/>
      <c r="W17" s="79">
        <v>47.1</v>
      </c>
      <c r="X17" s="96">
        <f t="shared" si="6"/>
        <v>-0.41575546778301753</v>
      </c>
      <c r="Y17" s="79">
        <v>0.2</v>
      </c>
      <c r="Z17" s="79">
        <f t="shared" si="9"/>
        <v>0.42462845010615713</v>
      </c>
      <c r="AA17" s="96">
        <f t="shared" si="7"/>
        <v>-1.112394565586732</v>
      </c>
      <c r="AB17" s="79">
        <v>37.299999999999997</v>
      </c>
      <c r="AC17" s="96">
        <f t="shared" si="8"/>
        <v>-0.10958346327155141</v>
      </c>
      <c r="AD17" s="79">
        <v>0.2</v>
      </c>
      <c r="AE17" s="79">
        <f t="shared" si="10"/>
        <v>0.53619302949061676</v>
      </c>
      <c r="AF17" s="96">
        <f t="shared" si="11"/>
        <v>-1.1166914468508937</v>
      </c>
      <c r="AG17" s="79">
        <v>24.2</v>
      </c>
      <c r="AH17" s="96">
        <f t="shared" si="15"/>
        <v>0.23022365294832217</v>
      </c>
      <c r="AI17" s="79">
        <v>0.39</v>
      </c>
      <c r="AJ17" s="79">
        <f t="shared" si="12"/>
        <v>1.6115702479338845</v>
      </c>
      <c r="AK17" s="96">
        <f t="shared" si="13"/>
        <v>-1.8262678622045572</v>
      </c>
      <c r="AL17" s="54" t="s">
        <v>165</v>
      </c>
      <c r="AM17" s="54">
        <v>2001</v>
      </c>
      <c r="AN17" s="54" t="s">
        <v>166</v>
      </c>
    </row>
    <row r="18" spans="1:43" x14ac:dyDescent="0.35">
      <c r="A18" s="108" t="s">
        <v>12</v>
      </c>
      <c r="B18" s="46" t="s">
        <v>234</v>
      </c>
      <c r="C18" s="110" t="s">
        <v>258</v>
      </c>
      <c r="D18" s="46" t="s">
        <v>176</v>
      </c>
      <c r="E18" s="46">
        <v>2002</v>
      </c>
      <c r="F18" s="46">
        <v>35.61</v>
      </c>
      <c r="G18" s="46">
        <v>34.340000000000003</v>
      </c>
      <c r="H18" s="43">
        <f t="shared" si="0"/>
        <v>0.48374350264573862</v>
      </c>
      <c r="I18" s="43">
        <f t="shared" si="1"/>
        <v>-0.10691505175746539</v>
      </c>
      <c r="J18" s="43">
        <f t="shared" si="2"/>
        <v>-0.86865493457168064</v>
      </c>
      <c r="K18" s="46" t="s">
        <v>203</v>
      </c>
      <c r="L18" s="46" t="s">
        <v>236</v>
      </c>
      <c r="M18" s="46">
        <v>100</v>
      </c>
      <c r="N18" s="109">
        <v>20.5</v>
      </c>
      <c r="O18" s="96">
        <f t="shared" si="3"/>
        <v>-1.6915998243101018</v>
      </c>
      <c r="P18" s="46" t="s">
        <v>237</v>
      </c>
      <c r="Q18" s="59">
        <f>AVERAGE(22.5,25.7,27.6,28.3)</f>
        <v>26.025000000000002</v>
      </c>
      <c r="R18" s="96">
        <f t="shared" si="4"/>
        <v>-0.66994780379588226</v>
      </c>
      <c r="S18" s="46"/>
      <c r="T18" s="46">
        <f>AVERAGE(3.81,0,0,0)</f>
        <v>0.95250000000000001</v>
      </c>
      <c r="U18" s="96">
        <f t="shared" si="5"/>
        <v>-0.99490738123584155</v>
      </c>
      <c r="V18" s="46" t="s">
        <v>232</v>
      </c>
      <c r="W18" s="29">
        <v>46.1</v>
      </c>
      <c r="X18" s="96">
        <f t="shared" si="6"/>
        <v>-0.70702600662032877</v>
      </c>
      <c r="Y18" s="46">
        <v>1.83</v>
      </c>
      <c r="Z18" s="46">
        <f t="shared" si="9"/>
        <v>3.9696312364425159</v>
      </c>
      <c r="AA18" s="96">
        <f t="shared" si="7"/>
        <v>-0.11599967742571445</v>
      </c>
      <c r="AB18" s="46">
        <v>35.090000000000003</v>
      </c>
      <c r="AC18" s="96">
        <f t="shared" si="8"/>
        <v>-0.6658232246388186</v>
      </c>
      <c r="AD18" s="46">
        <v>1.81</v>
      </c>
      <c r="AE18" s="46">
        <f t="shared" si="10"/>
        <v>5.1581647192932456</v>
      </c>
      <c r="AF18" s="96">
        <f t="shared" si="11"/>
        <v>-0.35946023783566333</v>
      </c>
      <c r="AG18" s="46">
        <v>19.84</v>
      </c>
      <c r="AH18" s="96">
        <f t="shared" si="15"/>
        <v>-1.2840751092833207</v>
      </c>
      <c r="AI18" s="46">
        <v>2.02</v>
      </c>
      <c r="AJ18" s="46">
        <f t="shared" si="12"/>
        <v>10.181451612903226</v>
      </c>
      <c r="AK18" s="96">
        <f t="shared" si="13"/>
        <v>0.40172523273319471</v>
      </c>
      <c r="AL18" s="54" t="s">
        <v>233</v>
      </c>
      <c r="AM18" s="54">
        <v>2006</v>
      </c>
      <c r="AN18" s="54" t="s">
        <v>196</v>
      </c>
    </row>
    <row r="19" spans="1:43" x14ac:dyDescent="0.35">
      <c r="A19" s="108" t="s">
        <v>12</v>
      </c>
      <c r="B19" s="46" t="s">
        <v>235</v>
      </c>
      <c r="C19" s="46" t="s">
        <v>258</v>
      </c>
      <c r="D19" s="46" t="s">
        <v>176</v>
      </c>
      <c r="E19" s="46">
        <v>2002</v>
      </c>
      <c r="F19" s="46">
        <v>35.64</v>
      </c>
      <c r="G19" s="46">
        <v>34.54</v>
      </c>
      <c r="H19" s="43">
        <f t="shared" si="0"/>
        <v>0.4690669531530513</v>
      </c>
      <c r="I19" s="43">
        <f t="shared" si="1"/>
        <v>-8.2185136661416074E-3</v>
      </c>
      <c r="J19" s="43">
        <f t="shared" si="2"/>
        <v>-0.88312436807781081</v>
      </c>
      <c r="K19" s="46" t="s">
        <v>203</v>
      </c>
      <c r="L19" s="46" t="s">
        <v>236</v>
      </c>
      <c r="M19" s="46">
        <v>100</v>
      </c>
      <c r="N19" s="109">
        <v>20.5</v>
      </c>
      <c r="O19" s="96">
        <f t="shared" si="3"/>
        <v>-1.6915998243101018</v>
      </c>
      <c r="P19" s="46" t="s">
        <v>237</v>
      </c>
      <c r="Q19" s="59">
        <f>AVERAGE(22.5,25.7,27.6,28.3)</f>
        <v>26.025000000000002</v>
      </c>
      <c r="R19" s="96">
        <f t="shared" si="4"/>
        <v>-0.66994780379588226</v>
      </c>
      <c r="S19" s="46"/>
      <c r="T19" s="46">
        <f>AVERAGE(3.81,0,0,0)</f>
        <v>0.95250000000000001</v>
      </c>
      <c r="U19" s="96">
        <f t="shared" si="5"/>
        <v>-0.99490738123584155</v>
      </c>
      <c r="V19" s="46"/>
      <c r="W19" s="46">
        <v>46.1</v>
      </c>
      <c r="X19" s="96">
        <f t="shared" si="6"/>
        <v>-0.70702600662032877</v>
      </c>
      <c r="Y19" s="46">
        <v>1.6</v>
      </c>
      <c r="Z19" s="46">
        <f t="shared" si="9"/>
        <v>3.4707158351409979</v>
      </c>
      <c r="AA19" s="96">
        <f t="shared" si="7"/>
        <v>-0.25622996367476664</v>
      </c>
      <c r="AB19" s="46">
        <v>34.6</v>
      </c>
      <c r="AC19" s="96">
        <f t="shared" si="8"/>
        <v>-0.78915240249853036</v>
      </c>
      <c r="AD19" s="46">
        <v>1.73</v>
      </c>
      <c r="AE19" s="46">
        <f t="shared" si="10"/>
        <v>5</v>
      </c>
      <c r="AF19" s="96">
        <f t="shared" si="11"/>
        <v>-0.38537282874967071</v>
      </c>
      <c r="AG19" s="46">
        <v>19.97</v>
      </c>
      <c r="AH19" s="96">
        <f t="shared" si="15"/>
        <v>-1.2389239994002674</v>
      </c>
      <c r="AI19" s="46">
        <v>1.4</v>
      </c>
      <c r="AJ19" s="46">
        <f t="shared" si="12"/>
        <v>7.0105157736604902</v>
      </c>
      <c r="AK19" s="96">
        <f t="shared" si="13"/>
        <v>-0.42265294164877176</v>
      </c>
      <c r="AL19" s="54" t="s">
        <v>233</v>
      </c>
      <c r="AM19" s="54">
        <v>2006</v>
      </c>
      <c r="AN19" s="54" t="s">
        <v>196</v>
      </c>
    </row>
    <row r="20" spans="1:43" x14ac:dyDescent="0.35">
      <c r="A20" s="98" t="s">
        <v>12</v>
      </c>
      <c r="B20" s="53" t="s">
        <v>164</v>
      </c>
      <c r="C20" s="53" t="s">
        <v>253</v>
      </c>
      <c r="D20" s="53" t="s">
        <v>223</v>
      </c>
      <c r="E20" s="53">
        <v>2007</v>
      </c>
      <c r="F20" s="53">
        <v>-23.43</v>
      </c>
      <c r="G20" s="53">
        <v>151.85</v>
      </c>
      <c r="H20" s="43">
        <f t="shared" si="0"/>
        <v>-6.5055795613440576E-2</v>
      </c>
      <c r="I20" s="43">
        <f t="shared" si="1"/>
        <v>-0.11435211013786797</v>
      </c>
      <c r="J20" s="43">
        <f t="shared" si="2"/>
        <v>0.99130789281843168</v>
      </c>
      <c r="K20" s="53" t="s">
        <v>88</v>
      </c>
      <c r="L20" s="53" t="s">
        <v>224</v>
      </c>
      <c r="M20" s="53"/>
      <c r="N20" s="99">
        <v>26.8</v>
      </c>
      <c r="O20" s="96">
        <f t="shared" si="3"/>
        <v>0.41568631691955793</v>
      </c>
      <c r="P20" s="53" t="s">
        <v>225</v>
      </c>
      <c r="Q20" s="64">
        <f>AVERAGE(28.3,28.5,30.5,28.8,30.2)</f>
        <v>29.259999999999998</v>
      </c>
      <c r="R20" s="96">
        <f t="shared" si="4"/>
        <v>1.1298271358199838</v>
      </c>
      <c r="S20" s="53" t="s">
        <v>226</v>
      </c>
      <c r="T20" s="53">
        <f>AVERAGE(14.2,41.4,10.2,163.4,12.8)</f>
        <v>48.4</v>
      </c>
      <c r="U20" s="96">
        <f t="shared" si="5"/>
        <v>-0.46120416115804852</v>
      </c>
      <c r="V20" s="53"/>
      <c r="W20" s="49">
        <f>(AG20-5.026)/0.3805</f>
        <v>54.123521681997374</v>
      </c>
      <c r="X20" s="96">
        <f t="shared" si="6"/>
        <v>1.6299894770678955</v>
      </c>
      <c r="Y20" s="111">
        <f>((MAX($W$2:$W$30)-MIN($W$2:$W$30))/(2*_xlfn.NORM.DIST(W20,$W$31,$W$32,TRUE)^-1)*((5-0.375)/(5+0.25)))</f>
        <v>6.4793144736393575</v>
      </c>
      <c r="Z20" s="53">
        <f t="shared" si="9"/>
        <v>11.971346786538678</v>
      </c>
      <c r="AA20" s="96">
        <f t="shared" si="7"/>
        <v>2.1330446678606911</v>
      </c>
      <c r="AB20" s="49">
        <f>(AG20-1.7404)/0.7359</f>
        <v>32.449517597499657</v>
      </c>
      <c r="AC20" s="96">
        <f t="shared" si="8"/>
        <v>-1.3304120488294364</v>
      </c>
      <c r="AD20" s="53">
        <f>((MAX($AB$2:$AB$30)-MIN($AB$2:$AB$30))/(2*_xlfn.NORM.DIST(AB20,$AB$31,$AB$32,TRUE)^-1)*((5-0.375)/(5+0.25)))</f>
        <v>0.79192686066561124</v>
      </c>
      <c r="AE20" s="53">
        <f t="shared" si="10"/>
        <v>2.440488855608232</v>
      </c>
      <c r="AF20" s="96">
        <f t="shared" si="11"/>
        <v>-0.80470506365535421</v>
      </c>
      <c r="AG20" s="53">
        <v>25.62</v>
      </c>
      <c r="AH20" s="96">
        <f t="shared" si="15"/>
        <v>0.72341269936321573</v>
      </c>
      <c r="AI20" s="53">
        <v>0.76</v>
      </c>
      <c r="AJ20" s="53">
        <f t="shared" si="12"/>
        <v>2.9664324746291957</v>
      </c>
      <c r="AK20" s="96">
        <f t="shared" si="13"/>
        <v>-1.4740315176026106</v>
      </c>
      <c r="AL20" s="54" t="s">
        <v>221</v>
      </c>
      <c r="AM20" s="55">
        <v>2009</v>
      </c>
      <c r="AN20" s="54" t="s">
        <v>222</v>
      </c>
    </row>
    <row r="21" spans="1:43" x14ac:dyDescent="0.35">
      <c r="A21" s="112" t="s">
        <v>12</v>
      </c>
      <c r="B21" s="113" t="s">
        <v>241</v>
      </c>
      <c r="C21" s="113" t="s">
        <v>259</v>
      </c>
      <c r="D21" s="113" t="s">
        <v>238</v>
      </c>
      <c r="E21" s="113">
        <v>2008</v>
      </c>
      <c r="F21" s="113">
        <v>36.090000000000003</v>
      </c>
      <c r="G21" s="113">
        <v>35.97</v>
      </c>
      <c r="H21" s="43">
        <f t="shared" si="0"/>
        <v>6.0391553084673732E-3</v>
      </c>
      <c r="I21" s="43">
        <f t="shared" si="1"/>
        <v>3.7827094962903006E-2</v>
      </c>
      <c r="J21" s="43">
        <f t="shared" si="2"/>
        <v>-0.99926605040390903</v>
      </c>
      <c r="K21" s="113" t="s">
        <v>203</v>
      </c>
      <c r="L21" s="113" t="s">
        <v>239</v>
      </c>
      <c r="M21" s="113">
        <v>58</v>
      </c>
      <c r="N21" s="114">
        <v>21</v>
      </c>
      <c r="O21" s="96">
        <f t="shared" si="3"/>
        <v>-1.524354892466478</v>
      </c>
      <c r="P21" s="113"/>
      <c r="Q21" s="115">
        <f>AVERAGE(25.4,29.3,30.3)</f>
        <v>28.333333333333332</v>
      </c>
      <c r="R21" s="96">
        <f t="shared" si="4"/>
        <v>0.61428109438442391</v>
      </c>
      <c r="S21" s="113"/>
      <c r="T21" s="113">
        <f>AVERAGE(60.96,4.06,6.35)</f>
        <v>23.789999999999996</v>
      </c>
      <c r="U21" s="96">
        <f t="shared" si="5"/>
        <v>-0.73802456784153003</v>
      </c>
      <c r="V21" s="113"/>
      <c r="W21" s="113">
        <v>46</v>
      </c>
      <c r="X21" s="96">
        <f t="shared" si="6"/>
        <v>-0.73615306050406026</v>
      </c>
      <c r="Y21" s="113">
        <v>1.8</v>
      </c>
      <c r="Z21" s="113">
        <f t="shared" si="9"/>
        <v>3.9130434782608701</v>
      </c>
      <c r="AA21" s="96">
        <f t="shared" si="7"/>
        <v>-0.1319048138622797</v>
      </c>
      <c r="AB21" s="113">
        <v>34.9</v>
      </c>
      <c r="AC21" s="96">
        <f t="shared" si="8"/>
        <v>-0.71364474258442212</v>
      </c>
      <c r="AD21" s="113">
        <v>1.7</v>
      </c>
      <c r="AE21" s="113">
        <f t="shared" si="10"/>
        <v>4.8710601719197708</v>
      </c>
      <c r="AF21" s="96">
        <f t="shared" si="11"/>
        <v>-0.40649741982469245</v>
      </c>
      <c r="AG21" s="113">
        <v>19.899999999999999</v>
      </c>
      <c r="AH21" s="96">
        <f t="shared" si="15"/>
        <v>-1.2632361354911426</v>
      </c>
      <c r="AI21" s="113">
        <v>2.1</v>
      </c>
      <c r="AJ21" s="113">
        <f t="shared" si="12"/>
        <v>10.552763819095478</v>
      </c>
      <c r="AK21" s="96">
        <f t="shared" si="13"/>
        <v>0.49825877809171915</v>
      </c>
      <c r="AL21" s="54" t="s">
        <v>242</v>
      </c>
      <c r="AM21" s="54">
        <v>2011</v>
      </c>
      <c r="AN21" s="54" t="s">
        <v>243</v>
      </c>
    </row>
    <row r="22" spans="1:43" x14ac:dyDescent="0.35">
      <c r="A22" s="112" t="s">
        <v>12</v>
      </c>
      <c r="B22" s="113" t="s">
        <v>240</v>
      </c>
      <c r="C22" s="113" t="s">
        <v>259</v>
      </c>
      <c r="D22" s="113" t="s">
        <v>238</v>
      </c>
      <c r="E22" s="113">
        <v>2008</v>
      </c>
      <c r="F22" s="113">
        <v>36.090000000000003</v>
      </c>
      <c r="G22" s="113">
        <v>35.97</v>
      </c>
      <c r="H22" s="43">
        <f t="shared" si="0"/>
        <v>6.0391553084673732E-3</v>
      </c>
      <c r="I22" s="43">
        <f t="shared" si="1"/>
        <v>3.7827094962903006E-2</v>
      </c>
      <c r="J22" s="43">
        <f t="shared" si="2"/>
        <v>-0.99926605040390903</v>
      </c>
      <c r="K22" s="113" t="s">
        <v>203</v>
      </c>
      <c r="L22" s="113" t="s">
        <v>239</v>
      </c>
      <c r="M22" s="113">
        <v>58</v>
      </c>
      <c r="N22" s="114">
        <v>21</v>
      </c>
      <c r="O22" s="96">
        <f t="shared" si="3"/>
        <v>-1.524354892466478</v>
      </c>
      <c r="P22" s="113"/>
      <c r="Q22" s="115">
        <f>AVERAGE(25.4,29.3,30.3)</f>
        <v>28.333333333333332</v>
      </c>
      <c r="R22" s="96">
        <f t="shared" si="4"/>
        <v>0.61428109438442391</v>
      </c>
      <c r="S22" s="113"/>
      <c r="T22" s="113">
        <f>AVERAGE(60.96,4.06,6.35)</f>
        <v>23.789999999999996</v>
      </c>
      <c r="U22" s="96">
        <f t="shared" si="5"/>
        <v>-0.73802456784153003</v>
      </c>
      <c r="V22" s="113"/>
      <c r="W22" s="113">
        <v>46</v>
      </c>
      <c r="X22" s="96">
        <f t="shared" si="6"/>
        <v>-0.73615306050406026</v>
      </c>
      <c r="Y22" s="113">
        <v>1.6</v>
      </c>
      <c r="Z22" s="113">
        <f t="shared" si="9"/>
        <v>3.4782608695652173</v>
      </c>
      <c r="AA22" s="96">
        <f t="shared" si="7"/>
        <v>-0.25410927881655793</v>
      </c>
      <c r="AB22" s="113">
        <v>35.4</v>
      </c>
      <c r="AC22" s="96">
        <f t="shared" si="8"/>
        <v>-0.58779864272757398</v>
      </c>
      <c r="AD22" s="113">
        <v>1.5</v>
      </c>
      <c r="AE22" s="113">
        <f t="shared" si="10"/>
        <v>4.2372881355932206</v>
      </c>
      <c r="AF22" s="96">
        <f t="shared" si="11"/>
        <v>-0.51033015561717232</v>
      </c>
      <c r="AG22" s="113">
        <v>20.5</v>
      </c>
      <c r="AH22" s="96">
        <f t="shared" si="15"/>
        <v>-1.0548463975693563</v>
      </c>
      <c r="AI22" s="113">
        <v>1.5</v>
      </c>
      <c r="AJ22" s="113">
        <f t="shared" si="12"/>
        <v>7.3170731707317067</v>
      </c>
      <c r="AK22" s="96">
        <f t="shared" si="13"/>
        <v>-0.34295431633656426</v>
      </c>
      <c r="AL22" s="54" t="s">
        <v>242</v>
      </c>
      <c r="AM22" s="54">
        <v>2011</v>
      </c>
      <c r="AN22" s="54" t="s">
        <v>243</v>
      </c>
    </row>
    <row r="23" spans="1:43" x14ac:dyDescent="0.35">
      <c r="A23" s="116" t="s">
        <v>12</v>
      </c>
      <c r="B23" s="117" t="s">
        <v>229</v>
      </c>
      <c r="C23" s="117" t="s">
        <v>286</v>
      </c>
      <c r="D23" s="117" t="s">
        <v>230</v>
      </c>
      <c r="E23" s="117">
        <v>2009</v>
      </c>
      <c r="F23" s="117">
        <v>5.81</v>
      </c>
      <c r="G23" s="117">
        <v>103.01</v>
      </c>
      <c r="H23" s="43">
        <f t="shared" si="0"/>
        <v>-0.70179073484038124</v>
      </c>
      <c r="I23" s="43">
        <f t="shared" si="1"/>
        <v>0.5475449659304179</v>
      </c>
      <c r="J23" s="43">
        <f t="shared" si="2"/>
        <v>-0.4557239019148055</v>
      </c>
      <c r="K23" s="117" t="s">
        <v>203</v>
      </c>
      <c r="L23" s="117" t="s">
        <v>231</v>
      </c>
      <c r="M23" s="117">
        <v>49.3</v>
      </c>
      <c r="N23" s="118">
        <v>27.1</v>
      </c>
      <c r="O23" s="96">
        <f t="shared" si="3"/>
        <v>0.51603327602573246</v>
      </c>
      <c r="P23" s="117"/>
      <c r="Q23" s="119">
        <f>AVERAGE(27,27.7,27.6,27,27.1,27.5,27.6,27.1)</f>
        <v>27.324999999999999</v>
      </c>
      <c r="R23" s="96">
        <f t="shared" si="4"/>
        <v>5.3300239944650656E-2</v>
      </c>
      <c r="S23" s="117"/>
      <c r="T23" s="117">
        <v>0</v>
      </c>
      <c r="U23" s="96">
        <f t="shared" si="5"/>
        <v>-1.0056213770654236</v>
      </c>
      <c r="V23" s="117" t="s">
        <v>232</v>
      </c>
      <c r="W23" s="117">
        <v>47</v>
      </c>
      <c r="X23" s="96">
        <f t="shared" si="6"/>
        <v>-0.44488252166674908</v>
      </c>
      <c r="Y23" s="117">
        <v>1.9</v>
      </c>
      <c r="Z23" s="117">
        <f t="shared" si="9"/>
        <v>4.0425531914893611</v>
      </c>
      <c r="AA23" s="96">
        <f t="shared" si="7"/>
        <v>-9.5503483875899298E-2</v>
      </c>
      <c r="AB23" s="117">
        <v>36.200000000000003</v>
      </c>
      <c r="AC23" s="96">
        <f t="shared" si="8"/>
        <v>-0.38644488295661589</v>
      </c>
      <c r="AD23" s="117">
        <v>1.6</v>
      </c>
      <c r="AE23" s="117">
        <f t="shared" si="10"/>
        <v>4.4198895027624303</v>
      </c>
      <c r="AF23" s="96">
        <f t="shared" si="11"/>
        <v>-0.48041403684594741</v>
      </c>
      <c r="AG23" s="117">
        <v>21.5</v>
      </c>
      <c r="AH23" s="96">
        <f t="shared" si="15"/>
        <v>-0.70753016769971344</v>
      </c>
      <c r="AI23" s="117">
        <v>2.5</v>
      </c>
      <c r="AJ23" s="117">
        <f t="shared" si="12"/>
        <v>11.627906976744185</v>
      </c>
      <c r="AK23" s="96">
        <f t="shared" si="13"/>
        <v>0.77777391130027085</v>
      </c>
      <c r="AL23" s="54" t="s">
        <v>227</v>
      </c>
      <c r="AM23" s="54">
        <v>2015</v>
      </c>
      <c r="AN23" s="54" t="s">
        <v>228</v>
      </c>
    </row>
    <row r="24" spans="1:43" x14ac:dyDescent="0.35">
      <c r="A24" s="120" t="s">
        <v>12</v>
      </c>
      <c r="B24" s="121" t="s">
        <v>108</v>
      </c>
      <c r="C24" s="121" t="s">
        <v>255</v>
      </c>
      <c r="D24" s="121" t="s">
        <v>119</v>
      </c>
      <c r="E24" s="121">
        <v>2012</v>
      </c>
      <c r="F24" s="121">
        <v>26.36</v>
      </c>
      <c r="G24" s="121">
        <v>-80.06</v>
      </c>
      <c r="H24" s="43">
        <f t="shared" si="0"/>
        <v>-1.7040083371699967E-2</v>
      </c>
      <c r="I24" s="43">
        <f t="shared" si="1"/>
        <v>0.33638873136773828</v>
      </c>
      <c r="J24" s="43">
        <f t="shared" si="2"/>
        <v>0.94156903993679031</v>
      </c>
      <c r="K24" s="121" t="s">
        <v>109</v>
      </c>
      <c r="L24" s="121" t="s">
        <v>110</v>
      </c>
      <c r="M24" s="122">
        <f t="shared" ref="M24:M30" si="17">CONVERT(19.4,"mi","km")</f>
        <v>31.2212736</v>
      </c>
      <c r="N24" s="123">
        <f>CONVERT(77.1,"F","C")</f>
        <v>25.05555555555555</v>
      </c>
      <c r="O24" s="96">
        <f t="shared" si="3"/>
        <v>-0.16781266751264262</v>
      </c>
      <c r="P24" s="121"/>
      <c r="Q24" s="122">
        <f>CONVERT((AVERAGE(75.4,75.1,79.1,82.4,83,83.8)),"F","C")</f>
        <v>26.555555555555554</v>
      </c>
      <c r="R24" s="96">
        <f t="shared" si="4"/>
        <v>-0.37477605944878606</v>
      </c>
      <c r="S24" s="121"/>
      <c r="T24" s="121">
        <v>153.80000000000001</v>
      </c>
      <c r="U24" s="96">
        <f t="shared" si="5"/>
        <v>0.72436556108652472</v>
      </c>
      <c r="V24" s="121"/>
      <c r="W24" s="121">
        <v>50.2</v>
      </c>
      <c r="X24" s="96">
        <f t="shared" si="6"/>
        <v>0.48718320261264764</v>
      </c>
      <c r="Y24" s="121">
        <v>2.15</v>
      </c>
      <c r="Z24" s="121">
        <f t="shared" si="9"/>
        <v>4.2828685258964141</v>
      </c>
      <c r="AA24" s="96">
        <f t="shared" si="7"/>
        <v>-2.7957988094397937E-2</v>
      </c>
      <c r="AB24" s="121">
        <v>38.81</v>
      </c>
      <c r="AC24" s="96">
        <f t="shared" si="8"/>
        <v>0.27047175829613124</v>
      </c>
      <c r="AD24" s="121">
        <v>2.7</v>
      </c>
      <c r="AE24" s="121">
        <f t="shared" si="10"/>
        <v>6.9569698531306363</v>
      </c>
      <c r="AF24" s="96">
        <f t="shared" si="11"/>
        <v>-6.4756704864292663E-2</v>
      </c>
      <c r="AG24" s="121">
        <v>23.57</v>
      </c>
      <c r="AH24" s="96">
        <f t="shared" si="15"/>
        <v>1.1414428130447492E-2</v>
      </c>
      <c r="AI24" s="121">
        <v>2.69</v>
      </c>
      <c r="AJ24" s="121">
        <f t="shared" si="12"/>
        <v>11.41281289775138</v>
      </c>
      <c r="AK24" s="96">
        <f t="shared" si="13"/>
        <v>0.72185386966271881</v>
      </c>
      <c r="AL24" s="54" t="s">
        <v>329</v>
      </c>
      <c r="AM24" s="54"/>
      <c r="AN24" s="54"/>
    </row>
    <row r="25" spans="1:43" x14ac:dyDescent="0.35">
      <c r="A25" s="120" t="s">
        <v>12</v>
      </c>
      <c r="B25" s="121" t="s">
        <v>108</v>
      </c>
      <c r="C25" s="121" t="s">
        <v>255</v>
      </c>
      <c r="D25" s="121" t="s">
        <v>120</v>
      </c>
      <c r="E25" s="121">
        <v>2013</v>
      </c>
      <c r="F25" s="121">
        <v>26.36</v>
      </c>
      <c r="G25" s="121">
        <v>-80.06</v>
      </c>
      <c r="H25" s="43">
        <f t="shared" si="0"/>
        <v>-1.7040083371699967E-2</v>
      </c>
      <c r="I25" s="43">
        <f t="shared" si="1"/>
        <v>0.33638873136773828</v>
      </c>
      <c r="J25" s="43">
        <f t="shared" si="2"/>
        <v>0.94156903993679031</v>
      </c>
      <c r="K25" s="121" t="s">
        <v>109</v>
      </c>
      <c r="L25" s="121" t="s">
        <v>110</v>
      </c>
      <c r="M25" s="122">
        <f t="shared" si="17"/>
        <v>31.2212736</v>
      </c>
      <c r="N25" s="123">
        <f>CONVERT(77.3,"F","C")</f>
        <v>25.166666666666664</v>
      </c>
      <c r="O25" s="96">
        <f t="shared" si="3"/>
        <v>-0.1306471271029474</v>
      </c>
      <c r="P25" s="121"/>
      <c r="Q25" s="122">
        <f>CONVERT(AVERAGE(67.7,77.4,78.5,82.9,81.7,83.5),"F","C")</f>
        <v>25.898148148148145</v>
      </c>
      <c r="R25" s="96">
        <f t="shared" si="4"/>
        <v>-0.74052115279335884</v>
      </c>
      <c r="S25" s="121"/>
      <c r="T25" s="121">
        <v>186.7</v>
      </c>
      <c r="U25" s="96">
        <f t="shared" si="5"/>
        <v>1.0944342884285212</v>
      </c>
      <c r="V25" s="121"/>
      <c r="W25" s="121">
        <v>50.53</v>
      </c>
      <c r="X25" s="96">
        <f t="shared" si="6"/>
        <v>0.58330248042895982</v>
      </c>
      <c r="Y25" s="121">
        <v>1.69</v>
      </c>
      <c r="Z25" s="121">
        <f t="shared" si="9"/>
        <v>3.3445477933900651</v>
      </c>
      <c r="AA25" s="96">
        <f t="shared" si="7"/>
        <v>-0.29169204915872066</v>
      </c>
      <c r="AB25" s="121">
        <v>40.17</v>
      </c>
      <c r="AC25" s="96">
        <f t="shared" si="8"/>
        <v>0.61277314990675802</v>
      </c>
      <c r="AD25" s="121">
        <v>1.3</v>
      </c>
      <c r="AE25" s="121">
        <f t="shared" si="10"/>
        <v>3.2362459546925564</v>
      </c>
      <c r="AF25" s="96">
        <f t="shared" si="11"/>
        <v>-0.67433383884852138</v>
      </c>
      <c r="AG25" s="121">
        <v>24.21</v>
      </c>
      <c r="AH25" s="96">
        <f t="shared" si="15"/>
        <v>0.23369681524701913</v>
      </c>
      <c r="AI25" s="121">
        <v>1.84</v>
      </c>
      <c r="AJ25" s="121">
        <f t="shared" si="12"/>
        <v>7.6001652209830652</v>
      </c>
      <c r="AK25" s="96">
        <f t="shared" si="13"/>
        <v>-0.26935619912458175</v>
      </c>
      <c r="AL25" s="54" t="s">
        <v>329</v>
      </c>
      <c r="AM25" s="54"/>
      <c r="AN25" s="54"/>
    </row>
    <row r="26" spans="1:43" x14ac:dyDescent="0.35">
      <c r="A26" s="120" t="s">
        <v>12</v>
      </c>
      <c r="B26" s="121" t="s">
        <v>108</v>
      </c>
      <c r="C26" s="121" t="s">
        <v>255</v>
      </c>
      <c r="D26" s="121" t="s">
        <v>121</v>
      </c>
      <c r="E26" s="121">
        <v>2014</v>
      </c>
      <c r="F26" s="121">
        <v>26.36</v>
      </c>
      <c r="G26" s="121">
        <v>-80.06</v>
      </c>
      <c r="H26" s="43">
        <f t="shared" si="0"/>
        <v>-1.7040083371699967E-2</v>
      </c>
      <c r="I26" s="43">
        <f t="shared" si="1"/>
        <v>0.33638873136773828</v>
      </c>
      <c r="J26" s="43">
        <f t="shared" si="2"/>
        <v>0.94156903993679031</v>
      </c>
      <c r="K26" s="121" t="s">
        <v>109</v>
      </c>
      <c r="L26" s="121" t="s">
        <v>110</v>
      </c>
      <c r="M26" s="122">
        <f t="shared" si="17"/>
        <v>31.2212736</v>
      </c>
      <c r="N26" s="123">
        <f>CONVERT(77.7,"F","C")</f>
        <v>25.388888888888889</v>
      </c>
      <c r="O26" s="96">
        <f t="shared" si="3"/>
        <v>-5.6316046283558144E-2</v>
      </c>
      <c r="P26" s="121"/>
      <c r="Q26" s="122">
        <f>CONVERT(AVERAGE(73.5,77.9,80.4,81.9,84.6,85.6),"F","C")</f>
        <v>27.027777777777789</v>
      </c>
      <c r="R26" s="96">
        <f t="shared" si="4"/>
        <v>-0.11205775296183229</v>
      </c>
      <c r="S26" s="121"/>
      <c r="T26" s="121">
        <v>151.4</v>
      </c>
      <c r="U26" s="96">
        <f t="shared" si="5"/>
        <v>0.69736966608285322</v>
      </c>
      <c r="V26" s="121"/>
      <c r="W26" s="121">
        <v>51.46</v>
      </c>
      <c r="X26" s="96">
        <f t="shared" si="6"/>
        <v>0.85418408154765924</v>
      </c>
      <c r="Y26" s="121">
        <v>4.33</v>
      </c>
      <c r="Z26" s="121">
        <f t="shared" si="9"/>
        <v>8.4143023707734166</v>
      </c>
      <c r="AA26" s="96">
        <f t="shared" si="7"/>
        <v>1.1332652356721391</v>
      </c>
      <c r="AB26" s="121">
        <v>39.75</v>
      </c>
      <c r="AC26" s="96">
        <f t="shared" si="8"/>
        <v>0.50706242602700524</v>
      </c>
      <c r="AD26" s="121">
        <v>3.99</v>
      </c>
      <c r="AE26" s="121">
        <f t="shared" si="10"/>
        <v>10.037735849056604</v>
      </c>
      <c r="AF26" s="96">
        <f t="shared" si="11"/>
        <v>0.43997424468586577</v>
      </c>
      <c r="AG26" s="121">
        <v>25.35</v>
      </c>
      <c r="AH26" s="96">
        <f t="shared" si="15"/>
        <v>0.62963731729841221</v>
      </c>
      <c r="AI26" s="121">
        <v>4.32</v>
      </c>
      <c r="AJ26" s="121">
        <f t="shared" si="12"/>
        <v>17.041420118343193</v>
      </c>
      <c r="AK26" s="96">
        <f t="shared" si="13"/>
        <v>2.1851761127052507</v>
      </c>
      <c r="AL26" s="54" t="s">
        <v>329</v>
      </c>
      <c r="AM26" s="54"/>
      <c r="AN26" s="54"/>
    </row>
    <row r="27" spans="1:43" x14ac:dyDescent="0.35">
      <c r="A27" s="120" t="s">
        <v>12</v>
      </c>
      <c r="B27" s="121" t="s">
        <v>108</v>
      </c>
      <c r="C27" s="121" t="s">
        <v>255</v>
      </c>
      <c r="D27" s="121" t="s">
        <v>122</v>
      </c>
      <c r="E27" s="121">
        <v>2015</v>
      </c>
      <c r="F27" s="121">
        <v>26.36</v>
      </c>
      <c r="G27" s="121">
        <v>-80.06</v>
      </c>
      <c r="H27" s="43">
        <f t="shared" si="0"/>
        <v>-1.7040083371699967E-2</v>
      </c>
      <c r="I27" s="43">
        <f t="shared" si="1"/>
        <v>0.33638873136773828</v>
      </c>
      <c r="J27" s="43">
        <f t="shared" si="2"/>
        <v>0.94156903993679031</v>
      </c>
      <c r="K27" s="121" t="s">
        <v>109</v>
      </c>
      <c r="L27" s="121" t="s">
        <v>110</v>
      </c>
      <c r="M27" s="122">
        <f t="shared" si="17"/>
        <v>31.2212736</v>
      </c>
      <c r="N27" s="123">
        <f>CONVERT(78.7,"F","C")</f>
        <v>25.944444444444446</v>
      </c>
      <c r="O27" s="96">
        <f t="shared" si="3"/>
        <v>0.12951165576491325</v>
      </c>
      <c r="P27" s="121"/>
      <c r="Q27" s="122">
        <f>CONVERT(AVERAGE(75.4,79.8,80.2,83.4,84.9,84.6),"F","C")</f>
        <v>27.43518518518518</v>
      </c>
      <c r="R27" s="96">
        <f t="shared" si="4"/>
        <v>0.1146011781249355</v>
      </c>
      <c r="S27" s="121"/>
      <c r="T27" s="121">
        <v>118.2</v>
      </c>
      <c r="U27" s="96">
        <f t="shared" si="5"/>
        <v>0.32392645186539748</v>
      </c>
      <c r="V27" s="121"/>
      <c r="W27" s="121">
        <v>48.23</v>
      </c>
      <c r="X27" s="96">
        <f t="shared" si="6"/>
        <v>-8.6619758896857205E-2</v>
      </c>
      <c r="Y27" s="121">
        <v>1.95</v>
      </c>
      <c r="Z27" s="121">
        <f t="shared" si="9"/>
        <v>4.0431266846361194</v>
      </c>
      <c r="AA27" s="96">
        <f t="shared" si="7"/>
        <v>-9.5342292002643853E-2</v>
      </c>
      <c r="AB27" s="121">
        <v>36.659999999999997</v>
      </c>
      <c r="AC27" s="96">
        <f t="shared" si="8"/>
        <v>-0.27066647108831721</v>
      </c>
      <c r="AD27" s="121">
        <v>4.3099999999999996</v>
      </c>
      <c r="AE27" s="121">
        <f t="shared" si="10"/>
        <v>11.756683033278778</v>
      </c>
      <c r="AF27" s="96">
        <f t="shared" si="11"/>
        <v>0.72159441501569888</v>
      </c>
      <c r="AG27" s="121">
        <v>21.89</v>
      </c>
      <c r="AH27" s="96">
        <f t="shared" si="15"/>
        <v>-0.57207683805055243</v>
      </c>
      <c r="AI27" s="121">
        <v>1.92</v>
      </c>
      <c r="AJ27" s="121">
        <f t="shared" si="12"/>
        <v>8.7711283691183173</v>
      </c>
      <c r="AK27" s="96">
        <f t="shared" si="13"/>
        <v>3.5070163081104E-2</v>
      </c>
      <c r="AL27" s="54" t="s">
        <v>329</v>
      </c>
      <c r="AM27" s="54"/>
      <c r="AN27" s="54"/>
    </row>
    <row r="28" spans="1:43" x14ac:dyDescent="0.35">
      <c r="A28" s="120" t="s">
        <v>12</v>
      </c>
      <c r="B28" s="121" t="s">
        <v>108</v>
      </c>
      <c r="C28" s="121" t="s">
        <v>255</v>
      </c>
      <c r="D28" s="121" t="s">
        <v>123</v>
      </c>
      <c r="E28" s="121">
        <v>2016</v>
      </c>
      <c r="F28" s="121">
        <v>26.36</v>
      </c>
      <c r="G28" s="121">
        <v>-80.06</v>
      </c>
      <c r="H28" s="43">
        <f t="shared" si="0"/>
        <v>-1.7040083371699967E-2</v>
      </c>
      <c r="I28" s="43">
        <f t="shared" si="1"/>
        <v>0.33638873136773828</v>
      </c>
      <c r="J28" s="43">
        <f t="shared" si="2"/>
        <v>0.94156903993679031</v>
      </c>
      <c r="K28" s="121" t="s">
        <v>109</v>
      </c>
      <c r="L28" s="121" t="s">
        <v>110</v>
      </c>
      <c r="M28" s="122">
        <f t="shared" si="17"/>
        <v>31.2212736</v>
      </c>
      <c r="N28" s="123">
        <f>CONVERT(77.8,"F","C")</f>
        <v>25.444444444444443</v>
      </c>
      <c r="O28" s="96">
        <f t="shared" si="3"/>
        <v>-3.7733276078711714E-2</v>
      </c>
      <c r="P28" s="121"/>
      <c r="Q28" s="122">
        <f>CONVERT(AVERAGE(75.1,77,79.8,83.5,85.2,83.8),"F","C")</f>
        <v>27.074074074074073</v>
      </c>
      <c r="R28" s="96">
        <f t="shared" si="4"/>
        <v>-8.6301056247432978E-2</v>
      </c>
      <c r="S28" s="121"/>
      <c r="T28" s="121">
        <v>160.5</v>
      </c>
      <c r="U28" s="96">
        <f t="shared" si="5"/>
        <v>0.79972910130510755</v>
      </c>
      <c r="V28" s="121"/>
      <c r="W28" s="121">
        <v>50.01</v>
      </c>
      <c r="X28" s="96">
        <f t="shared" si="6"/>
        <v>0.43184180023355712</v>
      </c>
      <c r="Y28" s="121">
        <v>7.05</v>
      </c>
      <c r="Z28" s="121">
        <f t="shared" si="9"/>
        <v>14.097180563887225</v>
      </c>
      <c r="AA28" s="96">
        <f t="shared" si="7"/>
        <v>2.7305533403486968</v>
      </c>
      <c r="AB28" s="121">
        <v>37.78</v>
      </c>
      <c r="AC28" s="96">
        <f t="shared" si="8"/>
        <v>1.1228792591023801E-2</v>
      </c>
      <c r="AD28" s="121">
        <v>3.07</v>
      </c>
      <c r="AE28" s="121">
        <f t="shared" si="10"/>
        <v>8.1259925886712541</v>
      </c>
      <c r="AF28" s="96">
        <f t="shared" si="11"/>
        <v>0.12676772644123865</v>
      </c>
      <c r="AG28" s="121">
        <v>23.94</v>
      </c>
      <c r="AH28" s="96">
        <f t="shared" si="15"/>
        <v>0.1399214331822157</v>
      </c>
      <c r="AI28" s="121">
        <v>2.0099999999999998</v>
      </c>
      <c r="AJ28" s="121">
        <f t="shared" si="12"/>
        <v>8.3959899749373417</v>
      </c>
      <c r="AK28" s="96">
        <f t="shared" si="13"/>
        <v>-6.2458112549143338E-2</v>
      </c>
      <c r="AL28" s="54" t="s">
        <v>329</v>
      </c>
      <c r="AM28" s="54"/>
      <c r="AN28" s="54"/>
      <c r="AQ28" s="2"/>
    </row>
    <row r="29" spans="1:43" x14ac:dyDescent="0.35">
      <c r="A29" s="120" t="s">
        <v>12</v>
      </c>
      <c r="B29" s="121" t="s">
        <v>108</v>
      </c>
      <c r="C29" s="121" t="s">
        <v>255</v>
      </c>
      <c r="D29" s="121" t="s">
        <v>124</v>
      </c>
      <c r="E29" s="121">
        <v>2017</v>
      </c>
      <c r="F29" s="121">
        <v>26.36</v>
      </c>
      <c r="G29" s="121">
        <v>-80.06</v>
      </c>
      <c r="H29" s="43">
        <f t="shared" si="0"/>
        <v>-1.7040083371699967E-2</v>
      </c>
      <c r="I29" s="43">
        <f t="shared" si="1"/>
        <v>0.33638873136773828</v>
      </c>
      <c r="J29" s="43">
        <f t="shared" si="2"/>
        <v>0.94156903993679031</v>
      </c>
      <c r="K29" s="121" t="s">
        <v>109</v>
      </c>
      <c r="L29" s="121" t="s">
        <v>110</v>
      </c>
      <c r="M29" s="122">
        <f t="shared" si="17"/>
        <v>31.2212736</v>
      </c>
      <c r="N29" s="123">
        <f>CONVERT(77.9,"F","C")</f>
        <v>25.500000000000004</v>
      </c>
      <c r="O29" s="96">
        <f t="shared" si="3"/>
        <v>-1.9150505873862914E-2</v>
      </c>
      <c r="P29" s="121"/>
      <c r="Q29" s="122">
        <f>CONVERT(AVERAGE(72.7,77.4,80.6,82.5,84.3,84.4),"F","C")</f>
        <v>26.842592592592599</v>
      </c>
      <c r="R29" s="96">
        <f t="shared" si="4"/>
        <v>-0.21508453981946121</v>
      </c>
      <c r="S29" s="121"/>
      <c r="T29" s="121">
        <v>157.6</v>
      </c>
      <c r="U29" s="96">
        <f t="shared" si="5"/>
        <v>0.76710906150900438</v>
      </c>
      <c r="V29" s="121"/>
      <c r="W29" s="121">
        <v>49.39</v>
      </c>
      <c r="X29" s="96">
        <f t="shared" si="6"/>
        <v>0.25125406615442486</v>
      </c>
      <c r="Y29" s="121">
        <v>2.5</v>
      </c>
      <c r="Z29" s="121">
        <f t="shared" si="9"/>
        <v>5.0617533913747721</v>
      </c>
      <c r="AA29" s="96">
        <f t="shared" si="7"/>
        <v>0.19096339087316755</v>
      </c>
      <c r="AB29" s="121">
        <v>36.229999999999997</v>
      </c>
      <c r="AC29" s="96">
        <f t="shared" si="8"/>
        <v>-0.37889411696520653</v>
      </c>
      <c r="AD29" s="121">
        <v>3.6</v>
      </c>
      <c r="AE29" s="121">
        <f t="shared" si="10"/>
        <v>9.936516698868342</v>
      </c>
      <c r="AF29" s="96">
        <f t="shared" si="11"/>
        <v>0.42339121375955024</v>
      </c>
      <c r="AG29" s="121">
        <v>23.72</v>
      </c>
      <c r="AH29" s="96">
        <f t="shared" si="15"/>
        <v>6.3511862610893435E-2</v>
      </c>
      <c r="AI29" s="121">
        <v>2.35</v>
      </c>
      <c r="AJ29" s="121">
        <f t="shared" si="12"/>
        <v>9.907251264755482</v>
      </c>
      <c r="AK29" s="96">
        <f t="shared" si="13"/>
        <v>0.3304387753967008</v>
      </c>
      <c r="AL29" s="54" t="s">
        <v>329</v>
      </c>
      <c r="AM29" s="54"/>
      <c r="AN29" s="54"/>
    </row>
    <row r="30" spans="1:43" x14ac:dyDescent="0.35">
      <c r="A30" s="120" t="s">
        <v>12</v>
      </c>
      <c r="B30" s="121" t="s">
        <v>108</v>
      </c>
      <c r="C30" s="121" t="s">
        <v>255</v>
      </c>
      <c r="D30" s="121" t="s">
        <v>125</v>
      </c>
      <c r="E30" s="121">
        <v>2018</v>
      </c>
      <c r="F30" s="121">
        <v>26.36</v>
      </c>
      <c r="G30" s="121">
        <v>-80.06</v>
      </c>
      <c r="H30" s="43">
        <f t="shared" si="0"/>
        <v>-1.7040083371699967E-2</v>
      </c>
      <c r="I30" s="43">
        <f t="shared" si="1"/>
        <v>0.33638873136773828</v>
      </c>
      <c r="J30" s="43">
        <f t="shared" si="2"/>
        <v>0.94156903993679031</v>
      </c>
      <c r="K30" s="121" t="s">
        <v>109</v>
      </c>
      <c r="L30" s="121" t="s">
        <v>110</v>
      </c>
      <c r="M30" s="122">
        <f t="shared" si="17"/>
        <v>31.2212736</v>
      </c>
      <c r="N30" s="123">
        <f>CONVERT(77.5,"F","C")</f>
        <v>25.277777777777779</v>
      </c>
      <c r="O30" s="96">
        <f t="shared" si="3"/>
        <v>-9.3481586693252183E-2</v>
      </c>
      <c r="P30" s="121"/>
      <c r="Q30" s="122">
        <f>CONVERT(AVERAGE(70.2,77,78.5,82.7,84,84),"F","C")</f>
        <v>26.333333333333329</v>
      </c>
      <c r="R30" s="96">
        <f t="shared" si="4"/>
        <v>-0.49840820367793875</v>
      </c>
      <c r="S30" s="121"/>
      <c r="T30" s="121">
        <v>155.9</v>
      </c>
      <c r="U30" s="96">
        <f t="shared" si="5"/>
        <v>0.74798696921473729</v>
      </c>
      <c r="V30" s="121"/>
      <c r="W30" s="121">
        <v>50.32</v>
      </c>
      <c r="X30" s="96">
        <f t="shared" si="6"/>
        <v>0.52213566727312422</v>
      </c>
      <c r="Y30" s="121">
        <v>1.81</v>
      </c>
      <c r="Z30" s="121">
        <f t="shared" si="9"/>
        <v>3.5969793322734498</v>
      </c>
      <c r="AA30" s="96">
        <f t="shared" si="7"/>
        <v>-0.22074104852101381</v>
      </c>
      <c r="AB30" s="121">
        <v>39.119999999999997</v>
      </c>
      <c r="AC30" s="96">
        <f t="shared" si="8"/>
        <v>0.34849634020737591</v>
      </c>
      <c r="AD30" s="121">
        <v>2.39</v>
      </c>
      <c r="AE30" s="121">
        <f t="shared" si="10"/>
        <v>6.1094069529652355</v>
      </c>
      <c r="AF30" s="96">
        <f t="shared" si="11"/>
        <v>-0.20361542635423502</v>
      </c>
      <c r="AG30" s="121">
        <v>23.38</v>
      </c>
      <c r="AH30" s="96">
        <f t="shared" si="15"/>
        <v>-5.4575655544785107E-2</v>
      </c>
      <c r="AI30" s="121">
        <v>2.29</v>
      </c>
      <c r="AJ30" s="121">
        <f t="shared" si="12"/>
        <v>9.7946963216424301</v>
      </c>
      <c r="AK30" s="96">
        <f t="shared" si="13"/>
        <v>0.30117680252015</v>
      </c>
      <c r="AL30" s="54" t="s">
        <v>329</v>
      </c>
      <c r="AM30" s="54"/>
      <c r="AN30" s="54"/>
    </row>
    <row r="31" spans="1:43" x14ac:dyDescent="0.35">
      <c r="V31" t="s">
        <v>201</v>
      </c>
      <c r="W31">
        <f>AVERAGE(W2:W30)</f>
        <v>48.5273859259595</v>
      </c>
      <c r="AA31" t="s">
        <v>201</v>
      </c>
      <c r="AB31">
        <f>AVERAGE(AB2:AB30)</f>
        <v>37.735386807363135</v>
      </c>
      <c r="AF31" t="s">
        <v>201</v>
      </c>
      <c r="AG31">
        <f>AVERAGE(AG2:AG30)</f>
        <v>23.53713534482759</v>
      </c>
    </row>
    <row r="32" spans="1:43" x14ac:dyDescent="0.35">
      <c r="V32" t="s">
        <v>202</v>
      </c>
      <c r="W32">
        <f>STDEV(W2:W30)</f>
        <v>3.4332342844964101</v>
      </c>
      <c r="AA32" t="s">
        <v>202</v>
      </c>
      <c r="AB32">
        <f>STDEV(AB2:AB30)</f>
        <v>3.9731068389783841</v>
      </c>
      <c r="AF32" t="s">
        <v>202</v>
      </c>
      <c r="AG32">
        <f>STDEV(AG2:AG30)</f>
        <v>2.8792204740196761</v>
      </c>
    </row>
    <row r="33" spans="1:3" x14ac:dyDescent="0.35">
      <c r="A33" t="s">
        <v>262</v>
      </c>
    </row>
    <row r="34" spans="1:3" x14ac:dyDescent="0.35">
      <c r="A34">
        <v>24.5</v>
      </c>
      <c r="B34">
        <f t="shared" ref="B34:B41" si="18">C34/100*131</f>
        <v>1.31</v>
      </c>
      <c r="C34">
        <v>1</v>
      </c>
    </row>
    <row r="35" spans="1:3" x14ac:dyDescent="0.35">
      <c r="A35">
        <v>25.5</v>
      </c>
      <c r="B35">
        <f t="shared" si="18"/>
        <v>3.9299999999999997</v>
      </c>
      <c r="C35">
        <v>3</v>
      </c>
    </row>
    <row r="36" spans="1:3" x14ac:dyDescent="0.35">
      <c r="A36">
        <v>26.5</v>
      </c>
      <c r="B36">
        <f t="shared" si="18"/>
        <v>18.340000000000003</v>
      </c>
      <c r="C36">
        <v>14</v>
      </c>
    </row>
    <row r="37" spans="1:3" x14ac:dyDescent="0.35">
      <c r="A37">
        <v>27.5</v>
      </c>
      <c r="B37">
        <f t="shared" si="18"/>
        <v>15.719999999999999</v>
      </c>
      <c r="C37">
        <v>12</v>
      </c>
    </row>
    <row r="38" spans="1:3" x14ac:dyDescent="0.35">
      <c r="A38">
        <v>28.5</v>
      </c>
      <c r="B38">
        <f t="shared" si="18"/>
        <v>28.82</v>
      </c>
      <c r="C38">
        <v>22</v>
      </c>
    </row>
    <row r="39" spans="1:3" x14ac:dyDescent="0.35">
      <c r="A39">
        <v>29.5</v>
      </c>
      <c r="B39">
        <f t="shared" si="18"/>
        <v>39.299999999999997</v>
      </c>
      <c r="C39">
        <v>30</v>
      </c>
    </row>
    <row r="40" spans="1:3" x14ac:dyDescent="0.35">
      <c r="A40">
        <v>30.5</v>
      </c>
      <c r="B40">
        <f t="shared" si="18"/>
        <v>22.270000000000003</v>
      </c>
      <c r="C40">
        <v>17</v>
      </c>
    </row>
    <row r="41" spans="1:3" x14ac:dyDescent="0.35">
      <c r="A41">
        <v>31.5</v>
      </c>
      <c r="B41">
        <f t="shared" si="18"/>
        <v>1.31</v>
      </c>
      <c r="C41">
        <v>1</v>
      </c>
    </row>
    <row r="42" spans="1:3" x14ac:dyDescent="0.35">
      <c r="B42">
        <f>SUM(B34:B41)</f>
        <v>131</v>
      </c>
    </row>
    <row r="43" spans="1:3" x14ac:dyDescent="0.35">
      <c r="A43" t="s">
        <v>55</v>
      </c>
      <c r="B43" cm="1">
        <f t="array" ref="B43">SUM(A34:A41*B34:B41)/B42</f>
        <v>28.64</v>
      </c>
    </row>
    <row r="44" spans="1:3" x14ac:dyDescent="0.35">
      <c r="A44" t="s">
        <v>263</v>
      </c>
      <c r="B44" cm="1">
        <f t="array" ref="B44">SQRT((SUM((A34:A41-B43)^2*B34:B41)/(130)))</f>
        <v>1.4754722842325647</v>
      </c>
    </row>
    <row r="47" spans="1:3" x14ac:dyDescent="0.35">
      <c r="A47">
        <v>48.5</v>
      </c>
      <c r="B47">
        <f>C47/100*131</f>
        <v>1.31</v>
      </c>
      <c r="C47">
        <v>1</v>
      </c>
    </row>
    <row r="48" spans="1:3" x14ac:dyDescent="0.35">
      <c r="A48">
        <v>49.5</v>
      </c>
      <c r="B48">
        <f t="shared" ref="B48:B53" si="19">C48/100*131</f>
        <v>7.8599999999999994</v>
      </c>
      <c r="C48">
        <v>6</v>
      </c>
    </row>
    <row r="49" spans="1:3" x14ac:dyDescent="0.35">
      <c r="A49">
        <v>50.5</v>
      </c>
      <c r="B49">
        <f t="shared" si="19"/>
        <v>20.96</v>
      </c>
      <c r="C49">
        <v>16</v>
      </c>
    </row>
    <row r="50" spans="1:3" x14ac:dyDescent="0.35">
      <c r="A50">
        <v>51.5</v>
      </c>
      <c r="B50">
        <f t="shared" si="19"/>
        <v>57.64</v>
      </c>
      <c r="C50">
        <v>44</v>
      </c>
    </row>
    <row r="51" spans="1:3" x14ac:dyDescent="0.35">
      <c r="A51">
        <v>52.5</v>
      </c>
      <c r="B51">
        <f t="shared" si="19"/>
        <v>32.75</v>
      </c>
      <c r="C51">
        <v>25</v>
      </c>
    </row>
    <row r="52" spans="1:3" x14ac:dyDescent="0.35">
      <c r="A52">
        <v>53.5</v>
      </c>
      <c r="B52">
        <f t="shared" si="19"/>
        <v>7.8599999999999994</v>
      </c>
      <c r="C52">
        <v>6</v>
      </c>
    </row>
    <row r="53" spans="1:3" x14ac:dyDescent="0.35">
      <c r="A53">
        <v>54.5</v>
      </c>
      <c r="B53">
        <f t="shared" si="19"/>
        <v>2.62</v>
      </c>
      <c r="C53">
        <v>2</v>
      </c>
    </row>
    <row r="54" spans="1:3" x14ac:dyDescent="0.35">
      <c r="B54">
        <f>SUM(B47:B53)</f>
        <v>131</v>
      </c>
    </row>
    <row r="55" spans="1:3" x14ac:dyDescent="0.35">
      <c r="A55" t="s">
        <v>55</v>
      </c>
      <c r="B55" cm="1">
        <f t="array" ref="B55">SUM(A47:A53*B47:B53)/B54</f>
        <v>51.620000000000005</v>
      </c>
    </row>
    <row r="56" spans="1:3" x14ac:dyDescent="0.35">
      <c r="A56" t="s">
        <v>263</v>
      </c>
      <c r="B56" cm="1">
        <f t="array" ref="B56">SQRT((SUM((A47:A53-B55)^2*B47:B53)/(130)))</f>
        <v>1.0744358090143438</v>
      </c>
    </row>
  </sheetData>
  <autoFilter ref="A1:AN44" xr:uid="{8B139290-5497-4E00-8996-0658F99A73E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EB78-0F5C-4F7F-8854-336777235656}">
  <dimension ref="A1:O122"/>
  <sheetViews>
    <sheetView topLeftCell="A58" zoomScaleNormal="100" workbookViewId="0">
      <selection activeCell="A63" sqref="A63"/>
    </sheetView>
  </sheetViews>
  <sheetFormatPr defaultRowHeight="14.5" x14ac:dyDescent="0.35"/>
  <cols>
    <col min="12" max="12" width="6.81640625" customWidth="1"/>
  </cols>
  <sheetData>
    <row r="1" spans="1:15" x14ac:dyDescent="0.35">
      <c r="A1" s="2" t="s">
        <v>327</v>
      </c>
    </row>
    <row r="2" spans="1:15" x14ac:dyDescent="0.35">
      <c r="B2" t="s">
        <v>76</v>
      </c>
      <c r="C2" t="s">
        <v>77</v>
      </c>
      <c r="D2" t="s">
        <v>214</v>
      </c>
      <c r="E2" t="s">
        <v>211</v>
      </c>
      <c r="F2" t="s">
        <v>212</v>
      </c>
      <c r="G2" t="s">
        <v>213</v>
      </c>
      <c r="H2" t="s">
        <v>215</v>
      </c>
      <c r="I2" t="s">
        <v>217</v>
      </c>
      <c r="J2" t="s">
        <v>219</v>
      </c>
    </row>
    <row r="3" spans="1:15" x14ac:dyDescent="0.35">
      <c r="A3" t="s">
        <v>76</v>
      </c>
      <c r="B3" s="69"/>
      <c r="C3" s="69">
        <v>0.11533</v>
      </c>
      <c r="D3" s="69">
        <v>0.33223000000000003</v>
      </c>
      <c r="E3" s="69">
        <v>0.29844999999999999</v>
      </c>
      <c r="F3" s="69">
        <v>0.34902</v>
      </c>
      <c r="G3" s="69">
        <v>0.57042999999999999</v>
      </c>
      <c r="H3" s="69">
        <v>0.36892000000000003</v>
      </c>
      <c r="I3" s="69">
        <v>0.95199999999999996</v>
      </c>
      <c r="J3" s="69">
        <v>0.26812999999999998</v>
      </c>
    </row>
    <row r="4" spans="1:15" x14ac:dyDescent="0.35">
      <c r="A4" t="s">
        <v>77</v>
      </c>
      <c r="B4" s="69">
        <v>0.27511000000000002</v>
      </c>
      <c r="C4" s="69"/>
      <c r="D4" s="69">
        <v>2.5978999999999999E-2</v>
      </c>
      <c r="E4" s="69">
        <v>0.15187999999999999</v>
      </c>
      <c r="F4" s="69">
        <v>6.3503000000000004E-2</v>
      </c>
      <c r="G4" s="69">
        <v>0.79376000000000002</v>
      </c>
      <c r="H4" s="69">
        <v>3.9631E-2</v>
      </c>
      <c r="I4" s="69">
        <v>1.1754000000000001E-2</v>
      </c>
      <c r="J4" s="69">
        <v>2.8121999999999999E-3</v>
      </c>
    </row>
    <row r="5" spans="1:15" x14ac:dyDescent="0.35">
      <c r="A5" t="s">
        <v>214</v>
      </c>
      <c r="B5" s="69">
        <v>0.17147000000000001</v>
      </c>
      <c r="C5" s="69">
        <v>0.38153999999999999</v>
      </c>
      <c r="D5" s="69"/>
      <c r="E5" s="69">
        <v>4.1722999999999998E-6</v>
      </c>
      <c r="F5" s="69">
        <v>4.2174999999999999E-3</v>
      </c>
      <c r="G5" s="69">
        <v>7.1681999999999996E-3</v>
      </c>
      <c r="H5" s="69">
        <v>1.2962000000000001E-5</v>
      </c>
      <c r="I5" s="69">
        <v>1.9702000000000001E-4</v>
      </c>
      <c r="J5" s="69">
        <v>4.4696000000000004E-6</v>
      </c>
    </row>
    <row r="6" spans="1:15" x14ac:dyDescent="0.35">
      <c r="A6" t="s">
        <v>211</v>
      </c>
      <c r="B6" s="69">
        <v>0.18367</v>
      </c>
      <c r="C6" s="69">
        <v>0.25118000000000001</v>
      </c>
      <c r="D6" s="69">
        <v>0.69945000000000002</v>
      </c>
      <c r="E6" s="69"/>
      <c r="F6" s="69">
        <v>1.3312999999999999E-5</v>
      </c>
      <c r="G6" s="69">
        <v>4.512E-2</v>
      </c>
      <c r="H6" s="69">
        <v>1.3070999999999999E-2</v>
      </c>
      <c r="I6" s="69">
        <v>8.2831000000000002E-2</v>
      </c>
      <c r="J6" s="69">
        <v>1.0229E-2</v>
      </c>
    </row>
    <row r="7" spans="1:15" x14ac:dyDescent="0.35">
      <c r="A7" t="s">
        <v>212</v>
      </c>
      <c r="B7" s="69">
        <v>0.16569</v>
      </c>
      <c r="C7" s="69">
        <v>0.32174999999999998</v>
      </c>
      <c r="D7" s="69">
        <v>0.47832999999999998</v>
      </c>
      <c r="E7" s="69">
        <v>0.67232000000000003</v>
      </c>
      <c r="F7" s="69"/>
      <c r="G7" s="69">
        <v>0.52893999999999997</v>
      </c>
      <c r="H7" s="69">
        <v>0.13677</v>
      </c>
      <c r="I7" s="69">
        <v>0.32671</v>
      </c>
      <c r="J7" s="69">
        <v>8.7485999999999994E-2</v>
      </c>
    </row>
    <row r="8" spans="1:15" x14ac:dyDescent="0.35">
      <c r="A8" t="s">
        <v>213</v>
      </c>
      <c r="B8" s="69">
        <v>0.10083</v>
      </c>
      <c r="C8" s="69">
        <v>4.6552000000000003E-2</v>
      </c>
      <c r="D8" s="69">
        <v>0.45279000000000003</v>
      </c>
      <c r="E8" s="69">
        <v>0.34584999999999999</v>
      </c>
      <c r="F8" s="69">
        <v>-0.11182</v>
      </c>
      <c r="G8" s="69"/>
      <c r="H8" s="69">
        <v>2.264E-2</v>
      </c>
      <c r="I8" s="69">
        <v>5.4634000000000002E-3</v>
      </c>
      <c r="J8" s="69">
        <v>1.9599999999999999E-2</v>
      </c>
    </row>
    <row r="9" spans="1:15" x14ac:dyDescent="0.35">
      <c r="A9" t="s">
        <v>215</v>
      </c>
      <c r="B9" s="69">
        <v>0.15906000000000001</v>
      </c>
      <c r="C9" s="69">
        <v>0.35458000000000001</v>
      </c>
      <c r="D9" s="69">
        <v>0.67298000000000002</v>
      </c>
      <c r="E9" s="69">
        <v>0.42136000000000001</v>
      </c>
      <c r="F9" s="69">
        <v>0.26049</v>
      </c>
      <c r="G9" s="69">
        <v>0.38989000000000001</v>
      </c>
      <c r="H9" s="69"/>
      <c r="I9" s="69">
        <v>4.2411000000000002E-14</v>
      </c>
      <c r="J9" s="69">
        <v>1.8330999999999999E-12</v>
      </c>
    </row>
    <row r="10" spans="1:15" x14ac:dyDescent="0.35">
      <c r="A10" t="s">
        <v>217</v>
      </c>
      <c r="B10" s="69">
        <v>1.0725E-2</v>
      </c>
      <c r="C10" s="69">
        <v>0.42713000000000001</v>
      </c>
      <c r="D10" s="69">
        <v>0.59645000000000004</v>
      </c>
      <c r="E10" s="69">
        <v>0.30176999999999998</v>
      </c>
      <c r="F10" s="69">
        <v>0.17341000000000001</v>
      </c>
      <c r="G10" s="69">
        <v>0.46610000000000001</v>
      </c>
      <c r="H10" s="69">
        <v>0.91422999999999999</v>
      </c>
      <c r="I10" s="69"/>
      <c r="J10" s="69">
        <v>1.4898000000000001E-10</v>
      </c>
    </row>
    <row r="11" spans="1:15" x14ac:dyDescent="0.35">
      <c r="A11" t="s">
        <v>219</v>
      </c>
      <c r="B11" s="69">
        <v>0.19538</v>
      </c>
      <c r="C11" s="69">
        <v>0.49662000000000001</v>
      </c>
      <c r="D11" s="69">
        <v>0.69791999999999998</v>
      </c>
      <c r="E11" s="69">
        <v>0.43453999999999998</v>
      </c>
      <c r="F11" s="69">
        <v>0.29751</v>
      </c>
      <c r="G11" s="69">
        <v>0.39843000000000001</v>
      </c>
      <c r="H11" s="69">
        <v>0.89026000000000005</v>
      </c>
      <c r="I11" s="69">
        <v>0.85301000000000005</v>
      </c>
      <c r="J11" s="69"/>
    </row>
    <row r="14" spans="1:15" x14ac:dyDescent="0.35">
      <c r="B14" t="s">
        <v>26</v>
      </c>
      <c r="C14" t="s">
        <v>27</v>
      </c>
      <c r="D14" t="s">
        <v>28</v>
      </c>
      <c r="E14" t="s">
        <v>29</v>
      </c>
      <c r="F14" t="s">
        <v>30</v>
      </c>
      <c r="G14" t="s">
        <v>31</v>
      </c>
      <c r="H14" t="s">
        <v>32</v>
      </c>
      <c r="I14" t="s">
        <v>33</v>
      </c>
      <c r="J14" t="s">
        <v>34</v>
      </c>
      <c r="L14" t="s">
        <v>23</v>
      </c>
      <c r="M14" t="s">
        <v>24</v>
      </c>
      <c r="N14" t="s">
        <v>25</v>
      </c>
    </row>
    <row r="15" spans="1:15" x14ac:dyDescent="0.35">
      <c r="A15" t="s">
        <v>259</v>
      </c>
      <c r="B15">
        <v>2.8797000000000001</v>
      </c>
      <c r="C15">
        <v>2.1168999999999998</v>
      </c>
      <c r="D15">
        <v>9.3312999999999993E-2</v>
      </c>
      <c r="E15">
        <v>1.1406000000000001</v>
      </c>
      <c r="F15">
        <v>0.33522999999999997</v>
      </c>
      <c r="G15">
        <v>0.29348999999999997</v>
      </c>
      <c r="H15">
        <v>0.41826999999999998</v>
      </c>
      <c r="I15">
        <v>-0.19797000000000001</v>
      </c>
      <c r="J15">
        <v>0.23956</v>
      </c>
      <c r="L15">
        <v>1</v>
      </c>
      <c r="M15">
        <v>3.9406500000000002</v>
      </c>
      <c r="N15">
        <v>56.183999999999997</v>
      </c>
    </row>
    <row r="16" spans="1:15" x14ac:dyDescent="0.35">
      <c r="A16" t="s">
        <v>258</v>
      </c>
      <c r="B16">
        <v>-0.33431</v>
      </c>
      <c r="C16">
        <v>0.14845</v>
      </c>
      <c r="D16">
        <v>0.25806000000000001</v>
      </c>
      <c r="E16">
        <v>-0.65464</v>
      </c>
      <c r="F16">
        <v>7.2307999999999997E-2</v>
      </c>
      <c r="G16">
        <v>1.0709</v>
      </c>
      <c r="H16">
        <v>0.23727000000000001</v>
      </c>
      <c r="I16">
        <v>0.46449000000000001</v>
      </c>
      <c r="J16">
        <v>7.7146000000000006E-2</v>
      </c>
      <c r="L16">
        <v>2</v>
      </c>
      <c r="M16">
        <v>1.3984700000000001</v>
      </c>
      <c r="N16">
        <v>19.939</v>
      </c>
      <c r="O16">
        <f>SUM(N15:N16)</f>
        <v>76.12299999999999</v>
      </c>
    </row>
    <row r="17" spans="1:15" x14ac:dyDescent="0.35">
      <c r="A17" t="s">
        <v>255</v>
      </c>
      <c r="B17">
        <v>1.8274999999999999</v>
      </c>
      <c r="C17">
        <v>0.53605000000000003</v>
      </c>
      <c r="D17">
        <v>0.26223000000000002</v>
      </c>
      <c r="E17">
        <v>-0.29765000000000003</v>
      </c>
      <c r="F17">
        <v>-0.23175999999999999</v>
      </c>
      <c r="G17">
        <v>-0.10421</v>
      </c>
      <c r="H17">
        <v>0.23702999999999999</v>
      </c>
      <c r="I17">
        <v>0.20601</v>
      </c>
      <c r="J17">
        <v>1.7239999999999998E-2</v>
      </c>
      <c r="L17">
        <v>3</v>
      </c>
      <c r="M17">
        <v>0.84655599999999998</v>
      </c>
      <c r="N17">
        <v>12.07</v>
      </c>
      <c r="O17">
        <f>SUM(O16,N17)</f>
        <v>88.192999999999984</v>
      </c>
    </row>
    <row r="18" spans="1:15" x14ac:dyDescent="0.35">
      <c r="A18" t="s">
        <v>255</v>
      </c>
      <c r="B18">
        <v>1.7549999999999999</v>
      </c>
      <c r="C18">
        <v>0.25170999999999999</v>
      </c>
      <c r="D18">
        <v>0.60358999999999996</v>
      </c>
      <c r="E18">
        <v>-0.55669000000000002</v>
      </c>
      <c r="F18">
        <v>-2.8017E-2</v>
      </c>
      <c r="G18">
        <v>0.15024000000000001</v>
      </c>
      <c r="H18">
        <v>0.24811</v>
      </c>
      <c r="I18">
        <v>-0.14198</v>
      </c>
      <c r="J18">
        <v>3.6856E-2</v>
      </c>
      <c r="L18">
        <v>4</v>
      </c>
      <c r="M18">
        <v>0.22803899999999999</v>
      </c>
      <c r="N18">
        <v>3.2513000000000001</v>
      </c>
    </row>
    <row r="19" spans="1:15" x14ac:dyDescent="0.35">
      <c r="A19" t="s">
        <v>255</v>
      </c>
      <c r="B19">
        <v>1.7917000000000001</v>
      </c>
      <c r="C19">
        <v>0.87458000000000002</v>
      </c>
      <c r="D19">
        <v>0.31774000000000002</v>
      </c>
      <c r="E19">
        <v>-0.23307</v>
      </c>
      <c r="F19">
        <v>-0.11294</v>
      </c>
      <c r="G19">
        <v>-5.6730999999999997E-2</v>
      </c>
      <c r="H19">
        <v>0.18153</v>
      </c>
      <c r="I19">
        <v>6.1545000000000002E-2</v>
      </c>
      <c r="J19">
        <v>1.6975E-3</v>
      </c>
      <c r="L19">
        <v>5</v>
      </c>
      <c r="M19">
        <v>0.19168299999999999</v>
      </c>
      <c r="N19">
        <v>2.7328999999999999</v>
      </c>
    </row>
    <row r="20" spans="1:15" x14ac:dyDescent="0.35">
      <c r="A20" t="s">
        <v>255</v>
      </c>
      <c r="B20">
        <v>1.1682999999999999</v>
      </c>
      <c r="C20">
        <v>1.5902000000000001</v>
      </c>
      <c r="D20">
        <v>0.48027999999999998</v>
      </c>
      <c r="E20">
        <v>-0.45763999999999999</v>
      </c>
      <c r="F20">
        <v>4.4518000000000002E-2</v>
      </c>
      <c r="G20">
        <v>1.7235E-2</v>
      </c>
      <c r="H20">
        <v>8.5810999999999998E-2</v>
      </c>
      <c r="I20">
        <v>-9.1074000000000002E-2</v>
      </c>
      <c r="J20">
        <v>-0.15384999999999999</v>
      </c>
      <c r="L20">
        <v>6</v>
      </c>
      <c r="M20">
        <v>0.16114600000000001</v>
      </c>
      <c r="N20">
        <v>2.2974999999999999</v>
      </c>
    </row>
    <row r="21" spans="1:15" x14ac:dyDescent="0.35">
      <c r="A21" t="s">
        <v>255</v>
      </c>
      <c r="B21">
        <v>1.5127999999999999</v>
      </c>
      <c r="C21">
        <v>1.0649</v>
      </c>
      <c r="D21">
        <v>0.56005000000000005</v>
      </c>
      <c r="E21">
        <v>-0.33087</v>
      </c>
      <c r="F21">
        <v>-3.6581000000000001E-3</v>
      </c>
      <c r="G21">
        <v>-3.4077000000000001E-3</v>
      </c>
      <c r="H21">
        <v>4.6516000000000002E-2</v>
      </c>
      <c r="I21">
        <v>-6.6731000000000004E-3</v>
      </c>
      <c r="J21">
        <v>-0.20954999999999999</v>
      </c>
      <c r="L21">
        <v>7</v>
      </c>
      <c r="M21">
        <v>0.11985899999999999</v>
      </c>
      <c r="N21">
        <v>1.7089000000000001</v>
      </c>
    </row>
    <row r="22" spans="1:15" x14ac:dyDescent="0.35">
      <c r="A22" t="s">
        <v>255</v>
      </c>
      <c r="B22">
        <v>1.3255999999999999</v>
      </c>
      <c r="C22">
        <v>1.0336000000000001</v>
      </c>
      <c r="D22">
        <v>0.65703999999999996</v>
      </c>
      <c r="E22">
        <v>-0.36537999999999998</v>
      </c>
      <c r="F22">
        <v>0.1925</v>
      </c>
      <c r="G22">
        <v>2.1333999999999999E-2</v>
      </c>
      <c r="H22">
        <v>0.33135999999999999</v>
      </c>
      <c r="I22">
        <v>-0.24062</v>
      </c>
      <c r="J22">
        <v>0.23588000000000001</v>
      </c>
      <c r="L22">
        <v>8</v>
      </c>
      <c r="M22">
        <v>9.6600099999999994E-2</v>
      </c>
      <c r="N22">
        <v>1.3773</v>
      </c>
    </row>
    <row r="23" spans="1:15" x14ac:dyDescent="0.35">
      <c r="A23" t="s">
        <v>255</v>
      </c>
      <c r="B23">
        <v>1.2407999999999999</v>
      </c>
      <c r="C23">
        <v>0.78669</v>
      </c>
      <c r="D23">
        <v>0.65454000000000001</v>
      </c>
      <c r="E23">
        <v>-0.53742999999999996</v>
      </c>
      <c r="F23">
        <v>-0.15925</v>
      </c>
      <c r="G23">
        <v>-6.8959999999999994E-2</v>
      </c>
      <c r="H23">
        <v>0.1777</v>
      </c>
      <c r="I23">
        <v>0.21292</v>
      </c>
      <c r="J23">
        <v>-0.18726999999999999</v>
      </c>
      <c r="L23">
        <v>9</v>
      </c>
      <c r="M23">
        <v>3.0847800000000002E-2</v>
      </c>
      <c r="N23">
        <v>0.43980999999999998</v>
      </c>
    </row>
    <row r="24" spans="1:15" x14ac:dyDescent="0.35">
      <c r="A24" t="s">
        <v>255</v>
      </c>
      <c r="B24">
        <v>-1.1166</v>
      </c>
      <c r="C24">
        <v>-2.9409999999999998</v>
      </c>
      <c r="D24">
        <v>3.2578</v>
      </c>
      <c r="E24">
        <v>0.53922000000000003</v>
      </c>
      <c r="F24">
        <v>-0.13195000000000001</v>
      </c>
      <c r="G24">
        <v>0.37963999999999998</v>
      </c>
      <c r="H24">
        <v>0.12711</v>
      </c>
      <c r="I24">
        <v>4.9112000000000003E-2</v>
      </c>
      <c r="J24">
        <v>4.2652000000000002E-2</v>
      </c>
    </row>
    <row r="25" spans="1:15" x14ac:dyDescent="0.35">
      <c r="A25" t="s">
        <v>255</v>
      </c>
      <c r="B25">
        <v>1.0528999999999999</v>
      </c>
      <c r="C25">
        <v>-0.91532999999999998</v>
      </c>
      <c r="D25">
        <v>-0.63424000000000003</v>
      </c>
      <c r="E25">
        <v>-0.32661000000000001</v>
      </c>
      <c r="F25">
        <v>0.45330999999999999</v>
      </c>
      <c r="G25">
        <v>0.20422000000000001</v>
      </c>
      <c r="H25">
        <v>-0.14706</v>
      </c>
      <c r="I25">
        <v>0.59811999999999999</v>
      </c>
      <c r="J25">
        <v>0.11783</v>
      </c>
    </row>
    <row r="26" spans="1:15" x14ac:dyDescent="0.35">
      <c r="A26" t="s">
        <v>259</v>
      </c>
      <c r="B26">
        <v>3.7505999999999999</v>
      </c>
      <c r="C26">
        <v>-3.4641999999999999</v>
      </c>
      <c r="D26">
        <v>-2.0108000000000001</v>
      </c>
      <c r="E26">
        <v>0.44574000000000003</v>
      </c>
      <c r="F26">
        <v>-5.7221000000000001E-2</v>
      </c>
      <c r="G26">
        <v>0.4768</v>
      </c>
      <c r="H26">
        <v>0.42076000000000002</v>
      </c>
      <c r="I26">
        <v>-0.46435999999999999</v>
      </c>
      <c r="J26">
        <v>-0.22968</v>
      </c>
    </row>
    <row r="27" spans="1:15" x14ac:dyDescent="0.35">
      <c r="A27" t="s">
        <v>259</v>
      </c>
      <c r="B27">
        <v>1.9661999999999999</v>
      </c>
      <c r="C27">
        <v>-0.97311999999999999</v>
      </c>
      <c r="D27">
        <v>-0.93264000000000002</v>
      </c>
      <c r="E27">
        <v>-0.28323999999999999</v>
      </c>
      <c r="F27">
        <v>0.13094</v>
      </c>
      <c r="G27">
        <v>-0.52569999999999995</v>
      </c>
      <c r="H27">
        <v>-0.54293000000000002</v>
      </c>
      <c r="I27">
        <v>-4.6136000000000003E-2</v>
      </c>
      <c r="J27">
        <v>-6.4139000000000002E-2</v>
      </c>
    </row>
    <row r="28" spans="1:15" x14ac:dyDescent="0.35">
      <c r="A28" t="s">
        <v>259</v>
      </c>
      <c r="B28">
        <v>1.6858</v>
      </c>
      <c r="C28">
        <v>-0.85475000000000001</v>
      </c>
      <c r="D28">
        <v>-0.84775</v>
      </c>
      <c r="E28">
        <v>-0.19439999999999999</v>
      </c>
      <c r="F28">
        <v>0.32806000000000002</v>
      </c>
      <c r="G28">
        <v>-0.46211999999999998</v>
      </c>
      <c r="H28">
        <v>-0.14760999999999999</v>
      </c>
      <c r="I28">
        <v>0.16491</v>
      </c>
      <c r="J28">
        <v>-0.25928000000000001</v>
      </c>
    </row>
    <row r="29" spans="1:15" x14ac:dyDescent="0.35">
      <c r="A29" t="s">
        <v>259</v>
      </c>
      <c r="B29">
        <v>1.4481999999999999</v>
      </c>
      <c r="C29">
        <v>-1.2258</v>
      </c>
      <c r="D29">
        <v>-0.96979000000000004</v>
      </c>
      <c r="E29">
        <v>-6.5073000000000006E-2</v>
      </c>
      <c r="F29">
        <v>0.18662000000000001</v>
      </c>
      <c r="G29">
        <v>0.52785000000000004</v>
      </c>
      <c r="H29">
        <v>-0.31669000000000003</v>
      </c>
      <c r="I29">
        <v>0.67093000000000003</v>
      </c>
      <c r="J29">
        <v>0.2447</v>
      </c>
    </row>
    <row r="30" spans="1:15" x14ac:dyDescent="0.35">
      <c r="A30" t="s">
        <v>259</v>
      </c>
      <c r="B30">
        <v>1.2557</v>
      </c>
      <c r="C30">
        <v>-0.26854</v>
      </c>
      <c r="D30">
        <v>-0.26717999999999997</v>
      </c>
      <c r="E30">
        <v>0.91376000000000002</v>
      </c>
      <c r="F30">
        <v>-1.3113999999999999</v>
      </c>
      <c r="G30">
        <v>4.2065999999999999E-2</v>
      </c>
      <c r="H30">
        <v>-0.31669000000000003</v>
      </c>
      <c r="I30">
        <v>-0.19059000000000001</v>
      </c>
      <c r="J30">
        <v>0.19819999999999999</v>
      </c>
    </row>
    <row r="31" spans="1:15" x14ac:dyDescent="0.35">
      <c r="A31" t="s">
        <v>259</v>
      </c>
      <c r="B31">
        <v>1.9147000000000001</v>
      </c>
      <c r="C31">
        <v>0.94030999999999998</v>
      </c>
      <c r="D31">
        <v>2.8926E-2</v>
      </c>
      <c r="E31">
        <v>-0.11201</v>
      </c>
      <c r="F31">
        <v>-0.74816000000000005</v>
      </c>
      <c r="G31">
        <v>-0.20379</v>
      </c>
      <c r="H31">
        <v>-0.44678000000000001</v>
      </c>
      <c r="I31">
        <v>-0.28267999999999999</v>
      </c>
      <c r="J31">
        <v>0.29633999999999999</v>
      </c>
    </row>
    <row r="32" spans="1:15" x14ac:dyDescent="0.35">
      <c r="A32" t="s">
        <v>259</v>
      </c>
      <c r="B32">
        <v>1.9427000000000001</v>
      </c>
      <c r="C32">
        <v>0.76432999999999995</v>
      </c>
      <c r="D32">
        <v>0.55249999999999999</v>
      </c>
      <c r="E32">
        <v>3.8655000000000002E-2</v>
      </c>
      <c r="F32">
        <v>-0.10213999999999999</v>
      </c>
      <c r="G32">
        <v>-0.23530999999999999</v>
      </c>
      <c r="H32">
        <v>-0.49210999999999999</v>
      </c>
      <c r="I32">
        <v>-0.16198000000000001</v>
      </c>
      <c r="J32">
        <v>-0.11162999999999999</v>
      </c>
    </row>
    <row r="33" spans="1:13" x14ac:dyDescent="0.35">
      <c r="A33" t="s">
        <v>254</v>
      </c>
      <c r="B33">
        <v>2.2494999999999998</v>
      </c>
      <c r="C33">
        <v>0.60963000000000001</v>
      </c>
      <c r="D33">
        <v>0.74480999999999997</v>
      </c>
      <c r="E33">
        <v>0.24326999999999999</v>
      </c>
      <c r="F33">
        <v>6.7710000000000006E-2</v>
      </c>
      <c r="G33">
        <v>-9.3854999999999994E-2</v>
      </c>
      <c r="H33">
        <v>-0.12848000000000001</v>
      </c>
      <c r="I33">
        <v>4.7572000000000003E-2</v>
      </c>
      <c r="J33">
        <v>-0.32508999999999999</v>
      </c>
    </row>
    <row r="34" spans="1:13" x14ac:dyDescent="0.35">
      <c r="A34" t="s">
        <v>253</v>
      </c>
      <c r="B34">
        <v>5.7577000000000003E-2</v>
      </c>
      <c r="C34">
        <v>-1.8420000000000001</v>
      </c>
      <c r="D34">
        <v>1.6735</v>
      </c>
      <c r="E34" s="36">
        <v>6.6879999999999995E-2</v>
      </c>
      <c r="F34">
        <v>0.84460000000000002</v>
      </c>
      <c r="G34">
        <v>-1.0973999999999999</v>
      </c>
      <c r="H34" s="36">
        <v>-0.36331999999999998</v>
      </c>
      <c r="I34">
        <v>2.4645000000000001E-3</v>
      </c>
      <c r="J34">
        <v>0.15551000000000001</v>
      </c>
      <c r="L34" s="36"/>
    </row>
    <row r="35" spans="1:13" x14ac:dyDescent="0.35">
      <c r="A35" t="s">
        <v>255</v>
      </c>
      <c r="B35">
        <v>-0.66342999999999996</v>
      </c>
      <c r="C35">
        <v>9.9901000000000004E-2</v>
      </c>
      <c r="D35">
        <v>-1.1082000000000001</v>
      </c>
      <c r="E35">
        <v>0.25616</v>
      </c>
      <c r="F35" s="36">
        <v>0.81369999999999998</v>
      </c>
      <c r="G35">
        <v>-0.63414000000000004</v>
      </c>
      <c r="H35">
        <v>0.93962000000000001</v>
      </c>
      <c r="I35">
        <v>-8.0555000000000002E-2</v>
      </c>
      <c r="J35">
        <v>0.29015999999999997</v>
      </c>
    </row>
    <row r="36" spans="1:13" x14ac:dyDescent="0.35">
      <c r="A36" t="s">
        <v>255</v>
      </c>
      <c r="B36">
        <v>-2.1608000000000001</v>
      </c>
      <c r="C36">
        <v>-1.3992</v>
      </c>
      <c r="D36">
        <v>-0.38047999999999998</v>
      </c>
      <c r="E36">
        <v>-1.0768</v>
      </c>
      <c r="F36">
        <v>-0.63170000000000004</v>
      </c>
      <c r="G36">
        <v>-0.24471000000000001</v>
      </c>
      <c r="H36">
        <v>2.7646E-2</v>
      </c>
      <c r="I36">
        <v>-0.42365000000000003</v>
      </c>
      <c r="J36">
        <v>0.28616000000000003</v>
      </c>
    </row>
    <row r="37" spans="1:13" x14ac:dyDescent="0.35">
      <c r="A37" t="s">
        <v>255</v>
      </c>
      <c r="B37">
        <v>-2.4634</v>
      </c>
      <c r="C37">
        <v>-0.24318000000000001</v>
      </c>
      <c r="D37">
        <v>-0.35647000000000001</v>
      </c>
      <c r="E37">
        <v>-0.14702000000000001</v>
      </c>
      <c r="F37">
        <v>-0.4456</v>
      </c>
      <c r="G37">
        <v>-0.17055999999999999</v>
      </c>
      <c r="H37">
        <v>0.3397</v>
      </c>
      <c r="I37">
        <v>0.27768999999999999</v>
      </c>
      <c r="J37">
        <v>-6.4383999999999997E-2</v>
      </c>
    </row>
    <row r="38" spans="1:13" x14ac:dyDescent="0.35">
      <c r="A38" t="s">
        <v>256</v>
      </c>
      <c r="B38">
        <v>-2.9489000000000001</v>
      </c>
      <c r="C38">
        <v>-4.3958000000000001E-3</v>
      </c>
      <c r="D38">
        <v>-6.9737999999999994E-2</v>
      </c>
      <c r="E38">
        <v>-0.24403</v>
      </c>
      <c r="F38">
        <v>-0.28439999999999999</v>
      </c>
      <c r="G38">
        <v>-0.12187000000000001</v>
      </c>
      <c r="H38">
        <v>0.20022000000000001</v>
      </c>
      <c r="I38">
        <v>0.17068</v>
      </c>
      <c r="J38" s="36">
        <v>8.5567000000000004E-2</v>
      </c>
      <c r="L38" s="36"/>
    </row>
    <row r="39" spans="1:13" x14ac:dyDescent="0.35">
      <c r="A39" t="s">
        <v>256</v>
      </c>
      <c r="B39">
        <v>-1.4443999999999999</v>
      </c>
      <c r="C39">
        <v>-0.21604000000000001</v>
      </c>
      <c r="D39">
        <v>0.78834000000000004</v>
      </c>
      <c r="E39">
        <v>0.67889999999999995</v>
      </c>
      <c r="F39">
        <v>-0.2001</v>
      </c>
      <c r="G39">
        <v>0.19233</v>
      </c>
      <c r="H39">
        <v>6.7524000000000001E-2</v>
      </c>
      <c r="I39">
        <v>0.30415999999999999</v>
      </c>
      <c r="J39">
        <v>-0.16767000000000001</v>
      </c>
      <c r="M39" s="36"/>
    </row>
    <row r="40" spans="1:13" x14ac:dyDescent="0.35">
      <c r="A40" t="s">
        <v>255</v>
      </c>
      <c r="B40">
        <v>-2.4668000000000001</v>
      </c>
      <c r="C40">
        <v>-8.8224999999999998E-2</v>
      </c>
      <c r="D40">
        <v>-0.36181999999999997</v>
      </c>
      <c r="E40">
        <v>-0.57362999999999997</v>
      </c>
      <c r="F40">
        <v>0.13885</v>
      </c>
      <c r="G40">
        <v>0.44996000000000003</v>
      </c>
      <c r="H40">
        <v>-0.17126</v>
      </c>
      <c r="I40">
        <v>-0.72585999999999995</v>
      </c>
      <c r="J40">
        <v>-0.10482</v>
      </c>
      <c r="L40" s="36"/>
    </row>
    <row r="41" spans="1:13" x14ac:dyDescent="0.35">
      <c r="A41" t="s">
        <v>255</v>
      </c>
      <c r="B41">
        <v>-2.1493000000000002</v>
      </c>
      <c r="C41">
        <v>-0.33534000000000003</v>
      </c>
      <c r="D41">
        <v>0.59894000000000003</v>
      </c>
      <c r="E41">
        <v>0.21167</v>
      </c>
      <c r="F41">
        <v>0.60558000000000001</v>
      </c>
      <c r="G41">
        <v>0.42625999999999997</v>
      </c>
      <c r="H41">
        <v>-7.7263999999999999E-2</v>
      </c>
      <c r="I41">
        <v>-0.56674000000000002</v>
      </c>
      <c r="J41">
        <v>-2.3769999999999999E-2</v>
      </c>
    </row>
    <row r="42" spans="1:13" x14ac:dyDescent="0.35">
      <c r="A42" t="s">
        <v>255</v>
      </c>
      <c r="B42">
        <v>-2.6124999999999998</v>
      </c>
      <c r="C42">
        <v>0.16372999999999999</v>
      </c>
      <c r="D42">
        <v>-0.22939999999999999</v>
      </c>
      <c r="E42">
        <v>-0.22969999999999999</v>
      </c>
      <c r="F42">
        <v>-4.6464999999999996E-3</v>
      </c>
      <c r="G42">
        <v>0.18940000000000001</v>
      </c>
      <c r="H42">
        <v>-5.7764000000000003E-2</v>
      </c>
      <c r="I42">
        <v>-0.13561999999999999</v>
      </c>
      <c r="J42">
        <v>-0.18969</v>
      </c>
    </row>
    <row r="43" spans="1:13" x14ac:dyDescent="0.35">
      <c r="A43" t="s">
        <v>255</v>
      </c>
      <c r="B43">
        <v>-2.2343999999999999</v>
      </c>
      <c r="C43">
        <v>0.44411</v>
      </c>
      <c r="D43">
        <v>-0.51259999999999994</v>
      </c>
      <c r="E43">
        <v>0.39128000000000002</v>
      </c>
      <c r="F43">
        <v>-0.20352000000000001</v>
      </c>
      <c r="G43">
        <v>-0.28967999999999999</v>
      </c>
      <c r="H43">
        <v>0.1368</v>
      </c>
      <c r="I43">
        <v>0.13958000000000001</v>
      </c>
      <c r="J43">
        <v>-9.7219E-2</v>
      </c>
    </row>
    <row r="44" spans="1:13" x14ac:dyDescent="0.35">
      <c r="A44" t="s">
        <v>259</v>
      </c>
      <c r="B44">
        <v>-2.2606000000000002</v>
      </c>
      <c r="C44">
        <v>0.46039000000000002</v>
      </c>
      <c r="D44">
        <v>-0.49914999999999998</v>
      </c>
      <c r="E44">
        <v>0.37626999999999999</v>
      </c>
      <c r="F44">
        <v>-0.22597</v>
      </c>
      <c r="G44">
        <v>-0.29498999999999997</v>
      </c>
      <c r="H44">
        <v>0.10255</v>
      </c>
      <c r="I44">
        <v>0.1757</v>
      </c>
      <c r="J44">
        <v>-0.16227</v>
      </c>
    </row>
    <row r="45" spans="1:13" x14ac:dyDescent="0.35">
      <c r="A45" t="s">
        <v>259</v>
      </c>
      <c r="B45">
        <v>-2.0396000000000001</v>
      </c>
      <c r="C45">
        <v>0.35955999999999999</v>
      </c>
      <c r="D45">
        <v>-0.62168999999999996</v>
      </c>
      <c r="E45">
        <v>0.38324999999999998</v>
      </c>
      <c r="F45">
        <v>-0.18436</v>
      </c>
      <c r="G45">
        <v>-0.21507000000000001</v>
      </c>
      <c r="H45">
        <v>0.1163</v>
      </c>
      <c r="I45">
        <v>3.1559999999999998E-2</v>
      </c>
      <c r="J45">
        <v>-7.1900000000000006E-2</v>
      </c>
    </row>
    <row r="46" spans="1:13" x14ac:dyDescent="0.35">
      <c r="A46" t="s">
        <v>259</v>
      </c>
      <c r="B46">
        <v>-2.3647</v>
      </c>
      <c r="C46">
        <v>0.51051000000000002</v>
      </c>
      <c r="D46">
        <v>-0.43770999999999999</v>
      </c>
      <c r="E46">
        <v>0.36798999999999998</v>
      </c>
      <c r="F46">
        <v>-0.15039</v>
      </c>
      <c r="G46">
        <v>-0.29115999999999997</v>
      </c>
      <c r="H46">
        <v>0.14621000000000001</v>
      </c>
      <c r="I46">
        <v>0.10888</v>
      </c>
      <c r="J46">
        <v>-8.7429000000000007E-2</v>
      </c>
    </row>
    <row r="47" spans="1:13" x14ac:dyDescent="0.35">
      <c r="A47" t="s">
        <v>259</v>
      </c>
      <c r="B47">
        <v>-1.9361999999999999</v>
      </c>
      <c r="C47">
        <v>1.2869999999999999</v>
      </c>
      <c r="D47">
        <v>-0.58147000000000004</v>
      </c>
      <c r="E47">
        <v>0.31253999999999998</v>
      </c>
      <c r="F47">
        <v>0.86465000000000003</v>
      </c>
      <c r="G47">
        <v>0.50675999999999999</v>
      </c>
      <c r="H47">
        <v>-0.66320999999999997</v>
      </c>
      <c r="I47">
        <v>-0.30992999999999998</v>
      </c>
      <c r="J47">
        <v>3.3606999999999998E-2</v>
      </c>
    </row>
    <row r="48" spans="1:13" x14ac:dyDescent="0.35">
      <c r="A48" t="s">
        <v>259</v>
      </c>
      <c r="B48">
        <v>-1.6294999999999999</v>
      </c>
      <c r="C48">
        <v>0.72865999999999997</v>
      </c>
      <c r="D48">
        <v>-0.71069000000000004</v>
      </c>
      <c r="E48">
        <v>0.31966</v>
      </c>
      <c r="F48">
        <v>0.13861999999999999</v>
      </c>
      <c r="G48">
        <v>0.16519</v>
      </c>
      <c r="H48">
        <v>-0.71687000000000001</v>
      </c>
      <c r="I48">
        <v>0.38007999999999997</v>
      </c>
      <c r="J48">
        <v>0.15054999999999999</v>
      </c>
    </row>
    <row r="51" spans="1:10" x14ac:dyDescent="0.35">
      <c r="B51" t="s">
        <v>26</v>
      </c>
      <c r="C51" t="s">
        <v>27</v>
      </c>
      <c r="D51" t="s">
        <v>28</v>
      </c>
      <c r="E51" t="s">
        <v>29</v>
      </c>
      <c r="F51" t="s">
        <v>30</v>
      </c>
      <c r="G51" t="s">
        <v>31</v>
      </c>
      <c r="H51" t="s">
        <v>32</v>
      </c>
      <c r="I51" t="s">
        <v>33</v>
      </c>
      <c r="J51" t="s">
        <v>34</v>
      </c>
    </row>
    <row r="52" spans="1:10" x14ac:dyDescent="0.35">
      <c r="A52" t="s">
        <v>76</v>
      </c>
      <c r="B52">
        <v>3.2458000000000001E-2</v>
      </c>
      <c r="C52">
        <v>3.4791999999999997E-2</v>
      </c>
      <c r="D52">
        <v>1.6385E-2</v>
      </c>
      <c r="E52">
        <v>-9.1314999999999993E-2</v>
      </c>
      <c r="F52">
        <v>0.31297999999999998</v>
      </c>
      <c r="G52">
        <v>0.44374999999999998</v>
      </c>
      <c r="H52">
        <v>-0.44140000000000001</v>
      </c>
      <c r="I52">
        <v>0.56635000000000002</v>
      </c>
      <c r="J52">
        <v>0.42270000000000002</v>
      </c>
    </row>
    <row r="53" spans="1:10" x14ac:dyDescent="0.35">
      <c r="A53" t="s">
        <v>77</v>
      </c>
      <c r="B53">
        <v>9.5700999999999994E-2</v>
      </c>
      <c r="C53">
        <v>3.3940999999999999E-2</v>
      </c>
      <c r="D53">
        <v>-0.11939</v>
      </c>
      <c r="E53">
        <v>-2.8565000000000001E-3</v>
      </c>
      <c r="F53">
        <v>0.51075000000000004</v>
      </c>
      <c r="G53">
        <v>0.24487</v>
      </c>
      <c r="H53">
        <v>0.62599000000000005</v>
      </c>
      <c r="I53">
        <v>0.31245000000000001</v>
      </c>
      <c r="J53">
        <v>-0.40633999999999998</v>
      </c>
    </row>
    <row r="54" spans="1:10" x14ac:dyDescent="0.35">
      <c r="A54" t="s">
        <v>214</v>
      </c>
      <c r="B54">
        <v>0.36617</v>
      </c>
      <c r="C54">
        <v>0.13519</v>
      </c>
      <c r="D54">
        <v>0.14419999999999999</v>
      </c>
      <c r="E54">
        <v>-0.55925000000000002</v>
      </c>
      <c r="F54">
        <v>0.31709999999999999</v>
      </c>
      <c r="G54">
        <v>-0.62912999999999997</v>
      </c>
      <c r="H54">
        <v>-5.4426000000000002E-2</v>
      </c>
      <c r="I54">
        <v>9.8864999999999995E-2</v>
      </c>
      <c r="J54">
        <v>7.0721000000000006E-2</v>
      </c>
    </row>
    <row r="55" spans="1:10" x14ac:dyDescent="0.35">
      <c r="A55" t="s">
        <v>211</v>
      </c>
      <c r="B55">
        <v>0.34179999999999999</v>
      </c>
      <c r="C55">
        <v>0.48573</v>
      </c>
      <c r="D55">
        <v>0.37819000000000003</v>
      </c>
      <c r="E55">
        <v>-0.24829999999999999</v>
      </c>
      <c r="F55">
        <v>-0.46261000000000002</v>
      </c>
      <c r="G55">
        <v>0.36664999999999998</v>
      </c>
      <c r="H55">
        <v>0.28783999999999998</v>
      </c>
      <c r="I55">
        <v>1.3787000000000001E-2</v>
      </c>
      <c r="J55">
        <v>0.10521</v>
      </c>
    </row>
    <row r="56" spans="1:10" x14ac:dyDescent="0.35">
      <c r="A56" t="s">
        <v>212</v>
      </c>
      <c r="B56">
        <v>0.23579</v>
      </c>
      <c r="C56">
        <v>0.69067999999999996</v>
      </c>
      <c r="D56">
        <v>-0.15261</v>
      </c>
      <c r="E56">
        <v>0.57504</v>
      </c>
      <c r="F56">
        <v>0.19384999999999999</v>
      </c>
      <c r="G56">
        <v>-0.16055</v>
      </c>
      <c r="H56">
        <v>-0.20763000000000001</v>
      </c>
      <c r="I56">
        <v>-5.5806000000000001E-2</v>
      </c>
      <c r="J56">
        <v>-6.1839999999999999E-2</v>
      </c>
    </row>
    <row r="57" spans="1:10" x14ac:dyDescent="0.35">
      <c r="A57" t="s">
        <v>213</v>
      </c>
      <c r="B57">
        <v>0.27198</v>
      </c>
      <c r="C57">
        <v>-0.33509</v>
      </c>
      <c r="D57">
        <v>0.77553000000000005</v>
      </c>
      <c r="E57">
        <v>0.37877</v>
      </c>
      <c r="F57">
        <v>0.1847</v>
      </c>
      <c r="G57">
        <v>7.2859999999999999E-3</v>
      </c>
      <c r="H57">
        <v>-0.10607</v>
      </c>
      <c r="I57">
        <v>-3.5761000000000001E-2</v>
      </c>
      <c r="J57">
        <v>-0.14879000000000001</v>
      </c>
    </row>
    <row r="58" spans="1:10" x14ac:dyDescent="0.35">
      <c r="A58" t="s">
        <v>215</v>
      </c>
      <c r="B58">
        <v>0.45740999999999998</v>
      </c>
      <c r="C58">
        <v>-0.19353999999999999</v>
      </c>
      <c r="D58">
        <v>-0.27366000000000001</v>
      </c>
      <c r="E58">
        <v>-4.8626999999999997E-2</v>
      </c>
      <c r="F58">
        <v>-0.37025999999999998</v>
      </c>
      <c r="G58">
        <v>3.4472999999999997E-2</v>
      </c>
      <c r="H58">
        <v>-0.34666000000000002</v>
      </c>
      <c r="I58">
        <v>0.31452000000000002</v>
      </c>
      <c r="J58">
        <v>-0.56452999999999998</v>
      </c>
    </row>
    <row r="59" spans="1:10" x14ac:dyDescent="0.35">
      <c r="A59" t="s">
        <v>217</v>
      </c>
      <c r="B59">
        <v>0.43606</v>
      </c>
      <c r="C59">
        <v>-0.30565999999999999</v>
      </c>
      <c r="D59">
        <v>-0.24351999999999999</v>
      </c>
      <c r="E59">
        <v>0.34064</v>
      </c>
      <c r="F59">
        <v>-0.17866000000000001</v>
      </c>
      <c r="G59">
        <v>-0.20069999999999999</v>
      </c>
      <c r="H59">
        <v>0.37485000000000002</v>
      </c>
      <c r="I59">
        <v>0.20430000000000001</v>
      </c>
      <c r="J59">
        <v>0.53537999999999997</v>
      </c>
    </row>
    <row r="60" spans="1:10" x14ac:dyDescent="0.35">
      <c r="A60" t="s">
        <v>219</v>
      </c>
      <c r="B60">
        <v>0.45817999999999998</v>
      </c>
      <c r="C60">
        <v>-0.15235000000000001</v>
      </c>
      <c r="D60">
        <v>-0.25046000000000002</v>
      </c>
      <c r="E60">
        <v>-0.15717999999999999</v>
      </c>
      <c r="F60">
        <v>0.29310000000000003</v>
      </c>
      <c r="G60">
        <v>0.38157000000000002</v>
      </c>
      <c r="H60">
        <v>-0.11158</v>
      </c>
      <c r="I60">
        <v>-0.65315000000000001</v>
      </c>
      <c r="J60">
        <v>9.4118999999999994E-2</v>
      </c>
    </row>
    <row r="63" spans="1:10" x14ac:dyDescent="0.35">
      <c r="A63" s="2" t="s">
        <v>328</v>
      </c>
    </row>
    <row r="64" spans="1:10" x14ac:dyDescent="0.35">
      <c r="B64" t="s">
        <v>76</v>
      </c>
      <c r="C64" t="s">
        <v>77</v>
      </c>
      <c r="D64" t="s">
        <v>214</v>
      </c>
      <c r="E64" t="s">
        <v>211</v>
      </c>
      <c r="F64" t="s">
        <v>212</v>
      </c>
      <c r="G64" t="s">
        <v>213</v>
      </c>
      <c r="H64" t="s">
        <v>216</v>
      </c>
      <c r="I64" t="s">
        <v>218</v>
      </c>
      <c r="J64" t="s">
        <v>220</v>
      </c>
    </row>
    <row r="65" spans="1:15" x14ac:dyDescent="0.35">
      <c r="A65" t="s">
        <v>76</v>
      </c>
      <c r="C65">
        <v>0.11533</v>
      </c>
      <c r="D65">
        <v>0.33223000000000003</v>
      </c>
      <c r="E65">
        <v>0.29844999999999999</v>
      </c>
      <c r="F65">
        <v>0.34902</v>
      </c>
      <c r="G65">
        <v>0.57042999999999999</v>
      </c>
      <c r="H65">
        <v>0.85507</v>
      </c>
      <c r="I65">
        <v>0.52810000000000001</v>
      </c>
      <c r="J65">
        <v>0.17166000000000001</v>
      </c>
    </row>
    <row r="66" spans="1:15" x14ac:dyDescent="0.35">
      <c r="A66" t="s">
        <v>77</v>
      </c>
      <c r="B66">
        <v>0.27511000000000002</v>
      </c>
      <c r="D66">
        <v>2.5978999999999999E-2</v>
      </c>
      <c r="E66">
        <v>0.15187999999999999</v>
      </c>
      <c r="F66">
        <v>6.3503000000000004E-2</v>
      </c>
      <c r="G66">
        <v>0.79376000000000002</v>
      </c>
      <c r="H66">
        <v>0.41310000000000002</v>
      </c>
      <c r="I66">
        <v>0.81174999999999997</v>
      </c>
      <c r="J66">
        <v>0.67212000000000005</v>
      </c>
    </row>
    <row r="67" spans="1:15" x14ac:dyDescent="0.35">
      <c r="A67" t="s">
        <v>214</v>
      </c>
      <c r="B67">
        <v>0.17147000000000001</v>
      </c>
      <c r="C67">
        <v>0.38153999999999999</v>
      </c>
      <c r="E67" s="36">
        <v>4.1722999999999998E-6</v>
      </c>
      <c r="F67">
        <v>4.2174999999999999E-3</v>
      </c>
      <c r="G67">
        <v>7.1681999999999996E-3</v>
      </c>
      <c r="H67">
        <v>0.81796999999999997</v>
      </c>
      <c r="I67">
        <v>0.67603000000000002</v>
      </c>
      <c r="J67">
        <v>9.3033000000000005E-2</v>
      </c>
    </row>
    <row r="68" spans="1:15" x14ac:dyDescent="0.35">
      <c r="A68" t="s">
        <v>211</v>
      </c>
      <c r="B68">
        <v>0.18367</v>
      </c>
      <c r="C68">
        <v>0.25118000000000001</v>
      </c>
      <c r="D68">
        <v>0.69945000000000002</v>
      </c>
      <c r="F68" s="36">
        <v>1.3312999999999999E-5</v>
      </c>
      <c r="G68">
        <v>4.512E-2</v>
      </c>
      <c r="H68">
        <v>0.61702999999999997</v>
      </c>
      <c r="I68">
        <v>0.50119999999999998</v>
      </c>
      <c r="J68">
        <v>0.24528</v>
      </c>
    </row>
    <row r="69" spans="1:15" x14ac:dyDescent="0.35">
      <c r="A69" t="s">
        <v>212</v>
      </c>
      <c r="B69">
        <v>0.16569</v>
      </c>
      <c r="C69">
        <v>0.32174999999999998</v>
      </c>
      <c r="D69">
        <v>0.47832999999999998</v>
      </c>
      <c r="E69">
        <v>0.67232000000000003</v>
      </c>
      <c r="G69">
        <v>0.52893999999999997</v>
      </c>
      <c r="H69">
        <v>0.71692</v>
      </c>
      <c r="I69">
        <v>0.69211999999999996</v>
      </c>
      <c r="J69">
        <v>0.21042</v>
      </c>
    </row>
    <row r="70" spans="1:15" x14ac:dyDescent="0.35">
      <c r="A70" t="s">
        <v>213</v>
      </c>
      <c r="B70">
        <v>0.10083</v>
      </c>
      <c r="C70">
        <v>4.6552000000000003E-2</v>
      </c>
      <c r="D70">
        <v>0.45279000000000003</v>
      </c>
      <c r="E70">
        <v>0.34584999999999999</v>
      </c>
      <c r="F70">
        <v>-0.11182</v>
      </c>
      <c r="H70">
        <v>0.97470000000000001</v>
      </c>
      <c r="I70">
        <v>0.84655999999999998</v>
      </c>
      <c r="J70">
        <v>0.26895999999999998</v>
      </c>
    </row>
    <row r="71" spans="1:15" x14ac:dyDescent="0.35">
      <c r="A71" t="s">
        <v>216</v>
      </c>
      <c r="B71">
        <v>3.2532999999999999E-2</v>
      </c>
      <c r="C71">
        <v>-0.14505000000000001</v>
      </c>
      <c r="D71">
        <v>-4.0987999999999997E-2</v>
      </c>
      <c r="E71" s="36">
        <v>8.8915999999999995E-2</v>
      </c>
      <c r="F71">
        <v>-6.4530000000000004E-2</v>
      </c>
      <c r="G71">
        <v>5.6499000000000002E-3</v>
      </c>
      <c r="H71" s="36"/>
      <c r="I71" s="36">
        <v>1.0080999999999999E-6</v>
      </c>
      <c r="J71" s="36">
        <v>2.1826000000000001E-5</v>
      </c>
      <c r="L71" s="36"/>
    </row>
    <row r="72" spans="1:15" x14ac:dyDescent="0.35">
      <c r="A72" t="s">
        <v>218</v>
      </c>
      <c r="B72">
        <v>0.11205</v>
      </c>
      <c r="C72">
        <v>4.2412999999999999E-2</v>
      </c>
      <c r="D72">
        <v>7.4348999999999998E-2</v>
      </c>
      <c r="E72">
        <v>0.11940000000000001</v>
      </c>
      <c r="F72" s="36">
        <v>-7.0459999999999995E-2</v>
      </c>
      <c r="G72">
        <v>-3.4465000000000003E-2</v>
      </c>
      <c r="H72">
        <v>0.72906000000000004</v>
      </c>
      <c r="J72">
        <v>1.4834999999999999E-2</v>
      </c>
    </row>
    <row r="73" spans="1:15" x14ac:dyDescent="0.35">
      <c r="A73" t="s">
        <v>220</v>
      </c>
      <c r="B73">
        <v>-0.23995</v>
      </c>
      <c r="C73">
        <v>-7.5298000000000004E-2</v>
      </c>
      <c r="D73">
        <v>-0.29265000000000002</v>
      </c>
      <c r="E73">
        <v>-0.20480000000000001</v>
      </c>
      <c r="F73">
        <v>-0.22037999999999999</v>
      </c>
      <c r="G73">
        <v>-0.19505</v>
      </c>
      <c r="H73">
        <v>0.65986</v>
      </c>
      <c r="I73">
        <v>0.41436000000000001</v>
      </c>
    </row>
    <row r="75" spans="1:15" x14ac:dyDescent="0.35">
      <c r="J75" s="36"/>
      <c r="L75" s="36"/>
    </row>
    <row r="76" spans="1:15" x14ac:dyDescent="0.35">
      <c r="B76" t="s">
        <v>26</v>
      </c>
      <c r="C76" t="s">
        <v>27</v>
      </c>
      <c r="D76" t="s">
        <v>28</v>
      </c>
      <c r="E76" t="s">
        <v>29</v>
      </c>
      <c r="F76" t="s">
        <v>30</v>
      </c>
      <c r="G76" t="s">
        <v>31</v>
      </c>
      <c r="H76" t="s">
        <v>32</v>
      </c>
      <c r="I76" t="s">
        <v>33</v>
      </c>
      <c r="J76" t="s">
        <v>34</v>
      </c>
      <c r="L76" t="s">
        <v>23</v>
      </c>
      <c r="M76" s="36" t="s">
        <v>24</v>
      </c>
      <c r="N76" t="s">
        <v>25</v>
      </c>
    </row>
    <row r="77" spans="1:15" x14ac:dyDescent="0.35">
      <c r="A77" t="s">
        <v>257</v>
      </c>
      <c r="B77">
        <v>0.19317000000000001</v>
      </c>
      <c r="C77">
        <v>-1.6839</v>
      </c>
      <c r="D77">
        <v>-1.0302</v>
      </c>
      <c r="E77">
        <v>0.87104999999999999</v>
      </c>
      <c r="F77">
        <v>1.1838</v>
      </c>
      <c r="G77">
        <v>0.31924999999999998</v>
      </c>
      <c r="H77">
        <v>9.8396999999999998E-2</v>
      </c>
      <c r="I77">
        <v>-2.2846000000000002E-2</v>
      </c>
      <c r="J77">
        <v>-0.36919000000000002</v>
      </c>
      <c r="L77">
        <v>1</v>
      </c>
      <c r="M77">
        <v>2.44103</v>
      </c>
      <c r="N77">
        <v>34.804000000000002</v>
      </c>
    </row>
    <row r="78" spans="1:15" x14ac:dyDescent="0.35">
      <c r="A78" t="s">
        <v>258</v>
      </c>
      <c r="B78">
        <v>-2.5928</v>
      </c>
      <c r="C78">
        <v>-0.53193000000000001</v>
      </c>
      <c r="D78">
        <v>0.48110000000000003</v>
      </c>
      <c r="E78">
        <v>-0.62002999999999997</v>
      </c>
      <c r="F78">
        <v>0.10668999999999999</v>
      </c>
      <c r="G78">
        <v>-0.72862000000000005</v>
      </c>
      <c r="H78">
        <v>-1.0187999999999999</v>
      </c>
      <c r="I78">
        <v>-6.4946000000000004E-2</v>
      </c>
      <c r="J78">
        <v>-4.7074999999999999E-2</v>
      </c>
      <c r="L78">
        <v>2</v>
      </c>
      <c r="M78">
        <v>2.06569</v>
      </c>
      <c r="N78">
        <v>29.452000000000002</v>
      </c>
      <c r="O78">
        <f>SUM(N77:N78)</f>
        <v>64.256</v>
      </c>
    </row>
    <row r="79" spans="1:15" x14ac:dyDescent="0.35">
      <c r="A79" t="s">
        <v>259</v>
      </c>
      <c r="B79">
        <v>-1.1413</v>
      </c>
      <c r="C79">
        <v>-0.77176</v>
      </c>
      <c r="D79">
        <v>0.41822999999999999</v>
      </c>
      <c r="E79">
        <v>0.38406000000000001</v>
      </c>
      <c r="F79">
        <v>-0.37089</v>
      </c>
      <c r="G79">
        <v>0.25757000000000002</v>
      </c>
      <c r="H79">
        <v>0.28392000000000001</v>
      </c>
      <c r="I79">
        <v>4.0698999999999999E-2</v>
      </c>
      <c r="J79">
        <v>-4.3970000000000002E-2</v>
      </c>
      <c r="L79">
        <v>3</v>
      </c>
      <c r="M79">
        <v>1.12967</v>
      </c>
      <c r="N79">
        <v>16.106999999999999</v>
      </c>
      <c r="O79">
        <f>SUM(N77:N79)</f>
        <v>80.363</v>
      </c>
    </row>
    <row r="80" spans="1:15" x14ac:dyDescent="0.35">
      <c r="A80" t="s">
        <v>259</v>
      </c>
      <c r="B80">
        <v>-0.30031000000000002</v>
      </c>
      <c r="C80">
        <v>-3.0213000000000001</v>
      </c>
      <c r="D80">
        <v>-0.58767000000000003</v>
      </c>
      <c r="E80">
        <v>1.2531000000000001</v>
      </c>
      <c r="F80">
        <v>0.49695</v>
      </c>
      <c r="G80">
        <v>-0.83140999999999998</v>
      </c>
      <c r="H80">
        <v>8.8317999999999994E-2</v>
      </c>
      <c r="I80">
        <v>0.10852000000000001</v>
      </c>
      <c r="J80">
        <v>0.39549000000000001</v>
      </c>
      <c r="L80">
        <v>4</v>
      </c>
      <c r="M80">
        <v>0.530416</v>
      </c>
      <c r="N80">
        <v>7.5625</v>
      </c>
    </row>
    <row r="81" spans="1:14" x14ac:dyDescent="0.35">
      <c r="A81" t="s">
        <v>259</v>
      </c>
      <c r="B81">
        <v>-1.3976</v>
      </c>
      <c r="C81">
        <v>0.3533</v>
      </c>
      <c r="D81">
        <v>-1.4762999999999999</v>
      </c>
      <c r="E81">
        <v>0.54437000000000002</v>
      </c>
      <c r="F81">
        <v>-0.46860000000000002</v>
      </c>
      <c r="G81">
        <v>0.94754000000000005</v>
      </c>
      <c r="H81">
        <v>8.3409999999999998E-2</v>
      </c>
      <c r="I81">
        <v>0.30614000000000002</v>
      </c>
      <c r="J81">
        <v>0.34348000000000001</v>
      </c>
      <c r="L81">
        <v>5</v>
      </c>
      <c r="M81">
        <v>0.28961799999999999</v>
      </c>
      <c r="N81">
        <v>4.1292999999999997</v>
      </c>
    </row>
    <row r="82" spans="1:14" x14ac:dyDescent="0.35">
      <c r="A82" t="s">
        <v>259</v>
      </c>
      <c r="B82">
        <v>-1.1072</v>
      </c>
      <c r="C82">
        <v>0.13653000000000001</v>
      </c>
      <c r="D82">
        <v>-1.1194999999999999</v>
      </c>
      <c r="E82">
        <v>-0.79178999999999999</v>
      </c>
      <c r="F82">
        <v>-0.56703000000000003</v>
      </c>
      <c r="G82">
        <v>0.62788999999999995</v>
      </c>
      <c r="H82">
        <v>8.3350999999999995E-2</v>
      </c>
      <c r="I82">
        <v>6.2434000000000003E-2</v>
      </c>
      <c r="J82">
        <v>0.49297999999999997</v>
      </c>
      <c r="L82">
        <v>6</v>
      </c>
      <c r="M82">
        <v>0.18973000000000001</v>
      </c>
      <c r="N82">
        <v>2.7050999999999998</v>
      </c>
    </row>
    <row r="83" spans="1:14" x14ac:dyDescent="0.35">
      <c r="A83" t="s">
        <v>258</v>
      </c>
      <c r="B83">
        <v>-3.9786000000000001</v>
      </c>
      <c r="C83">
        <v>1.4821</v>
      </c>
      <c r="D83">
        <v>-0.70264000000000004</v>
      </c>
      <c r="E83">
        <v>1.2777000000000001</v>
      </c>
      <c r="F83">
        <v>0.53075000000000006</v>
      </c>
      <c r="G83">
        <v>-0.19126000000000001</v>
      </c>
      <c r="H83">
        <v>0.35111999999999999</v>
      </c>
      <c r="I83">
        <v>-8.8901999999999995E-2</v>
      </c>
      <c r="J83">
        <v>0.38596000000000003</v>
      </c>
      <c r="L83">
        <v>7</v>
      </c>
      <c r="M83">
        <v>0.17383000000000001</v>
      </c>
      <c r="N83">
        <v>2.4784000000000002</v>
      </c>
    </row>
    <row r="84" spans="1:14" x14ac:dyDescent="0.35">
      <c r="A84" t="s">
        <v>255</v>
      </c>
      <c r="B84">
        <v>1.4519</v>
      </c>
      <c r="C84">
        <v>-1.3177000000000001</v>
      </c>
      <c r="D84">
        <v>0.46790999999999999</v>
      </c>
      <c r="E84">
        <v>-2.2826</v>
      </c>
      <c r="F84">
        <v>0.72731000000000001</v>
      </c>
      <c r="G84">
        <v>-3.7518000000000003E-2</v>
      </c>
      <c r="H84">
        <v>0.67383999999999999</v>
      </c>
      <c r="I84">
        <v>6.8990999999999997E-2</v>
      </c>
      <c r="J84">
        <v>0.38001000000000001</v>
      </c>
      <c r="L84">
        <v>8</v>
      </c>
      <c r="M84">
        <v>0.12436999999999999</v>
      </c>
      <c r="N84">
        <v>1.7732000000000001</v>
      </c>
    </row>
    <row r="85" spans="1:14" x14ac:dyDescent="0.35">
      <c r="A85" t="s">
        <v>255</v>
      </c>
      <c r="B85">
        <v>-1.5871999999999999</v>
      </c>
      <c r="C85">
        <v>0.39062999999999998</v>
      </c>
      <c r="D85">
        <v>1.2285999999999999</v>
      </c>
      <c r="E85">
        <v>2.6041000000000002E-2</v>
      </c>
      <c r="F85">
        <v>0.94438999999999995</v>
      </c>
      <c r="G85">
        <v>0.32257999999999998</v>
      </c>
      <c r="H85">
        <v>0.58752000000000004</v>
      </c>
      <c r="I85">
        <v>-0.18496000000000001</v>
      </c>
      <c r="J85">
        <v>-0.53349000000000002</v>
      </c>
      <c r="L85">
        <v>9</v>
      </c>
      <c r="M85">
        <v>6.9379399999999994E-2</v>
      </c>
      <c r="N85">
        <v>0.98919999999999997</v>
      </c>
    </row>
    <row r="86" spans="1:14" x14ac:dyDescent="0.35">
      <c r="A86" t="s">
        <v>255</v>
      </c>
      <c r="B86">
        <v>1.1065</v>
      </c>
      <c r="C86">
        <v>-0.85684000000000005</v>
      </c>
      <c r="D86">
        <v>0.29402</v>
      </c>
      <c r="E86">
        <v>-0.38417000000000001</v>
      </c>
      <c r="F86">
        <v>0.58918999999999999</v>
      </c>
      <c r="G86">
        <v>0.39056999999999997</v>
      </c>
      <c r="H86">
        <v>-0.61548000000000003</v>
      </c>
      <c r="I86">
        <v>-0.22978999999999999</v>
      </c>
      <c r="J86">
        <v>0.20196</v>
      </c>
    </row>
    <row r="87" spans="1:14" x14ac:dyDescent="0.35">
      <c r="A87" t="s">
        <v>255</v>
      </c>
      <c r="B87">
        <v>1.0825</v>
      </c>
      <c r="C87">
        <v>-0.86646999999999996</v>
      </c>
      <c r="D87">
        <v>0.25508999999999998</v>
      </c>
      <c r="E87">
        <v>-0.21909999999999999</v>
      </c>
      <c r="F87">
        <v>0.59638999999999998</v>
      </c>
      <c r="G87">
        <v>0.56920999999999999</v>
      </c>
      <c r="H87">
        <v>-0.53166000000000002</v>
      </c>
      <c r="I87">
        <v>9.2423000000000005E-2</v>
      </c>
      <c r="J87">
        <v>-0.21859999999999999</v>
      </c>
    </row>
    <row r="88" spans="1:14" x14ac:dyDescent="0.35">
      <c r="A88" t="s">
        <v>255</v>
      </c>
      <c r="B88">
        <v>-0.17369000000000001</v>
      </c>
      <c r="C88">
        <v>-4.5532999999999997E-2</v>
      </c>
      <c r="D88">
        <v>0.37051000000000001</v>
      </c>
      <c r="E88">
        <v>-0.72989999999999999</v>
      </c>
      <c r="F88">
        <v>-4.5830999999999997E-2</v>
      </c>
      <c r="G88">
        <v>0.60307999999999995</v>
      </c>
      <c r="H88">
        <v>-0.12016</v>
      </c>
      <c r="I88">
        <v>0.87404999999999999</v>
      </c>
      <c r="J88">
        <v>0.18967999999999999</v>
      </c>
    </row>
    <row r="89" spans="1:14" x14ac:dyDescent="0.35">
      <c r="A89" t="s">
        <v>255</v>
      </c>
      <c r="B89">
        <v>1.0721000000000001</v>
      </c>
      <c r="C89">
        <v>-0.62607999999999997</v>
      </c>
      <c r="D89">
        <v>-1.2123999999999999E-2</v>
      </c>
      <c r="E89">
        <v>8.3141999999999994E-2</v>
      </c>
      <c r="F89">
        <v>-1.3671</v>
      </c>
      <c r="G89">
        <v>-0.24457999999999999</v>
      </c>
      <c r="H89">
        <v>-0.26597999999999999</v>
      </c>
      <c r="I89">
        <v>-0.42984</v>
      </c>
      <c r="J89">
        <v>-6.5320000000000003E-2</v>
      </c>
    </row>
    <row r="90" spans="1:14" x14ac:dyDescent="0.35">
      <c r="A90" t="s">
        <v>255</v>
      </c>
      <c r="B90">
        <v>1.5044999999999999</v>
      </c>
      <c r="C90">
        <v>0.84484999999999999</v>
      </c>
      <c r="D90">
        <v>-0.45167000000000002</v>
      </c>
      <c r="E90">
        <v>0.22339000000000001</v>
      </c>
      <c r="F90">
        <v>-0.42795</v>
      </c>
      <c r="G90">
        <v>-0.41885</v>
      </c>
      <c r="H90">
        <v>-0.58696000000000004</v>
      </c>
      <c r="I90">
        <v>-0.31950000000000001</v>
      </c>
      <c r="J90">
        <v>0.36036000000000001</v>
      </c>
    </row>
    <row r="91" spans="1:14" x14ac:dyDescent="0.35">
      <c r="A91" t="s">
        <v>255</v>
      </c>
      <c r="B91">
        <v>1.8160000000000001</v>
      </c>
      <c r="C91">
        <v>0.84875</v>
      </c>
      <c r="D91">
        <v>0.11823</v>
      </c>
      <c r="E91">
        <v>-3.8018000000000003E-2</v>
      </c>
      <c r="F91">
        <v>-1.7940999999999999E-2</v>
      </c>
      <c r="G91">
        <v>-6.4112000000000002E-2</v>
      </c>
      <c r="H91">
        <v>2.8251999999999999E-2</v>
      </c>
      <c r="I91">
        <v>-0.51258999999999999</v>
      </c>
      <c r="J91">
        <v>0.36165999999999998</v>
      </c>
    </row>
    <row r="92" spans="1:14" x14ac:dyDescent="0.35">
      <c r="A92" t="s">
        <v>255</v>
      </c>
      <c r="B92">
        <v>1.8217000000000001</v>
      </c>
      <c r="C92">
        <v>0.85773999999999995</v>
      </c>
      <c r="D92">
        <v>0.31034</v>
      </c>
      <c r="E92">
        <v>0.80598000000000003</v>
      </c>
      <c r="F92">
        <v>0.34122000000000002</v>
      </c>
      <c r="G92">
        <v>-5.9237999999999999E-2</v>
      </c>
      <c r="H92">
        <v>0.46793000000000001</v>
      </c>
      <c r="I92">
        <v>-0.29583999999999999</v>
      </c>
      <c r="J92">
        <v>0.2215</v>
      </c>
    </row>
    <row r="93" spans="1:14" x14ac:dyDescent="0.35">
      <c r="A93" t="s">
        <v>259</v>
      </c>
      <c r="B93">
        <v>-0.94252000000000002</v>
      </c>
      <c r="C93">
        <v>-1.3979999999999999</v>
      </c>
      <c r="D93">
        <v>-0.34245999999999999</v>
      </c>
      <c r="E93">
        <v>-1.2702</v>
      </c>
      <c r="F93">
        <v>0.20057</v>
      </c>
      <c r="G93">
        <v>-0.69201000000000001</v>
      </c>
      <c r="H93">
        <v>0.41748000000000002</v>
      </c>
      <c r="I93">
        <v>-0.38679000000000002</v>
      </c>
      <c r="J93">
        <v>-6.0738E-2</v>
      </c>
    </row>
    <row r="94" spans="1:14" x14ac:dyDescent="0.35">
      <c r="A94" t="s">
        <v>259</v>
      </c>
      <c r="B94">
        <v>-1.5518000000000001</v>
      </c>
      <c r="C94">
        <v>-0.75117999999999996</v>
      </c>
      <c r="D94">
        <v>-0.33161000000000002</v>
      </c>
      <c r="E94">
        <v>-0.96567000000000003</v>
      </c>
      <c r="F94">
        <v>-0.14649000000000001</v>
      </c>
      <c r="G94">
        <v>-0.40749000000000002</v>
      </c>
      <c r="H94">
        <v>9.8007000000000007E-3</v>
      </c>
      <c r="I94">
        <v>-0.12761</v>
      </c>
      <c r="J94">
        <v>-5.8488999999999999E-2</v>
      </c>
    </row>
    <row r="95" spans="1:14" x14ac:dyDescent="0.35">
      <c r="A95" t="s">
        <v>259</v>
      </c>
      <c r="B95">
        <v>-0.94140999999999997</v>
      </c>
      <c r="C95">
        <v>0.30380000000000001</v>
      </c>
      <c r="D95">
        <v>0.55915000000000004</v>
      </c>
      <c r="E95">
        <v>-0.47893999999999998</v>
      </c>
      <c r="F95">
        <v>-0.94257000000000002</v>
      </c>
      <c r="G95">
        <v>0.26677000000000001</v>
      </c>
      <c r="H95">
        <v>0.40679999999999999</v>
      </c>
      <c r="I95">
        <v>-4.7194E-2</v>
      </c>
      <c r="J95">
        <v>-0.28366000000000002</v>
      </c>
    </row>
    <row r="96" spans="1:14" x14ac:dyDescent="0.35">
      <c r="A96" t="s">
        <v>259</v>
      </c>
      <c r="B96">
        <v>-0.89646000000000003</v>
      </c>
      <c r="C96">
        <v>-0.96318000000000004</v>
      </c>
      <c r="D96">
        <v>-0.94969999999999999</v>
      </c>
      <c r="E96">
        <v>-4.7004999999999998E-2</v>
      </c>
      <c r="F96">
        <v>-0.30692999999999998</v>
      </c>
      <c r="G96">
        <v>0.12411999999999999</v>
      </c>
      <c r="H96">
        <v>-3.4901000000000001E-2</v>
      </c>
      <c r="I96">
        <v>-0.19133</v>
      </c>
      <c r="J96">
        <v>-0.23327000000000001</v>
      </c>
    </row>
    <row r="97" spans="1:10" x14ac:dyDescent="0.35">
      <c r="A97" t="s">
        <v>259</v>
      </c>
      <c r="B97">
        <v>-0.52995999999999999</v>
      </c>
      <c r="C97">
        <v>-1.4055</v>
      </c>
      <c r="D97">
        <v>-0.95415000000000005</v>
      </c>
      <c r="E97">
        <v>6.1280000000000001E-2</v>
      </c>
      <c r="F97">
        <v>-0.35321000000000002</v>
      </c>
      <c r="G97">
        <v>0.1138</v>
      </c>
      <c r="H97">
        <v>-0.11755</v>
      </c>
      <c r="I97">
        <v>-0.11428000000000001</v>
      </c>
      <c r="J97">
        <v>-0.26225999999999999</v>
      </c>
    </row>
    <row r="98" spans="1:10" x14ac:dyDescent="0.35">
      <c r="A98" t="s">
        <v>259</v>
      </c>
      <c r="B98">
        <v>-1.1712</v>
      </c>
      <c r="C98">
        <v>-0.76297000000000004</v>
      </c>
      <c r="D98">
        <v>-0.97857000000000005</v>
      </c>
      <c r="E98">
        <v>0.30185000000000001</v>
      </c>
      <c r="F98">
        <v>-0.25786999999999999</v>
      </c>
      <c r="G98">
        <v>0.15395</v>
      </c>
      <c r="H98">
        <v>-7.8684000000000004E-2</v>
      </c>
      <c r="I98">
        <v>-0.13461999999999999</v>
      </c>
      <c r="J98">
        <v>-0.20383999999999999</v>
      </c>
    </row>
    <row r="99" spans="1:10" x14ac:dyDescent="0.35">
      <c r="A99" t="s">
        <v>259</v>
      </c>
      <c r="B99">
        <v>-0.53978999999999999</v>
      </c>
      <c r="C99">
        <v>-1.3804000000000001</v>
      </c>
      <c r="D99">
        <v>-0.95043999999999995</v>
      </c>
      <c r="E99">
        <v>2.2841E-2</v>
      </c>
      <c r="F99">
        <v>-0.36249999999999999</v>
      </c>
      <c r="G99">
        <v>0.11883000000000001</v>
      </c>
      <c r="H99">
        <v>-0.11686000000000001</v>
      </c>
      <c r="I99">
        <v>-0.11949</v>
      </c>
      <c r="J99">
        <v>-0.26862999999999998</v>
      </c>
    </row>
    <row r="100" spans="1:10" x14ac:dyDescent="0.35">
      <c r="A100" t="s">
        <v>254</v>
      </c>
      <c r="B100">
        <v>0.30109000000000002</v>
      </c>
      <c r="C100">
        <v>-0.40983999999999998</v>
      </c>
      <c r="D100">
        <v>6.8201999999999999E-2</v>
      </c>
      <c r="E100">
        <v>3.6164000000000002E-2</v>
      </c>
      <c r="F100">
        <v>-0.12586</v>
      </c>
      <c r="G100">
        <v>-0.50180999999999998</v>
      </c>
      <c r="H100">
        <v>0.17263999999999999</v>
      </c>
      <c r="I100">
        <v>1.2975000000000001</v>
      </c>
      <c r="J100">
        <v>3.039E-2</v>
      </c>
    </row>
    <row r="101" spans="1:10" x14ac:dyDescent="0.35">
      <c r="A101" t="s">
        <v>253</v>
      </c>
      <c r="B101">
        <v>4.1971999999999996</v>
      </c>
      <c r="C101">
        <v>-0.1532</v>
      </c>
      <c r="D101">
        <v>-1.1428</v>
      </c>
      <c r="E101">
        <v>0.43939</v>
      </c>
      <c r="F101">
        <v>-0.38081999999999999</v>
      </c>
      <c r="G101">
        <v>0.14052000000000001</v>
      </c>
      <c r="H101">
        <v>0.88887000000000005</v>
      </c>
      <c r="I101">
        <v>-0.13644000000000001</v>
      </c>
      <c r="J101">
        <v>-0.17124</v>
      </c>
    </row>
    <row r="102" spans="1:10" x14ac:dyDescent="0.35">
      <c r="A102" t="s">
        <v>255</v>
      </c>
      <c r="B102">
        <v>1.2585999999999999</v>
      </c>
      <c r="C102">
        <v>0.91834000000000005</v>
      </c>
      <c r="D102">
        <v>7.6550000000000003E-3</v>
      </c>
      <c r="E102">
        <v>0.31886999999999999</v>
      </c>
      <c r="F102">
        <v>0.27907999999999999</v>
      </c>
      <c r="G102">
        <v>-0.33448</v>
      </c>
      <c r="H102">
        <v>-0.16052</v>
      </c>
      <c r="I102">
        <v>0.18140999999999999</v>
      </c>
      <c r="J102">
        <v>-3.9960000000000002E-2</v>
      </c>
    </row>
    <row r="103" spans="1:10" x14ac:dyDescent="0.35">
      <c r="A103" t="s">
        <v>255</v>
      </c>
      <c r="B103">
        <v>1.595</v>
      </c>
      <c r="C103">
        <v>0.52293000000000001</v>
      </c>
      <c r="D103">
        <v>0.50912999999999997</v>
      </c>
      <c r="E103">
        <v>0.22378999999999999</v>
      </c>
      <c r="F103">
        <v>-8.4966E-2</v>
      </c>
      <c r="G103">
        <v>-0.26909</v>
      </c>
      <c r="H103">
        <v>-0.54783000000000004</v>
      </c>
      <c r="I103">
        <v>0.51227999999999996</v>
      </c>
      <c r="J103">
        <v>-0.32434000000000002</v>
      </c>
    </row>
    <row r="104" spans="1:10" x14ac:dyDescent="0.35">
      <c r="A104" t="s">
        <v>255</v>
      </c>
      <c r="B104">
        <v>1.9332</v>
      </c>
      <c r="C104">
        <v>0.55267999999999995</v>
      </c>
      <c r="D104">
        <v>-0.14904999999999999</v>
      </c>
      <c r="E104">
        <v>0.13428999999999999</v>
      </c>
      <c r="F104">
        <v>5.1048999999999997E-2</v>
      </c>
      <c r="G104">
        <v>-0.25214999999999999</v>
      </c>
      <c r="H104">
        <v>-0.20283000000000001</v>
      </c>
      <c r="I104">
        <v>0.17274999999999999</v>
      </c>
      <c r="J104">
        <v>-0.12853999999999999</v>
      </c>
    </row>
    <row r="105" spans="1:10" x14ac:dyDescent="0.35">
      <c r="A105" t="s">
        <v>256</v>
      </c>
      <c r="B105">
        <v>-0.80952000000000002</v>
      </c>
      <c r="C105">
        <v>-0.81655</v>
      </c>
      <c r="D105">
        <v>4.0792999999999999</v>
      </c>
      <c r="E105">
        <v>0.88080000000000003</v>
      </c>
      <c r="F105">
        <v>-0.81798000000000004</v>
      </c>
      <c r="G105">
        <v>-0.26136999999999999</v>
      </c>
      <c r="H105">
        <v>0.54857999999999996</v>
      </c>
      <c r="I105">
        <v>7.7317999999999998E-2</v>
      </c>
      <c r="J105">
        <v>5.6571999999999997E-2</v>
      </c>
    </row>
    <row r="106" spans="1:10" x14ac:dyDescent="0.35">
      <c r="A106" t="s">
        <v>256</v>
      </c>
      <c r="B106">
        <v>0.42988999999999999</v>
      </c>
      <c r="C106">
        <v>-0.80701000000000001</v>
      </c>
      <c r="D106">
        <v>2.5215999999999998</v>
      </c>
      <c r="E106">
        <v>0.44727</v>
      </c>
      <c r="F106">
        <v>0.37241999999999997</v>
      </c>
      <c r="G106">
        <v>0.88532999999999995</v>
      </c>
      <c r="H106">
        <v>-0.63604000000000005</v>
      </c>
      <c r="I106">
        <v>-0.37248999999999999</v>
      </c>
      <c r="J106">
        <v>0.24073</v>
      </c>
    </row>
    <row r="107" spans="1:10" x14ac:dyDescent="0.35">
      <c r="A107" t="s">
        <v>255</v>
      </c>
      <c r="B107">
        <v>0.90949000000000002</v>
      </c>
      <c r="C107">
        <v>1.6877</v>
      </c>
      <c r="D107">
        <v>-0.60714000000000001</v>
      </c>
      <c r="E107">
        <v>0.72401000000000004</v>
      </c>
      <c r="F107">
        <v>0.28272000000000003</v>
      </c>
      <c r="G107">
        <v>-0.29976000000000003</v>
      </c>
      <c r="H107">
        <v>-0.10863</v>
      </c>
      <c r="I107">
        <v>0.14011000000000001</v>
      </c>
      <c r="J107">
        <v>4.0571999999999997E-2</v>
      </c>
    </row>
    <row r="108" spans="1:10" x14ac:dyDescent="0.35">
      <c r="A108" t="s">
        <v>255</v>
      </c>
      <c r="B108">
        <v>0.51258000000000004</v>
      </c>
      <c r="C108">
        <v>2.4331</v>
      </c>
      <c r="D108">
        <v>-5.1635E-2</v>
      </c>
      <c r="E108">
        <v>-0.25685000000000002</v>
      </c>
      <c r="F108">
        <v>-0.13914000000000001</v>
      </c>
      <c r="G108">
        <v>5.6994000000000003E-2</v>
      </c>
      <c r="H108">
        <v>-0.23080000000000001</v>
      </c>
      <c r="I108">
        <v>8.7786000000000003E-2</v>
      </c>
      <c r="J108">
        <v>-0.25561</v>
      </c>
    </row>
    <row r="109" spans="1:10" x14ac:dyDescent="0.35">
      <c r="A109" t="s">
        <v>255</v>
      </c>
      <c r="B109">
        <v>-1.3602000000000001</v>
      </c>
      <c r="C109">
        <v>4.3799000000000001</v>
      </c>
      <c r="D109">
        <v>-2.6497E-2</v>
      </c>
      <c r="E109">
        <v>-0.20354</v>
      </c>
      <c r="F109">
        <v>0.19422</v>
      </c>
      <c r="G109">
        <v>2.1444000000000001E-2</v>
      </c>
      <c r="H109">
        <v>4.7849999999999997E-2</v>
      </c>
      <c r="I109">
        <v>-0.11187999999999999</v>
      </c>
      <c r="J109">
        <v>-7.3442999999999994E-2</v>
      </c>
    </row>
    <row r="110" spans="1:10" x14ac:dyDescent="0.35">
      <c r="A110" t="s">
        <v>255</v>
      </c>
      <c r="B110">
        <v>-0.16394</v>
      </c>
      <c r="C110">
        <v>2.8570000000000002</v>
      </c>
      <c r="D110">
        <v>0.17513000000000001</v>
      </c>
      <c r="E110">
        <v>-0.77164999999999995</v>
      </c>
      <c r="F110">
        <v>0.28691</v>
      </c>
      <c r="G110">
        <v>-0.32568000000000003</v>
      </c>
      <c r="H110">
        <v>0.13564000000000001</v>
      </c>
      <c r="I110">
        <v>-0.13103000000000001</v>
      </c>
      <c r="J110">
        <v>-5.9659999999999998E-2</v>
      </c>
    </row>
    <row r="113" spans="1:10" x14ac:dyDescent="0.35">
      <c r="B113" t="s">
        <v>26</v>
      </c>
      <c r="C113" t="s">
        <v>27</v>
      </c>
      <c r="D113" t="s">
        <v>28</v>
      </c>
      <c r="E113" t="s">
        <v>29</v>
      </c>
      <c r="F113" t="s">
        <v>30</v>
      </c>
      <c r="G113" t="s">
        <v>31</v>
      </c>
      <c r="H113" t="s">
        <v>32</v>
      </c>
      <c r="I113" t="s">
        <v>33</v>
      </c>
      <c r="J113" t="s">
        <v>34</v>
      </c>
    </row>
    <row r="114" spans="1:10" x14ac:dyDescent="0.35">
      <c r="A114" t="s">
        <v>76</v>
      </c>
      <c r="B114">
        <v>4.4535999999999999E-2</v>
      </c>
      <c r="C114">
        <v>3.6942999999999997E-2</v>
      </c>
      <c r="D114">
        <v>4.1114999999999997E-3</v>
      </c>
      <c r="E114">
        <v>-0.14091000000000001</v>
      </c>
      <c r="F114">
        <v>-5.3885000000000002E-2</v>
      </c>
      <c r="G114">
        <v>0.24304000000000001</v>
      </c>
      <c r="H114">
        <v>0.15859000000000001</v>
      </c>
      <c r="I114">
        <v>0.63214999999999999</v>
      </c>
      <c r="J114">
        <v>0.70003000000000004</v>
      </c>
    </row>
    <row r="115" spans="1:10" x14ac:dyDescent="0.35">
      <c r="A115" t="s">
        <v>77</v>
      </c>
      <c r="B115">
        <v>8.1514000000000003E-2</v>
      </c>
      <c r="C115">
        <v>5.3081000000000003E-2</v>
      </c>
      <c r="D115">
        <v>-5.0673000000000003E-2</v>
      </c>
      <c r="E115">
        <v>-2.1683000000000001E-2</v>
      </c>
      <c r="F115">
        <v>0.41907</v>
      </c>
      <c r="G115">
        <v>0.22703000000000001</v>
      </c>
      <c r="H115">
        <v>0.43698999999999999</v>
      </c>
      <c r="I115">
        <v>0.47484999999999999</v>
      </c>
      <c r="J115">
        <v>-0.58643000000000001</v>
      </c>
    </row>
    <row r="116" spans="1:10" x14ac:dyDescent="0.35">
      <c r="A116" t="s">
        <v>214</v>
      </c>
      <c r="B116">
        <v>0.37048999999999999</v>
      </c>
      <c r="C116">
        <v>0.30728</v>
      </c>
      <c r="D116">
        <v>0.12981000000000001</v>
      </c>
      <c r="E116">
        <v>-4.5573000000000002E-2</v>
      </c>
      <c r="F116">
        <v>0.64744000000000002</v>
      </c>
      <c r="G116">
        <v>0.12246</v>
      </c>
      <c r="H116">
        <v>-0.54330000000000001</v>
      </c>
      <c r="I116">
        <v>-5.5064000000000002E-2</v>
      </c>
      <c r="J116">
        <v>0.13041</v>
      </c>
    </row>
    <row r="117" spans="1:10" x14ac:dyDescent="0.35">
      <c r="A117" t="s">
        <v>211</v>
      </c>
      <c r="B117">
        <v>0.42385</v>
      </c>
      <c r="C117">
        <v>0.45882000000000001</v>
      </c>
      <c r="D117">
        <v>-6.6960000000000006E-2</v>
      </c>
      <c r="E117">
        <v>0.12454999999999999</v>
      </c>
      <c r="F117">
        <v>-0.22059999999999999</v>
      </c>
      <c r="G117">
        <v>-0.68142000000000003</v>
      </c>
      <c r="H117">
        <v>6.4933000000000005E-2</v>
      </c>
      <c r="I117">
        <v>0.26308999999999999</v>
      </c>
      <c r="J117">
        <v>-5.8407000000000001E-2</v>
      </c>
    </row>
    <row r="118" spans="1:10" x14ac:dyDescent="0.35">
      <c r="A118" t="s">
        <v>212</v>
      </c>
      <c r="B118">
        <v>0.39673999999999998</v>
      </c>
      <c r="C118">
        <v>0.27864</v>
      </c>
      <c r="D118">
        <v>-0.56927000000000005</v>
      </c>
      <c r="E118">
        <v>0.16664999999999999</v>
      </c>
      <c r="F118">
        <v>-0.17752999999999999</v>
      </c>
      <c r="G118">
        <v>0.46462999999999999</v>
      </c>
      <c r="H118">
        <v>0.22245999999999999</v>
      </c>
      <c r="I118">
        <v>-0.33315</v>
      </c>
      <c r="J118">
        <v>7.2418999999999997E-2</v>
      </c>
    </row>
    <row r="119" spans="1:10" x14ac:dyDescent="0.35">
      <c r="A119" t="s">
        <v>213</v>
      </c>
      <c r="B119">
        <v>0.24260000000000001</v>
      </c>
      <c r="C119">
        <v>0.17175000000000001</v>
      </c>
      <c r="D119">
        <v>0.80179999999999996</v>
      </c>
      <c r="E119">
        <v>0.22942000000000001</v>
      </c>
      <c r="F119">
        <v>-0.17510999999999999</v>
      </c>
      <c r="G119">
        <v>0.24257999999999999</v>
      </c>
      <c r="H119">
        <v>0.30373</v>
      </c>
      <c r="I119">
        <v>-0.18459</v>
      </c>
      <c r="J119">
        <v>1.7149000000000001E-2</v>
      </c>
    </row>
    <row r="120" spans="1:10" x14ac:dyDescent="0.35">
      <c r="A120" t="s">
        <v>216</v>
      </c>
      <c r="B120">
        <v>-0.37347999999999998</v>
      </c>
      <c r="C120">
        <v>0.51434999999999997</v>
      </c>
      <c r="D120">
        <v>3.6027000000000003E-2</v>
      </c>
      <c r="E120">
        <v>5.3402999999999999E-2</v>
      </c>
      <c r="F120">
        <v>-0.38600000000000001</v>
      </c>
      <c r="G120">
        <v>0.32801000000000002</v>
      </c>
      <c r="H120">
        <v>-0.43794</v>
      </c>
      <c r="I120">
        <v>0.26180999999999999</v>
      </c>
      <c r="J120">
        <v>-0.27365</v>
      </c>
    </row>
    <row r="121" spans="1:10" x14ac:dyDescent="0.35">
      <c r="A121" t="s">
        <v>218</v>
      </c>
      <c r="B121">
        <v>-0.29860999999999999</v>
      </c>
      <c r="C121">
        <v>0.50149999999999995</v>
      </c>
      <c r="D121">
        <v>3.3931000000000003E-2</v>
      </c>
      <c r="E121">
        <v>-0.64981999999999995</v>
      </c>
      <c r="F121">
        <v>0.13674</v>
      </c>
      <c r="G121">
        <v>-0.10345</v>
      </c>
      <c r="H121">
        <v>0.33483000000000002</v>
      </c>
      <c r="I121">
        <v>-0.29194999999999999</v>
      </c>
      <c r="J121">
        <v>9.5757999999999996E-2</v>
      </c>
    </row>
    <row r="122" spans="1:10" x14ac:dyDescent="0.35">
      <c r="A122" t="s">
        <v>220</v>
      </c>
      <c r="B122">
        <v>-0.47910999999999998</v>
      </c>
      <c r="C122">
        <v>0.26017000000000001</v>
      </c>
      <c r="D122">
        <v>-8.1722000000000003E-2</v>
      </c>
      <c r="E122">
        <v>0.67569000000000001</v>
      </c>
      <c r="F122">
        <v>0.3518</v>
      </c>
      <c r="G122">
        <v>-0.13053999999999999</v>
      </c>
      <c r="H122">
        <v>0.19711000000000001</v>
      </c>
      <c r="I122">
        <v>-6.1765E-2</v>
      </c>
      <c r="J122">
        <v>0.23676</v>
      </c>
    </row>
  </sheetData>
  <conditionalFormatting sqref="B11:J11 B3 B4:C4 B5:D5 B6:E6 B7:F7 B8:G8 B9:H9 B10:I10">
    <cfRule type="colorScale" priority="6">
      <colorScale>
        <cfvo type="min"/>
        <cfvo type="num" val="0"/>
        <cfvo type="max"/>
        <color rgb="FFF8696B"/>
        <color rgb="FFFCFCFF"/>
        <color rgb="FF5A8AC6"/>
      </colorScale>
    </cfRule>
  </conditionalFormatting>
  <conditionalFormatting sqref="B52:J60">
    <cfRule type="colorScale" priority="5">
      <colorScale>
        <cfvo type="min"/>
        <cfvo type="percentile" val="50"/>
        <cfvo type="max"/>
        <color rgb="FFF8696B"/>
        <color rgb="FFFFEB84"/>
        <color rgb="FF63BE7B"/>
      </colorScale>
    </cfRule>
  </conditionalFormatting>
  <conditionalFormatting sqref="B73:J73 B65 B69:F70 B67:D68 B72:I72 B71:H71 B66:C66">
    <cfRule type="colorScale" priority="4">
      <colorScale>
        <cfvo type="min"/>
        <cfvo type="percentile" val="50"/>
        <cfvo type="max"/>
        <color rgb="FFF8696B"/>
        <color rgb="FFFCFCFF"/>
        <color rgb="FF5A8AC6"/>
      </colorScale>
    </cfRule>
  </conditionalFormatting>
  <conditionalFormatting sqref="B114:J122">
    <cfRule type="colorScale" priority="3">
      <colorScale>
        <cfvo type="min"/>
        <cfvo type="percentile" val="50"/>
        <cfvo type="max"/>
        <color rgb="FFF8696B"/>
        <color rgb="FFFFEB84"/>
        <color rgb="FF63BE7B"/>
      </colorScale>
    </cfRule>
  </conditionalFormatting>
  <conditionalFormatting sqref="C3:J3">
    <cfRule type="expression" dxfId="0" priority="1">
      <formula>"&lt;0.05"</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E2F6F-FB5A-4E14-B646-A1E58E2AEBAA}">
  <dimension ref="A1:AS37"/>
  <sheetViews>
    <sheetView tabSelected="1" zoomScale="70" zoomScaleNormal="70" workbookViewId="0">
      <pane xSplit="2" ySplit="1" topLeftCell="Z20" activePane="bottomRight" state="frozen"/>
      <selection pane="topRight" activeCell="C1" sqref="C1"/>
      <selection pane="bottomLeft" activeCell="A2" sqref="A2"/>
      <selection pane="bottomRight" activeCell="AL35" sqref="AL35"/>
    </sheetView>
  </sheetViews>
  <sheetFormatPr defaultColWidth="8.81640625" defaultRowHeight="14.5" x14ac:dyDescent="0.35"/>
  <cols>
    <col min="1" max="1" width="20.453125" customWidth="1"/>
    <col min="2" max="2" width="19.26953125" customWidth="1"/>
    <col min="3" max="3" width="16.1796875" customWidth="1"/>
    <col min="4" max="4" width="19.26953125" customWidth="1"/>
    <col min="5" max="5" width="5.81640625" customWidth="1"/>
    <col min="6" max="6" width="12.81640625" customWidth="1"/>
    <col min="7" max="13" width="15.453125" customWidth="1"/>
    <col min="14" max="16" width="17.1796875" customWidth="1"/>
    <col min="17" max="19" width="20.453125" customWidth="1"/>
    <col min="20" max="22" width="16.1796875" customWidth="1"/>
    <col min="23" max="24" width="13" customWidth="1"/>
    <col min="25" max="27" width="17.54296875" customWidth="1"/>
    <col min="28" max="29" width="11.81640625" customWidth="1"/>
    <col min="30" max="32" width="15.453125" customWidth="1"/>
    <col min="34" max="34" width="8.81640625" customWidth="1"/>
    <col min="36" max="37" width="8.81640625" customWidth="1"/>
    <col min="38" max="38" width="15.1796875" customWidth="1"/>
    <col min="40" max="40" width="35.7265625" customWidth="1"/>
  </cols>
  <sheetData>
    <row r="1" spans="1:45" s="1" customFormat="1" ht="58" x14ac:dyDescent="0.35">
      <c r="A1" s="37" t="s">
        <v>13</v>
      </c>
      <c r="B1" s="37" t="s">
        <v>0</v>
      </c>
      <c r="C1" s="37" t="s">
        <v>252</v>
      </c>
      <c r="D1" s="37" t="s">
        <v>83</v>
      </c>
      <c r="E1" s="37" t="s">
        <v>14</v>
      </c>
      <c r="F1" s="37" t="s">
        <v>78</v>
      </c>
      <c r="G1" s="37" t="s">
        <v>79</v>
      </c>
      <c r="H1" s="37" t="s">
        <v>76</v>
      </c>
      <c r="I1" s="37" t="s">
        <v>77</v>
      </c>
      <c r="J1" s="37" t="s">
        <v>214</v>
      </c>
      <c r="K1" s="37" t="s">
        <v>87</v>
      </c>
      <c r="L1" s="37" t="s">
        <v>89</v>
      </c>
      <c r="M1" s="37" t="s">
        <v>111</v>
      </c>
      <c r="N1" s="37" t="s">
        <v>81</v>
      </c>
      <c r="O1" s="37" t="s">
        <v>211</v>
      </c>
      <c r="P1" s="37" t="s">
        <v>85</v>
      </c>
      <c r="Q1" s="37" t="s">
        <v>80</v>
      </c>
      <c r="R1" s="37" t="s">
        <v>212</v>
      </c>
      <c r="S1" s="37" t="s">
        <v>85</v>
      </c>
      <c r="T1" s="37" t="s">
        <v>82</v>
      </c>
      <c r="U1" s="37" t="s">
        <v>213</v>
      </c>
      <c r="V1" s="37" t="s">
        <v>85</v>
      </c>
      <c r="W1" s="37" t="s">
        <v>1</v>
      </c>
      <c r="X1" s="37" t="s">
        <v>215</v>
      </c>
      <c r="Y1" s="37" t="s">
        <v>4</v>
      </c>
      <c r="Z1" s="37" t="s">
        <v>198</v>
      </c>
      <c r="AA1" s="37" t="s">
        <v>216</v>
      </c>
      <c r="AB1" s="37" t="s">
        <v>2</v>
      </c>
      <c r="AC1" s="37" t="s">
        <v>217</v>
      </c>
      <c r="AD1" s="37" t="s">
        <v>4</v>
      </c>
      <c r="AE1" s="37" t="s">
        <v>199</v>
      </c>
      <c r="AF1" s="37" t="s">
        <v>218</v>
      </c>
      <c r="AG1" s="37" t="s">
        <v>3</v>
      </c>
      <c r="AH1" s="37" t="s">
        <v>219</v>
      </c>
      <c r="AI1" s="37" t="s">
        <v>4</v>
      </c>
      <c r="AJ1" s="37" t="s">
        <v>200</v>
      </c>
      <c r="AK1" s="37" t="s">
        <v>220</v>
      </c>
      <c r="AL1" s="37" t="s">
        <v>95</v>
      </c>
      <c r="AM1" s="37" t="s">
        <v>14</v>
      </c>
      <c r="AN1" s="37" t="s">
        <v>96</v>
      </c>
    </row>
    <row r="2" spans="1:45" x14ac:dyDescent="0.35">
      <c r="A2" s="56" t="s">
        <v>6</v>
      </c>
      <c r="B2" s="38" t="s">
        <v>11</v>
      </c>
      <c r="C2" s="38" t="s">
        <v>257</v>
      </c>
      <c r="D2" s="38" t="s">
        <v>150</v>
      </c>
      <c r="E2" s="38">
        <v>1978</v>
      </c>
      <c r="F2" s="38">
        <v>37.78</v>
      </c>
      <c r="G2" s="38">
        <v>20.89</v>
      </c>
      <c r="H2" s="38">
        <f t="shared" ref="H2:H35" si="0">COS(F2)*COS(G2)</f>
        <v>-0.45109244497157264</v>
      </c>
      <c r="I2" s="38">
        <f t="shared" ref="I2:I35" si="1">COS(F2)*SIN(G2)</f>
        <v>0.88881211149297867</v>
      </c>
      <c r="J2" s="38">
        <f t="shared" ref="J2:J35" si="2">SIN(F2)</f>
        <v>8.0799978669313544E-2</v>
      </c>
      <c r="K2" s="38" t="s">
        <v>156</v>
      </c>
      <c r="L2" s="38" t="s">
        <v>151</v>
      </c>
      <c r="M2" s="38" t="s">
        <v>104</v>
      </c>
      <c r="N2" s="38">
        <v>17.600000000000001</v>
      </c>
      <c r="O2" s="40">
        <f>(N2-(AVERAGE($N$2:$N$35)))/STDEV($N$2:$N$35)</f>
        <v>-0.96851024973863342</v>
      </c>
      <c r="P2" s="38"/>
      <c r="Q2" s="61">
        <f>AVERAGE(24.5,27.1,27)</f>
        <v>26.2</v>
      </c>
      <c r="R2" s="40">
        <f t="shared" ref="R2:R35" si="3">(Q2-(AVERAGE($Q$2:$Q$35)))/STDEV($Q$2:$Q$35)</f>
        <v>0.28470293568129473</v>
      </c>
      <c r="S2" s="38"/>
      <c r="T2" s="38">
        <f>AVERAGE(18.8,4.72,5.1)</f>
        <v>9.5399999999999991</v>
      </c>
      <c r="U2" s="40">
        <f t="shared" ref="U2:U35" si="4">(T2-(AVERAGE($T$2:$T$35)))/STDEV($T$2:$T$35)</f>
        <v>-0.96854837534416549</v>
      </c>
      <c r="V2" s="38"/>
      <c r="W2" s="38">
        <v>40.4</v>
      </c>
      <c r="X2" s="40">
        <f t="shared" ref="X2:X35" si="5">(W2-(AVERAGE($W$2:$W$35)))/STDEV($W$2:$W$35)</f>
        <v>-0.86556827820570648</v>
      </c>
      <c r="Y2" s="38">
        <v>0.7</v>
      </c>
      <c r="Z2" s="31">
        <f t="shared" ref="Z2:Z35" si="6">(Y2/W2)*100</f>
        <v>1.7326732673267324</v>
      </c>
      <c r="AA2" s="40">
        <f t="shared" ref="AA2:AA35" si="7">(Z2-(AVERAGE($Z$2:$Z$35)))/STDEV($Z$2:$Z$35)</f>
        <v>-1.2258399597957872</v>
      </c>
      <c r="AB2" s="38">
        <v>33.9</v>
      </c>
      <c r="AC2" s="40">
        <f>(AB2-(AVERAGE($AB$2:$AB$35)))/STDEV($AB$2:$AB$35)</f>
        <v>0.50622250282316916</v>
      </c>
      <c r="AD2" s="38">
        <v>0.7</v>
      </c>
      <c r="AE2" s="31">
        <f t="shared" ref="AE2:AE35" si="8">(AD2/AB2)*100</f>
        <v>2.0648967551622417</v>
      </c>
      <c r="AF2" s="40">
        <f t="shared" ref="AF2:AF35" si="9">(AE2-(AVERAGE($AE$2:$AE$35)))/STDEV($AE$2:$AE$35)</f>
        <v>-1.3703137941739205</v>
      </c>
      <c r="AG2" s="49">
        <f>0.4692*(W2)-1.8717</f>
        <v>17.08398</v>
      </c>
      <c r="AH2" s="40">
        <f t="shared" ref="AH2:AH35" si="10">(AG2-(AVERAGE($AG$2:$AG$35)))/STDEV($AG$2:$AG$35)</f>
        <v>-0.1053372777848675</v>
      </c>
      <c r="AI2" s="48">
        <f>((MAX($AG$8:$AG$35)-MIN($AG$8:$AG$35))/(2*_xlfn.NORM.DIST(AG2,$AG16,$AG17,TRUE)^-1)*((20-0.375)/(20+0.25)))</f>
        <v>2.1520266971374618</v>
      </c>
      <c r="AJ2" s="31">
        <f t="shared" ref="AJ2:AJ35" si="11">(AI2/AG2)*100</f>
        <v>12.596752613486212</v>
      </c>
      <c r="AK2" s="40">
        <f t="shared" ref="AK2:AK35" si="12">(AJ2-(AVERAGE($AJ$2:$AJ$35)))/STDEV($AJ$2:$AJ$35)</f>
        <v>0.44886392088874483</v>
      </c>
      <c r="AL2" s="54" t="s">
        <v>152</v>
      </c>
      <c r="AM2" s="54">
        <v>1982</v>
      </c>
      <c r="AN2" s="54" t="s">
        <v>153</v>
      </c>
      <c r="AS2" s="2"/>
    </row>
    <row r="3" spans="1:45" x14ac:dyDescent="0.35">
      <c r="A3" s="56" t="s">
        <v>6</v>
      </c>
      <c r="B3" s="48" t="s">
        <v>155</v>
      </c>
      <c r="C3" s="48" t="s">
        <v>258</v>
      </c>
      <c r="D3" s="48" t="s">
        <v>154</v>
      </c>
      <c r="E3" s="48">
        <v>1989</v>
      </c>
      <c r="F3" s="48">
        <v>35.090000000000003</v>
      </c>
      <c r="G3" s="48">
        <v>32.380000000000003</v>
      </c>
      <c r="H3" s="38">
        <f t="shared" si="0"/>
        <v>-0.49123726754560976</v>
      </c>
      <c r="I3" s="38">
        <f t="shared" si="1"/>
        <v>-0.70778163257786164</v>
      </c>
      <c r="J3" s="38">
        <f t="shared" si="2"/>
        <v>-0.50767224422824209</v>
      </c>
      <c r="K3" s="48" t="s">
        <v>102</v>
      </c>
      <c r="L3" s="48" t="s">
        <v>157</v>
      </c>
      <c r="M3" s="48"/>
      <c r="N3" s="48">
        <v>17.29</v>
      </c>
      <c r="O3" s="40">
        <f t="shared" ref="O3:O35" si="13">(N3-(AVERAGE($N$2:$N$35)))/STDEV($N$2:$N$35)</f>
        <v>-1.0587713465659565</v>
      </c>
      <c r="P3" s="48" t="s">
        <v>158</v>
      </c>
      <c r="Q3" s="62">
        <f>AVERAGE(18.89,22.71,25.25)</f>
        <v>22.283333333333331</v>
      </c>
      <c r="R3" s="40">
        <f t="shared" si="3"/>
        <v>-2.1230284473852068</v>
      </c>
      <c r="S3" s="48" t="s">
        <v>158</v>
      </c>
      <c r="T3" s="50">
        <f>AVERAGE(18.48,6.4,2.04)</f>
        <v>8.9733333333333345</v>
      </c>
      <c r="U3" s="40">
        <f t="shared" si="4"/>
        <v>-0.97363993111272562</v>
      </c>
      <c r="V3" s="48" t="s">
        <v>158</v>
      </c>
      <c r="W3" s="48">
        <f>AVERAGE(40.3,41.5)</f>
        <v>40.9</v>
      </c>
      <c r="X3" s="40">
        <f t="shared" si="5"/>
        <v>-0.64409248885049863</v>
      </c>
      <c r="Y3" s="48">
        <f>(45-36)/(2*_xlfn.NORM.DIST(W3,$W16,$W17,TRUE)^-1)*((505-0.375)/(505+0.25))</f>
        <v>2.1161278717446228</v>
      </c>
      <c r="Z3" s="31">
        <f t="shared" si="6"/>
        <v>5.1739067768817186</v>
      </c>
      <c r="AA3" s="40">
        <f t="shared" si="7"/>
        <v>0.84032144205394632</v>
      </c>
      <c r="AB3" s="41">
        <f>0.73*(W3)+2.0837</f>
        <v>31.9407</v>
      </c>
      <c r="AC3" s="40">
        <f t="shared" ref="AC3:AC35" si="14">(AB3-(AVERAGE($AB$2:$AB$35)))/STDEV($AB$2:$AB$35)</f>
        <v>-0.55029141332361275</v>
      </c>
      <c r="AD3" s="48">
        <f>((MAX($AB$8:$AB$35)-MIN($AB$8:$AB$35))/(2*_xlfn.NORM.DIST(AB3,$AB16,$AB17,TRUE)^-1)*((505-0.375)/(505+0.25)))</f>
        <v>2.0481635164914551</v>
      </c>
      <c r="AE3" s="31">
        <f t="shared" si="8"/>
        <v>6.4123939565865973</v>
      </c>
      <c r="AF3" s="40">
        <f t="shared" si="9"/>
        <v>0.69063988343950611</v>
      </c>
      <c r="AG3" s="30">
        <f>AVERAGE(15.9,16.7)</f>
        <v>16.3</v>
      </c>
      <c r="AH3" s="40">
        <f t="shared" si="10"/>
        <v>-0.48627890695403664</v>
      </c>
      <c r="AI3" s="48">
        <f>(21.5-12)/(2*_xlfn.NORM.DIST(AG3,$AG16,$AG17,TRUE)^-1)*((505-0.375)/(505+0.25))</f>
        <v>2.1339559362223977</v>
      </c>
      <c r="AJ3" s="31">
        <f t="shared" si="11"/>
        <v>13.091754209953359</v>
      </c>
      <c r="AK3" s="40">
        <f t="shared" si="12"/>
        <v>0.56532378839710151</v>
      </c>
      <c r="AL3" s="54" t="s">
        <v>163</v>
      </c>
      <c r="AM3" s="54">
        <v>2003</v>
      </c>
      <c r="AN3" s="54" t="s">
        <v>159</v>
      </c>
    </row>
    <row r="4" spans="1:45" x14ac:dyDescent="0.35">
      <c r="A4" s="56" t="s">
        <v>6</v>
      </c>
      <c r="B4" s="51" t="s">
        <v>5</v>
      </c>
      <c r="C4" s="51" t="s">
        <v>259</v>
      </c>
      <c r="D4" s="51" t="s">
        <v>183</v>
      </c>
      <c r="E4" s="51">
        <v>1992</v>
      </c>
      <c r="F4" s="51">
        <v>36.17</v>
      </c>
      <c r="G4" s="51">
        <v>34.04</v>
      </c>
      <c r="H4" s="38">
        <f t="shared" si="0"/>
        <v>-3.6215376042736315E-2</v>
      </c>
      <c r="I4" s="38">
        <f t="shared" si="1"/>
        <v>2.0616414346485226E-2</v>
      </c>
      <c r="J4" s="38">
        <f t="shared" si="2"/>
        <v>-0.99913132770300883</v>
      </c>
      <c r="K4" s="51" t="s">
        <v>206</v>
      </c>
      <c r="L4" s="51" t="s">
        <v>205</v>
      </c>
      <c r="M4" s="51">
        <v>13.89</v>
      </c>
      <c r="N4" s="51">
        <v>17.899999999999999</v>
      </c>
      <c r="O4" s="40">
        <f t="shared" si="13"/>
        <v>-0.8811608011960641</v>
      </c>
      <c r="P4" s="51"/>
      <c r="Q4" s="63">
        <f>AVERAGE(20.4,23.8,26.3,28.4,24.8)</f>
        <v>24.740000000000002</v>
      </c>
      <c r="R4" s="40">
        <f t="shared" si="3"/>
        <v>-0.61281735860221631</v>
      </c>
      <c r="S4" s="51"/>
      <c r="T4" s="51">
        <v>141.9</v>
      </c>
      <c r="U4" s="40">
        <f t="shared" si="4"/>
        <v>0.2207192508792829</v>
      </c>
      <c r="V4" s="51"/>
      <c r="W4" s="51">
        <v>39.1</v>
      </c>
      <c r="X4" s="40">
        <f t="shared" si="5"/>
        <v>-1.4414053305292458</v>
      </c>
      <c r="Y4" s="51">
        <v>1.6</v>
      </c>
      <c r="Z4" s="31">
        <f t="shared" si="6"/>
        <v>4.0920716112531972</v>
      </c>
      <c r="AA4" s="40">
        <f t="shared" si="7"/>
        <v>0.19077352379180482</v>
      </c>
      <c r="AB4" s="41">
        <f>0.73*(W4)+2.0837</f>
        <v>30.6267</v>
      </c>
      <c r="AC4" s="40">
        <f t="shared" si="14"/>
        <v>-1.2588400203857637</v>
      </c>
      <c r="AD4" s="48">
        <f>(42-36)/(2*_xlfn.NORM.DIST(AB4,$AB12,$AB13,TRUE)^-1)*((37-0.375)/(37+0.25))</f>
        <v>1.3344668374784863</v>
      </c>
      <c r="AE4" s="31">
        <f t="shared" si="8"/>
        <v>4.3572008655143595</v>
      </c>
      <c r="AF4" s="40">
        <f t="shared" si="9"/>
        <v>-0.28363509892582373</v>
      </c>
      <c r="AG4" s="49">
        <f>0.4692*(W4)-1.8717</f>
        <v>16.474019999999999</v>
      </c>
      <c r="AH4" s="40">
        <f t="shared" si="10"/>
        <v>-0.40172131325519439</v>
      </c>
      <c r="AI4" s="48">
        <f>((MAX($AG$8:$AG$35)-MIN($AG$8:$AG$35))/(2*_xlfn.NORM.DIST(AG4,$AG12,$AG13,TRUE)^-1)*((37-0.375)/(37+0.25)))</f>
        <v>2.0725764688857176</v>
      </c>
      <c r="AJ4" s="31">
        <f t="shared" si="11"/>
        <v>12.580878673728197</v>
      </c>
      <c r="AK4" s="40">
        <f t="shared" si="12"/>
        <v>0.44512923208319732</v>
      </c>
      <c r="AL4" s="54" t="s">
        <v>184</v>
      </c>
      <c r="AM4" s="54">
        <v>1994</v>
      </c>
      <c r="AN4" s="54" t="s">
        <v>185</v>
      </c>
    </row>
    <row r="5" spans="1:45" x14ac:dyDescent="0.35">
      <c r="A5" s="56" t="s">
        <v>6</v>
      </c>
      <c r="B5" s="51" t="s">
        <v>7</v>
      </c>
      <c r="C5" s="51" t="s">
        <v>259</v>
      </c>
      <c r="D5" s="51" t="s">
        <v>162</v>
      </c>
      <c r="E5" s="51">
        <v>1993</v>
      </c>
      <c r="F5" s="51">
        <v>36.409999999999997</v>
      </c>
      <c r="G5" s="51">
        <v>29.04</v>
      </c>
      <c r="H5" s="38">
        <f t="shared" si="0"/>
        <v>-0.20039736189999732</v>
      </c>
      <c r="I5" s="38">
        <f t="shared" si="1"/>
        <v>-0.19264090613685469</v>
      </c>
      <c r="J5" s="38">
        <f t="shared" si="2"/>
        <v>-0.9605885584506475</v>
      </c>
      <c r="K5" s="51" t="s">
        <v>203</v>
      </c>
      <c r="L5" s="51" t="s">
        <v>204</v>
      </c>
      <c r="M5" s="51">
        <v>31.57</v>
      </c>
      <c r="N5" s="51">
        <v>18</v>
      </c>
      <c r="O5" s="40">
        <f t="shared" si="13"/>
        <v>-0.85204431834854033</v>
      </c>
      <c r="P5" s="51" t="s">
        <v>207</v>
      </c>
      <c r="Q5" s="63">
        <f>AVERAGE(20.9,24.4,26.2,27.3,22.7)</f>
        <v>24.3</v>
      </c>
      <c r="R5" s="40">
        <f t="shared" si="3"/>
        <v>-0.88330292674245381</v>
      </c>
      <c r="S5" s="51"/>
      <c r="T5" s="51">
        <v>0</v>
      </c>
      <c r="U5" s="40">
        <f t="shared" si="4"/>
        <v>-1.054266214224278</v>
      </c>
      <c r="V5" s="51"/>
      <c r="W5" s="51">
        <v>39.799999999999997</v>
      </c>
      <c r="X5" s="40">
        <f t="shared" si="5"/>
        <v>-1.1313392254319565</v>
      </c>
      <c r="Y5" s="51">
        <v>0.19</v>
      </c>
      <c r="Z5" s="31">
        <f t="shared" si="6"/>
        <v>0.47738693467336685</v>
      </c>
      <c r="AA5" s="40">
        <f t="shared" si="7"/>
        <v>-1.9795302169656039</v>
      </c>
      <c r="AB5" s="30">
        <v>30.1</v>
      </c>
      <c r="AC5" s="40">
        <f t="shared" si="14"/>
        <v>-1.5428526165346477</v>
      </c>
      <c r="AD5" s="30">
        <v>0.18</v>
      </c>
      <c r="AE5" s="31">
        <f t="shared" si="8"/>
        <v>0.59800664451827246</v>
      </c>
      <c r="AF5" s="40">
        <f t="shared" si="9"/>
        <v>-2.0657006864750764</v>
      </c>
      <c r="AG5" s="49">
        <f>0.4692*(W5)-1.8717</f>
        <v>16.80246</v>
      </c>
      <c r="AH5" s="40">
        <f t="shared" si="10"/>
        <v>-0.24212990954040298</v>
      </c>
      <c r="AI5" s="48">
        <f>((MAX($AG$2:$AG$35)-MIN($AG$2:$AG$35))/(2*_xlfn.NORM.DIST(AG5,$AG14,$AG15,TRUE)^-1)*((302-0.375)/(302+0.25)))</f>
        <v>2.2512331630723548</v>
      </c>
      <c r="AJ5" s="31">
        <f t="shared" si="11"/>
        <v>13.398235514754116</v>
      </c>
      <c r="AK5" s="40">
        <f t="shared" si="12"/>
        <v>0.637430166246437</v>
      </c>
      <c r="AL5" s="54" t="s">
        <v>163</v>
      </c>
      <c r="AM5" s="54">
        <v>2003</v>
      </c>
      <c r="AN5" s="54" t="s">
        <v>159</v>
      </c>
    </row>
    <row r="6" spans="1:45" x14ac:dyDescent="0.35">
      <c r="A6" s="56" t="s">
        <v>6</v>
      </c>
      <c r="B6" s="51" t="s">
        <v>9</v>
      </c>
      <c r="C6" s="51" t="s">
        <v>259</v>
      </c>
      <c r="D6" s="51"/>
      <c r="E6" s="51">
        <v>1996</v>
      </c>
      <c r="F6" s="51">
        <v>36.71</v>
      </c>
      <c r="G6" s="51">
        <v>31.56</v>
      </c>
      <c r="H6" s="38">
        <f t="shared" si="0"/>
        <v>0.54373969665627775</v>
      </c>
      <c r="I6" s="38">
        <f t="shared" si="1"/>
        <v>7.8885028258986759E-2</v>
      </c>
      <c r="J6" s="38">
        <f t="shared" si="2"/>
        <v>-0.83553832622849677</v>
      </c>
      <c r="K6" s="51" t="s">
        <v>203</v>
      </c>
      <c r="L6" s="51" t="s">
        <v>208</v>
      </c>
      <c r="M6" s="51">
        <v>78.5</v>
      </c>
      <c r="N6" s="51">
        <v>18.399999999999999</v>
      </c>
      <c r="O6" s="40">
        <f t="shared" si="13"/>
        <v>-0.73557838695844724</v>
      </c>
      <c r="P6" s="51"/>
      <c r="Q6" s="63">
        <f>AVERAGE(26,28,27.8)</f>
        <v>27.266666666666666</v>
      </c>
      <c r="R6" s="40">
        <f t="shared" si="3"/>
        <v>0.94042552511217148</v>
      </c>
      <c r="S6" s="51"/>
      <c r="T6" s="51">
        <f>AVERAGE(0,0,0)</f>
        <v>0</v>
      </c>
      <c r="U6" s="40">
        <f t="shared" si="4"/>
        <v>-1.054266214224278</v>
      </c>
      <c r="V6" s="51"/>
      <c r="W6" s="51">
        <v>39.700000000000003</v>
      </c>
      <c r="X6" s="40">
        <f t="shared" si="5"/>
        <v>-1.1756343833029956</v>
      </c>
      <c r="Y6" s="48">
        <f>(45-36)/(2*_xlfn.NORM.DIST(W6,$W8,$W9,TRUE)^-1)*((6295-0.375)/(6295+0.25))</f>
        <v>2.2388361263878527</v>
      </c>
      <c r="Z6" s="31">
        <f t="shared" si="6"/>
        <v>5.6393857087855226</v>
      </c>
      <c r="AA6" s="40">
        <f t="shared" si="7"/>
        <v>1.1198010530142186</v>
      </c>
      <c r="AB6" s="51">
        <v>30.1</v>
      </c>
      <c r="AC6" s="40">
        <f t="shared" si="14"/>
        <v>-1.5428526165346477</v>
      </c>
      <c r="AD6" s="48">
        <f>(42-36)/(2*_xlfn.NORM.DIST(AB6,$AB8,$AB9,TRUE)^-1)*((6295-0.375)/(6295+0.25))</f>
        <v>1.4904646020610972</v>
      </c>
      <c r="AE6" s="31">
        <f t="shared" si="8"/>
        <v>4.9517096413989936</v>
      </c>
      <c r="AF6" s="40">
        <f t="shared" si="9"/>
        <v>-1.8051192236016784E-3</v>
      </c>
      <c r="AG6" s="49">
        <f>0.4692*(W6)-1.8717</f>
        <v>16.75554</v>
      </c>
      <c r="AH6" s="40">
        <f t="shared" si="10"/>
        <v>-0.26492868149965892</v>
      </c>
      <c r="AI6" s="48">
        <f>((MAX($AG$8:$AG$35)-MIN($AG$8:$AG$35))/(2*_xlfn.NORM.DIST(AG6,$AG8,$AG9,TRUE)^-1)*((6295-0.375)/(6295+0.25)))</f>
        <v>2.5284207831857159</v>
      </c>
      <c r="AJ6" s="31">
        <f t="shared" si="11"/>
        <v>15.090058471321818</v>
      </c>
      <c r="AK6" s="40">
        <f t="shared" si="12"/>
        <v>1.0354682307207346</v>
      </c>
      <c r="AL6" s="54" t="s">
        <v>195</v>
      </c>
      <c r="AM6" s="54">
        <v>2001</v>
      </c>
      <c r="AN6" s="54" t="s">
        <v>196</v>
      </c>
    </row>
    <row r="7" spans="1:45" x14ac:dyDescent="0.35">
      <c r="A7" s="56" t="s">
        <v>6</v>
      </c>
      <c r="B7" s="51" t="s">
        <v>10</v>
      </c>
      <c r="C7" s="51" t="s">
        <v>259</v>
      </c>
      <c r="D7" s="51" t="s">
        <v>197</v>
      </c>
      <c r="E7" s="51">
        <v>1996</v>
      </c>
      <c r="F7" s="51">
        <v>36.840000000000003</v>
      </c>
      <c r="G7" s="51">
        <v>31.08</v>
      </c>
      <c r="H7" s="38">
        <f t="shared" si="0"/>
        <v>0.61660488199712216</v>
      </c>
      <c r="I7" s="38">
        <f t="shared" si="1"/>
        <v>-0.21529392803798922</v>
      </c>
      <c r="J7" s="38">
        <f t="shared" si="2"/>
        <v>-0.75726279721592571</v>
      </c>
      <c r="K7" s="51" t="s">
        <v>203</v>
      </c>
      <c r="L7" s="51" t="s">
        <v>208</v>
      </c>
      <c r="M7" s="51">
        <v>78.5</v>
      </c>
      <c r="N7" s="51">
        <v>18.399999999999999</v>
      </c>
      <c r="O7" s="40">
        <f t="shared" si="13"/>
        <v>-0.73557838695844724</v>
      </c>
      <c r="P7" s="51"/>
      <c r="Q7" s="63">
        <f>AVERAGE(28,27.8,24)</f>
        <v>26.599999999999998</v>
      </c>
      <c r="R7" s="40">
        <f t="shared" si="3"/>
        <v>0.53059890671787269</v>
      </c>
      <c r="S7" s="51"/>
      <c r="T7" s="52">
        <f>AVERAGE(0,0,0.5)</f>
        <v>0.16666666666666666</v>
      </c>
      <c r="U7" s="40">
        <f t="shared" si="4"/>
        <v>-1.0527686978217603</v>
      </c>
      <c r="V7" s="51"/>
      <c r="W7" s="51">
        <v>41.3</v>
      </c>
      <c r="X7" s="40">
        <f t="shared" si="5"/>
        <v>-0.46691185736633295</v>
      </c>
      <c r="Y7" s="51">
        <v>2.02</v>
      </c>
      <c r="Z7" s="31">
        <f t="shared" si="6"/>
        <v>4.8910411622276033</v>
      </c>
      <c r="AA7" s="40">
        <f t="shared" si="7"/>
        <v>0.67048524428182454</v>
      </c>
      <c r="AB7" s="51">
        <v>31.44</v>
      </c>
      <c r="AC7" s="40">
        <f t="shared" si="14"/>
        <v>-0.82028402181373283</v>
      </c>
      <c r="AD7" s="51">
        <v>2.08</v>
      </c>
      <c r="AE7" s="31">
        <f t="shared" si="8"/>
        <v>6.6157760814249356</v>
      </c>
      <c r="AF7" s="40">
        <f t="shared" si="9"/>
        <v>0.78705423834905686</v>
      </c>
      <c r="AG7" s="51">
        <v>15.7</v>
      </c>
      <c r="AH7" s="40">
        <f t="shared" si="10"/>
        <v>-0.77782330540999489</v>
      </c>
      <c r="AI7" s="51">
        <v>1.66</v>
      </c>
      <c r="AJ7" s="31">
        <f t="shared" si="11"/>
        <v>10.573248407643312</v>
      </c>
      <c r="AK7" s="40">
        <f t="shared" si="12"/>
        <v>-2.7209355231904094E-2</v>
      </c>
      <c r="AL7" s="54" t="s">
        <v>195</v>
      </c>
      <c r="AM7" s="54">
        <v>2001</v>
      </c>
      <c r="AN7" s="54" t="s">
        <v>196</v>
      </c>
    </row>
    <row r="8" spans="1:45" x14ac:dyDescent="0.35">
      <c r="A8" s="56" t="s">
        <v>6</v>
      </c>
      <c r="B8" s="53" t="s">
        <v>209</v>
      </c>
      <c r="C8" s="53" t="s">
        <v>258</v>
      </c>
      <c r="D8" s="53" t="s">
        <v>188</v>
      </c>
      <c r="E8" s="53">
        <v>1997</v>
      </c>
      <c r="F8" s="53">
        <v>36.28</v>
      </c>
      <c r="G8" s="53">
        <v>34.979999999999997</v>
      </c>
      <c r="H8" s="38">
        <f t="shared" si="0"/>
        <v>-0.13781764701456428</v>
      </c>
      <c r="I8" s="38">
        <f t="shared" si="1"/>
        <v>-6.1956116679061875E-2</v>
      </c>
      <c r="J8" s="38">
        <f t="shared" si="2"/>
        <v>-0.9885179491427657</v>
      </c>
      <c r="K8" s="53" t="s">
        <v>102</v>
      </c>
      <c r="L8" s="53" t="s">
        <v>210</v>
      </c>
      <c r="M8" s="53"/>
      <c r="N8" s="53">
        <v>18.13</v>
      </c>
      <c r="O8" s="40">
        <f t="shared" si="13"/>
        <v>-0.81419289064676015</v>
      </c>
      <c r="P8" s="53"/>
      <c r="Q8" s="64">
        <f>AVERAGE(15.3,25.58,28.45,28.63,25.85)</f>
        <v>24.762</v>
      </c>
      <c r="R8" s="40">
        <f t="shared" si="3"/>
        <v>-0.59929308019520544</v>
      </c>
      <c r="S8" s="53"/>
      <c r="T8" s="53">
        <f>AVERAGE(19.77,6.57,1.13,2.16,6.92)</f>
        <v>7.31</v>
      </c>
      <c r="U8" s="40">
        <f t="shared" si="4"/>
        <v>-0.98858514480985205</v>
      </c>
      <c r="V8" s="53"/>
      <c r="W8" s="53">
        <v>39.97</v>
      </c>
      <c r="X8" s="40">
        <f t="shared" si="5"/>
        <v>-1.0560374570511852</v>
      </c>
      <c r="Y8" s="53">
        <v>2.67</v>
      </c>
      <c r="Z8" s="31">
        <f t="shared" si="6"/>
        <v>6.6800100075056292</v>
      </c>
      <c r="AA8" s="40">
        <f t="shared" si="7"/>
        <v>1.7446054302447769</v>
      </c>
      <c r="AB8" s="30">
        <v>30.37</v>
      </c>
      <c r="AC8" s="40">
        <f t="shared" si="14"/>
        <v>-1.3972604370013293</v>
      </c>
      <c r="AD8" s="30">
        <v>2.37</v>
      </c>
      <c r="AE8" s="31">
        <f t="shared" si="8"/>
        <v>7.8037537043134666</v>
      </c>
      <c r="AF8" s="40">
        <f t="shared" si="9"/>
        <v>1.3502212140546248</v>
      </c>
      <c r="AG8" s="30">
        <v>15.29</v>
      </c>
      <c r="AH8" s="40">
        <f t="shared" si="10"/>
        <v>-0.97704531102156589</v>
      </c>
      <c r="AI8" s="30">
        <v>3.97</v>
      </c>
      <c r="AJ8" s="31">
        <f t="shared" si="11"/>
        <v>25.964682799215176</v>
      </c>
      <c r="AK8" s="40">
        <f t="shared" si="12"/>
        <v>3.5939595920989289</v>
      </c>
      <c r="AL8" s="54" t="s">
        <v>186</v>
      </c>
      <c r="AM8" s="54">
        <v>2000</v>
      </c>
      <c r="AN8" s="54" t="s">
        <v>187</v>
      </c>
    </row>
    <row r="9" spans="1:45" x14ac:dyDescent="0.35">
      <c r="A9" s="56" t="s">
        <v>6</v>
      </c>
      <c r="B9" s="42" t="s">
        <v>130</v>
      </c>
      <c r="C9" s="42" t="s">
        <v>255</v>
      </c>
      <c r="D9" s="42" t="s">
        <v>131</v>
      </c>
      <c r="E9" s="42">
        <v>2002</v>
      </c>
      <c r="F9" s="42">
        <v>31.87</v>
      </c>
      <c r="G9" s="42">
        <v>-80.97</v>
      </c>
      <c r="H9" s="38">
        <f t="shared" si="0"/>
        <v>0.68068937479108227</v>
      </c>
      <c r="I9" s="38">
        <f t="shared" si="1"/>
        <v>0.58674170300673933</v>
      </c>
      <c r="J9" s="38">
        <f t="shared" si="2"/>
        <v>0.43862985420429029</v>
      </c>
      <c r="K9" s="42" t="s">
        <v>109</v>
      </c>
      <c r="L9" s="42" t="s">
        <v>140</v>
      </c>
      <c r="M9" s="42">
        <v>8</v>
      </c>
      <c r="N9" s="47">
        <f>CONVERT(67.2,"F","C")</f>
        <v>19.555555555555557</v>
      </c>
      <c r="O9" s="40">
        <f t="shared" si="13"/>
        <v>-0.39912125183150959</v>
      </c>
      <c r="P9" s="42"/>
      <c r="Q9" s="60">
        <f>CONVERT(AVERAGE(70.5,72.7,79.2,82.4,80.5),"F","C")</f>
        <v>25.033333333333324</v>
      </c>
      <c r="R9" s="40">
        <f t="shared" si="3"/>
        <v>-0.4324936465087319</v>
      </c>
      <c r="S9" s="42"/>
      <c r="T9" s="47">
        <f>CONVERT(AVERAGE(0.99,10.49,3.46,4.31),"in","mm")</f>
        <v>122.2375</v>
      </c>
      <c r="U9" s="40">
        <f t="shared" si="4"/>
        <v>4.4049753292258409E-2</v>
      </c>
      <c r="V9" s="42"/>
      <c r="W9" s="42">
        <v>44.3</v>
      </c>
      <c r="X9" s="40">
        <f t="shared" si="5"/>
        <v>0.86194287876491449</v>
      </c>
      <c r="Y9" s="42">
        <v>0.2</v>
      </c>
      <c r="Z9" s="31">
        <f t="shared" si="6"/>
        <v>0.45146726862302489</v>
      </c>
      <c r="AA9" s="40">
        <f t="shared" si="7"/>
        <v>-1.9950927219201071</v>
      </c>
      <c r="AB9" s="41">
        <f>0.73*(W9)+2.0837</f>
        <v>34.422699999999999</v>
      </c>
      <c r="AC9" s="40">
        <f t="shared" si="14"/>
        <v>0.78807817779378297</v>
      </c>
      <c r="AD9" s="48">
        <f>((MAX($AB$2:$AB$35)-MIN($AB$2:$AB$35))/(2*_xlfn.NORM.DIST(AB9,$AB33,$AB34,TRUE)^-1)*((66-0.375)/(66+0.25)))</f>
        <v>2.2516971840120559</v>
      </c>
      <c r="AE9" s="31">
        <f t="shared" si="8"/>
        <v>6.5413148416947422</v>
      </c>
      <c r="AF9" s="40">
        <f t="shared" si="9"/>
        <v>0.75175550007469538</v>
      </c>
      <c r="AG9" s="42">
        <v>18.7</v>
      </c>
      <c r="AH9" s="40">
        <f t="shared" si="10"/>
        <v>0.67989868686979282</v>
      </c>
      <c r="AI9" s="42">
        <v>0.3</v>
      </c>
      <c r="AJ9" s="31">
        <f t="shared" si="11"/>
        <v>1.6042780748663104</v>
      </c>
      <c r="AK9" s="40">
        <f t="shared" si="12"/>
        <v>-2.1373542600088209</v>
      </c>
      <c r="AL9" s="54" t="s">
        <v>135</v>
      </c>
      <c r="AM9" s="54">
        <v>2014</v>
      </c>
      <c r="AN9" s="54" t="s">
        <v>136</v>
      </c>
    </row>
    <row r="10" spans="1:45" x14ac:dyDescent="0.35">
      <c r="A10" s="56" t="s">
        <v>6</v>
      </c>
      <c r="B10" s="42" t="s">
        <v>294</v>
      </c>
      <c r="C10" s="42" t="s">
        <v>255</v>
      </c>
      <c r="D10" s="42" t="s">
        <v>137</v>
      </c>
      <c r="E10" s="42">
        <v>2002</v>
      </c>
      <c r="F10" s="42">
        <v>34.6</v>
      </c>
      <c r="G10" s="42">
        <v>-76.5</v>
      </c>
      <c r="H10" s="38">
        <f t="shared" si="0"/>
        <v>-0.45160454891350804</v>
      </c>
      <c r="I10" s="38">
        <f t="shared" si="1"/>
        <v>0.89120693300035914</v>
      </c>
      <c r="J10" s="38">
        <f t="shared" si="2"/>
        <v>-4.2468034716951521E-2</v>
      </c>
      <c r="K10" s="42" t="s">
        <v>109</v>
      </c>
      <c r="L10" s="42" t="s">
        <v>141</v>
      </c>
      <c r="M10" s="42">
        <v>22</v>
      </c>
      <c r="N10" s="47">
        <f>CONVERT(63.6,"F","C")</f>
        <v>17.555555555555557</v>
      </c>
      <c r="O10" s="40">
        <f t="shared" si="13"/>
        <v>-0.98145090878197705</v>
      </c>
      <c r="P10" s="42"/>
      <c r="Q10" s="60">
        <f>CONVERT(AVERAGE(68.2,76.4,77.2,78.9),"F","C")</f>
        <v>23.986111111111118</v>
      </c>
      <c r="R10" s="40">
        <f t="shared" si="3"/>
        <v>-1.0762629595697655</v>
      </c>
      <c r="S10" s="42"/>
      <c r="T10" s="47">
        <f>CONVERT(AVERAGE(5.02,4.77,8.94,13.63),"in","mm")</f>
        <v>205.48599999999999</v>
      </c>
      <c r="U10" s="40">
        <f t="shared" si="4"/>
        <v>0.79204571870222162</v>
      </c>
      <c r="V10" s="42"/>
      <c r="W10" s="47">
        <f>AVERAGE(46.2,46.88,47.33,47.69,48.38,48.94,51.44,52.32)</f>
        <v>48.647500000000001</v>
      </c>
      <c r="X10" s="40">
        <f t="shared" si="5"/>
        <v>2.7876748672084486</v>
      </c>
      <c r="Y10" s="47">
        <f>_xlfn.STDEV.S(46.2,46.88,47.33,47.69,48.38,48.94,51.44,52.32)</f>
        <v>2.1781168143933085</v>
      </c>
      <c r="Z10" s="31">
        <f t="shared" si="6"/>
        <v>4.477345833585094</v>
      </c>
      <c r="AA10" s="40">
        <f t="shared" si="7"/>
        <v>0.42209718290983428</v>
      </c>
      <c r="AB10" s="47">
        <f>AVERAGE(36.07,36.66,37.12,37.24,37.65,37.83,41.86,42.64,42.85)</f>
        <v>38.880000000000003</v>
      </c>
      <c r="AC10" s="40">
        <f t="shared" si="14"/>
        <v>3.1915893697710489</v>
      </c>
      <c r="AD10" s="47">
        <f>_xlfn.STDEV.S(36.07,36.66,37.12,37.24,37.65,37.83,41.86,42.64,42.85)</f>
        <v>2.7387497147421129</v>
      </c>
      <c r="AE10" s="31">
        <f t="shared" si="8"/>
        <v>7.0441093486165451</v>
      </c>
      <c r="AF10" s="40">
        <f t="shared" si="9"/>
        <v>0.99010785319060324</v>
      </c>
      <c r="AG10" s="42">
        <v>23.64</v>
      </c>
      <c r="AH10" s="40">
        <f t="shared" si="10"/>
        <v>3.0802809008238436</v>
      </c>
      <c r="AI10" s="42">
        <v>3.6</v>
      </c>
      <c r="AJ10" s="31">
        <f t="shared" si="11"/>
        <v>15.228426395939088</v>
      </c>
      <c r="AK10" s="40">
        <f t="shared" si="12"/>
        <v>1.0680222876840701</v>
      </c>
      <c r="AL10" s="54" t="s">
        <v>138</v>
      </c>
      <c r="AM10" s="54">
        <v>2006</v>
      </c>
      <c r="AN10" s="54" t="s">
        <v>139</v>
      </c>
    </row>
    <row r="11" spans="1:45" x14ac:dyDescent="0.35">
      <c r="A11" s="56" t="s">
        <v>6</v>
      </c>
      <c r="B11" s="42" t="s">
        <v>293</v>
      </c>
      <c r="C11" s="42" t="s">
        <v>255</v>
      </c>
      <c r="D11" s="42" t="s">
        <v>137</v>
      </c>
      <c r="E11" s="42">
        <v>2002</v>
      </c>
      <c r="F11" s="42">
        <v>33</v>
      </c>
      <c r="G11" s="42">
        <v>-79.5</v>
      </c>
      <c r="H11" s="38">
        <f t="shared" si="0"/>
        <v>7.6124822284921543E-3</v>
      </c>
      <c r="I11" s="38">
        <f t="shared" si="1"/>
        <v>-1.0877597673471323E-2</v>
      </c>
      <c r="J11" s="38">
        <f t="shared" si="2"/>
        <v>0.99991186010726718</v>
      </c>
      <c r="K11" s="42" t="s">
        <v>109</v>
      </c>
      <c r="L11" s="42" t="s">
        <v>142</v>
      </c>
      <c r="M11" s="42">
        <v>40</v>
      </c>
      <c r="N11" s="47">
        <f>CONVERT(66.6,"F","C")</f>
        <v>19.222222222222218</v>
      </c>
      <c r="O11" s="40">
        <f t="shared" si="13"/>
        <v>-0.49617619465658919</v>
      </c>
      <c r="P11" s="42"/>
      <c r="Q11" s="60">
        <f>CONVERT(AVERAGE(71.8,78.4,82.7,80.4),"F","C")</f>
        <v>25.736111111111104</v>
      </c>
      <c r="R11" s="40">
        <f t="shared" si="3"/>
        <v>-4.6808628474180939E-4</v>
      </c>
      <c r="S11" s="42"/>
      <c r="T11" s="47">
        <f>CONVERT(AVERAGE(1.65,7.25,1.85,9.84),"in","mm")</f>
        <v>130.7465</v>
      </c>
      <c r="U11" s="40">
        <f t="shared" si="4"/>
        <v>0.12050395570639653</v>
      </c>
      <c r="V11" s="42"/>
      <c r="W11" s="47">
        <f>AVERAGE(44.15,44.42,45.22,45.49,46.15,46.47,46.81,47.21)</f>
        <v>45.739999999999995</v>
      </c>
      <c r="X11" s="40">
        <f t="shared" si="5"/>
        <v>1.4997931521079122</v>
      </c>
      <c r="Y11" s="47">
        <f>_xlfn.STDEV.S(44.15,44.42,45.22,45.49,46.15,46.47,46.81,47.21)</f>
        <v>1.1090665315609214</v>
      </c>
      <c r="Z11" s="31">
        <f t="shared" si="6"/>
        <v>2.4247191332770477</v>
      </c>
      <c r="AA11" s="40">
        <f t="shared" si="7"/>
        <v>-0.81032661187388888</v>
      </c>
      <c r="AB11" s="47">
        <f>AVERAGE(33.11,33.68,34.51,35.4,35.84,36.19,36.57)</f>
        <v>35.042857142857137</v>
      </c>
      <c r="AC11" s="40">
        <f t="shared" si="14"/>
        <v>1.1224856966149921</v>
      </c>
      <c r="AD11" s="47">
        <f>_xlfn.STDEV.S(33.11,33.68,34.51,35.4,35.84,36.19,36.57)</f>
        <v>1.3094746311111989</v>
      </c>
      <c r="AE11" s="31">
        <f t="shared" si="8"/>
        <v>3.7367804393715427</v>
      </c>
      <c r="AF11" s="40">
        <f t="shared" si="9"/>
        <v>-0.57774863130638632</v>
      </c>
      <c r="AG11" s="42">
        <v>19.87</v>
      </c>
      <c r="AH11" s="40">
        <f t="shared" si="10"/>
        <v>1.2484102638589107</v>
      </c>
      <c r="AI11" s="42">
        <v>1.33</v>
      </c>
      <c r="AJ11" s="31">
        <f t="shared" si="11"/>
        <v>6.6935078007045803</v>
      </c>
      <c r="AK11" s="40">
        <f t="shared" si="12"/>
        <v>-0.94000252655829852</v>
      </c>
      <c r="AL11" s="54" t="s">
        <v>138</v>
      </c>
      <c r="AM11" s="54">
        <v>2006</v>
      </c>
      <c r="AN11" s="54" t="s">
        <v>139</v>
      </c>
    </row>
    <row r="12" spans="1:45" x14ac:dyDescent="0.35">
      <c r="A12" s="56" t="s">
        <v>6</v>
      </c>
      <c r="B12" s="42" t="s">
        <v>295</v>
      </c>
      <c r="C12" s="42" t="s">
        <v>255</v>
      </c>
      <c r="D12" s="42" t="s">
        <v>137</v>
      </c>
      <c r="E12" s="42">
        <v>2002</v>
      </c>
      <c r="F12" s="42">
        <v>32.5</v>
      </c>
      <c r="G12" s="42">
        <v>-80</v>
      </c>
      <c r="H12" s="38">
        <f t="shared" si="0"/>
        <v>-5.1631628700640156E-2</v>
      </c>
      <c r="I12" s="38">
        <f t="shared" si="1"/>
        <v>0.46487336910026716</v>
      </c>
      <c r="J12" s="38">
        <f t="shared" si="2"/>
        <v>0.88387042354583067</v>
      </c>
      <c r="K12" s="42" t="s">
        <v>109</v>
      </c>
      <c r="L12" s="42" t="s">
        <v>142</v>
      </c>
      <c r="M12" s="42">
        <v>21</v>
      </c>
      <c r="N12" s="47">
        <f>CONVERT(66.6,"F","C")</f>
        <v>19.222222222222218</v>
      </c>
      <c r="O12" s="40">
        <f t="shared" si="13"/>
        <v>-0.49617619465658919</v>
      </c>
      <c r="P12" s="42"/>
      <c r="Q12" s="60">
        <f>CONVERT(AVERAGE(71.8,78.4,82.7,80.4),"F","C")</f>
        <v>25.736111111111104</v>
      </c>
      <c r="R12" s="40">
        <f t="shared" si="3"/>
        <v>-4.6808628474180939E-4</v>
      </c>
      <c r="S12" s="42"/>
      <c r="T12" s="47">
        <f>CONVERT(AVERAGE(1.65,7.25,1.85,9.84),"in","mm")</f>
        <v>130.7465</v>
      </c>
      <c r="U12" s="40">
        <f t="shared" si="4"/>
        <v>0.12050395570639653</v>
      </c>
      <c r="V12" s="42"/>
      <c r="W12" s="47">
        <f>AVERAGE(43.48,43.71,44.19,44.71,45.03,45.35,46.08,46.39,46.67,47.13)</f>
        <v>45.274000000000001</v>
      </c>
      <c r="X12" s="40">
        <f t="shared" si="5"/>
        <v>1.2933777164288611</v>
      </c>
      <c r="Y12" s="47">
        <f>_xlfn.STDEV.S(43.48,43.71,44.19,44.71,45.03,45.35,46.08,46.39,46.67,47.13)</f>
        <v>1.2698048843993501</v>
      </c>
      <c r="Z12" s="31">
        <f t="shared" si="6"/>
        <v>2.80471105800095</v>
      </c>
      <c r="AA12" s="40">
        <f t="shared" si="7"/>
        <v>-0.58217451301191792</v>
      </c>
      <c r="AB12" s="47">
        <f>AVERAGE(33.27,33.64,33.98,34.37,34.67,35.31,35.77,36.07,36.48)</f>
        <v>34.840000000000003</v>
      </c>
      <c r="AC12" s="40">
        <f t="shared" si="14"/>
        <v>1.0130989797169478</v>
      </c>
      <c r="AD12" s="47">
        <f>_xlfn.STDEV.S(33.27,33.64,33.98,34.37,34.67,35.31,35.77,36.07,36.48)</f>
        <v>1.1281954617884258</v>
      </c>
      <c r="AE12" s="31">
        <f t="shared" si="8"/>
        <v>3.238218891470797</v>
      </c>
      <c r="AF12" s="40">
        <f t="shared" si="9"/>
        <v>-0.81409432816526972</v>
      </c>
      <c r="AG12" s="42">
        <v>19.25</v>
      </c>
      <c r="AH12" s="40">
        <f t="shared" si="10"/>
        <v>0.94714771878775417</v>
      </c>
      <c r="AI12" s="42">
        <v>1.29</v>
      </c>
      <c r="AJ12" s="31">
        <f t="shared" si="11"/>
        <v>6.7012987012987013</v>
      </c>
      <c r="AK12" s="40">
        <f t="shared" si="12"/>
        <v>-0.93816954812461717</v>
      </c>
      <c r="AL12" s="54" t="s">
        <v>138</v>
      </c>
      <c r="AM12" s="54">
        <v>2006</v>
      </c>
      <c r="AN12" s="54" t="s">
        <v>139</v>
      </c>
    </row>
    <row r="13" spans="1:45" x14ac:dyDescent="0.35">
      <c r="A13" s="56" t="s">
        <v>6</v>
      </c>
      <c r="B13" s="42" t="s">
        <v>296</v>
      </c>
      <c r="C13" s="42" t="s">
        <v>255</v>
      </c>
      <c r="D13" s="42" t="s">
        <v>137</v>
      </c>
      <c r="E13" s="42">
        <v>2002</v>
      </c>
      <c r="F13" s="42">
        <v>31.5</v>
      </c>
      <c r="G13" s="42">
        <v>-81.2</v>
      </c>
      <c r="H13" s="38">
        <f t="shared" si="0"/>
        <v>0.8832127519350178</v>
      </c>
      <c r="I13" s="38">
        <f t="shared" si="1"/>
        <v>0.46139302726704423</v>
      </c>
      <c r="J13" s="38">
        <f t="shared" si="2"/>
        <v>8.397445569174683E-2</v>
      </c>
      <c r="K13" s="42" t="s">
        <v>109</v>
      </c>
      <c r="L13" s="42" t="s">
        <v>140</v>
      </c>
      <c r="M13" s="42">
        <v>8</v>
      </c>
      <c r="N13" s="47">
        <f>CONVERT(67.2,"F","C")</f>
        <v>19.555555555555557</v>
      </c>
      <c r="O13" s="40">
        <f t="shared" si="13"/>
        <v>-0.39912125183150959</v>
      </c>
      <c r="P13" s="42"/>
      <c r="Q13" s="60">
        <f>CONVERT(AVERAGE(70.5,72.7,79.2,82.4,80.5),"F","C")</f>
        <v>25.033333333333324</v>
      </c>
      <c r="R13" s="40">
        <f t="shared" si="3"/>
        <v>-0.4324936465087319</v>
      </c>
      <c r="S13" s="42"/>
      <c r="T13" s="47">
        <f>CONVERT(AVERAGE(0.99,10.49,3.46,4.31),"in","mm")</f>
        <v>122.2375</v>
      </c>
      <c r="U13" s="40">
        <f t="shared" si="4"/>
        <v>4.4049753292258409E-2</v>
      </c>
      <c r="V13" s="42"/>
      <c r="W13" s="47">
        <f>AVERAGE(41.68,41.89,43.83,44.49,44.88,45.15,45.84,46.35,46.59,47.23,47.54,47.96)</f>
        <v>45.285833333333336</v>
      </c>
      <c r="X13" s="40">
        <f t="shared" si="5"/>
        <v>1.2986193101102685</v>
      </c>
      <c r="Y13" s="47">
        <f>_xlfn.STDEV.S(41.68,41.89,43.83,44.49,44.88,45.15,45.84,46.35,46.59,47.23,47.54,47.96)</f>
        <v>2.0587350853169895</v>
      </c>
      <c r="Z13" s="31">
        <f t="shared" si="6"/>
        <v>4.5460907612395101</v>
      </c>
      <c r="AA13" s="40">
        <f t="shared" si="7"/>
        <v>0.46337253248960603</v>
      </c>
      <c r="AB13" s="47">
        <f>AVERAGE(32.95,33.11,33.71,34.07,34.88,35.13,36.11,36.46,37.42,38.54)</f>
        <v>35.238</v>
      </c>
      <c r="AC13" s="40">
        <f t="shared" si="14"/>
        <v>1.2277126369549489</v>
      </c>
      <c r="AD13" s="47">
        <f>_xlfn.STDEV.S(32.95,33.11,33.71,34.07,34.88,35.13,36.11,36.46,37.42,38.54)</f>
        <v>1.8714272628130644</v>
      </c>
      <c r="AE13" s="31">
        <f t="shared" si="8"/>
        <v>5.3108214507436982</v>
      </c>
      <c r="AF13" s="40">
        <f t="shared" si="9"/>
        <v>0.16843370321909015</v>
      </c>
      <c r="AG13" s="42">
        <v>19.309999999999999</v>
      </c>
      <c r="AH13" s="40">
        <f t="shared" si="10"/>
        <v>0.97630215863334935</v>
      </c>
      <c r="AI13" s="42">
        <v>1.59</v>
      </c>
      <c r="AJ13" s="31">
        <f t="shared" si="11"/>
        <v>8.2340756084930096</v>
      </c>
      <c r="AK13" s="40">
        <f t="shared" si="12"/>
        <v>-0.57755051819475123</v>
      </c>
      <c r="AL13" s="54" t="s">
        <v>138</v>
      </c>
      <c r="AM13" s="54">
        <v>2006</v>
      </c>
      <c r="AN13" s="54" t="s">
        <v>139</v>
      </c>
    </row>
    <row r="14" spans="1:45" x14ac:dyDescent="0.35">
      <c r="A14" s="56" t="s">
        <v>6</v>
      </c>
      <c r="B14" s="42" t="s">
        <v>297</v>
      </c>
      <c r="C14" s="42" t="s">
        <v>255</v>
      </c>
      <c r="D14" s="42" t="s">
        <v>137</v>
      </c>
      <c r="E14" s="42">
        <v>2002</v>
      </c>
      <c r="F14" s="42">
        <v>28.87</v>
      </c>
      <c r="G14" s="42">
        <v>-80.56</v>
      </c>
      <c r="H14" s="38">
        <f t="shared" si="0"/>
        <v>-0.35959684409090886</v>
      </c>
      <c r="I14" s="38">
        <f t="shared" si="1"/>
        <v>-0.74558800830564809</v>
      </c>
      <c r="J14" s="38">
        <f t="shared" si="2"/>
        <v>-0.56106027447207074</v>
      </c>
      <c r="K14" s="42" t="s">
        <v>109</v>
      </c>
      <c r="L14" s="42" t="s">
        <v>143</v>
      </c>
      <c r="M14" s="42">
        <v>8.9</v>
      </c>
      <c r="N14" s="47">
        <f>CONVERT(72.9,"F","C")</f>
        <v>22.722222222222225</v>
      </c>
      <c r="O14" s="40">
        <f t="shared" si="13"/>
        <v>0.52290070500673091</v>
      </c>
      <c r="P14" s="42"/>
      <c r="Q14" s="60">
        <f>CONVERT(AVERAGE(78.1,79.2,80.7,80.9),"F","C")</f>
        <v>26.513888888888886</v>
      </c>
      <c r="R14" s="40">
        <f t="shared" si="3"/>
        <v>0.47766296850860857</v>
      </c>
      <c r="S14" s="42"/>
      <c r="T14" s="47">
        <f>CONVERT(AVERAGE(1.46,8.7,4.85,9.35),"in","mm")</f>
        <v>154.68599999999998</v>
      </c>
      <c r="U14" s="40">
        <f t="shared" si="4"/>
        <v>0.3356027192148297</v>
      </c>
      <c r="V14" s="42"/>
      <c r="W14" s="47">
        <f>AVERAGE(42.83,43.34,43.81,44.47,44.78,45.34,46.57,47.11)</f>
        <v>44.781250000000007</v>
      </c>
      <c r="X14" s="40">
        <f t="shared" si="5"/>
        <v>1.0751133260193064</v>
      </c>
      <c r="Y14" s="47">
        <f>_xlfn.STDEV.S(42.83,43.34,43.81,44.47,44.78,45.34,46.57,47.11)</f>
        <v>1.5052141518259594</v>
      </c>
      <c r="Z14" s="31">
        <f t="shared" si="6"/>
        <v>3.3612597947264962</v>
      </c>
      <c r="AA14" s="40">
        <f t="shared" si="7"/>
        <v>-0.24801540556464152</v>
      </c>
      <c r="AB14" s="47">
        <f>AVERAGE(33.16,34.14,34.49,34.81,35.24,35.59,35.79,36.37,36.8)</f>
        <v>35.154444444444444</v>
      </c>
      <c r="AC14" s="40">
        <f t="shared" si="14"/>
        <v>1.1826569501199464</v>
      </c>
      <c r="AD14" s="47">
        <f>_xlfn.STDEV.S(33.16,34.14,34.49,34.81,35.24,35.59,35.79,36.37,36.8)</f>
        <v>1.1376193466084239</v>
      </c>
      <c r="AE14" s="31">
        <f t="shared" si="8"/>
        <v>3.2360612280653038</v>
      </c>
      <c r="AF14" s="40">
        <f t="shared" si="9"/>
        <v>-0.81511717973355735</v>
      </c>
      <c r="AG14" s="42">
        <v>18.03</v>
      </c>
      <c r="AH14" s="40">
        <f t="shared" si="10"/>
        <v>0.35434077526064112</v>
      </c>
      <c r="AI14" s="42">
        <v>1.08</v>
      </c>
      <c r="AJ14" s="31">
        <f t="shared" si="11"/>
        <v>5.9900166389351082</v>
      </c>
      <c r="AK14" s="40">
        <f t="shared" si="12"/>
        <v>-1.1055140886980988</v>
      </c>
      <c r="AL14" s="54" t="s">
        <v>138</v>
      </c>
      <c r="AM14" s="54">
        <v>2006</v>
      </c>
      <c r="AN14" s="54" t="s">
        <v>139</v>
      </c>
    </row>
    <row r="15" spans="1:45" x14ac:dyDescent="0.35">
      <c r="A15" s="56" t="s">
        <v>6</v>
      </c>
      <c r="B15" s="42" t="s">
        <v>298</v>
      </c>
      <c r="C15" s="42" t="s">
        <v>255</v>
      </c>
      <c r="D15" s="42" t="s">
        <v>137</v>
      </c>
      <c r="E15" s="42">
        <v>2002</v>
      </c>
      <c r="F15" s="42">
        <v>27.35</v>
      </c>
      <c r="G15" s="42">
        <v>-80.25</v>
      </c>
      <c r="H15" s="38">
        <f t="shared" si="0"/>
        <v>-8.3690633663712918E-2</v>
      </c>
      <c r="I15" s="38">
        <f t="shared" si="1"/>
        <v>-0.59652426517086765</v>
      </c>
      <c r="J15" s="38">
        <f t="shared" si="2"/>
        <v>0.79821969337978793</v>
      </c>
      <c r="K15" s="42" t="s">
        <v>109</v>
      </c>
      <c r="L15" s="42" t="s">
        <v>144</v>
      </c>
      <c r="M15" s="42" t="s">
        <v>104</v>
      </c>
      <c r="N15" s="47">
        <f>CONVERT(77.8,"F","C")</f>
        <v>25.444444444444443</v>
      </c>
      <c r="O15" s="40">
        <f t="shared" si="13"/>
        <v>1.3155160714115326</v>
      </c>
      <c r="P15" s="42"/>
      <c r="Q15" s="60">
        <f>CONVERT(AVERAGE(79.1,80.5,82.2,83.3),"F","C")</f>
        <v>27.375000000000004</v>
      </c>
      <c r="R15" s="40">
        <f t="shared" si="3"/>
        <v>1.0070223506012477</v>
      </c>
      <c r="S15" s="42"/>
      <c r="T15" s="47">
        <f>CONVERT(AVERAGE(1.43,4,6.47,7.65),"in","mm")</f>
        <v>124.14249999999997</v>
      </c>
      <c r="U15" s="40">
        <f t="shared" si="4"/>
        <v>6.1166365773035358E-2</v>
      </c>
      <c r="V15" s="42"/>
      <c r="W15" s="47">
        <f>AVERAGE(41.65,42.66,43.29,43.68,44.22,44.78,45.81,46.15,46.49)</f>
        <v>44.303333333333327</v>
      </c>
      <c r="X15" s="40">
        <f t="shared" si="5"/>
        <v>0.86341938402728113</v>
      </c>
      <c r="Y15" s="47">
        <f>_xlfn.STDEV.S(41.65,42.66,43.29,43.68,44.22,44.78,45.81,46.15,46.49)</f>
        <v>1.6527250225007195</v>
      </c>
      <c r="Z15" s="31">
        <f t="shared" si="6"/>
        <v>3.7304755605313065</v>
      </c>
      <c r="AA15" s="40">
        <f t="shared" si="7"/>
        <v>-2.6333452816558106E-2</v>
      </c>
      <c r="AB15" s="47">
        <f>AVERAGE(32.2,32.58,32.95,33.79,34.21,35.03,35.88,36.15)</f>
        <v>34.098750000000003</v>
      </c>
      <c r="AC15" s="40">
        <f t="shared" si="14"/>
        <v>0.61339452386853088</v>
      </c>
      <c r="AD15" s="47">
        <f>_xlfn.STDEV.S(32.2,32.58,32.95,33.79,34.21,35.03,35.88,36.15)</f>
        <v>1.4922125231634109</v>
      </c>
      <c r="AE15" s="31">
        <f t="shared" si="8"/>
        <v>4.3761502200620574</v>
      </c>
      <c r="AF15" s="40">
        <f t="shared" si="9"/>
        <v>-0.27465205876867677</v>
      </c>
      <c r="AG15" s="42">
        <v>18.77</v>
      </c>
      <c r="AH15" s="40">
        <f t="shared" si="10"/>
        <v>0.71391220002298794</v>
      </c>
      <c r="AI15" s="42">
        <v>1.67</v>
      </c>
      <c r="AJ15" s="31">
        <f t="shared" si="11"/>
        <v>8.8971763452317525</v>
      </c>
      <c r="AK15" s="40">
        <f t="shared" si="12"/>
        <v>-0.42154168004868486</v>
      </c>
      <c r="AL15" s="54" t="s">
        <v>138</v>
      </c>
      <c r="AM15" s="54">
        <v>2006</v>
      </c>
      <c r="AN15" s="54" t="s">
        <v>139</v>
      </c>
    </row>
    <row r="16" spans="1:45" x14ac:dyDescent="0.35">
      <c r="A16" s="56" t="s">
        <v>6</v>
      </c>
      <c r="B16" s="42" t="s">
        <v>299</v>
      </c>
      <c r="C16" s="42" t="s">
        <v>255</v>
      </c>
      <c r="D16" s="42" t="s">
        <v>137</v>
      </c>
      <c r="E16" s="42">
        <v>2002</v>
      </c>
      <c r="F16" s="42">
        <v>26.87</v>
      </c>
      <c r="G16" s="42">
        <v>-80.05</v>
      </c>
      <c r="H16" s="38">
        <f t="shared" si="0"/>
        <v>1.003705135470761E-2</v>
      </c>
      <c r="I16" s="38">
        <f t="shared" si="1"/>
        <v>-0.16539045752821438</v>
      </c>
      <c r="J16" s="38">
        <f t="shared" si="2"/>
        <v>0.98617709066815729</v>
      </c>
      <c r="K16" s="42" t="s">
        <v>109</v>
      </c>
      <c r="L16" s="42" t="s">
        <v>145</v>
      </c>
      <c r="M16" s="42">
        <v>16.600000000000001</v>
      </c>
      <c r="N16" s="47">
        <f>CONVERT(76.1,"F","C")</f>
        <v>24.499999999999996</v>
      </c>
      <c r="O16" s="40">
        <f t="shared" si="13"/>
        <v>1.040527066740478</v>
      </c>
      <c r="P16" s="42"/>
      <c r="Q16" s="60">
        <f>CONVERT(AVERAGE(80,80.3,82.6,82.8),"F","C")</f>
        <v>27.458333333333332</v>
      </c>
      <c r="R16" s="40">
        <f t="shared" si="3"/>
        <v>1.0582506779005321</v>
      </c>
      <c r="S16" s="42"/>
      <c r="T16" s="47">
        <f>CONVERT(AVERAGE(0.51,20.09,5.97,5.46),"in","mm")</f>
        <v>203.3905</v>
      </c>
      <c r="U16" s="40">
        <f t="shared" si="4"/>
        <v>0.77321744497336675</v>
      </c>
      <c r="V16" s="42"/>
      <c r="W16" s="47">
        <f>AVERAGE(42.09,42.56,43.43,43.8,44.17,44.8,45.15,45.44,45.9)</f>
        <v>44.148888888888884</v>
      </c>
      <c r="X16" s="40">
        <f t="shared" si="5"/>
        <v>0.7950079735375617</v>
      </c>
      <c r="Y16" s="47">
        <f>_xlfn.STDEV.S(42.09,42.56,43.43,43.8,44.17,44.8,45.15,45.44,45.9)</f>
        <v>1.3020219318855986</v>
      </c>
      <c r="Z16" s="31">
        <f t="shared" si="6"/>
        <v>2.9491612691826616</v>
      </c>
      <c r="AA16" s="40">
        <f t="shared" si="7"/>
        <v>-0.49544472556680746</v>
      </c>
      <c r="AB16" s="47">
        <f>AVERAGE(30.36,32.03,32.31,33.89,34.3,34.53,34.85,35.52)</f>
        <v>33.473749999999995</v>
      </c>
      <c r="AC16" s="40">
        <f t="shared" si="14"/>
        <v>0.2763755897636227</v>
      </c>
      <c r="AD16" s="47">
        <f>_xlfn.STDEV.S(30.36,32.03,32.31,33.89,34.3,34.53,34.85,35.52)</f>
        <v>1.7397449525720723</v>
      </c>
      <c r="AE16" s="31">
        <f t="shared" si="8"/>
        <v>5.1973410585072557</v>
      </c>
      <c r="AF16" s="40">
        <f t="shared" si="9"/>
        <v>0.11463773259946891</v>
      </c>
      <c r="AG16" s="42">
        <v>18.649999999999999</v>
      </c>
      <c r="AH16" s="40">
        <f t="shared" si="10"/>
        <v>0.65560332033179602</v>
      </c>
      <c r="AI16" s="42">
        <v>1.55</v>
      </c>
      <c r="AJ16" s="31">
        <f t="shared" si="11"/>
        <v>8.3109919571045587</v>
      </c>
      <c r="AK16" s="40">
        <f t="shared" si="12"/>
        <v>-0.5594542780362165</v>
      </c>
      <c r="AL16" s="54" t="s">
        <v>138</v>
      </c>
      <c r="AM16" s="54">
        <v>2006</v>
      </c>
      <c r="AN16" s="54" t="s">
        <v>139</v>
      </c>
    </row>
    <row r="17" spans="1:40" x14ac:dyDescent="0.35">
      <c r="A17" s="56" t="s">
        <v>6</v>
      </c>
      <c r="B17" s="42" t="s">
        <v>108</v>
      </c>
      <c r="C17" s="42" t="s">
        <v>255</v>
      </c>
      <c r="D17" s="42" t="s">
        <v>137</v>
      </c>
      <c r="E17" s="42">
        <v>2002</v>
      </c>
      <c r="F17" s="42">
        <v>26.36</v>
      </c>
      <c r="G17" s="42">
        <v>-80.06</v>
      </c>
      <c r="H17" s="38">
        <f t="shared" si="0"/>
        <v>-1.7040083371699967E-2</v>
      </c>
      <c r="I17" s="38">
        <f t="shared" si="1"/>
        <v>0.33638873136773828</v>
      </c>
      <c r="J17" s="38">
        <f t="shared" si="2"/>
        <v>0.94156903993679031</v>
      </c>
      <c r="K17" s="42" t="s">
        <v>109</v>
      </c>
      <c r="L17" s="42" t="s">
        <v>110</v>
      </c>
      <c r="M17" s="47">
        <v>31.2212736</v>
      </c>
      <c r="N17" s="47">
        <f>CONVERT(76.8,"F","C")</f>
        <v>24.888888888888886</v>
      </c>
      <c r="O17" s="40">
        <f t="shared" si="13"/>
        <v>1.1537578333697356</v>
      </c>
      <c r="P17" s="42"/>
      <c r="Q17" s="60">
        <f>CONVERT(AVERAGE(80.5,80.1,82.1,82.9),"F","C")</f>
        <v>27.444444444444446</v>
      </c>
      <c r="R17" s="40">
        <f t="shared" si="3"/>
        <v>1.0497126233506529</v>
      </c>
      <c r="S17" s="42"/>
      <c r="T17" s="47">
        <f>CONVERT(AVERAGE(6.36,16.5,9,6.77),"in","mm")</f>
        <v>245.30049999999994</v>
      </c>
      <c r="U17" s="40">
        <f t="shared" si="4"/>
        <v>1.1497829195504645</v>
      </c>
      <c r="V17" s="42"/>
      <c r="W17" s="47">
        <f>AVERAGE(42.85,43.17,44.32,45,45.35,45.7)</f>
        <v>44.398333333333333</v>
      </c>
      <c r="X17" s="40">
        <f t="shared" si="5"/>
        <v>0.90549978400477327</v>
      </c>
      <c r="Y17" s="47">
        <f>_xlfn.STDEV.S(42.85,43.17,44.32,45,45.35,45.7)</f>
        <v>1.1725428208243258</v>
      </c>
      <c r="Z17" s="31">
        <f t="shared" si="6"/>
        <v>2.640961344249392</v>
      </c>
      <c r="AA17" s="40">
        <f t="shared" si="7"/>
        <v>-0.68049197306744447</v>
      </c>
      <c r="AB17" s="47">
        <f>AVERAGE(31.94,32.38,32.77,33.18,33.68,34.53,34.81,35.2,36.37)</f>
        <v>33.873333333333335</v>
      </c>
      <c r="AC17" s="40">
        <f t="shared" si="14"/>
        <v>0.49184302830136145</v>
      </c>
      <c r="AD17" s="47">
        <f>_xlfn.STDEV.S(31.94,32.38,32.77,33.18,33.68,34.53,34.81,35.2,36.37)</f>
        <v>1.4579609048256394</v>
      </c>
      <c r="AE17" s="31">
        <f t="shared" si="8"/>
        <v>4.3041553970447923</v>
      </c>
      <c r="AF17" s="40">
        <f t="shared" si="9"/>
        <v>-0.30878157936226053</v>
      </c>
      <c r="AG17" s="42">
        <v>18.63</v>
      </c>
      <c r="AH17" s="40">
        <f t="shared" si="10"/>
        <v>0.64588517371659759</v>
      </c>
      <c r="AI17" s="42">
        <v>2.12</v>
      </c>
      <c r="AJ17" s="31">
        <f t="shared" si="11"/>
        <v>11.379495437466453</v>
      </c>
      <c r="AK17" s="40">
        <f t="shared" si="12"/>
        <v>0.16247775475389298</v>
      </c>
      <c r="AL17" s="54" t="s">
        <v>138</v>
      </c>
      <c r="AM17" s="54">
        <v>2006</v>
      </c>
      <c r="AN17" s="54" t="s">
        <v>139</v>
      </c>
    </row>
    <row r="18" spans="1:40" x14ac:dyDescent="0.35">
      <c r="A18" s="56" t="s">
        <v>6</v>
      </c>
      <c r="B18" s="51" t="s">
        <v>8</v>
      </c>
      <c r="C18" s="51" t="s">
        <v>259</v>
      </c>
      <c r="D18" s="51" t="s">
        <v>162</v>
      </c>
      <c r="E18" s="51">
        <v>2004</v>
      </c>
      <c r="F18" s="51">
        <v>36.479999999999997</v>
      </c>
      <c r="G18" s="51">
        <v>28.37</v>
      </c>
      <c r="H18" s="38">
        <f t="shared" si="0"/>
        <v>-0.3429045400649825</v>
      </c>
      <c r="I18" s="38">
        <f t="shared" si="1"/>
        <v>-3.2904788996157446E-2</v>
      </c>
      <c r="J18" s="38">
        <f t="shared" si="2"/>
        <v>-0.9387937746192937</v>
      </c>
      <c r="K18" s="51" t="s">
        <v>203</v>
      </c>
      <c r="L18" s="51" t="s">
        <v>204</v>
      </c>
      <c r="M18" s="51">
        <v>50.65</v>
      </c>
      <c r="N18" s="51">
        <v>18.100000000000001</v>
      </c>
      <c r="O18" s="40">
        <f t="shared" si="13"/>
        <v>-0.82292783550101656</v>
      </c>
      <c r="P18" s="51"/>
      <c r="Q18" s="63">
        <f>AVERAGE(19.2,24,26.6,26.9,24.5)</f>
        <v>24.240000000000002</v>
      </c>
      <c r="R18" s="40">
        <f t="shared" si="3"/>
        <v>-0.92018732239793988</v>
      </c>
      <c r="S18" s="51"/>
      <c r="T18" s="52">
        <f>AVERAGE(6.61,0.76,0,0,0.51)</f>
        <v>1.5760000000000001</v>
      </c>
      <c r="U18" s="40">
        <f t="shared" si="4"/>
        <v>-1.0401056991220707</v>
      </c>
      <c r="V18" s="51"/>
      <c r="W18" s="51">
        <v>40.520000000000003</v>
      </c>
      <c r="X18" s="40">
        <f t="shared" si="5"/>
        <v>-0.81241408876045462</v>
      </c>
      <c r="Y18" s="51">
        <v>0.84</v>
      </c>
      <c r="Z18" s="31">
        <f t="shared" si="6"/>
        <v>2.0730503455083906</v>
      </c>
      <c r="AA18" s="40">
        <f t="shared" si="7"/>
        <v>-1.0214731305583613</v>
      </c>
      <c r="AB18" s="41">
        <f>0.73*(W18)+2.0837</f>
        <v>31.663300000000003</v>
      </c>
      <c r="AC18" s="40">
        <f t="shared" si="14"/>
        <v>-0.69987389703673164</v>
      </c>
      <c r="AD18" s="48">
        <f>((MAX($AB$8:$AB$35)-MIN($AB$8:$AB$35))/(2*_xlfn.NORM.DIST(AB18,$AB30,$AB31,TRUE)^-1)*((83-0.375)/(83+0.25)))</f>
        <v>2.0622240408057784</v>
      </c>
      <c r="AE18" s="31">
        <f t="shared" si="8"/>
        <v>6.5129788771409753</v>
      </c>
      <c r="AF18" s="40">
        <f t="shared" si="9"/>
        <v>0.73832268858566752</v>
      </c>
      <c r="AG18" s="30">
        <v>14.42</v>
      </c>
      <c r="AH18" s="40">
        <f t="shared" si="10"/>
        <v>-1.3997846887827039</v>
      </c>
      <c r="AI18" s="30">
        <v>1.24</v>
      </c>
      <c r="AJ18" s="31">
        <f t="shared" si="11"/>
        <v>8.5991678224687931</v>
      </c>
      <c r="AK18" s="40">
        <f t="shared" si="12"/>
        <v>-0.49165465205732911</v>
      </c>
      <c r="AL18" s="54" t="s">
        <v>160</v>
      </c>
      <c r="AM18" s="54">
        <v>2007</v>
      </c>
      <c r="AN18" s="54" t="s">
        <v>161</v>
      </c>
    </row>
    <row r="19" spans="1:40" x14ac:dyDescent="0.35">
      <c r="A19" s="56" t="s">
        <v>6</v>
      </c>
      <c r="B19" s="51" t="s">
        <v>7</v>
      </c>
      <c r="C19" s="51" t="s">
        <v>259</v>
      </c>
      <c r="D19" s="51" t="s">
        <v>162</v>
      </c>
      <c r="E19" s="51">
        <v>2004</v>
      </c>
      <c r="F19" s="51">
        <v>36.409999999999997</v>
      </c>
      <c r="G19" s="51">
        <v>29.04</v>
      </c>
      <c r="H19" s="38">
        <f t="shared" si="0"/>
        <v>-0.20039736189999732</v>
      </c>
      <c r="I19" s="38">
        <f t="shared" si="1"/>
        <v>-0.19264090613685469</v>
      </c>
      <c r="J19" s="38">
        <f t="shared" si="2"/>
        <v>-0.9605885584506475</v>
      </c>
      <c r="K19" s="51" t="s">
        <v>203</v>
      </c>
      <c r="L19" s="51" t="s">
        <v>204</v>
      </c>
      <c r="M19" s="51">
        <v>31.57</v>
      </c>
      <c r="N19" s="51">
        <v>18.100000000000001</v>
      </c>
      <c r="O19" s="40">
        <f t="shared" si="13"/>
        <v>-0.82292783550101656</v>
      </c>
      <c r="P19" s="51"/>
      <c r="Q19" s="63">
        <f>AVERAGE(19.2,24,26.6,26.9,24.5)</f>
        <v>24.240000000000002</v>
      </c>
      <c r="R19" s="40">
        <f t="shared" si="3"/>
        <v>-0.92018732239793988</v>
      </c>
      <c r="S19" s="51"/>
      <c r="T19" s="52">
        <f>AVERAGE(6.61,0.76,0,0,0.51)</f>
        <v>1.5760000000000001</v>
      </c>
      <c r="U19" s="40">
        <f t="shared" si="4"/>
        <v>-1.0401056991220707</v>
      </c>
      <c r="V19" s="51"/>
      <c r="W19" s="51">
        <v>39.46</v>
      </c>
      <c r="X19" s="40">
        <f t="shared" si="5"/>
        <v>-1.2819427621934965</v>
      </c>
      <c r="Y19" s="51">
        <v>1.51</v>
      </c>
      <c r="Z19" s="31">
        <f t="shared" si="6"/>
        <v>3.8266599087683728</v>
      </c>
      <c r="AA19" s="40">
        <f t="shared" si="7"/>
        <v>3.1416882125170284E-2</v>
      </c>
      <c r="AB19" s="41">
        <f>0.73*(W19)+2.0837</f>
        <v>30.889500000000002</v>
      </c>
      <c r="AC19" s="40">
        <f t="shared" si="14"/>
        <v>-1.1171302989733323</v>
      </c>
      <c r="AD19" s="48">
        <f>((MAX($AB$8:$AB$35)-MIN($AB$8:$AB$35))/(2*_xlfn.NORM.DIST(AB19,$AB30,$AB31,TRUE)^-1)*((106-0.375)/(106+0.25)))</f>
        <v>2.0265034472837851</v>
      </c>
      <c r="AE19" s="31">
        <f t="shared" si="8"/>
        <v>6.5604928771387847</v>
      </c>
      <c r="AF19" s="40">
        <f t="shared" si="9"/>
        <v>0.76084694760106775</v>
      </c>
      <c r="AG19" s="30">
        <v>14.12</v>
      </c>
      <c r="AH19" s="40">
        <f t="shared" si="10"/>
        <v>-1.5455568880106831</v>
      </c>
      <c r="AI19" s="30">
        <v>1.46</v>
      </c>
      <c r="AJ19" s="31">
        <f t="shared" si="11"/>
        <v>10.339943342776206</v>
      </c>
      <c r="AK19" s="40">
        <f t="shared" si="12"/>
        <v>-8.2099434652597614E-2</v>
      </c>
      <c r="AL19" s="54" t="s">
        <v>160</v>
      </c>
      <c r="AM19" s="54">
        <v>2007</v>
      </c>
      <c r="AN19" s="54" t="s">
        <v>161</v>
      </c>
    </row>
    <row r="20" spans="1:40" x14ac:dyDescent="0.35">
      <c r="A20" s="56" t="s">
        <v>6</v>
      </c>
      <c r="B20" s="51" t="s">
        <v>5</v>
      </c>
      <c r="C20" s="51" t="s">
        <v>259</v>
      </c>
      <c r="D20" s="51" t="s">
        <v>162</v>
      </c>
      <c r="E20" s="51">
        <v>2004</v>
      </c>
      <c r="F20" s="51">
        <v>36.17</v>
      </c>
      <c r="G20" s="51">
        <v>34.04</v>
      </c>
      <c r="H20" s="38">
        <f t="shared" si="0"/>
        <v>-3.6215376042736315E-2</v>
      </c>
      <c r="I20" s="38">
        <f t="shared" si="1"/>
        <v>2.0616414346485226E-2</v>
      </c>
      <c r="J20" s="38">
        <f t="shared" si="2"/>
        <v>-0.99913132770300883</v>
      </c>
      <c r="K20" s="51" t="s">
        <v>206</v>
      </c>
      <c r="L20" s="51" t="s">
        <v>205</v>
      </c>
      <c r="M20" s="51">
        <v>13.89</v>
      </c>
      <c r="N20" s="51">
        <v>19.899999999999999</v>
      </c>
      <c r="O20" s="40">
        <f t="shared" si="13"/>
        <v>-0.29883114424559659</v>
      </c>
      <c r="P20" s="51"/>
      <c r="Q20" s="63">
        <f>AVERAGE(20.3,24.7,27.9,27.9,25.4)</f>
        <v>25.240000000000002</v>
      </c>
      <c r="R20" s="40">
        <f t="shared" si="3"/>
        <v>-0.3054473948064928</v>
      </c>
      <c r="S20" s="51"/>
      <c r="T20" s="51">
        <v>174.9</v>
      </c>
      <c r="U20" s="40">
        <f t="shared" si="4"/>
        <v>0.51722749857778538</v>
      </c>
      <c r="V20" s="51"/>
      <c r="W20" s="51">
        <v>40.950000000000003</v>
      </c>
      <c r="X20" s="40">
        <f t="shared" si="5"/>
        <v>-0.62194490991497597</v>
      </c>
      <c r="Y20" s="51">
        <v>2.12</v>
      </c>
      <c r="Z20" s="31">
        <f t="shared" si="6"/>
        <v>5.1770451770451764</v>
      </c>
      <c r="AA20" s="40">
        <f t="shared" si="7"/>
        <v>0.84220577837209809</v>
      </c>
      <c r="AB20" s="41">
        <f>0.73*(W20)+2.0837</f>
        <v>31.977200000000003</v>
      </c>
      <c r="AC20" s="40">
        <f t="shared" si="14"/>
        <v>-0.5306095075718843</v>
      </c>
      <c r="AD20" s="48">
        <f>((MAX($AB$8:$AB$35)-MIN($AB$8:$AB$35))/(2*_xlfn.NORM.DIST(AB20,$AB30,$AB31,TRUE)^-1)*((97-0.375)/(97+0.25)))</f>
        <v>2.0803300165020393</v>
      </c>
      <c r="AE20" s="31">
        <f t="shared" si="8"/>
        <v>6.5056665890135434</v>
      </c>
      <c r="AF20" s="40">
        <f t="shared" si="9"/>
        <v>0.73485626033746476</v>
      </c>
      <c r="AG20" s="30">
        <v>14.96</v>
      </c>
      <c r="AH20" s="40">
        <f t="shared" si="10"/>
        <v>-1.1373947301723417</v>
      </c>
      <c r="AI20" s="30">
        <v>1.48</v>
      </c>
      <c r="AJ20" s="31">
        <f t="shared" si="11"/>
        <v>9.8930481283422456</v>
      </c>
      <c r="AK20" s="40">
        <f t="shared" si="12"/>
        <v>-0.18724123183981486</v>
      </c>
      <c r="AL20" s="54" t="s">
        <v>160</v>
      </c>
      <c r="AM20" s="54">
        <v>2007</v>
      </c>
      <c r="AN20" s="54" t="s">
        <v>161</v>
      </c>
    </row>
    <row r="21" spans="1:40" x14ac:dyDescent="0.35">
      <c r="A21" s="56" t="s">
        <v>6</v>
      </c>
      <c r="B21" s="51" t="s">
        <v>8</v>
      </c>
      <c r="C21" s="51" t="s">
        <v>259</v>
      </c>
      <c r="D21" s="51" t="s">
        <v>189</v>
      </c>
      <c r="E21" s="51">
        <v>2004</v>
      </c>
      <c r="F21" s="51">
        <v>36.479999999999997</v>
      </c>
      <c r="G21" s="51">
        <v>28.37</v>
      </c>
      <c r="H21" s="38">
        <f t="shared" si="0"/>
        <v>-0.3429045400649825</v>
      </c>
      <c r="I21" s="38">
        <f t="shared" si="1"/>
        <v>-3.2904788996157446E-2</v>
      </c>
      <c r="J21" s="38">
        <f t="shared" si="2"/>
        <v>-0.9387937746192937</v>
      </c>
      <c r="K21" s="51" t="s">
        <v>203</v>
      </c>
      <c r="L21" s="51" t="s">
        <v>204</v>
      </c>
      <c r="M21" s="51">
        <v>50.65</v>
      </c>
      <c r="N21" s="51">
        <v>18.100000000000001</v>
      </c>
      <c r="O21" s="40">
        <f t="shared" si="13"/>
        <v>-0.82292783550101656</v>
      </c>
      <c r="P21" s="51"/>
      <c r="Q21" s="63">
        <f>AVERAGE(24,26.6,26.9)</f>
        <v>25.833333333333332</v>
      </c>
      <c r="R21" s="40">
        <f t="shared" si="3"/>
        <v>5.9298295564430538E-2</v>
      </c>
      <c r="S21" s="51"/>
      <c r="T21" s="52">
        <f>AVERAGE(0.76,0,0)</f>
        <v>0.25333333333333335</v>
      </c>
      <c r="U21" s="40">
        <f t="shared" si="4"/>
        <v>-1.0519899892924511</v>
      </c>
      <c r="V21" s="51"/>
      <c r="W21" s="51">
        <v>40.4</v>
      </c>
      <c r="X21" s="40">
        <f t="shared" si="5"/>
        <v>-0.86556827820570648</v>
      </c>
      <c r="Y21" s="51">
        <v>1.52</v>
      </c>
      <c r="Z21" s="31">
        <f t="shared" si="6"/>
        <v>3.7623762376237622</v>
      </c>
      <c r="AA21" s="40">
        <f t="shared" si="7"/>
        <v>-7.1798709633384E-3</v>
      </c>
      <c r="AB21" s="51">
        <v>31.6</v>
      </c>
      <c r="AC21" s="40">
        <f t="shared" si="14"/>
        <v>-0.73400717468287724</v>
      </c>
      <c r="AD21" s="51">
        <v>1.4</v>
      </c>
      <c r="AE21" s="31">
        <f t="shared" si="8"/>
        <v>4.4303797468354427</v>
      </c>
      <c r="AF21" s="40">
        <f t="shared" si="9"/>
        <v>-0.24894426933014027</v>
      </c>
      <c r="AG21" s="51">
        <v>14.6</v>
      </c>
      <c r="AH21" s="40">
        <f t="shared" si="10"/>
        <v>-1.3123213692459168</v>
      </c>
      <c r="AI21" s="51">
        <v>1.59</v>
      </c>
      <c r="AJ21" s="31">
        <f t="shared" si="11"/>
        <v>10.890410958904111</v>
      </c>
      <c r="AK21" s="40">
        <f t="shared" si="12"/>
        <v>4.7410017638939532E-2</v>
      </c>
      <c r="AL21" s="54" t="s">
        <v>191</v>
      </c>
      <c r="AM21" s="54">
        <v>2007</v>
      </c>
      <c r="AN21" s="54" t="s">
        <v>192</v>
      </c>
    </row>
    <row r="22" spans="1:40" x14ac:dyDescent="0.35">
      <c r="A22" s="56" t="s">
        <v>6</v>
      </c>
      <c r="B22" s="51" t="s">
        <v>8</v>
      </c>
      <c r="C22" s="51" t="s">
        <v>259</v>
      </c>
      <c r="D22" s="51" t="s">
        <v>190</v>
      </c>
      <c r="E22" s="51">
        <v>2004</v>
      </c>
      <c r="F22" s="51">
        <v>36.479999999999997</v>
      </c>
      <c r="G22" s="51">
        <v>28.37</v>
      </c>
      <c r="H22" s="38">
        <f t="shared" si="0"/>
        <v>-0.3429045400649825</v>
      </c>
      <c r="I22" s="38">
        <f t="shared" si="1"/>
        <v>-3.2904788996157446E-2</v>
      </c>
      <c r="J22" s="38">
        <f t="shared" si="2"/>
        <v>-0.9387937746192937</v>
      </c>
      <c r="K22" s="51" t="s">
        <v>203</v>
      </c>
      <c r="L22" s="51" t="s">
        <v>204</v>
      </c>
      <c r="M22" s="51">
        <v>50.65</v>
      </c>
      <c r="N22" s="51">
        <v>18.100000000000001</v>
      </c>
      <c r="O22" s="40">
        <f t="shared" si="13"/>
        <v>-0.82292783550101656</v>
      </c>
      <c r="P22" s="51"/>
      <c r="Q22" s="63">
        <f>AVERAGE(24,26.6,26.9)</f>
        <v>25.833333333333332</v>
      </c>
      <c r="R22" s="40">
        <f t="shared" si="3"/>
        <v>5.9298295564430538E-2</v>
      </c>
      <c r="S22" s="51"/>
      <c r="T22" s="52">
        <f>AVERAGE(0.76,0,0)</f>
        <v>0.25333333333333335</v>
      </c>
      <c r="U22" s="40">
        <f t="shared" si="4"/>
        <v>-1.0519899892924511</v>
      </c>
      <c r="V22" s="51"/>
      <c r="W22" s="51">
        <v>40.5</v>
      </c>
      <c r="X22" s="40">
        <f t="shared" si="5"/>
        <v>-0.82127312033466426</v>
      </c>
      <c r="Y22" s="51">
        <v>1.33</v>
      </c>
      <c r="Z22" s="31">
        <f t="shared" si="6"/>
        <v>3.283950617283951</v>
      </c>
      <c r="AA22" s="40">
        <f t="shared" si="7"/>
        <v>-0.294432842218394</v>
      </c>
      <c r="AB22" s="51">
        <v>31.5</v>
      </c>
      <c r="AC22" s="40">
        <f t="shared" si="14"/>
        <v>-0.78793020413966275</v>
      </c>
      <c r="AD22" s="51">
        <v>1.0900000000000001</v>
      </c>
      <c r="AE22" s="31">
        <f t="shared" si="8"/>
        <v>3.4603174603174609</v>
      </c>
      <c r="AF22" s="40">
        <f t="shared" si="9"/>
        <v>-0.70880734555209057</v>
      </c>
      <c r="AG22" s="51">
        <v>14.5</v>
      </c>
      <c r="AH22" s="40">
        <f t="shared" si="10"/>
        <v>-1.3609121023219095</v>
      </c>
      <c r="AI22" s="51">
        <v>1.42</v>
      </c>
      <c r="AJ22" s="31">
        <f t="shared" si="11"/>
        <v>9.7931034482758612</v>
      </c>
      <c r="AK22" s="40">
        <f t="shared" si="12"/>
        <v>-0.21075538670672489</v>
      </c>
      <c r="AL22" s="54" t="s">
        <v>191</v>
      </c>
      <c r="AM22" s="54">
        <v>2007</v>
      </c>
      <c r="AN22" s="54" t="s">
        <v>192</v>
      </c>
    </row>
    <row r="23" spans="1:40" x14ac:dyDescent="0.35">
      <c r="A23" s="56" t="s">
        <v>6</v>
      </c>
      <c r="B23" s="51" t="s">
        <v>8</v>
      </c>
      <c r="C23" s="51" t="s">
        <v>259</v>
      </c>
      <c r="D23" s="51" t="s">
        <v>193</v>
      </c>
      <c r="E23" s="51">
        <v>2004</v>
      </c>
      <c r="F23" s="51">
        <v>36.479999999999997</v>
      </c>
      <c r="G23" s="51">
        <v>28.37</v>
      </c>
      <c r="H23" s="38">
        <f t="shared" si="0"/>
        <v>-0.3429045400649825</v>
      </c>
      <c r="I23" s="38">
        <f t="shared" si="1"/>
        <v>-3.2904788996157446E-2</v>
      </c>
      <c r="J23" s="38">
        <f t="shared" si="2"/>
        <v>-0.9387937746192937</v>
      </c>
      <c r="K23" s="51" t="s">
        <v>203</v>
      </c>
      <c r="L23" s="51" t="s">
        <v>204</v>
      </c>
      <c r="M23" s="51">
        <v>50.65</v>
      </c>
      <c r="N23" s="51">
        <v>18.100000000000001</v>
      </c>
      <c r="O23" s="40">
        <f t="shared" si="13"/>
        <v>-0.82292783550101656</v>
      </c>
      <c r="P23" s="51"/>
      <c r="Q23" s="63">
        <f>AVERAGE(24,26.6,26.9)</f>
        <v>25.833333333333332</v>
      </c>
      <c r="R23" s="40">
        <f t="shared" si="3"/>
        <v>5.9298295564430538E-2</v>
      </c>
      <c r="S23" s="51"/>
      <c r="T23" s="52">
        <f>AVERAGE(0.76,0,0)</f>
        <v>0.25333333333333335</v>
      </c>
      <c r="U23" s="40">
        <f t="shared" si="4"/>
        <v>-1.0519899892924511</v>
      </c>
      <c r="V23" s="51"/>
      <c r="W23" s="51">
        <v>40.6</v>
      </c>
      <c r="X23" s="40">
        <f t="shared" si="5"/>
        <v>-0.77697796246362205</v>
      </c>
      <c r="Y23" s="51">
        <v>1.69</v>
      </c>
      <c r="Z23" s="31">
        <f t="shared" si="6"/>
        <v>4.1625615763546797</v>
      </c>
      <c r="AA23" s="40">
        <f t="shared" si="7"/>
        <v>0.23309661657409389</v>
      </c>
      <c r="AB23" s="51">
        <v>31.8</v>
      </c>
      <c r="AC23" s="40">
        <f t="shared" si="14"/>
        <v>-0.62616111576930822</v>
      </c>
      <c r="AD23" s="51">
        <v>1.36</v>
      </c>
      <c r="AE23" s="31">
        <f t="shared" si="8"/>
        <v>4.2767295597484285</v>
      </c>
      <c r="AF23" s="40">
        <f t="shared" si="9"/>
        <v>-0.32178294028758786</v>
      </c>
      <c r="AG23" s="51">
        <v>15.1</v>
      </c>
      <c r="AH23" s="40">
        <f t="shared" si="10"/>
        <v>-1.0693677038659521</v>
      </c>
      <c r="AI23" s="51">
        <v>1.92</v>
      </c>
      <c r="AJ23" s="31">
        <f t="shared" si="11"/>
        <v>12.715231788079469</v>
      </c>
      <c r="AK23" s="40">
        <f t="shared" si="12"/>
        <v>0.47673871780679078</v>
      </c>
      <c r="AL23" s="54" t="s">
        <v>191</v>
      </c>
      <c r="AM23" s="54">
        <v>2007</v>
      </c>
      <c r="AN23" s="54" t="s">
        <v>192</v>
      </c>
    </row>
    <row r="24" spans="1:40" x14ac:dyDescent="0.35">
      <c r="A24" s="56" t="s">
        <v>6</v>
      </c>
      <c r="B24" s="51" t="s">
        <v>8</v>
      </c>
      <c r="C24" s="51" t="s">
        <v>259</v>
      </c>
      <c r="D24" s="51" t="s">
        <v>194</v>
      </c>
      <c r="E24" s="51">
        <v>2004</v>
      </c>
      <c r="F24" s="51">
        <v>36.479999999999997</v>
      </c>
      <c r="G24" s="51">
        <v>28.37</v>
      </c>
      <c r="H24" s="38">
        <f t="shared" si="0"/>
        <v>-0.3429045400649825</v>
      </c>
      <c r="I24" s="38">
        <f t="shared" si="1"/>
        <v>-3.2904788996157446E-2</v>
      </c>
      <c r="J24" s="38">
        <f t="shared" si="2"/>
        <v>-0.9387937746192937</v>
      </c>
      <c r="K24" s="51" t="s">
        <v>203</v>
      </c>
      <c r="L24" s="51" t="s">
        <v>204</v>
      </c>
      <c r="M24" s="51">
        <v>50.65</v>
      </c>
      <c r="N24" s="51">
        <v>18.100000000000001</v>
      </c>
      <c r="O24" s="40">
        <f t="shared" si="13"/>
        <v>-0.82292783550101656</v>
      </c>
      <c r="P24" s="51"/>
      <c r="Q24" s="63">
        <f>AVERAGE(24,26.6,26.9)</f>
        <v>25.833333333333332</v>
      </c>
      <c r="R24" s="40">
        <f t="shared" si="3"/>
        <v>5.9298295564430538E-2</v>
      </c>
      <c r="S24" s="51"/>
      <c r="T24" s="52">
        <f>AVERAGE(0.76,0,0)</f>
        <v>0.25333333333333335</v>
      </c>
      <c r="U24" s="40">
        <f t="shared" si="4"/>
        <v>-1.0519899892924511</v>
      </c>
      <c r="V24" s="51"/>
      <c r="W24" s="51">
        <v>40.1</v>
      </c>
      <c r="X24" s="40">
        <f t="shared" si="5"/>
        <v>-0.99845375181883</v>
      </c>
      <c r="Y24" s="51">
        <v>1.33</v>
      </c>
      <c r="Z24" s="31">
        <f t="shared" si="6"/>
        <v>3.3167082294264341</v>
      </c>
      <c r="AA24" s="40">
        <f t="shared" si="7"/>
        <v>-0.27476474540437829</v>
      </c>
      <c r="AB24" s="51">
        <v>31.4</v>
      </c>
      <c r="AC24" s="40">
        <f t="shared" si="14"/>
        <v>-0.84185323359644815</v>
      </c>
      <c r="AD24" s="51">
        <v>1.1100000000000001</v>
      </c>
      <c r="AE24" s="31">
        <f t="shared" si="8"/>
        <v>3.5350318471337587</v>
      </c>
      <c r="AF24" s="40">
        <f t="shared" si="9"/>
        <v>-0.67338860158389846</v>
      </c>
      <c r="AG24" s="51">
        <v>14.5</v>
      </c>
      <c r="AH24" s="40">
        <f t="shared" si="10"/>
        <v>-1.3609121023219095</v>
      </c>
      <c r="AI24" s="51">
        <v>1.41</v>
      </c>
      <c r="AJ24" s="31">
        <f t="shared" si="11"/>
        <v>9.7241379310344822</v>
      </c>
      <c r="AK24" s="40">
        <f t="shared" si="12"/>
        <v>-0.22698102124588407</v>
      </c>
      <c r="AL24" s="54" t="s">
        <v>191</v>
      </c>
      <c r="AM24" s="54">
        <v>2007</v>
      </c>
      <c r="AN24" s="54" t="s">
        <v>192</v>
      </c>
    </row>
    <row r="25" spans="1:40" x14ac:dyDescent="0.35">
      <c r="A25" s="56" t="s">
        <v>6</v>
      </c>
      <c r="B25" s="44" t="s">
        <v>106</v>
      </c>
      <c r="C25" s="44" t="s">
        <v>254</v>
      </c>
      <c r="D25" s="44" t="s">
        <v>94</v>
      </c>
      <c r="E25" s="44">
        <v>2006</v>
      </c>
      <c r="F25" s="44">
        <v>16.03</v>
      </c>
      <c r="G25" s="44">
        <v>22.7</v>
      </c>
      <c r="H25" s="38">
        <f t="shared" si="0"/>
        <v>0.72008630427087139</v>
      </c>
      <c r="I25" s="38">
        <f t="shared" si="1"/>
        <v>0.61749813141428955</v>
      </c>
      <c r="J25" s="38">
        <f t="shared" si="2"/>
        <v>-0.31649924502497451</v>
      </c>
      <c r="K25" s="44" t="s">
        <v>102</v>
      </c>
      <c r="L25" s="44" t="s">
        <v>103</v>
      </c>
      <c r="M25" s="44" t="s">
        <v>104</v>
      </c>
      <c r="N25" s="45">
        <v>23.2</v>
      </c>
      <c r="O25" s="40">
        <f t="shared" si="13"/>
        <v>0.66201278972267497</v>
      </c>
      <c r="P25" s="44" t="s">
        <v>101</v>
      </c>
      <c r="Q25" s="58">
        <f>AVERAGE(24.26,25.17)</f>
        <v>24.715000000000003</v>
      </c>
      <c r="R25" s="40">
        <f t="shared" si="3"/>
        <v>-0.62818585679200156</v>
      </c>
      <c r="S25" s="44" t="s">
        <v>105</v>
      </c>
      <c r="T25" s="44">
        <f>AVERAGE(62.21,123.76)</f>
        <v>92.984999999999999</v>
      </c>
      <c r="U25" s="40">
        <f t="shared" si="4"/>
        <v>-0.21878683809563385</v>
      </c>
      <c r="V25" s="44" t="s">
        <v>105</v>
      </c>
      <c r="W25" s="44">
        <v>41.93</v>
      </c>
      <c r="X25" s="40">
        <f t="shared" si="5"/>
        <v>-0.18785236277876985</v>
      </c>
      <c r="Y25" s="44">
        <v>1.46</v>
      </c>
      <c r="Z25" s="31">
        <f t="shared" si="6"/>
        <v>3.4819937991891243</v>
      </c>
      <c r="AA25" s="40">
        <f t="shared" si="7"/>
        <v>-0.17552513740388107</v>
      </c>
      <c r="AB25" s="44">
        <v>32.07</v>
      </c>
      <c r="AC25" s="40">
        <f t="shared" si="14"/>
        <v>-0.48056893623598984</v>
      </c>
      <c r="AD25" s="44">
        <v>1.18</v>
      </c>
      <c r="AE25" s="31">
        <f t="shared" si="8"/>
        <v>3.6794512004989088</v>
      </c>
      <c r="AF25" s="40">
        <f t="shared" si="9"/>
        <v>-0.60492585539996901</v>
      </c>
      <c r="AG25" s="44">
        <v>17.23</v>
      </c>
      <c r="AH25" s="40">
        <f t="shared" si="10"/>
        <v>-3.4385089347302618E-2</v>
      </c>
      <c r="AI25" s="44">
        <v>1.66</v>
      </c>
      <c r="AJ25" s="31">
        <f t="shared" si="11"/>
        <v>9.634358676726638</v>
      </c>
      <c r="AK25" s="40">
        <f t="shared" si="12"/>
        <v>-0.24810353910504518</v>
      </c>
      <c r="AL25" s="54" t="s">
        <v>99</v>
      </c>
      <c r="AM25" s="54">
        <v>2017</v>
      </c>
      <c r="AN25" s="54" t="s">
        <v>100</v>
      </c>
    </row>
    <row r="26" spans="1:40" x14ac:dyDescent="0.35">
      <c r="A26" s="56" t="s">
        <v>6</v>
      </c>
      <c r="B26" s="31" t="s">
        <v>107</v>
      </c>
      <c r="C26" s="31" t="s">
        <v>253</v>
      </c>
      <c r="D26" s="31" t="s">
        <v>84</v>
      </c>
      <c r="E26" s="31">
        <v>2010</v>
      </c>
      <c r="F26" s="31">
        <v>-24.48</v>
      </c>
      <c r="G26" s="31">
        <v>152.27000000000001</v>
      </c>
      <c r="H26" s="38">
        <f t="shared" si="0"/>
        <v>7.713082309865936E-2</v>
      </c>
      <c r="I26" s="38">
        <f t="shared" si="1"/>
        <v>0.7906686538822052</v>
      </c>
      <c r="J26" s="38">
        <f t="shared" si="2"/>
        <v>0.60736637698857254</v>
      </c>
      <c r="K26" s="31" t="s">
        <v>93</v>
      </c>
      <c r="L26" s="31" t="s">
        <v>90</v>
      </c>
      <c r="M26" s="31">
        <v>1.5</v>
      </c>
      <c r="N26" s="39">
        <f>AVERAGE(30.4,30.3,29.2,28.3,24.3,22.8,22.6,25.7,26.7,28,29.3,30.4,27.3)</f>
        <v>27.330769230769228</v>
      </c>
      <c r="O26" s="40">
        <f t="shared" si="13"/>
        <v>1.8647475042703705</v>
      </c>
      <c r="P26" s="31" t="s">
        <v>86</v>
      </c>
      <c r="Q26" s="57">
        <f>AVERAGE(30.8,29.5)</f>
        <v>30.15</v>
      </c>
      <c r="R26" s="40">
        <f t="shared" si="3"/>
        <v>2.7129256496675103</v>
      </c>
      <c r="S26" s="31" t="s">
        <v>92</v>
      </c>
      <c r="T26" s="31">
        <v>181</v>
      </c>
      <c r="U26" s="40">
        <f t="shared" si="4"/>
        <v>0.57203659890993286</v>
      </c>
      <c r="V26" s="31" t="s">
        <v>91</v>
      </c>
      <c r="W26" s="31">
        <v>43.2</v>
      </c>
      <c r="X26" s="40">
        <f t="shared" si="5"/>
        <v>0.37469614218345959</v>
      </c>
      <c r="Y26" s="31">
        <v>0.3</v>
      </c>
      <c r="Z26" s="31">
        <f t="shared" si="6"/>
        <v>0.69444444444444442</v>
      </c>
      <c r="AA26" s="40">
        <f t="shared" si="7"/>
        <v>-1.8492060621457183</v>
      </c>
      <c r="AB26" s="31">
        <v>35</v>
      </c>
      <c r="AC26" s="40">
        <f t="shared" si="14"/>
        <v>1.0993758268478016</v>
      </c>
      <c r="AD26" s="31">
        <v>0.7</v>
      </c>
      <c r="AE26" s="31">
        <f t="shared" si="8"/>
        <v>2</v>
      </c>
      <c r="AF26" s="40">
        <f t="shared" si="9"/>
        <v>-1.4010784387544808</v>
      </c>
      <c r="AG26" s="31">
        <v>19.59</v>
      </c>
      <c r="AH26" s="40">
        <f t="shared" si="10"/>
        <v>1.11235621124613</v>
      </c>
      <c r="AI26" s="31">
        <v>0.7</v>
      </c>
      <c r="AJ26" s="31">
        <f t="shared" si="11"/>
        <v>3.5732516590096983</v>
      </c>
      <c r="AK26" s="40">
        <f t="shared" si="12"/>
        <v>-1.6741104960020681</v>
      </c>
      <c r="AL26" s="54" t="s">
        <v>97</v>
      </c>
      <c r="AM26" s="55">
        <v>2012</v>
      </c>
      <c r="AN26" s="54" t="s">
        <v>98</v>
      </c>
    </row>
    <row r="27" spans="1:40" x14ac:dyDescent="0.35">
      <c r="A27" s="56" t="s">
        <v>6</v>
      </c>
      <c r="B27" s="32" t="s">
        <v>108</v>
      </c>
      <c r="C27" s="32" t="s">
        <v>255</v>
      </c>
      <c r="D27" s="32" t="s">
        <v>112</v>
      </c>
      <c r="E27" s="32">
        <v>2012</v>
      </c>
      <c r="F27" s="32">
        <v>26.36</v>
      </c>
      <c r="G27" s="32">
        <v>-80.06</v>
      </c>
      <c r="H27" s="38">
        <f t="shared" si="0"/>
        <v>-1.7040083371699967E-2</v>
      </c>
      <c r="I27" s="38">
        <f t="shared" si="1"/>
        <v>0.33638873136773828</v>
      </c>
      <c r="J27" s="38">
        <f t="shared" si="2"/>
        <v>0.94156903993679031</v>
      </c>
      <c r="K27" s="32" t="s">
        <v>109</v>
      </c>
      <c r="L27" s="32" t="s">
        <v>110</v>
      </c>
      <c r="M27" s="33">
        <f>CONVERT(19.4,"mi","km")</f>
        <v>31.2212736</v>
      </c>
      <c r="N27" s="34">
        <f>CONVERT(77.1,"F","C")</f>
        <v>25.05555555555555</v>
      </c>
      <c r="O27" s="40">
        <f t="shared" si="13"/>
        <v>1.2022853047822739</v>
      </c>
      <c r="P27" s="32"/>
      <c r="Q27" s="33">
        <f>CONVERT((AVERAGE(75.4,75.1,79.1,82.4,83,83.8)),"F","C")</f>
        <v>26.555555555555554</v>
      </c>
      <c r="R27" s="40">
        <f t="shared" si="3"/>
        <v>0.50327713215825298</v>
      </c>
      <c r="S27" s="32"/>
      <c r="T27" s="32">
        <v>153.80000000000001</v>
      </c>
      <c r="U27" s="40">
        <f t="shared" si="4"/>
        <v>0.32764192201904596</v>
      </c>
      <c r="V27" s="32"/>
      <c r="W27" s="32">
        <v>44</v>
      </c>
      <c r="X27" s="40">
        <f t="shared" si="5"/>
        <v>0.72905740515179096</v>
      </c>
      <c r="Y27" s="32">
        <v>1.61</v>
      </c>
      <c r="Z27" s="31">
        <f t="shared" si="6"/>
        <v>3.6590909090909092</v>
      </c>
      <c r="AA27" s="40">
        <f t="shared" si="7"/>
        <v>-6.9193726924989443E-2</v>
      </c>
      <c r="AB27" s="32">
        <v>34.21</v>
      </c>
      <c r="AC27" s="40">
        <f t="shared" si="14"/>
        <v>0.67338389413920285</v>
      </c>
      <c r="AD27" s="32">
        <v>1.58</v>
      </c>
      <c r="AE27" s="31">
        <f t="shared" si="8"/>
        <v>4.6185325928091201</v>
      </c>
      <c r="AF27" s="40">
        <f t="shared" si="9"/>
        <v>-0.15974943333672367</v>
      </c>
      <c r="AG27" s="32">
        <v>18.27</v>
      </c>
      <c r="AH27" s="40">
        <f t="shared" si="10"/>
        <v>0.47095853464302334</v>
      </c>
      <c r="AI27" s="32">
        <v>1.91</v>
      </c>
      <c r="AJ27" s="31">
        <f t="shared" si="11"/>
        <v>10.454296661193213</v>
      </c>
      <c r="AK27" s="40">
        <f t="shared" si="12"/>
        <v>-5.5195334934467689E-2</v>
      </c>
      <c r="AL27" s="54" t="s">
        <v>133</v>
      </c>
      <c r="AM27" s="54">
        <v>2019</v>
      </c>
      <c r="AN27" s="54" t="s">
        <v>133</v>
      </c>
    </row>
    <row r="28" spans="1:40" x14ac:dyDescent="0.35">
      <c r="A28" s="56" t="s">
        <v>6</v>
      </c>
      <c r="B28" s="32" t="s">
        <v>108</v>
      </c>
      <c r="C28" s="32" t="s">
        <v>255</v>
      </c>
      <c r="D28" s="32" t="s">
        <v>113</v>
      </c>
      <c r="E28" s="32">
        <v>2013</v>
      </c>
      <c r="F28" s="32">
        <v>26.36</v>
      </c>
      <c r="G28" s="32">
        <v>-80.06</v>
      </c>
      <c r="H28" s="38">
        <f t="shared" si="0"/>
        <v>-1.7040083371699967E-2</v>
      </c>
      <c r="I28" s="38">
        <f t="shared" si="1"/>
        <v>0.33638873136773828</v>
      </c>
      <c r="J28" s="38">
        <f t="shared" si="2"/>
        <v>0.94156903993679031</v>
      </c>
      <c r="K28" s="32" t="s">
        <v>109</v>
      </c>
      <c r="L28" s="32" t="s">
        <v>110</v>
      </c>
      <c r="M28" s="33">
        <f>CONVERT(19.4,"mi","km")</f>
        <v>31.2212736</v>
      </c>
      <c r="N28" s="34">
        <f>CONVERT(77.3,"F","C")</f>
        <v>25.166666666666664</v>
      </c>
      <c r="O28" s="40">
        <f t="shared" si="13"/>
        <v>1.2346369523906342</v>
      </c>
      <c r="P28" s="32"/>
      <c r="Q28" s="33">
        <f>CONVERT(AVERAGE(67.7,77.4,78.5,82.9,81.7,83.5),"F","C")</f>
        <v>25.898148148148145</v>
      </c>
      <c r="R28" s="40">
        <f t="shared" si="3"/>
        <v>9.9142550130541796E-2</v>
      </c>
      <c r="S28" s="32"/>
      <c r="T28" s="32">
        <v>186.7</v>
      </c>
      <c r="U28" s="40">
        <f t="shared" si="4"/>
        <v>0.6232516598760377</v>
      </c>
      <c r="V28" s="32"/>
      <c r="W28" s="32">
        <v>43.44</v>
      </c>
      <c r="X28" s="40">
        <f t="shared" si="5"/>
        <v>0.48100452107395714</v>
      </c>
      <c r="Y28" s="32">
        <v>1.72</v>
      </c>
      <c r="Z28" s="31">
        <f t="shared" si="6"/>
        <v>3.959484346224678</v>
      </c>
      <c r="AA28" s="40">
        <f t="shared" si="7"/>
        <v>0.11116640366522744</v>
      </c>
      <c r="AB28" s="32">
        <v>33.729999999999997</v>
      </c>
      <c r="AC28" s="40">
        <f t="shared" si="14"/>
        <v>0.41455335274663424</v>
      </c>
      <c r="AD28" s="32">
        <v>1.18</v>
      </c>
      <c r="AE28" s="31">
        <f t="shared" si="8"/>
        <v>3.4983694040913136</v>
      </c>
      <c r="AF28" s="40">
        <f t="shared" si="9"/>
        <v>-0.69076862354086821</v>
      </c>
      <c r="AG28" s="32">
        <v>18.98</v>
      </c>
      <c r="AH28" s="40">
        <f t="shared" si="10"/>
        <v>0.81595273948257352</v>
      </c>
      <c r="AI28" s="32">
        <v>1.44</v>
      </c>
      <c r="AJ28" s="31">
        <f t="shared" si="11"/>
        <v>7.5869336143308734</v>
      </c>
      <c r="AK28" s="40">
        <f t="shared" si="12"/>
        <v>-0.72980471583190565</v>
      </c>
      <c r="AL28" s="54" t="s">
        <v>133</v>
      </c>
      <c r="AM28" s="54">
        <v>2019</v>
      </c>
      <c r="AN28" s="54" t="s">
        <v>133</v>
      </c>
    </row>
    <row r="29" spans="1:40" x14ac:dyDescent="0.35">
      <c r="A29" s="56" t="s">
        <v>6</v>
      </c>
      <c r="B29" s="32" t="s">
        <v>108</v>
      </c>
      <c r="C29" s="32" t="s">
        <v>255</v>
      </c>
      <c r="D29" s="32" t="s">
        <v>114</v>
      </c>
      <c r="E29" s="32">
        <v>2014</v>
      </c>
      <c r="F29" s="32">
        <v>26.36</v>
      </c>
      <c r="G29" s="32">
        <v>-80.06</v>
      </c>
      <c r="H29" s="38">
        <f t="shared" si="0"/>
        <v>-1.7040083371699967E-2</v>
      </c>
      <c r="I29" s="38">
        <f t="shared" si="1"/>
        <v>0.33638873136773828</v>
      </c>
      <c r="J29" s="38">
        <f t="shared" si="2"/>
        <v>0.94156903993679031</v>
      </c>
      <c r="K29" s="32" t="s">
        <v>109</v>
      </c>
      <c r="L29" s="32" t="s">
        <v>110</v>
      </c>
      <c r="M29" s="33">
        <f>CONVERT(19.4,"mi","km")</f>
        <v>31.2212736</v>
      </c>
      <c r="N29" s="34">
        <f>CONVERT(77.7,"F","C")</f>
        <v>25.388888888888889</v>
      </c>
      <c r="O29" s="40">
        <f t="shared" si="13"/>
        <v>1.2993402476073534</v>
      </c>
      <c r="P29" s="32"/>
      <c r="Q29" s="33">
        <f>CONVERT(AVERAGE(73.5,77.9,80.4,81.9,84.6,85.6),"F","C")</f>
        <v>27.027777777777789</v>
      </c>
      <c r="R29" s="40">
        <f t="shared" si="3"/>
        <v>0.79357098685422234</v>
      </c>
      <c r="S29" s="32"/>
      <c r="T29" s="32">
        <v>151.4</v>
      </c>
      <c r="U29" s="40">
        <f t="shared" si="4"/>
        <v>0.30607768582279121</v>
      </c>
      <c r="V29" s="32"/>
      <c r="W29" s="32">
        <v>43.65</v>
      </c>
      <c r="X29" s="40">
        <f t="shared" si="5"/>
        <v>0.57402435260314477</v>
      </c>
      <c r="Y29" s="32">
        <v>1.38</v>
      </c>
      <c r="Z29" s="31">
        <f t="shared" si="6"/>
        <v>3.1615120274914088</v>
      </c>
      <c r="AA29" s="40">
        <f t="shared" si="7"/>
        <v>-0.36794656560387218</v>
      </c>
      <c r="AB29" s="32">
        <v>33.840000000000003</v>
      </c>
      <c r="AC29" s="40">
        <f t="shared" si="14"/>
        <v>0.47386868514910091</v>
      </c>
      <c r="AD29" s="32">
        <v>1.33</v>
      </c>
      <c r="AE29" s="31">
        <f t="shared" si="8"/>
        <v>3.9302600472813238</v>
      </c>
      <c r="AF29" s="40">
        <f t="shared" si="9"/>
        <v>-0.48602861609068354</v>
      </c>
      <c r="AG29" s="32">
        <v>18.39</v>
      </c>
      <c r="AH29" s="40">
        <f t="shared" si="10"/>
        <v>0.52926741433421531</v>
      </c>
      <c r="AI29" s="32">
        <v>1.41</v>
      </c>
      <c r="AJ29" s="31">
        <f t="shared" si="11"/>
        <v>7.6672104404567687</v>
      </c>
      <c r="AK29" s="40">
        <f t="shared" si="12"/>
        <v>-0.7109178504130107</v>
      </c>
      <c r="AL29" s="54" t="s">
        <v>133</v>
      </c>
      <c r="AM29" s="54">
        <v>2019</v>
      </c>
      <c r="AN29" s="54" t="s">
        <v>133</v>
      </c>
    </row>
    <row r="30" spans="1:40" x14ac:dyDescent="0.35">
      <c r="A30" s="56" t="s">
        <v>6</v>
      </c>
      <c r="B30" s="46" t="s">
        <v>126</v>
      </c>
      <c r="C30" s="46" t="s">
        <v>256</v>
      </c>
      <c r="D30" s="46" t="s">
        <v>127</v>
      </c>
      <c r="E30" s="46">
        <v>2014</v>
      </c>
      <c r="F30" s="46">
        <v>30.24</v>
      </c>
      <c r="G30" s="46">
        <v>130.26</v>
      </c>
      <c r="H30" s="38">
        <f t="shared" si="0"/>
        <v>-4.4560146258231653E-2</v>
      </c>
      <c r="I30" s="38">
        <f t="shared" si="1"/>
        <v>-0.38209848601010399</v>
      </c>
      <c r="J30" s="38">
        <f t="shared" si="2"/>
        <v>-0.92304666206765051</v>
      </c>
      <c r="K30" s="46" t="s">
        <v>128</v>
      </c>
      <c r="L30" s="46" t="s">
        <v>129</v>
      </c>
      <c r="M30" s="46">
        <v>45</v>
      </c>
      <c r="N30" s="46">
        <v>19.3</v>
      </c>
      <c r="O30" s="40">
        <f t="shared" si="13"/>
        <v>-0.47353004133073623</v>
      </c>
      <c r="P30" s="46"/>
      <c r="Q30" s="59">
        <f>AVERAGE(20.4,22.6)</f>
        <v>21.5</v>
      </c>
      <c r="R30" s="40">
        <f t="shared" si="3"/>
        <v>-2.604574723998506</v>
      </c>
      <c r="S30" s="46"/>
      <c r="T30" s="46">
        <f>AVERAGE(224.5,760)</f>
        <v>492.25</v>
      </c>
      <c r="U30" s="40">
        <f t="shared" si="4"/>
        <v>3.3686484806117183</v>
      </c>
      <c r="V30" s="46"/>
      <c r="W30" s="46">
        <v>40.43</v>
      </c>
      <c r="X30" s="40">
        <f t="shared" si="5"/>
        <v>-0.85227973084439357</v>
      </c>
      <c r="Y30" s="46">
        <v>1.57</v>
      </c>
      <c r="Z30" s="31">
        <f t="shared" si="6"/>
        <v>3.8832550086569384</v>
      </c>
      <c r="AA30" s="40">
        <f t="shared" si="7"/>
        <v>6.5397316931149529E-2</v>
      </c>
      <c r="AB30" s="46">
        <v>32.64</v>
      </c>
      <c r="AC30" s="40">
        <f t="shared" si="14"/>
        <v>-0.17320766833231693</v>
      </c>
      <c r="AD30" s="46">
        <v>1.26</v>
      </c>
      <c r="AE30" s="31">
        <f t="shared" si="8"/>
        <v>3.8602941176470589</v>
      </c>
      <c r="AF30" s="40">
        <f t="shared" si="9"/>
        <v>-0.51919632921540682</v>
      </c>
      <c r="AG30" s="46">
        <v>15.45</v>
      </c>
      <c r="AH30" s="40">
        <f t="shared" si="10"/>
        <v>-0.89930013809997722</v>
      </c>
      <c r="AI30" s="46">
        <v>1.85</v>
      </c>
      <c r="AJ30" s="31">
        <f t="shared" si="11"/>
        <v>11.974110032362461</v>
      </c>
      <c r="AK30" s="40">
        <f t="shared" si="12"/>
        <v>0.30237374182616933</v>
      </c>
      <c r="AL30" s="54" t="s">
        <v>132</v>
      </c>
      <c r="AM30" s="54">
        <v>2015</v>
      </c>
      <c r="AN30" s="54" t="s">
        <v>134</v>
      </c>
    </row>
    <row r="31" spans="1:40" x14ac:dyDescent="0.35">
      <c r="A31" s="56" t="s">
        <v>6</v>
      </c>
      <c r="B31" s="46" t="s">
        <v>146</v>
      </c>
      <c r="C31" s="46" t="s">
        <v>256</v>
      </c>
      <c r="D31" s="46" t="s">
        <v>147</v>
      </c>
      <c r="E31" s="46">
        <v>2014</v>
      </c>
      <c r="F31" s="46">
        <v>33.270000000000003</v>
      </c>
      <c r="G31" s="46">
        <v>133.29</v>
      </c>
      <c r="H31" s="38">
        <f t="shared" si="0"/>
        <v>-6.3091128720211942E-2</v>
      </c>
      <c r="I31" s="38">
        <f t="shared" si="1"/>
        <v>-0.27228993882594149</v>
      </c>
      <c r="J31" s="38">
        <f t="shared" si="2"/>
        <v>0.96014462384110377</v>
      </c>
      <c r="K31" s="46" t="s">
        <v>128</v>
      </c>
      <c r="L31" s="46" t="s">
        <v>148</v>
      </c>
      <c r="M31" s="46"/>
      <c r="N31" s="46">
        <v>17</v>
      </c>
      <c r="O31" s="40">
        <f t="shared" si="13"/>
        <v>-1.1432091468237739</v>
      </c>
      <c r="P31" s="46"/>
      <c r="Q31" s="59">
        <f>AVERAGE(19.8,22.7,26.9,26.6)</f>
        <v>24</v>
      </c>
      <c r="R31" s="40">
        <f t="shared" si="3"/>
        <v>-1.0677249050198883</v>
      </c>
      <c r="S31" s="46"/>
      <c r="T31" s="46">
        <f>AVERAGE(67,168.5,111.5,1065.5)</f>
        <v>353.125</v>
      </c>
      <c r="U31" s="40">
        <f t="shared" si="4"/>
        <v>2.1185966636100768</v>
      </c>
      <c r="V31" s="46"/>
      <c r="W31" s="46">
        <v>41.47</v>
      </c>
      <c r="X31" s="40">
        <f t="shared" si="5"/>
        <v>-0.39161008898556149</v>
      </c>
      <c r="Y31" s="46">
        <v>1.43</v>
      </c>
      <c r="Z31" s="31">
        <f t="shared" si="6"/>
        <v>3.4482758620689653</v>
      </c>
      <c r="AA31" s="40">
        <f t="shared" si="7"/>
        <v>-0.19576982583732541</v>
      </c>
      <c r="AB31" s="46">
        <v>33.369999999999997</v>
      </c>
      <c r="AC31" s="40">
        <f t="shared" si="14"/>
        <v>0.22043044670220965</v>
      </c>
      <c r="AD31" s="46">
        <v>1.05</v>
      </c>
      <c r="AE31" s="31">
        <f t="shared" si="8"/>
        <v>3.1465388073119569</v>
      </c>
      <c r="AF31" s="40">
        <f t="shared" si="9"/>
        <v>-0.85755574926731559</v>
      </c>
      <c r="AG31" s="46">
        <v>16.809999999999999</v>
      </c>
      <c r="AH31" s="40">
        <f t="shared" si="10"/>
        <v>-0.23846616826647371</v>
      </c>
      <c r="AI31" s="46">
        <v>1.55</v>
      </c>
      <c r="AJ31" s="31">
        <f t="shared" si="11"/>
        <v>9.2207019631171931</v>
      </c>
      <c r="AK31" s="40">
        <f t="shared" si="12"/>
        <v>-0.34542525767064464</v>
      </c>
      <c r="AL31" s="54" t="s">
        <v>149</v>
      </c>
      <c r="AM31" s="54">
        <v>2019</v>
      </c>
      <c r="AN31" s="54" t="s">
        <v>100</v>
      </c>
    </row>
    <row r="32" spans="1:40" x14ac:dyDescent="0.35">
      <c r="A32" s="56" t="s">
        <v>6</v>
      </c>
      <c r="B32" s="32" t="s">
        <v>108</v>
      </c>
      <c r="C32" s="32" t="s">
        <v>255</v>
      </c>
      <c r="D32" s="32" t="s">
        <v>115</v>
      </c>
      <c r="E32" s="32">
        <v>2015</v>
      </c>
      <c r="F32" s="32">
        <v>26.36</v>
      </c>
      <c r="G32" s="32">
        <v>-80.06</v>
      </c>
      <c r="H32" s="38">
        <f t="shared" si="0"/>
        <v>-1.7040083371699967E-2</v>
      </c>
      <c r="I32" s="38">
        <f t="shared" si="1"/>
        <v>0.33638873136773828</v>
      </c>
      <c r="J32" s="38">
        <f t="shared" si="2"/>
        <v>0.94156903993679031</v>
      </c>
      <c r="K32" s="32" t="s">
        <v>109</v>
      </c>
      <c r="L32" s="32" t="s">
        <v>110</v>
      </c>
      <c r="M32" s="33">
        <f>CONVERT(19.4,"mi","km")</f>
        <v>31.2212736</v>
      </c>
      <c r="N32" s="34">
        <f>CONVERT(78.7,"F","C")</f>
        <v>25.944444444444446</v>
      </c>
      <c r="O32" s="40">
        <f t="shared" si="13"/>
        <v>1.4610984856491505</v>
      </c>
      <c r="P32" s="32"/>
      <c r="Q32" s="33">
        <f>CONVERT(AVERAGE(75.4,79.8,80.2,83.4,84.9,84.6),"F","C")</f>
        <v>27.43518518518518</v>
      </c>
      <c r="R32" s="40">
        <f t="shared" si="3"/>
        <v>1.0440205869840609</v>
      </c>
      <c r="S32" s="32"/>
      <c r="T32" s="32">
        <v>118.2</v>
      </c>
      <c r="U32" s="40">
        <f t="shared" si="4"/>
        <v>7.7724184412674337E-3</v>
      </c>
      <c r="V32" s="32"/>
      <c r="W32" s="32">
        <v>42.64</v>
      </c>
      <c r="X32" s="40">
        <f t="shared" si="5"/>
        <v>0.12664325810562574</v>
      </c>
      <c r="Y32" s="32">
        <v>1.9</v>
      </c>
      <c r="Z32" s="31">
        <f t="shared" si="6"/>
        <v>4.455909943714822</v>
      </c>
      <c r="AA32" s="40">
        <f t="shared" si="7"/>
        <v>0.40922679554981312</v>
      </c>
      <c r="AB32" s="32">
        <v>32.35</v>
      </c>
      <c r="AC32" s="40">
        <f t="shared" si="14"/>
        <v>-0.32958445375699208</v>
      </c>
      <c r="AD32" s="32">
        <v>1.66</v>
      </c>
      <c r="AE32" s="31">
        <f t="shared" si="8"/>
        <v>5.1313755795981448</v>
      </c>
      <c r="AF32" s="40">
        <f t="shared" si="9"/>
        <v>8.3366453963861845E-2</v>
      </c>
      <c r="AG32" s="32">
        <v>17.91</v>
      </c>
      <c r="AH32" s="40">
        <f t="shared" si="10"/>
        <v>0.29603189556944909</v>
      </c>
      <c r="AI32" s="32">
        <v>2.42</v>
      </c>
      <c r="AJ32" s="31">
        <f t="shared" si="11"/>
        <v>13.512004466778334</v>
      </c>
      <c r="AK32" s="40">
        <f t="shared" si="12"/>
        <v>0.66419678108943447</v>
      </c>
      <c r="AL32" s="54" t="s">
        <v>133</v>
      </c>
      <c r="AM32" s="54">
        <v>2019</v>
      </c>
      <c r="AN32" s="54" t="s">
        <v>133</v>
      </c>
    </row>
    <row r="33" spans="1:40" x14ac:dyDescent="0.35">
      <c r="A33" s="56" t="s">
        <v>6</v>
      </c>
      <c r="B33" s="32" t="s">
        <v>108</v>
      </c>
      <c r="C33" s="32" t="s">
        <v>255</v>
      </c>
      <c r="D33" s="32" t="s">
        <v>116</v>
      </c>
      <c r="E33" s="32">
        <v>2016</v>
      </c>
      <c r="F33" s="32">
        <v>26.36</v>
      </c>
      <c r="G33" s="32">
        <v>-80.06</v>
      </c>
      <c r="H33" s="38">
        <f t="shared" si="0"/>
        <v>-1.7040083371699967E-2</v>
      </c>
      <c r="I33" s="38">
        <f t="shared" si="1"/>
        <v>0.33638873136773828</v>
      </c>
      <c r="J33" s="38">
        <f t="shared" si="2"/>
        <v>0.94156903993679031</v>
      </c>
      <c r="K33" s="32" t="s">
        <v>109</v>
      </c>
      <c r="L33" s="32" t="s">
        <v>110</v>
      </c>
      <c r="M33" s="33">
        <f>CONVERT(19.4,"mi","km")</f>
        <v>31.2212736</v>
      </c>
      <c r="N33" s="34">
        <f>CONVERT(77.8,"F","C")</f>
        <v>25.444444444444443</v>
      </c>
      <c r="O33" s="40">
        <f t="shared" si="13"/>
        <v>1.3155160714115326</v>
      </c>
      <c r="P33" s="32"/>
      <c r="Q33" s="33">
        <f>CONVERT(AVERAGE(75.1,77,79.8,83.5,85.2,83.8),"F","C")</f>
        <v>27.074074074074073</v>
      </c>
      <c r="R33" s="40">
        <f t="shared" si="3"/>
        <v>0.82203116868715176</v>
      </c>
      <c r="S33" s="32"/>
      <c r="T33" s="32">
        <v>160.5</v>
      </c>
      <c r="U33" s="40">
        <f t="shared" si="4"/>
        <v>0.387842081400257</v>
      </c>
      <c r="V33" s="32"/>
      <c r="W33" s="32">
        <v>43.36</v>
      </c>
      <c r="X33" s="40">
        <f t="shared" si="5"/>
        <v>0.44556839477712462</v>
      </c>
      <c r="Y33" s="32">
        <v>2.58</v>
      </c>
      <c r="Z33" s="31">
        <f t="shared" si="6"/>
        <v>5.9501845018450181</v>
      </c>
      <c r="AA33" s="40">
        <f t="shared" si="7"/>
        <v>1.306408694773483</v>
      </c>
      <c r="AB33" s="32">
        <v>32.94</v>
      </c>
      <c r="AC33" s="40">
        <f t="shared" si="14"/>
        <v>-1.1438579961964377E-2</v>
      </c>
      <c r="AD33" s="32">
        <v>2.38</v>
      </c>
      <c r="AE33" s="31">
        <f t="shared" si="8"/>
        <v>7.2252580449301762</v>
      </c>
      <c r="AF33" s="40">
        <f t="shared" si="9"/>
        <v>1.0759823355801814</v>
      </c>
      <c r="AG33" s="32">
        <v>18.16</v>
      </c>
      <c r="AH33" s="40">
        <f t="shared" si="10"/>
        <v>0.41750872825943142</v>
      </c>
      <c r="AI33" s="32">
        <v>1.98</v>
      </c>
      <c r="AJ33" s="31">
        <f t="shared" si="11"/>
        <v>10.903083700440529</v>
      </c>
      <c r="AK33" s="40">
        <f t="shared" si="12"/>
        <v>5.0391555094237157E-2</v>
      </c>
      <c r="AL33" s="54" t="s">
        <v>133</v>
      </c>
      <c r="AM33" s="54">
        <v>2019</v>
      </c>
      <c r="AN33" s="54" t="s">
        <v>133</v>
      </c>
    </row>
    <row r="34" spans="1:40" x14ac:dyDescent="0.35">
      <c r="A34" s="56" t="s">
        <v>6</v>
      </c>
      <c r="B34" s="32" t="s">
        <v>108</v>
      </c>
      <c r="C34" s="32" t="s">
        <v>255</v>
      </c>
      <c r="D34" s="32" t="s">
        <v>117</v>
      </c>
      <c r="E34" s="32">
        <v>2017</v>
      </c>
      <c r="F34" s="32">
        <v>26.36</v>
      </c>
      <c r="G34" s="32">
        <v>-80.06</v>
      </c>
      <c r="H34" s="38">
        <f t="shared" si="0"/>
        <v>-1.7040083371699967E-2</v>
      </c>
      <c r="I34" s="38">
        <f t="shared" si="1"/>
        <v>0.33638873136773828</v>
      </c>
      <c r="J34" s="38">
        <f t="shared" si="2"/>
        <v>0.94156903993679031</v>
      </c>
      <c r="K34" s="32" t="s">
        <v>109</v>
      </c>
      <c r="L34" s="32" t="s">
        <v>110</v>
      </c>
      <c r="M34" s="33">
        <f>CONVERT(19.4,"mi","km")</f>
        <v>31.2212736</v>
      </c>
      <c r="N34" s="34">
        <f>CONVERT(77.9,"F","C")</f>
        <v>25.500000000000004</v>
      </c>
      <c r="O34" s="40">
        <f t="shared" si="13"/>
        <v>1.3316918952157137</v>
      </c>
      <c r="P34" s="32"/>
      <c r="Q34" s="33">
        <f>CONVERT(AVERAGE(72.7,77.4,80.6,82.5,84.3,84.4),"F","C")</f>
        <v>26.842592592592599</v>
      </c>
      <c r="R34" s="40">
        <f t="shared" si="3"/>
        <v>0.67973025952246957</v>
      </c>
      <c r="S34" s="32"/>
      <c r="T34" s="32">
        <v>157.6</v>
      </c>
      <c r="U34" s="40">
        <f t="shared" si="4"/>
        <v>0.36178529599644915</v>
      </c>
      <c r="V34" s="32"/>
      <c r="W34" s="32">
        <v>42.01</v>
      </c>
      <c r="X34" s="40">
        <f t="shared" si="5"/>
        <v>-0.15241623648193733</v>
      </c>
      <c r="Y34" s="32">
        <v>3.44</v>
      </c>
      <c r="Z34" s="31">
        <f t="shared" si="6"/>
        <v>8.1885265412996908</v>
      </c>
      <c r="AA34" s="40">
        <f t="shared" si="7"/>
        <v>2.6503383970786674</v>
      </c>
      <c r="AB34" s="32">
        <v>33.22</v>
      </c>
      <c r="AC34" s="40">
        <f t="shared" si="14"/>
        <v>0.13954590251703339</v>
      </c>
      <c r="AD34" s="32">
        <v>3.61</v>
      </c>
      <c r="AE34" s="31">
        <f t="shared" si="8"/>
        <v>10.866947621914509</v>
      </c>
      <c r="AF34" s="40">
        <f t="shared" si="9"/>
        <v>2.8023442350089818</v>
      </c>
      <c r="AG34" s="32">
        <v>18.43</v>
      </c>
      <c r="AH34" s="40">
        <f t="shared" si="10"/>
        <v>0.54870370756461206</v>
      </c>
      <c r="AI34" s="32">
        <v>3.32</v>
      </c>
      <c r="AJ34" s="31">
        <f t="shared" si="11"/>
        <v>18.014107433532285</v>
      </c>
      <c r="AK34" s="40">
        <f t="shared" si="12"/>
        <v>1.7234142033345405</v>
      </c>
      <c r="AL34" s="54" t="s">
        <v>133</v>
      </c>
      <c r="AM34" s="54">
        <v>2019</v>
      </c>
      <c r="AN34" s="54" t="s">
        <v>133</v>
      </c>
    </row>
    <row r="35" spans="1:40" x14ac:dyDescent="0.35">
      <c r="A35" s="56" t="s">
        <v>6</v>
      </c>
      <c r="B35" s="32" t="s">
        <v>108</v>
      </c>
      <c r="C35" s="32" t="s">
        <v>255</v>
      </c>
      <c r="D35" s="32" t="s">
        <v>118</v>
      </c>
      <c r="E35" s="32">
        <v>2018</v>
      </c>
      <c r="F35" s="32">
        <v>26.36</v>
      </c>
      <c r="G35" s="32">
        <v>-80.06</v>
      </c>
      <c r="H35" s="38">
        <f t="shared" si="0"/>
        <v>-1.7040083371699967E-2</v>
      </c>
      <c r="I35" s="38">
        <f t="shared" si="1"/>
        <v>0.33638873136773828</v>
      </c>
      <c r="J35" s="38">
        <f t="shared" si="2"/>
        <v>0.94156903993679031</v>
      </c>
      <c r="K35" s="32" t="s">
        <v>109</v>
      </c>
      <c r="L35" s="32" t="s">
        <v>110</v>
      </c>
      <c r="M35" s="33">
        <f>CONVERT(19.4,"mi","km")</f>
        <v>31.2212736</v>
      </c>
      <c r="N35" s="34">
        <f>CONVERT(77.5,"F","C")</f>
        <v>25.277777777777779</v>
      </c>
      <c r="O35" s="40">
        <f t="shared" si="13"/>
        <v>1.2669885999989943</v>
      </c>
      <c r="P35" s="32"/>
      <c r="Q35" s="33">
        <f>CONVERT(AVERAGE(70.2,77,78.5,82.7,84,84),"F","C")</f>
        <v>26.333333333333329</v>
      </c>
      <c r="R35" s="40">
        <f t="shared" si="3"/>
        <v>0.3666682593601519</v>
      </c>
      <c r="S35" s="32"/>
      <c r="T35" s="32">
        <v>155.9</v>
      </c>
      <c r="U35" s="40">
        <f t="shared" si="4"/>
        <v>0.34651062869076882</v>
      </c>
      <c r="V35" s="32"/>
      <c r="W35" s="32">
        <v>43.33</v>
      </c>
      <c r="X35" s="40">
        <f t="shared" si="5"/>
        <v>0.4322798474158116</v>
      </c>
      <c r="Y35" s="32">
        <v>2.5</v>
      </c>
      <c r="Z35" s="31">
        <f t="shared" si="6"/>
        <v>5.7696745903531044</v>
      </c>
      <c r="AA35" s="40">
        <f t="shared" si="7"/>
        <v>1.1980281937873307</v>
      </c>
      <c r="AB35" s="32">
        <v>32.979999999999997</v>
      </c>
      <c r="AC35" s="40">
        <f t="shared" si="14"/>
        <v>1.0130631820749041E-2</v>
      </c>
      <c r="AD35" s="32">
        <v>3.12</v>
      </c>
      <c r="AE35" s="31">
        <f t="shared" si="8"/>
        <v>9.4602789569436041</v>
      </c>
      <c r="AF35" s="40">
        <f t="shared" si="9"/>
        <v>2.1355056324894583</v>
      </c>
      <c r="AG35" s="32">
        <v>17.55</v>
      </c>
      <c r="AH35" s="40">
        <f t="shared" si="10"/>
        <v>0.12110525649587488</v>
      </c>
      <c r="AI35" s="32">
        <v>2.21</v>
      </c>
      <c r="AJ35" s="31">
        <f t="shared" si="11"/>
        <v>12.592592592592592</v>
      </c>
      <c r="AK35" s="40">
        <f t="shared" si="12"/>
        <v>0.44788518569766528</v>
      </c>
      <c r="AL35" s="54" t="s">
        <v>133</v>
      </c>
      <c r="AM35" s="54">
        <v>2019</v>
      </c>
      <c r="AN35" s="54" t="s">
        <v>133</v>
      </c>
    </row>
    <row r="36" spans="1:40" x14ac:dyDescent="0.35">
      <c r="N36" s="35"/>
      <c r="V36" t="s">
        <v>201</v>
      </c>
      <c r="W36">
        <f>AVERAGE(W2:W35)</f>
        <v>42.354092320261444</v>
      </c>
      <c r="Z36" t="s">
        <v>201</v>
      </c>
      <c r="AB36">
        <f>AVERAGE(AB2:AB35)</f>
        <v>32.961212791783389</v>
      </c>
      <c r="AE36" t="s">
        <v>201</v>
      </c>
      <c r="AG36">
        <f>AVERAGE(AG2:AG35)</f>
        <v>17.300764705882347</v>
      </c>
    </row>
    <row r="37" spans="1:40" x14ac:dyDescent="0.35">
      <c r="V37" t="s">
        <v>202</v>
      </c>
      <c r="W37">
        <f>STDEV(W2:W35)</f>
        <v>2.2575831040298886</v>
      </c>
      <c r="Z37" t="s">
        <v>202</v>
      </c>
      <c r="AB37">
        <f>STDEV(AB2:AB35)</f>
        <v>1.8544952130358807</v>
      </c>
      <c r="AE37" t="s">
        <v>202</v>
      </c>
      <c r="AG37">
        <f>STDEV(AG2:AG35)</f>
        <v>2.0580055839784541</v>
      </c>
    </row>
  </sheetData>
  <autoFilter ref="A1:AN37" xr:uid="{9F0E2F6F-FB5A-4E14-B646-A1E58E2AEBA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D265B-2933-4FC6-BE61-77A3E7A8B7F9}">
  <dimension ref="A1:O112"/>
  <sheetViews>
    <sheetView topLeftCell="A49" zoomScale="85" zoomScaleNormal="85" workbookViewId="0">
      <selection activeCell="A59" sqref="A59"/>
    </sheetView>
  </sheetViews>
  <sheetFormatPr defaultRowHeight="14.5" x14ac:dyDescent="0.35"/>
  <cols>
    <col min="5" max="5" width="11.26953125" customWidth="1"/>
    <col min="6" max="6" width="9.1796875" customWidth="1"/>
    <col min="10" max="10" width="9.81640625" customWidth="1"/>
    <col min="12" max="12" width="6.81640625" customWidth="1"/>
  </cols>
  <sheetData>
    <row r="1" spans="1:14" x14ac:dyDescent="0.35">
      <c r="A1" s="2" t="s">
        <v>327</v>
      </c>
    </row>
    <row r="2" spans="1:14" x14ac:dyDescent="0.35">
      <c r="B2" t="s">
        <v>76</v>
      </c>
      <c r="C2" t="s">
        <v>77</v>
      </c>
      <c r="D2" t="s">
        <v>214</v>
      </c>
      <c r="E2" t="s">
        <v>211</v>
      </c>
      <c r="F2" t="s">
        <v>212</v>
      </c>
      <c r="G2" t="s">
        <v>213</v>
      </c>
      <c r="H2" t="s">
        <v>215</v>
      </c>
      <c r="I2" t="s">
        <v>217</v>
      </c>
      <c r="J2" t="s">
        <v>219</v>
      </c>
    </row>
    <row r="3" spans="1:14" x14ac:dyDescent="0.35">
      <c r="A3" t="s">
        <v>76</v>
      </c>
      <c r="B3" s="70"/>
      <c r="C3" s="70">
        <v>5.0501999999999998E-2</v>
      </c>
      <c r="D3" s="70">
        <v>0.89836000000000005</v>
      </c>
      <c r="E3" s="70">
        <v>0.92396999999999996</v>
      </c>
      <c r="F3" s="70">
        <v>0.98716999999999999</v>
      </c>
      <c r="G3" s="70">
        <v>0.11178</v>
      </c>
      <c r="H3" s="70">
        <v>0.63271999999999995</v>
      </c>
      <c r="I3" s="70">
        <v>0.87517</v>
      </c>
      <c r="J3" s="70">
        <v>0.92098000000000002</v>
      </c>
    </row>
    <row r="4" spans="1:14" x14ac:dyDescent="0.35">
      <c r="A4" t="s">
        <v>77</v>
      </c>
      <c r="B4" s="71">
        <v>-0.36653000000000002</v>
      </c>
      <c r="C4" s="70"/>
      <c r="D4" s="70">
        <v>0.43214000000000002</v>
      </c>
      <c r="E4" s="70">
        <v>0.32945999999999998</v>
      </c>
      <c r="F4" s="70">
        <v>0.68206</v>
      </c>
      <c r="G4" s="70">
        <v>0.22927</v>
      </c>
      <c r="H4" s="70">
        <v>0.75102999999999998</v>
      </c>
      <c r="I4" s="70">
        <v>0.55262999999999995</v>
      </c>
      <c r="J4" s="70">
        <v>0.53854000000000002</v>
      </c>
    </row>
    <row r="5" spans="1:14" x14ac:dyDescent="0.35">
      <c r="A5" t="s">
        <v>214</v>
      </c>
      <c r="B5" s="71">
        <v>2.4806999999999999E-2</v>
      </c>
      <c r="C5" s="70">
        <v>0.1517</v>
      </c>
      <c r="D5" s="70"/>
      <c r="E5" s="70">
        <v>0.23286000000000001</v>
      </c>
      <c r="F5" s="70">
        <v>0.88051000000000001</v>
      </c>
      <c r="G5" s="70">
        <v>0.11019</v>
      </c>
      <c r="H5" s="70">
        <v>4.0125000000000001E-2</v>
      </c>
      <c r="I5" s="70">
        <v>0.98712999999999995</v>
      </c>
      <c r="J5" s="70">
        <v>0.10709</v>
      </c>
    </row>
    <row r="6" spans="1:14" x14ac:dyDescent="0.35">
      <c r="A6" t="s">
        <v>211</v>
      </c>
      <c r="B6" s="71">
        <v>1.8534999999999999E-2</v>
      </c>
      <c r="C6" s="70">
        <v>0.18773000000000001</v>
      </c>
      <c r="D6" s="70">
        <v>0.22864999999999999</v>
      </c>
      <c r="E6" s="70"/>
      <c r="F6" s="70">
        <v>9.5883999999999997E-4</v>
      </c>
      <c r="G6" s="70">
        <v>0.31246000000000002</v>
      </c>
      <c r="H6" s="70">
        <v>0.70421</v>
      </c>
      <c r="I6" s="70">
        <v>0.52692000000000005</v>
      </c>
      <c r="J6" s="70">
        <v>4.5712999999999997E-2</v>
      </c>
    </row>
    <row r="7" spans="1:14" x14ac:dyDescent="0.35">
      <c r="A7" t="s">
        <v>212</v>
      </c>
      <c r="B7" s="71">
        <v>-3.1242000000000002E-3</v>
      </c>
      <c r="C7" s="70">
        <v>7.9446000000000003E-2</v>
      </c>
      <c r="D7" s="70">
        <v>-2.9191000000000002E-2</v>
      </c>
      <c r="E7" s="70">
        <v>0.58062999999999998</v>
      </c>
      <c r="F7" s="70"/>
      <c r="G7" s="70">
        <v>0.43307000000000001</v>
      </c>
      <c r="H7" s="70">
        <v>0.40699999999999997</v>
      </c>
      <c r="I7" s="70">
        <v>0.22377</v>
      </c>
      <c r="J7" s="70">
        <v>0.74373999999999996</v>
      </c>
    </row>
    <row r="8" spans="1:14" x14ac:dyDescent="0.35">
      <c r="A8" t="s">
        <v>213</v>
      </c>
      <c r="B8" s="71">
        <v>-0.30164999999999997</v>
      </c>
      <c r="C8" s="70">
        <v>0.23036999999999999</v>
      </c>
      <c r="D8" s="70">
        <v>0.30292999999999998</v>
      </c>
      <c r="E8" s="70">
        <v>0.19431999999999999</v>
      </c>
      <c r="F8" s="70">
        <v>-0.15139</v>
      </c>
      <c r="G8" s="70"/>
      <c r="H8" s="70">
        <v>0.19846</v>
      </c>
      <c r="I8" s="70">
        <v>2.6496000000000001E-4</v>
      </c>
      <c r="J8" s="70">
        <v>0.28595999999999999</v>
      </c>
    </row>
    <row r="9" spans="1:14" x14ac:dyDescent="0.35">
      <c r="A9" t="s">
        <v>215</v>
      </c>
      <c r="B9" s="71">
        <v>-9.2628000000000002E-2</v>
      </c>
      <c r="C9" s="70">
        <v>-6.1571000000000001E-2</v>
      </c>
      <c r="D9" s="70">
        <v>0.38329999999999997</v>
      </c>
      <c r="E9" s="70">
        <v>7.3641999999999999E-2</v>
      </c>
      <c r="F9" s="70">
        <v>-0.16002</v>
      </c>
      <c r="G9" s="70">
        <v>0.24593000000000001</v>
      </c>
      <c r="H9" s="70"/>
      <c r="I9" s="70">
        <v>3.6464000000000002E-3</v>
      </c>
      <c r="J9" s="70">
        <v>6.2638000000000006E-5</v>
      </c>
    </row>
    <row r="10" spans="1:14" x14ac:dyDescent="0.35">
      <c r="A10" t="s">
        <v>217</v>
      </c>
      <c r="B10" s="71">
        <v>-3.0506999999999999E-2</v>
      </c>
      <c r="C10" s="70">
        <v>-0.11496000000000001</v>
      </c>
      <c r="D10" s="70">
        <v>-3.1343E-3</v>
      </c>
      <c r="E10" s="70">
        <v>0.12243999999999999</v>
      </c>
      <c r="F10" s="70">
        <v>-0.23304</v>
      </c>
      <c r="G10" s="70">
        <v>0.62800999999999996</v>
      </c>
      <c r="H10" s="70">
        <v>0.52242</v>
      </c>
      <c r="I10" s="70"/>
      <c r="J10" s="70">
        <v>1.9251000000000001E-2</v>
      </c>
    </row>
    <row r="11" spans="1:14" x14ac:dyDescent="0.35">
      <c r="A11" t="s">
        <v>219</v>
      </c>
      <c r="B11" s="71">
        <v>1.9266999999999999E-2</v>
      </c>
      <c r="C11" s="70">
        <v>-0.11904000000000001</v>
      </c>
      <c r="D11" s="70">
        <v>0.30547000000000002</v>
      </c>
      <c r="E11" s="70">
        <v>0.37389</v>
      </c>
      <c r="F11" s="70">
        <v>-6.3435000000000005E-2</v>
      </c>
      <c r="G11" s="70">
        <v>0.20504</v>
      </c>
      <c r="H11" s="70">
        <v>0.67329000000000006</v>
      </c>
      <c r="I11" s="70">
        <v>0.43207000000000001</v>
      </c>
      <c r="J11" s="70"/>
    </row>
    <row r="14" spans="1:14" x14ac:dyDescent="0.35">
      <c r="B14" t="s">
        <v>26</v>
      </c>
      <c r="C14" t="s">
        <v>27</v>
      </c>
      <c r="D14" t="s">
        <v>28</v>
      </c>
      <c r="E14" t="s">
        <v>29</v>
      </c>
      <c r="F14" t="s">
        <v>30</v>
      </c>
      <c r="G14" t="s">
        <v>31</v>
      </c>
      <c r="H14" t="s">
        <v>32</v>
      </c>
      <c r="I14" t="s">
        <v>33</v>
      </c>
      <c r="J14" t="s">
        <v>34</v>
      </c>
      <c r="L14" t="s">
        <v>23</v>
      </c>
      <c r="M14" t="s">
        <v>24</v>
      </c>
      <c r="N14" t="s">
        <v>25</v>
      </c>
    </row>
    <row r="15" spans="1:14" x14ac:dyDescent="0.35">
      <c r="A15" t="s">
        <v>286</v>
      </c>
      <c r="B15">
        <v>1.3887</v>
      </c>
      <c r="C15">
        <v>-0.36480000000000001</v>
      </c>
      <c r="D15">
        <v>4.2300000000000004</v>
      </c>
      <c r="E15">
        <v>-0.83162999999999998</v>
      </c>
      <c r="F15">
        <v>-0.26599</v>
      </c>
      <c r="G15">
        <v>0.16453000000000001</v>
      </c>
      <c r="H15">
        <v>0.45002999999999999</v>
      </c>
      <c r="I15">
        <v>-0.17027999999999999</v>
      </c>
      <c r="J15">
        <v>4.2134999999999999E-2</v>
      </c>
      <c r="L15">
        <v>1</v>
      </c>
      <c r="M15">
        <v>2.5904099999999999</v>
      </c>
      <c r="N15">
        <v>37.01</v>
      </c>
    </row>
    <row r="16" spans="1:14" x14ac:dyDescent="0.35">
      <c r="A16" t="s">
        <v>287</v>
      </c>
      <c r="B16">
        <v>0.76554999999999995</v>
      </c>
      <c r="C16">
        <v>8.4620000000000001E-2</v>
      </c>
      <c r="D16">
        <v>-0.36416999999999999</v>
      </c>
      <c r="E16">
        <v>-1.5712999999999999</v>
      </c>
      <c r="F16">
        <v>0.12716</v>
      </c>
      <c r="G16">
        <v>8.2487000000000005E-2</v>
      </c>
      <c r="H16">
        <v>-0.70396999999999998</v>
      </c>
      <c r="I16">
        <v>-7.3905999999999999E-2</v>
      </c>
      <c r="J16">
        <v>-9.5116999999999993E-2</v>
      </c>
      <c r="L16">
        <v>2</v>
      </c>
      <c r="M16">
        <v>1.64314</v>
      </c>
      <c r="N16">
        <v>23.475999999999999</v>
      </c>
    </row>
    <row r="17" spans="1:15" x14ac:dyDescent="0.35">
      <c r="A17" t="s">
        <v>288</v>
      </c>
      <c r="B17">
        <v>0.49418000000000001</v>
      </c>
      <c r="C17">
        <v>8.3590999999999999E-2</v>
      </c>
      <c r="D17">
        <v>9.1521000000000005E-2</v>
      </c>
      <c r="E17">
        <v>-1.4766999999999999</v>
      </c>
      <c r="F17">
        <v>-4.7312E-2</v>
      </c>
      <c r="G17">
        <v>0.29253000000000001</v>
      </c>
      <c r="H17">
        <v>-0.73951999999999996</v>
      </c>
      <c r="I17">
        <v>0.43978</v>
      </c>
      <c r="J17">
        <v>-5.0733E-2</v>
      </c>
      <c r="L17">
        <v>3</v>
      </c>
      <c r="M17">
        <v>1.0126299999999999</v>
      </c>
      <c r="N17">
        <v>14.468</v>
      </c>
      <c r="O17">
        <f>SUM(N15:N17)</f>
        <v>74.953999999999994</v>
      </c>
    </row>
    <row r="18" spans="1:15" x14ac:dyDescent="0.35">
      <c r="A18" t="s">
        <v>292</v>
      </c>
      <c r="B18">
        <v>0.80169000000000001</v>
      </c>
      <c r="C18">
        <v>1.2804</v>
      </c>
      <c r="D18">
        <v>2.9607999999999999E-2</v>
      </c>
      <c r="E18">
        <v>-0.76831000000000005</v>
      </c>
      <c r="F18">
        <v>-2.8323999999999998E-2</v>
      </c>
      <c r="G18">
        <v>1.0564</v>
      </c>
      <c r="H18">
        <v>-0.11668000000000001</v>
      </c>
      <c r="I18">
        <v>-0.65608</v>
      </c>
      <c r="J18">
        <v>3.6538E-3</v>
      </c>
      <c r="L18">
        <v>4</v>
      </c>
      <c r="M18">
        <v>0.74360499999999996</v>
      </c>
      <c r="N18">
        <v>10.624000000000001</v>
      </c>
    </row>
    <row r="19" spans="1:15" x14ac:dyDescent="0.35">
      <c r="A19" t="s">
        <v>291</v>
      </c>
      <c r="B19">
        <v>-1.0353000000000001</v>
      </c>
      <c r="C19">
        <v>3.8458000000000001</v>
      </c>
      <c r="D19">
        <v>-0.15118000000000001</v>
      </c>
      <c r="E19">
        <v>-0.10345</v>
      </c>
      <c r="F19">
        <v>0.39356999999999998</v>
      </c>
      <c r="G19">
        <v>0.11907</v>
      </c>
      <c r="H19">
        <v>-0.30502000000000001</v>
      </c>
      <c r="I19">
        <v>0.36617</v>
      </c>
      <c r="J19">
        <v>0.48931000000000002</v>
      </c>
      <c r="L19">
        <v>5</v>
      </c>
      <c r="M19">
        <v>0.41634900000000002</v>
      </c>
      <c r="N19">
        <v>5.9485000000000001</v>
      </c>
    </row>
    <row r="20" spans="1:15" x14ac:dyDescent="0.35">
      <c r="A20" t="s">
        <v>292</v>
      </c>
      <c r="B20">
        <v>0.22721</v>
      </c>
      <c r="C20">
        <v>0.74617</v>
      </c>
      <c r="D20">
        <v>-4.1707999999999997E-3</v>
      </c>
      <c r="E20">
        <v>0.10223</v>
      </c>
      <c r="F20">
        <v>0.15165000000000001</v>
      </c>
      <c r="G20">
        <v>0.70470999999999995</v>
      </c>
      <c r="H20">
        <v>-6.7335000000000006E-2</v>
      </c>
      <c r="I20">
        <v>0.53197000000000005</v>
      </c>
      <c r="J20">
        <v>0.29583999999999999</v>
      </c>
      <c r="L20">
        <v>6</v>
      </c>
      <c r="M20">
        <v>0.238953</v>
      </c>
      <c r="N20">
        <v>3.4140000000000001</v>
      </c>
    </row>
    <row r="21" spans="1:15" x14ac:dyDescent="0.35">
      <c r="A21" t="s">
        <v>292</v>
      </c>
      <c r="B21">
        <v>1.7726</v>
      </c>
      <c r="C21">
        <v>0.72238000000000002</v>
      </c>
      <c r="D21">
        <v>-1.0648</v>
      </c>
      <c r="E21">
        <v>-1.1977</v>
      </c>
      <c r="F21">
        <v>-0.28752</v>
      </c>
      <c r="G21">
        <v>0.42485000000000001</v>
      </c>
      <c r="H21">
        <v>0.96248999999999996</v>
      </c>
      <c r="I21">
        <v>-0.10006</v>
      </c>
      <c r="J21">
        <v>8.2789000000000001E-2</v>
      </c>
      <c r="L21">
        <v>7</v>
      </c>
      <c r="M21">
        <v>0.19220499999999999</v>
      </c>
      <c r="N21">
        <v>2.7461000000000002</v>
      </c>
    </row>
    <row r="22" spans="1:15" x14ac:dyDescent="0.35">
      <c r="A22" t="s">
        <v>289</v>
      </c>
      <c r="B22">
        <v>3.1055000000000001</v>
      </c>
      <c r="C22">
        <v>4.4338000000000002E-2</v>
      </c>
      <c r="D22">
        <v>0.80086999999999997</v>
      </c>
      <c r="E22">
        <v>-0.15187</v>
      </c>
      <c r="F22">
        <v>0.33882000000000001</v>
      </c>
      <c r="G22">
        <v>-1.2151000000000001</v>
      </c>
      <c r="H22">
        <v>-0.46461000000000002</v>
      </c>
      <c r="I22">
        <v>-0.22392000000000001</v>
      </c>
      <c r="J22">
        <v>0.12211</v>
      </c>
      <c r="L22">
        <v>8</v>
      </c>
      <c r="M22">
        <v>8.8933300000000007E-2</v>
      </c>
      <c r="N22">
        <v>1.2706</v>
      </c>
    </row>
    <row r="23" spans="1:15" x14ac:dyDescent="0.35">
      <c r="A23" t="s">
        <v>253</v>
      </c>
      <c r="B23">
        <v>0.1082</v>
      </c>
      <c r="C23">
        <v>-1.4275</v>
      </c>
      <c r="D23">
        <v>3.9856999999999997E-2</v>
      </c>
      <c r="E23">
        <v>1.0629999999999999</v>
      </c>
      <c r="F23">
        <v>0.48143000000000002</v>
      </c>
      <c r="G23">
        <v>0.50839999999999996</v>
      </c>
      <c r="H23">
        <v>-0.2737</v>
      </c>
      <c r="I23">
        <v>-0.21068999999999999</v>
      </c>
      <c r="J23">
        <v>-0.33239999999999997</v>
      </c>
      <c r="L23">
        <v>9</v>
      </c>
      <c r="M23">
        <v>7.3054999999999995E-2</v>
      </c>
      <c r="N23">
        <v>1.0438000000000001</v>
      </c>
    </row>
    <row r="24" spans="1:15" x14ac:dyDescent="0.35">
      <c r="A24" t="s">
        <v>290</v>
      </c>
      <c r="B24">
        <v>0.73670999999999998</v>
      </c>
      <c r="C24">
        <v>-1.7537</v>
      </c>
      <c r="D24">
        <v>-1.3145</v>
      </c>
      <c r="E24">
        <v>-1.3226999999999999E-2</v>
      </c>
      <c r="F24">
        <v>-0.96342000000000005</v>
      </c>
      <c r="G24">
        <v>0.87536000000000003</v>
      </c>
      <c r="H24">
        <v>-0.30071999999999999</v>
      </c>
      <c r="I24">
        <v>-0.31470999999999999</v>
      </c>
      <c r="J24">
        <v>0.16549</v>
      </c>
    </row>
    <row r="25" spans="1:15" x14ac:dyDescent="0.35">
      <c r="A25" t="s">
        <v>290</v>
      </c>
      <c r="B25">
        <v>-1.6893</v>
      </c>
      <c r="C25">
        <v>-0.15812000000000001</v>
      </c>
      <c r="D25">
        <v>0.23662</v>
      </c>
      <c r="E25">
        <v>1.2010000000000001</v>
      </c>
      <c r="F25">
        <v>-1.8405</v>
      </c>
      <c r="G25">
        <v>-0.41824</v>
      </c>
      <c r="H25">
        <v>-0.1623</v>
      </c>
      <c r="I25">
        <v>0.18321999999999999</v>
      </c>
      <c r="J25">
        <v>0.55630999999999997</v>
      </c>
    </row>
    <row r="26" spans="1:15" x14ac:dyDescent="0.35">
      <c r="A26" t="s">
        <v>255</v>
      </c>
      <c r="B26">
        <v>2.0792999999999999</v>
      </c>
      <c r="C26">
        <v>-0.62039999999999995</v>
      </c>
      <c r="D26">
        <v>-1.3252999999999999</v>
      </c>
      <c r="E26">
        <v>-1.6236999999999999</v>
      </c>
      <c r="F26">
        <v>-0.67122999999999999</v>
      </c>
      <c r="G26">
        <v>-1.0427999999999999</v>
      </c>
      <c r="H26">
        <v>0.33767999999999998</v>
      </c>
      <c r="I26">
        <v>0.11484</v>
      </c>
      <c r="J26">
        <v>5.6464E-2</v>
      </c>
    </row>
    <row r="27" spans="1:15" x14ac:dyDescent="0.35">
      <c r="A27" t="s">
        <v>255</v>
      </c>
      <c r="B27">
        <v>-3.6551999999999998</v>
      </c>
      <c r="C27">
        <v>2.5062000000000002</v>
      </c>
      <c r="D27">
        <v>0.71675</v>
      </c>
      <c r="E27">
        <v>-7.1581000000000006E-2</v>
      </c>
      <c r="F27">
        <v>-1.0492999999999999</v>
      </c>
      <c r="G27">
        <v>-0.39942</v>
      </c>
      <c r="H27">
        <v>3.9101999999999998E-2</v>
      </c>
      <c r="I27">
        <v>-0.59831000000000001</v>
      </c>
      <c r="J27">
        <v>-0.30931999999999998</v>
      </c>
    </row>
    <row r="28" spans="1:15" x14ac:dyDescent="0.35">
      <c r="A28" t="s">
        <v>258</v>
      </c>
      <c r="B28">
        <v>-2.3176999999999999</v>
      </c>
      <c r="C28">
        <v>-2.3132999999999999</v>
      </c>
      <c r="D28">
        <v>-0.20063</v>
      </c>
      <c r="E28">
        <v>-0.32913999999999999</v>
      </c>
      <c r="F28">
        <v>9.8792000000000005E-2</v>
      </c>
      <c r="G28">
        <v>-0.21964</v>
      </c>
      <c r="H28">
        <v>9.6711999999999996E-3</v>
      </c>
      <c r="I28">
        <v>-4.3522E-4</v>
      </c>
      <c r="J28">
        <v>-0.20957000000000001</v>
      </c>
    </row>
    <row r="29" spans="1:15" x14ac:dyDescent="0.35">
      <c r="A29" t="s">
        <v>253</v>
      </c>
      <c r="B29">
        <v>0.87648999999999999</v>
      </c>
      <c r="C29">
        <v>0.11600000000000001</v>
      </c>
      <c r="D29">
        <v>-0.83603000000000005</v>
      </c>
      <c r="E29">
        <v>0.51344000000000001</v>
      </c>
      <c r="F29">
        <v>-1.3658999999999999</v>
      </c>
      <c r="G29">
        <v>1.0493000000000001E-2</v>
      </c>
      <c r="H29">
        <v>0.60777999999999999</v>
      </c>
      <c r="I29">
        <v>0.30814000000000002</v>
      </c>
      <c r="J29">
        <v>-0.51017000000000001</v>
      </c>
    </row>
    <row r="30" spans="1:15" x14ac:dyDescent="0.35">
      <c r="A30" t="s">
        <v>253</v>
      </c>
      <c r="B30">
        <v>-8.6800000000000002E-2</v>
      </c>
      <c r="C30">
        <v>1.4831000000000001</v>
      </c>
      <c r="D30">
        <v>-6.3597000000000001E-2</v>
      </c>
      <c r="E30">
        <v>0.43423</v>
      </c>
      <c r="F30">
        <v>0.46394000000000002</v>
      </c>
      <c r="G30">
        <v>0.27533000000000002</v>
      </c>
      <c r="H30">
        <v>0.82152999999999998</v>
      </c>
      <c r="I30">
        <v>0.35426000000000002</v>
      </c>
      <c r="J30">
        <v>-0.46877999999999997</v>
      </c>
    </row>
    <row r="31" spans="1:15" x14ac:dyDescent="0.35">
      <c r="A31" t="s">
        <v>258</v>
      </c>
      <c r="B31">
        <v>-2.2250999999999999</v>
      </c>
      <c r="C31">
        <v>-1.6136999999999999</v>
      </c>
      <c r="D31">
        <v>-0.22015999999999999</v>
      </c>
      <c r="E31">
        <v>-0.38817000000000002</v>
      </c>
      <c r="F31">
        <v>0.26578000000000002</v>
      </c>
      <c r="G31">
        <v>0.21151</v>
      </c>
      <c r="H31">
        <v>9.9560999999999997E-2</v>
      </c>
      <c r="I31">
        <v>-8.8140999999999997E-2</v>
      </c>
      <c r="J31">
        <v>0.25583</v>
      </c>
    </row>
    <row r="32" spans="1:15" x14ac:dyDescent="0.35">
      <c r="A32" t="s">
        <v>258</v>
      </c>
      <c r="B32">
        <v>-2.2669999999999999</v>
      </c>
      <c r="C32">
        <v>-1.5838000000000001</v>
      </c>
      <c r="D32">
        <v>-0.26529999999999998</v>
      </c>
      <c r="E32">
        <v>-0.33935999999999999</v>
      </c>
      <c r="F32">
        <v>0.23512</v>
      </c>
      <c r="G32">
        <v>9.6280000000000004E-2</v>
      </c>
      <c r="H32">
        <v>7.3604000000000003E-2</v>
      </c>
      <c r="I32">
        <v>-6.0201999999999999E-2</v>
      </c>
      <c r="J32">
        <v>0.31437999999999999</v>
      </c>
    </row>
    <row r="33" spans="1:13" x14ac:dyDescent="0.35">
      <c r="A33" t="s">
        <v>253</v>
      </c>
      <c r="B33">
        <v>0.51605000000000001</v>
      </c>
      <c r="C33">
        <v>1.3859999999999999</v>
      </c>
      <c r="D33">
        <v>-1.7834000000000001</v>
      </c>
      <c r="E33">
        <v>0.77185999999999999</v>
      </c>
      <c r="F33">
        <v>0.96148999999999996</v>
      </c>
      <c r="G33">
        <v>-0.51161999999999996</v>
      </c>
      <c r="H33">
        <v>4.7336999999999997E-2</v>
      </c>
      <c r="I33">
        <v>-0.63649</v>
      </c>
      <c r="J33">
        <v>7.5223999999999999E-2</v>
      </c>
    </row>
    <row r="34" spans="1:13" x14ac:dyDescent="0.35">
      <c r="A34" t="s">
        <v>259</v>
      </c>
      <c r="B34">
        <v>-2.2633999999999999</v>
      </c>
      <c r="C34">
        <v>-0.63705999999999996</v>
      </c>
      <c r="D34">
        <v>0.14513999999999999</v>
      </c>
      <c r="E34" s="36">
        <v>-0.57211000000000001</v>
      </c>
      <c r="F34">
        <v>0.93318000000000001</v>
      </c>
      <c r="G34">
        <v>-0.30462</v>
      </c>
      <c r="H34" s="36">
        <v>0.40647</v>
      </c>
      <c r="I34">
        <v>7.6068999999999998E-2</v>
      </c>
      <c r="J34">
        <v>4.7745999999999997E-2</v>
      </c>
      <c r="L34" s="36"/>
    </row>
    <row r="35" spans="1:13" x14ac:dyDescent="0.35">
      <c r="A35" t="s">
        <v>259</v>
      </c>
      <c r="B35">
        <v>-2.1025</v>
      </c>
      <c r="C35">
        <v>-0.63143000000000005</v>
      </c>
      <c r="D35">
        <v>9.5869999999999997E-2</v>
      </c>
      <c r="E35">
        <v>-0.66054000000000002</v>
      </c>
      <c r="F35" s="36">
        <v>0.85543000000000002</v>
      </c>
      <c r="G35">
        <v>-0.31823000000000001</v>
      </c>
      <c r="H35">
        <v>0.49869000000000002</v>
      </c>
      <c r="I35">
        <v>0.16056999999999999</v>
      </c>
      <c r="J35">
        <v>2.6179999999999998E-2</v>
      </c>
    </row>
    <row r="36" spans="1:13" x14ac:dyDescent="0.35">
      <c r="A36" t="s">
        <v>286</v>
      </c>
      <c r="B36">
        <v>-1.1585000000000001</v>
      </c>
      <c r="C36">
        <v>0.42826999999999998</v>
      </c>
      <c r="D36">
        <v>-4.4678000000000002E-2</v>
      </c>
      <c r="E36">
        <v>-0.32273000000000002</v>
      </c>
      <c r="F36">
        <v>-0.13544</v>
      </c>
      <c r="G36">
        <v>-0.26994000000000001</v>
      </c>
      <c r="H36">
        <v>-1.0047999999999999</v>
      </c>
      <c r="I36">
        <v>0.25941999999999998</v>
      </c>
      <c r="J36">
        <v>-0.64297000000000004</v>
      </c>
    </row>
    <row r="37" spans="1:13" x14ac:dyDescent="0.35">
      <c r="A37" t="s">
        <v>255</v>
      </c>
      <c r="B37">
        <v>0.88280000000000003</v>
      </c>
      <c r="C37">
        <v>-0.40617999999999999</v>
      </c>
      <c r="D37">
        <v>0.18204999999999999</v>
      </c>
      <c r="E37">
        <v>0.87802999999999998</v>
      </c>
      <c r="F37">
        <v>0.25345000000000001</v>
      </c>
      <c r="G37">
        <v>3.8275000000000003E-2</v>
      </c>
      <c r="H37">
        <v>-6.1165999999999998E-2</v>
      </c>
      <c r="I37">
        <v>8.4247000000000002E-2</v>
      </c>
      <c r="J37">
        <v>-5.4806999999999998E-3</v>
      </c>
    </row>
    <row r="38" spans="1:13" x14ac:dyDescent="0.35">
      <c r="A38" t="s">
        <v>255</v>
      </c>
      <c r="B38">
        <v>1.3986000000000001</v>
      </c>
      <c r="C38">
        <v>-0.70340000000000003</v>
      </c>
      <c r="D38">
        <v>0.38618999999999998</v>
      </c>
      <c r="E38">
        <v>0.85477999999999998</v>
      </c>
      <c r="F38">
        <v>3.0776999999999999E-2</v>
      </c>
      <c r="G38">
        <v>2.7243E-2</v>
      </c>
      <c r="H38">
        <v>-7.3599999999999999E-2</v>
      </c>
      <c r="I38">
        <v>5.8169999999999999E-2</v>
      </c>
      <c r="J38" s="36">
        <v>1.3798E-2</v>
      </c>
      <c r="L38" s="36"/>
    </row>
    <row r="39" spans="1:13" x14ac:dyDescent="0.35">
      <c r="A39" t="s">
        <v>255</v>
      </c>
      <c r="B39">
        <v>1.4694</v>
      </c>
      <c r="C39">
        <v>-0.14388000000000001</v>
      </c>
      <c r="D39">
        <v>-0.13208</v>
      </c>
      <c r="E39">
        <v>0.60077999999999998</v>
      </c>
      <c r="F39">
        <v>0.30821999999999999</v>
      </c>
      <c r="G39">
        <v>-8.2754999999999995E-2</v>
      </c>
      <c r="H39">
        <v>0.11753</v>
      </c>
      <c r="I39">
        <v>0.19955999999999999</v>
      </c>
      <c r="J39">
        <v>1.5112E-2</v>
      </c>
      <c r="M39" s="36"/>
    </row>
    <row r="40" spans="1:13" x14ac:dyDescent="0.35">
      <c r="A40" t="s">
        <v>255</v>
      </c>
      <c r="B40">
        <v>-0.10045</v>
      </c>
      <c r="C40">
        <v>0.22599</v>
      </c>
      <c r="D40">
        <v>0.30879000000000001</v>
      </c>
      <c r="E40">
        <v>1.0329999999999999</v>
      </c>
      <c r="F40">
        <v>0.26606999999999997</v>
      </c>
      <c r="G40">
        <v>0.18057999999999999</v>
      </c>
      <c r="H40">
        <v>-0.15686</v>
      </c>
      <c r="I40">
        <v>5.7984000000000001E-2</v>
      </c>
      <c r="J40">
        <v>-9.5255000000000006E-2</v>
      </c>
      <c r="L40" s="36"/>
    </row>
    <row r="41" spans="1:13" x14ac:dyDescent="0.35">
      <c r="A41" t="s">
        <v>255</v>
      </c>
      <c r="B41">
        <v>0.82055999999999996</v>
      </c>
      <c r="C41">
        <v>-6.3475000000000004E-2</v>
      </c>
      <c r="D41">
        <v>0.15755</v>
      </c>
      <c r="E41">
        <v>0.94411</v>
      </c>
      <c r="F41">
        <v>0.24013999999999999</v>
      </c>
      <c r="G41">
        <v>-0.13880999999999999</v>
      </c>
      <c r="H41">
        <v>8.3513000000000004E-2</v>
      </c>
      <c r="I41">
        <v>8.6216999999999995E-3</v>
      </c>
      <c r="J41">
        <v>6.7493999999999998E-2</v>
      </c>
    </row>
    <row r="42" spans="1:13" x14ac:dyDescent="0.35">
      <c r="A42" t="s">
        <v>255</v>
      </c>
      <c r="B42">
        <v>0.50734999999999997</v>
      </c>
      <c r="C42">
        <v>-6.2614000000000003E-2</v>
      </c>
      <c r="D42">
        <v>0.10675999999999999</v>
      </c>
      <c r="E42">
        <v>1.1453</v>
      </c>
      <c r="F42">
        <v>4.9321999999999998E-2</v>
      </c>
      <c r="G42">
        <v>-0.25013999999999997</v>
      </c>
      <c r="H42">
        <v>5.6594999999999999E-2</v>
      </c>
      <c r="I42">
        <v>-0.11983000000000001</v>
      </c>
      <c r="J42">
        <v>0.11132</v>
      </c>
    </row>
    <row r="43" spans="1:13" x14ac:dyDescent="0.35">
      <c r="A43" t="s">
        <v>255</v>
      </c>
      <c r="B43">
        <v>0.95052000000000003</v>
      </c>
      <c r="C43">
        <v>-0.46937000000000001</v>
      </c>
      <c r="D43">
        <v>0.24235000000000001</v>
      </c>
      <c r="E43">
        <v>0.87983999999999996</v>
      </c>
      <c r="F43">
        <v>0.20065</v>
      </c>
      <c r="G43">
        <v>0.10331</v>
      </c>
      <c r="H43">
        <v>-0.18134</v>
      </c>
      <c r="I43">
        <v>5.0039E-2</v>
      </c>
      <c r="J43">
        <v>-2.1385000000000001E-2</v>
      </c>
    </row>
    <row r="46" spans="1:13" x14ac:dyDescent="0.35">
      <c r="B46" t="s">
        <v>26</v>
      </c>
      <c r="C46" t="s">
        <v>27</v>
      </c>
      <c r="D46" t="s">
        <v>28</v>
      </c>
      <c r="E46" t="s">
        <v>29</v>
      </c>
      <c r="F46" t="s">
        <v>30</v>
      </c>
      <c r="G46" t="s">
        <v>31</v>
      </c>
      <c r="H46" t="s">
        <v>32</v>
      </c>
      <c r="I46" t="s">
        <v>33</v>
      </c>
      <c r="J46" t="s">
        <v>34</v>
      </c>
    </row>
    <row r="47" spans="1:13" x14ac:dyDescent="0.35">
      <c r="A47" t="s">
        <v>76</v>
      </c>
      <c r="B47">
        <v>-2.5090000000000001E-2</v>
      </c>
      <c r="C47">
        <v>1.1024000000000001E-2</v>
      </c>
      <c r="D47">
        <v>-8.3058999999999994E-2</v>
      </c>
      <c r="E47">
        <v>-4.8217999999999997E-2</v>
      </c>
      <c r="F47">
        <v>-0.10435</v>
      </c>
      <c r="G47">
        <v>0.53656999999999999</v>
      </c>
      <c r="H47">
        <v>0.18196000000000001</v>
      </c>
      <c r="I47">
        <v>-5.3448000000000002E-2</v>
      </c>
      <c r="J47">
        <v>0.80947999999999998</v>
      </c>
    </row>
    <row r="48" spans="1:13" x14ac:dyDescent="0.35">
      <c r="A48" t="s">
        <v>77</v>
      </c>
      <c r="B48">
        <v>2.2404999999999999E-3</v>
      </c>
      <c r="C48">
        <v>4.8191999999999999E-2</v>
      </c>
      <c r="D48">
        <v>9.5854999999999996E-2</v>
      </c>
      <c r="E48">
        <v>0.15071999999999999</v>
      </c>
      <c r="F48">
        <v>4.4483999999999999E-3</v>
      </c>
      <c r="G48">
        <v>-0.35166999999999998</v>
      </c>
      <c r="H48">
        <v>-0.42129</v>
      </c>
      <c r="I48">
        <v>0.71382999999999996</v>
      </c>
      <c r="J48">
        <v>0.39373999999999998</v>
      </c>
    </row>
    <row r="49" spans="1:10" x14ac:dyDescent="0.35">
      <c r="A49" t="s">
        <v>214</v>
      </c>
      <c r="B49">
        <v>0.23155999999999999</v>
      </c>
      <c r="C49">
        <v>0.11071</v>
      </c>
      <c r="D49">
        <v>-0.17176</v>
      </c>
      <c r="E49">
        <v>0.80347999999999997</v>
      </c>
      <c r="F49">
        <v>7.6447000000000001E-2</v>
      </c>
      <c r="G49">
        <v>0.37274000000000002</v>
      </c>
      <c r="H49">
        <v>0.13094</v>
      </c>
      <c r="I49">
        <v>0.22474</v>
      </c>
      <c r="J49">
        <v>-0.21590999999999999</v>
      </c>
    </row>
    <row r="50" spans="1:10" x14ac:dyDescent="0.35">
      <c r="A50" t="s">
        <v>211</v>
      </c>
      <c r="B50">
        <v>0.21473</v>
      </c>
      <c r="C50">
        <v>0.66888999999999998</v>
      </c>
      <c r="D50">
        <v>0.13650000000000001</v>
      </c>
      <c r="E50">
        <v>-3.1393999999999998E-2</v>
      </c>
      <c r="F50">
        <v>-0.40483999999999998</v>
      </c>
      <c r="G50">
        <v>0.16199</v>
      </c>
      <c r="H50">
        <v>-0.48909999999999998</v>
      </c>
      <c r="I50">
        <v>-0.23333999999999999</v>
      </c>
      <c r="J50">
        <v>-5.5343999999999997E-2</v>
      </c>
    </row>
    <row r="51" spans="1:10" x14ac:dyDescent="0.35">
      <c r="A51" t="s">
        <v>212</v>
      </c>
      <c r="B51">
        <v>-0.10458000000000001</v>
      </c>
      <c r="C51">
        <v>0.68964999999999999</v>
      </c>
      <c r="D51">
        <v>8.5094000000000003E-2</v>
      </c>
      <c r="E51">
        <v>-0.16092000000000001</v>
      </c>
      <c r="F51">
        <v>0.56218000000000001</v>
      </c>
      <c r="G51">
        <v>-6.8239999999999995E-2</v>
      </c>
      <c r="H51">
        <v>0.37211</v>
      </c>
      <c r="I51">
        <v>0.14227999999999999</v>
      </c>
      <c r="J51">
        <v>2.9963E-2</v>
      </c>
    </row>
    <row r="52" spans="1:10" x14ac:dyDescent="0.35">
      <c r="A52" t="s">
        <v>213</v>
      </c>
      <c r="B52">
        <v>0.40699999999999997</v>
      </c>
      <c r="C52">
        <v>-7.7288999999999997E-2</v>
      </c>
      <c r="D52">
        <v>0.66686999999999996</v>
      </c>
      <c r="E52">
        <v>0.28988000000000003</v>
      </c>
      <c r="F52">
        <v>2.3716000000000001E-2</v>
      </c>
      <c r="G52">
        <v>-0.31519999999999998</v>
      </c>
      <c r="H52">
        <v>0.23144000000000001</v>
      </c>
      <c r="I52">
        <v>-0.29785</v>
      </c>
      <c r="J52">
        <v>0.23966000000000001</v>
      </c>
    </row>
    <row r="53" spans="1:10" x14ac:dyDescent="0.35">
      <c r="A53" t="s">
        <v>215</v>
      </c>
      <c r="B53">
        <v>0.49746000000000001</v>
      </c>
      <c r="C53">
        <v>-8.1661999999999998E-2</v>
      </c>
      <c r="D53">
        <v>-0.4259</v>
      </c>
      <c r="E53">
        <v>-4.0131E-2</v>
      </c>
      <c r="F53">
        <v>0.54590000000000005</v>
      </c>
      <c r="G53">
        <v>-9.8646999999999999E-2</v>
      </c>
      <c r="H53">
        <v>-0.37217</v>
      </c>
      <c r="I53">
        <v>-0.29597000000000001</v>
      </c>
      <c r="J53">
        <v>0.17030999999999999</v>
      </c>
    </row>
    <row r="54" spans="1:10" x14ac:dyDescent="0.35">
      <c r="A54" t="s">
        <v>217</v>
      </c>
      <c r="B54">
        <v>0.48812</v>
      </c>
      <c r="C54">
        <v>-0.18084</v>
      </c>
      <c r="D54">
        <v>0.34243000000000001</v>
      </c>
      <c r="E54">
        <v>-0.43184</v>
      </c>
      <c r="F54">
        <v>0.11699</v>
      </c>
      <c r="G54">
        <v>0.45265</v>
      </c>
      <c r="H54">
        <v>-1.8362E-2</v>
      </c>
      <c r="I54">
        <v>0.39300000000000002</v>
      </c>
      <c r="J54">
        <v>-0.22788</v>
      </c>
    </row>
    <row r="55" spans="1:10" x14ac:dyDescent="0.35">
      <c r="A55" t="s">
        <v>219</v>
      </c>
      <c r="B55">
        <v>0.48715999999999998</v>
      </c>
      <c r="C55">
        <v>0.13011</v>
      </c>
      <c r="D55">
        <v>-0.43031000000000003</v>
      </c>
      <c r="E55">
        <v>-0.17430000000000001</v>
      </c>
      <c r="F55">
        <v>-0.43708999999999998</v>
      </c>
      <c r="G55">
        <v>-0.32344000000000001</v>
      </c>
      <c r="H55">
        <v>0.44962000000000002</v>
      </c>
      <c r="I55">
        <v>0.17782999999999999</v>
      </c>
      <c r="J55">
        <v>2.7518999999999998E-2</v>
      </c>
    </row>
    <row r="58" spans="1:10" x14ac:dyDescent="0.35">
      <c r="A58" s="2" t="s">
        <v>328</v>
      </c>
    </row>
    <row r="59" spans="1:10" x14ac:dyDescent="0.35">
      <c r="B59" t="s">
        <v>76</v>
      </c>
      <c r="C59" t="s">
        <v>77</v>
      </c>
      <c r="D59" t="s">
        <v>214</v>
      </c>
      <c r="E59" t="s">
        <v>211</v>
      </c>
      <c r="F59" t="s">
        <v>212</v>
      </c>
      <c r="G59" t="s">
        <v>213</v>
      </c>
      <c r="H59" t="s">
        <v>216</v>
      </c>
      <c r="I59" t="s">
        <v>218</v>
      </c>
      <c r="J59" t="s">
        <v>220</v>
      </c>
    </row>
    <row r="60" spans="1:10" x14ac:dyDescent="0.35">
      <c r="A60" t="s">
        <v>76</v>
      </c>
      <c r="C60">
        <v>5.0501999999999998E-2</v>
      </c>
      <c r="D60">
        <v>0.89836000000000005</v>
      </c>
      <c r="E60">
        <v>0.92396999999999996</v>
      </c>
      <c r="F60">
        <v>0.98716999999999999</v>
      </c>
      <c r="G60">
        <v>0.11178</v>
      </c>
      <c r="H60">
        <v>3.9315999999999997E-2</v>
      </c>
      <c r="I60">
        <v>0.15936</v>
      </c>
      <c r="J60">
        <v>8.9978000000000002E-2</v>
      </c>
    </row>
    <row r="61" spans="1:10" x14ac:dyDescent="0.35">
      <c r="A61" t="s">
        <v>77</v>
      </c>
      <c r="B61">
        <v>-0.36653000000000002</v>
      </c>
      <c r="D61">
        <v>0.43214000000000002</v>
      </c>
      <c r="E61">
        <v>0.32945999999999998</v>
      </c>
      <c r="F61">
        <v>0.68206</v>
      </c>
      <c r="G61">
        <v>0.22927</v>
      </c>
      <c r="H61">
        <v>0.64356000000000002</v>
      </c>
      <c r="I61">
        <v>0.68567999999999996</v>
      </c>
      <c r="J61">
        <v>5.4356000000000002E-2</v>
      </c>
    </row>
    <row r="62" spans="1:10" x14ac:dyDescent="0.35">
      <c r="A62" t="s">
        <v>214</v>
      </c>
      <c r="B62">
        <v>2.4806999999999999E-2</v>
      </c>
      <c r="C62">
        <v>0.1517</v>
      </c>
      <c r="E62">
        <v>0.23286000000000001</v>
      </c>
      <c r="F62">
        <v>0.88051000000000001</v>
      </c>
      <c r="G62">
        <v>0.11019</v>
      </c>
      <c r="H62">
        <v>0.23483000000000001</v>
      </c>
      <c r="I62">
        <v>0.42286000000000001</v>
      </c>
      <c r="J62">
        <v>7.9978999999999995E-2</v>
      </c>
    </row>
    <row r="63" spans="1:10" x14ac:dyDescent="0.35">
      <c r="A63" t="s">
        <v>211</v>
      </c>
      <c r="B63">
        <v>1.8534999999999999E-2</v>
      </c>
      <c r="C63">
        <v>0.18773000000000001</v>
      </c>
      <c r="D63">
        <v>0.22864999999999999</v>
      </c>
      <c r="F63">
        <v>9.5883999999999997E-4</v>
      </c>
      <c r="G63">
        <v>0.31246000000000002</v>
      </c>
      <c r="H63">
        <v>0.38361000000000001</v>
      </c>
      <c r="I63">
        <v>0.73455000000000004</v>
      </c>
      <c r="J63">
        <v>0.67518999999999996</v>
      </c>
    </row>
    <row r="64" spans="1:10" x14ac:dyDescent="0.35">
      <c r="A64" t="s">
        <v>212</v>
      </c>
      <c r="B64">
        <v>-3.1242000000000002E-3</v>
      </c>
      <c r="C64">
        <v>7.9446000000000003E-2</v>
      </c>
      <c r="D64">
        <v>-2.9191000000000002E-2</v>
      </c>
      <c r="E64">
        <v>0.58062999999999998</v>
      </c>
      <c r="G64">
        <v>0.43307000000000001</v>
      </c>
      <c r="H64">
        <v>0.44069000000000003</v>
      </c>
      <c r="I64">
        <v>2.6887999999999999E-2</v>
      </c>
      <c r="J64">
        <v>0.39715</v>
      </c>
    </row>
    <row r="65" spans="1:15" x14ac:dyDescent="0.35">
      <c r="A65" t="s">
        <v>213</v>
      </c>
      <c r="B65">
        <v>-0.30164999999999997</v>
      </c>
      <c r="C65">
        <v>0.23036999999999999</v>
      </c>
      <c r="D65">
        <v>0.30292999999999998</v>
      </c>
      <c r="E65">
        <v>0.19431999999999999</v>
      </c>
      <c r="F65">
        <v>-0.15139</v>
      </c>
      <c r="H65">
        <v>0.23821999999999999</v>
      </c>
      <c r="I65">
        <v>1.758E-3</v>
      </c>
      <c r="J65">
        <v>0.85958999999999997</v>
      </c>
    </row>
    <row r="66" spans="1:15" x14ac:dyDescent="0.35">
      <c r="A66" t="s">
        <v>216</v>
      </c>
      <c r="B66">
        <v>-0.38474000000000003</v>
      </c>
      <c r="C66">
        <v>8.9696999999999999E-2</v>
      </c>
      <c r="D66">
        <v>0.22771</v>
      </c>
      <c r="E66">
        <v>-0.16803000000000001</v>
      </c>
      <c r="F66">
        <v>-0.14892</v>
      </c>
      <c r="G66">
        <v>0.22611999999999999</v>
      </c>
      <c r="I66">
        <v>2.5170000000000001E-2</v>
      </c>
      <c r="J66">
        <v>0.12605</v>
      </c>
      <c r="L66" s="36"/>
    </row>
    <row r="67" spans="1:15" x14ac:dyDescent="0.35">
      <c r="A67" t="s">
        <v>218</v>
      </c>
      <c r="B67">
        <v>-0.26829999999999998</v>
      </c>
      <c r="C67">
        <v>7.8492999999999993E-2</v>
      </c>
      <c r="D67">
        <v>-0.15473999999999999</v>
      </c>
      <c r="E67">
        <v>-6.5791000000000002E-2</v>
      </c>
      <c r="F67">
        <v>-0.41071000000000002</v>
      </c>
      <c r="G67">
        <v>0.55550999999999995</v>
      </c>
      <c r="H67">
        <v>0.41503000000000001</v>
      </c>
      <c r="J67">
        <v>2.877E-2</v>
      </c>
    </row>
    <row r="68" spans="1:15" x14ac:dyDescent="0.35">
      <c r="A68" t="s">
        <v>220</v>
      </c>
      <c r="B68">
        <v>-0.32057999999999998</v>
      </c>
      <c r="C68">
        <v>0.36099999999999999</v>
      </c>
      <c r="D68">
        <v>-0.33045000000000002</v>
      </c>
      <c r="E68">
        <v>-8.1259999999999999E-2</v>
      </c>
      <c r="F68">
        <v>-0.16336000000000001</v>
      </c>
      <c r="G68">
        <v>3.4348999999999998E-2</v>
      </c>
      <c r="H68">
        <v>0.29070000000000001</v>
      </c>
      <c r="I68">
        <v>0.40622000000000003</v>
      </c>
    </row>
    <row r="70" spans="1:15" x14ac:dyDescent="0.35">
      <c r="J70" s="36"/>
      <c r="L70" s="36"/>
    </row>
    <row r="71" spans="1:15" x14ac:dyDescent="0.35">
      <c r="B71" t="s">
        <v>26</v>
      </c>
      <c r="C71" t="s">
        <v>27</v>
      </c>
      <c r="D71" t="s">
        <v>28</v>
      </c>
      <c r="E71" t="s">
        <v>29</v>
      </c>
      <c r="F71" t="s">
        <v>30</v>
      </c>
      <c r="G71" t="s">
        <v>31</v>
      </c>
      <c r="H71" t="s">
        <v>32</v>
      </c>
      <c r="I71" t="s">
        <v>33</v>
      </c>
      <c r="J71" t="s">
        <v>34</v>
      </c>
      <c r="L71" t="s">
        <v>23</v>
      </c>
      <c r="M71" s="36" t="s">
        <v>24</v>
      </c>
      <c r="N71" t="s">
        <v>25</v>
      </c>
    </row>
    <row r="72" spans="1:15" x14ac:dyDescent="0.35">
      <c r="A72" t="s">
        <v>286</v>
      </c>
      <c r="B72">
        <v>1.548</v>
      </c>
      <c r="C72">
        <v>2.1368</v>
      </c>
      <c r="D72">
        <v>-0.31781999999999999</v>
      </c>
      <c r="E72">
        <v>-2.8271000000000002</v>
      </c>
      <c r="F72">
        <v>-1.5702</v>
      </c>
      <c r="G72">
        <v>-0.69550999999999996</v>
      </c>
      <c r="H72">
        <v>-0.20080999999999999</v>
      </c>
      <c r="I72">
        <v>0.14413000000000001</v>
      </c>
      <c r="J72">
        <v>0.12598000000000001</v>
      </c>
      <c r="L72">
        <v>1</v>
      </c>
      <c r="M72">
        <v>2.2822800000000001</v>
      </c>
      <c r="N72">
        <v>32.6</v>
      </c>
    </row>
    <row r="73" spans="1:15" x14ac:dyDescent="0.35">
      <c r="A73" t="s">
        <v>287</v>
      </c>
      <c r="B73">
        <v>0.37526999999999999</v>
      </c>
      <c r="C73">
        <v>-0.33882000000000001</v>
      </c>
      <c r="D73">
        <v>1.5581</v>
      </c>
      <c r="E73">
        <v>-0.17465</v>
      </c>
      <c r="F73">
        <v>-1.7721E-3</v>
      </c>
      <c r="G73">
        <v>0.54000999999999999</v>
      </c>
      <c r="H73">
        <v>-0.31195000000000001</v>
      </c>
      <c r="I73">
        <v>8.1568000000000002E-2</v>
      </c>
      <c r="J73">
        <v>-6.1720999999999998E-2</v>
      </c>
      <c r="L73">
        <v>2</v>
      </c>
      <c r="M73">
        <v>1.5580499999999999</v>
      </c>
      <c r="N73">
        <v>22.254999999999999</v>
      </c>
      <c r="O73">
        <f>SUM(N72:N73)</f>
        <v>54.855000000000004</v>
      </c>
    </row>
    <row r="74" spans="1:15" x14ac:dyDescent="0.35">
      <c r="A74" t="s">
        <v>288</v>
      </c>
      <c r="B74">
        <v>0.62792000000000003</v>
      </c>
      <c r="C74">
        <v>-0.21304000000000001</v>
      </c>
      <c r="D74">
        <v>1.637</v>
      </c>
      <c r="E74">
        <v>-0.51583999999999997</v>
      </c>
      <c r="F74">
        <v>3.9076E-2</v>
      </c>
      <c r="G74">
        <v>0.69113999999999998</v>
      </c>
      <c r="H74">
        <v>0.12867000000000001</v>
      </c>
      <c r="I74">
        <v>-0.29183999999999999</v>
      </c>
      <c r="J74">
        <v>0.15354000000000001</v>
      </c>
      <c r="L74">
        <v>3</v>
      </c>
      <c r="M74">
        <v>1.15317</v>
      </c>
      <c r="N74">
        <v>16.472000000000001</v>
      </c>
    </row>
    <row r="75" spans="1:15" x14ac:dyDescent="0.35">
      <c r="A75" t="s">
        <v>292</v>
      </c>
      <c r="B75">
        <v>-1.2286999999999999</v>
      </c>
      <c r="C75">
        <v>0.76993</v>
      </c>
      <c r="D75">
        <v>0.72972999999999999</v>
      </c>
      <c r="E75">
        <v>-0.21043000000000001</v>
      </c>
      <c r="F75">
        <v>0.22398999999999999</v>
      </c>
      <c r="G75">
        <v>0.57745999999999997</v>
      </c>
      <c r="H75">
        <v>-0.14842</v>
      </c>
      <c r="I75">
        <v>1.0753999999999999</v>
      </c>
      <c r="J75">
        <v>-0.16342000000000001</v>
      </c>
      <c r="L75">
        <v>4</v>
      </c>
      <c r="M75">
        <v>0.85298499999999999</v>
      </c>
      <c r="N75">
        <v>12.183999999999999</v>
      </c>
    </row>
    <row r="76" spans="1:15" x14ac:dyDescent="0.35">
      <c r="A76" t="s">
        <v>291</v>
      </c>
      <c r="B76">
        <v>-3.1890000000000001</v>
      </c>
      <c r="C76">
        <v>1.7692000000000001</v>
      </c>
      <c r="D76">
        <v>1.6557999999999999</v>
      </c>
      <c r="E76">
        <v>0.40198</v>
      </c>
      <c r="F76">
        <v>-9.1946E-2</v>
      </c>
      <c r="G76">
        <v>0.20183999999999999</v>
      </c>
      <c r="H76">
        <v>0.52120999999999995</v>
      </c>
      <c r="I76">
        <v>-0.36268</v>
      </c>
      <c r="J76">
        <v>0.53635999999999995</v>
      </c>
      <c r="L76">
        <v>5</v>
      </c>
      <c r="M76">
        <v>0.48895100000000002</v>
      </c>
      <c r="N76">
        <v>6.9840999999999998</v>
      </c>
    </row>
    <row r="77" spans="1:15" x14ac:dyDescent="0.35">
      <c r="A77" t="s">
        <v>292</v>
      </c>
      <c r="B77">
        <v>-1.3611</v>
      </c>
      <c r="C77">
        <v>0.31037999999999999</v>
      </c>
      <c r="D77">
        <v>-5.1921000000000002E-2</v>
      </c>
      <c r="E77">
        <v>-5.5502999999999997E-2</v>
      </c>
      <c r="F77">
        <v>0.61460999999999999</v>
      </c>
      <c r="G77">
        <v>-9.5960000000000004E-2</v>
      </c>
      <c r="H77">
        <v>0.32913999999999999</v>
      </c>
      <c r="I77">
        <v>8.7375999999999995E-2</v>
      </c>
      <c r="J77">
        <v>0.41937999999999998</v>
      </c>
      <c r="L77">
        <v>6</v>
      </c>
      <c r="M77">
        <v>0.34137400000000001</v>
      </c>
      <c r="N77">
        <v>4.8761000000000001</v>
      </c>
    </row>
    <row r="78" spans="1:15" x14ac:dyDescent="0.35">
      <c r="A78" t="s">
        <v>292</v>
      </c>
      <c r="B78">
        <v>-1.9349000000000001</v>
      </c>
      <c r="C78">
        <v>0.12026000000000001</v>
      </c>
      <c r="D78">
        <v>-0.77868000000000004</v>
      </c>
      <c r="E78">
        <v>-0.40733000000000003</v>
      </c>
      <c r="F78">
        <v>-0.70867999999999998</v>
      </c>
      <c r="G78">
        <v>0.36504999999999999</v>
      </c>
      <c r="H78">
        <v>-0.10861</v>
      </c>
      <c r="I78">
        <v>0.62146999999999997</v>
      </c>
      <c r="J78">
        <v>-3.8778E-2</v>
      </c>
      <c r="L78">
        <v>7</v>
      </c>
      <c r="M78">
        <v>0.137485</v>
      </c>
      <c r="N78">
        <v>1.9638</v>
      </c>
    </row>
    <row r="79" spans="1:15" x14ac:dyDescent="0.35">
      <c r="A79" t="s">
        <v>289</v>
      </c>
      <c r="B79">
        <v>2.7791999999999999</v>
      </c>
      <c r="C79">
        <v>2.0985999999999998</v>
      </c>
      <c r="D79">
        <v>0.68837999999999999</v>
      </c>
      <c r="E79">
        <v>-0.39291999999999999</v>
      </c>
      <c r="F79">
        <v>-0.33058999999999999</v>
      </c>
      <c r="G79">
        <v>-0.24</v>
      </c>
      <c r="H79">
        <v>-0.21970000000000001</v>
      </c>
      <c r="I79">
        <v>-0.41050999999999999</v>
      </c>
      <c r="J79">
        <v>-4.7080999999999998E-2</v>
      </c>
      <c r="L79">
        <v>8</v>
      </c>
      <c r="M79">
        <v>0.11620900000000001</v>
      </c>
      <c r="N79">
        <v>1.6598999999999999</v>
      </c>
    </row>
    <row r="80" spans="1:15" x14ac:dyDescent="0.35">
      <c r="A80" t="s">
        <v>253</v>
      </c>
      <c r="B80">
        <v>1.7023999999999999</v>
      </c>
      <c r="C80">
        <v>4.5385000000000002E-2</v>
      </c>
      <c r="D80">
        <v>-1.7444999999999999</v>
      </c>
      <c r="E80">
        <v>0.93008999999999997</v>
      </c>
      <c r="F80">
        <v>-0.67900000000000005</v>
      </c>
      <c r="G80">
        <v>0.65310000000000001</v>
      </c>
      <c r="H80">
        <v>0.17616000000000001</v>
      </c>
      <c r="I80">
        <v>-0.25059999999999999</v>
      </c>
      <c r="J80">
        <v>-0.10807</v>
      </c>
      <c r="L80">
        <v>9</v>
      </c>
      <c r="M80">
        <v>7.0405999999999996E-2</v>
      </c>
      <c r="N80">
        <v>1.0057</v>
      </c>
    </row>
    <row r="81" spans="1:10" x14ac:dyDescent="0.35">
      <c r="A81" t="s">
        <v>290</v>
      </c>
      <c r="B81">
        <v>0.94564999999999999</v>
      </c>
      <c r="C81">
        <v>-1.1879</v>
      </c>
      <c r="D81">
        <v>-1.3962000000000001</v>
      </c>
      <c r="E81">
        <v>-1.1762999999999999</v>
      </c>
      <c r="F81">
        <v>0.17277000000000001</v>
      </c>
      <c r="G81">
        <v>1.8011999999999999</v>
      </c>
      <c r="H81">
        <v>0.50836000000000003</v>
      </c>
      <c r="I81">
        <v>1.312E-2</v>
      </c>
      <c r="J81">
        <v>3.3118000000000002E-2</v>
      </c>
    </row>
    <row r="82" spans="1:10" x14ac:dyDescent="0.35">
      <c r="A82" t="s">
        <v>290</v>
      </c>
      <c r="B82">
        <v>-0.81791999999999998</v>
      </c>
      <c r="C82">
        <v>-0.52988000000000002</v>
      </c>
      <c r="D82">
        <v>-0.77658000000000005</v>
      </c>
      <c r="E82">
        <v>-0.87626999999999999</v>
      </c>
      <c r="F82">
        <v>1.1729000000000001</v>
      </c>
      <c r="G82">
        <v>-3.2515000000000002E-2</v>
      </c>
      <c r="H82">
        <v>-0.64883000000000002</v>
      </c>
      <c r="I82">
        <v>-0.30275000000000002</v>
      </c>
      <c r="J82">
        <v>0.65310000000000001</v>
      </c>
    </row>
    <row r="83" spans="1:10" x14ac:dyDescent="0.35">
      <c r="A83" t="s">
        <v>255</v>
      </c>
      <c r="B83">
        <v>2.7261000000000002</v>
      </c>
      <c r="C83">
        <v>-0.37213000000000002</v>
      </c>
      <c r="D83">
        <v>1.6714</v>
      </c>
      <c r="E83">
        <v>0.26869999999999999</v>
      </c>
      <c r="F83">
        <v>-0.30281999999999998</v>
      </c>
      <c r="G83">
        <v>0.66410999999999998</v>
      </c>
      <c r="H83">
        <v>-2.1410999999999999E-3</v>
      </c>
      <c r="I83">
        <v>5.4059999999999997E-2</v>
      </c>
      <c r="J83">
        <v>-8.3000000000000004E-2</v>
      </c>
    </row>
    <row r="84" spans="1:10" x14ac:dyDescent="0.35">
      <c r="A84" t="s">
        <v>255</v>
      </c>
      <c r="B84">
        <v>-2.4483000000000001</v>
      </c>
      <c r="C84">
        <v>0.18820000000000001</v>
      </c>
      <c r="D84">
        <v>1.7674000000000001</v>
      </c>
      <c r="E84">
        <v>-0.37892999999999999</v>
      </c>
      <c r="F84">
        <v>-7.8038999999999997E-2</v>
      </c>
      <c r="G84">
        <v>0.11608</v>
      </c>
      <c r="H84">
        <v>-0.46826000000000001</v>
      </c>
      <c r="I84">
        <v>4.2127999999999999E-2</v>
      </c>
      <c r="J84">
        <v>-0.40201999999999999</v>
      </c>
    </row>
    <row r="85" spans="1:10" x14ac:dyDescent="0.35">
      <c r="A85" t="s">
        <v>258</v>
      </c>
      <c r="B85">
        <v>0.71557999999999999</v>
      </c>
      <c r="C85">
        <v>-2.8174000000000001</v>
      </c>
      <c r="D85">
        <v>-1.0087E-2</v>
      </c>
      <c r="E85">
        <v>-3.0408999999999999E-2</v>
      </c>
      <c r="F85">
        <v>3.0300000000000001E-2</v>
      </c>
      <c r="G85">
        <v>-0.47947000000000001</v>
      </c>
      <c r="H85">
        <v>-0.20254</v>
      </c>
      <c r="I85">
        <v>-5.4692999999999999E-2</v>
      </c>
      <c r="J85">
        <v>-0.19941999999999999</v>
      </c>
    </row>
    <row r="86" spans="1:10" x14ac:dyDescent="0.35">
      <c r="A86" t="s">
        <v>253</v>
      </c>
      <c r="B86">
        <v>-1.5536000000000001</v>
      </c>
      <c r="C86">
        <v>1.5615E-2</v>
      </c>
      <c r="D86">
        <v>-1.8782000000000001</v>
      </c>
      <c r="E86">
        <v>-0.45474999999999999</v>
      </c>
      <c r="F86">
        <v>0.42588999999999999</v>
      </c>
      <c r="G86">
        <v>0.36638999999999999</v>
      </c>
      <c r="H86">
        <v>-0.44037999999999999</v>
      </c>
      <c r="I86">
        <v>-0.26906000000000002</v>
      </c>
      <c r="J86">
        <v>-0.34993000000000002</v>
      </c>
    </row>
    <row r="87" spans="1:10" x14ac:dyDescent="0.35">
      <c r="A87" t="s">
        <v>253</v>
      </c>
      <c r="B87">
        <v>-2.5968</v>
      </c>
      <c r="C87">
        <v>0.78588000000000002</v>
      </c>
      <c r="D87">
        <v>-1.0139</v>
      </c>
      <c r="E87">
        <v>-7.5189000000000002E-3</v>
      </c>
      <c r="F87">
        <v>-0.44450000000000001</v>
      </c>
      <c r="G87">
        <v>-0.42713000000000001</v>
      </c>
      <c r="H87">
        <v>0.52085999999999999</v>
      </c>
      <c r="I87">
        <v>-0.27156000000000002</v>
      </c>
      <c r="J87">
        <v>-0.43933</v>
      </c>
    </row>
    <row r="88" spans="1:10" x14ac:dyDescent="0.35">
      <c r="A88" t="s">
        <v>258</v>
      </c>
      <c r="B88">
        <v>0.24628</v>
      </c>
      <c r="C88">
        <v>-2.3136000000000001</v>
      </c>
      <c r="D88">
        <v>0.11651</v>
      </c>
      <c r="E88">
        <v>9.6484E-2</v>
      </c>
      <c r="F88">
        <v>-0.18026</v>
      </c>
      <c r="G88">
        <v>-0.24532999999999999</v>
      </c>
      <c r="H88">
        <v>9.2968999999999996E-2</v>
      </c>
      <c r="I88">
        <v>0.29254000000000002</v>
      </c>
      <c r="J88">
        <v>0.20838000000000001</v>
      </c>
    </row>
    <row r="89" spans="1:10" x14ac:dyDescent="0.35">
      <c r="A89" t="s">
        <v>258</v>
      </c>
      <c r="B89">
        <v>-0.12773999999999999</v>
      </c>
      <c r="C89">
        <v>-2.2603</v>
      </c>
      <c r="D89">
        <v>-0.40739999999999998</v>
      </c>
      <c r="E89">
        <v>-8.0599000000000004E-2</v>
      </c>
      <c r="F89">
        <v>-0.56140999999999996</v>
      </c>
      <c r="G89">
        <v>-0.14923</v>
      </c>
      <c r="H89">
        <v>3.4139999999999999E-3</v>
      </c>
      <c r="I89">
        <v>1.06E-2</v>
      </c>
      <c r="J89">
        <v>0.32006000000000001</v>
      </c>
    </row>
    <row r="90" spans="1:10" x14ac:dyDescent="0.35">
      <c r="A90" t="s">
        <v>253</v>
      </c>
      <c r="B90">
        <v>-0.87756000000000001</v>
      </c>
      <c r="C90">
        <v>1.0439000000000001</v>
      </c>
      <c r="D90">
        <v>-0.89285999999999999</v>
      </c>
      <c r="E90">
        <v>2.4373</v>
      </c>
      <c r="F90">
        <v>-1.0632999999999999</v>
      </c>
      <c r="G90">
        <v>0.35094999999999998</v>
      </c>
      <c r="H90">
        <v>-0.32890999999999998</v>
      </c>
      <c r="I90">
        <v>-2.3498000000000002E-2</v>
      </c>
      <c r="J90">
        <v>8.9502000000000002E-3</v>
      </c>
    </row>
    <row r="91" spans="1:10" x14ac:dyDescent="0.35">
      <c r="A91" t="s">
        <v>259</v>
      </c>
      <c r="B91">
        <v>-0.1966</v>
      </c>
      <c r="C91">
        <v>-1.6378999999999999</v>
      </c>
      <c r="D91">
        <v>0.79420000000000002</v>
      </c>
      <c r="E91">
        <v>0.30891999999999997</v>
      </c>
      <c r="F91">
        <v>-0.64407999999999999</v>
      </c>
      <c r="G91">
        <v>-0.91842000000000001</v>
      </c>
      <c r="H91">
        <v>0.31707000000000002</v>
      </c>
      <c r="I91">
        <v>3.6637000000000003E-2</v>
      </c>
      <c r="J91">
        <v>-5.1818000000000003E-2</v>
      </c>
    </row>
    <row r="92" spans="1:10" x14ac:dyDescent="0.35">
      <c r="A92" t="s">
        <v>259</v>
      </c>
      <c r="B92">
        <v>-0.61485999999999996</v>
      </c>
      <c r="C92">
        <v>-1.5967</v>
      </c>
      <c r="D92">
        <v>0.23205999999999999</v>
      </c>
      <c r="E92">
        <v>0.16700999999999999</v>
      </c>
      <c r="F92">
        <v>-1.0344</v>
      </c>
      <c r="G92">
        <v>-0.81945999999999997</v>
      </c>
      <c r="H92">
        <v>0.19936000000000001</v>
      </c>
      <c r="I92">
        <v>-0.15561</v>
      </c>
      <c r="J92">
        <v>1.3634E-2</v>
      </c>
    </row>
    <row r="93" spans="1:10" x14ac:dyDescent="0.35">
      <c r="A93" t="s">
        <v>286</v>
      </c>
      <c r="B93">
        <v>-0.41254999999999997</v>
      </c>
      <c r="C93">
        <v>-0.45551000000000003</v>
      </c>
      <c r="D93">
        <v>1.2069000000000001</v>
      </c>
      <c r="E93">
        <v>0.33783999999999997</v>
      </c>
      <c r="F93">
        <v>0.55852000000000002</v>
      </c>
      <c r="G93">
        <v>0.18518999999999999</v>
      </c>
      <c r="H93">
        <v>-0.58562000000000003</v>
      </c>
      <c r="I93">
        <v>-0.67949999999999999</v>
      </c>
      <c r="J93">
        <v>-0.33589000000000002</v>
      </c>
    </row>
    <row r="94" spans="1:10" x14ac:dyDescent="0.35">
      <c r="A94" t="s">
        <v>255</v>
      </c>
      <c r="B94">
        <v>0.66147</v>
      </c>
      <c r="C94">
        <v>0.38635999999999998</v>
      </c>
      <c r="D94">
        <v>-0.30554999999999999</v>
      </c>
      <c r="E94">
        <v>4.7102999999999999E-2</v>
      </c>
      <c r="F94">
        <v>0.99021000000000003</v>
      </c>
      <c r="G94">
        <v>-0.53756999999999999</v>
      </c>
      <c r="H94">
        <v>0.21926000000000001</v>
      </c>
      <c r="I94">
        <v>0.13288</v>
      </c>
      <c r="J94">
        <v>-0.12292</v>
      </c>
    </row>
    <row r="95" spans="1:10" x14ac:dyDescent="0.35">
      <c r="A95" t="s">
        <v>255</v>
      </c>
      <c r="B95">
        <v>0.11762</v>
      </c>
      <c r="C95">
        <v>0.42098999999999998</v>
      </c>
      <c r="D95">
        <v>-1.2465999999999999</v>
      </c>
      <c r="E95">
        <v>-0.28833999999999999</v>
      </c>
      <c r="F95">
        <v>0.85816999999999999</v>
      </c>
      <c r="G95">
        <v>-0.68781999999999999</v>
      </c>
      <c r="H95">
        <v>-0.3674</v>
      </c>
      <c r="I95">
        <v>0.10974</v>
      </c>
      <c r="J95">
        <v>1.1745E-3</v>
      </c>
    </row>
    <row r="96" spans="1:10" x14ac:dyDescent="0.35">
      <c r="A96" t="s">
        <v>255</v>
      </c>
      <c r="B96">
        <v>1.8255999999999999</v>
      </c>
      <c r="C96">
        <v>0.66722999999999999</v>
      </c>
      <c r="D96">
        <v>0.83462000000000003</v>
      </c>
      <c r="E96">
        <v>0.99195</v>
      </c>
      <c r="F96">
        <v>1.2224999999999999</v>
      </c>
      <c r="G96">
        <v>-0.49231000000000003</v>
      </c>
      <c r="H96">
        <v>0.39539999999999997</v>
      </c>
      <c r="I96">
        <v>0.48299999999999998</v>
      </c>
      <c r="J96">
        <v>-0.11388</v>
      </c>
    </row>
    <row r="97" spans="1:10" x14ac:dyDescent="0.35">
      <c r="A97" t="s">
        <v>255</v>
      </c>
      <c r="B97">
        <v>0.40056999999999998</v>
      </c>
      <c r="C97">
        <v>0.72275999999999996</v>
      </c>
      <c r="D97">
        <v>-0.28999999999999998</v>
      </c>
      <c r="E97">
        <v>-8.319E-2</v>
      </c>
      <c r="F97">
        <v>0.27959000000000001</v>
      </c>
      <c r="G97">
        <v>0.10129000000000001</v>
      </c>
      <c r="H97">
        <v>0.70504</v>
      </c>
      <c r="I97">
        <v>-0.32264999999999999</v>
      </c>
      <c r="J97">
        <v>-0.15514</v>
      </c>
    </row>
    <row r="98" spans="1:10" x14ac:dyDescent="0.35">
      <c r="A98" t="s">
        <v>255</v>
      </c>
      <c r="B98">
        <v>1.5012000000000001</v>
      </c>
      <c r="C98">
        <v>1.1352</v>
      </c>
      <c r="D98">
        <v>-0.72989999999999999</v>
      </c>
      <c r="E98">
        <v>2.0811999999999999</v>
      </c>
      <c r="F98">
        <v>-0.35498000000000002</v>
      </c>
      <c r="G98">
        <v>-7.2328000000000003E-2</v>
      </c>
      <c r="H98">
        <v>-0.48892000000000002</v>
      </c>
      <c r="I98">
        <v>0.19306999999999999</v>
      </c>
      <c r="J98">
        <v>0.376</v>
      </c>
    </row>
    <row r="99" spans="1:10" x14ac:dyDescent="0.35">
      <c r="A99" t="s">
        <v>255</v>
      </c>
      <c r="B99">
        <v>0.79318</v>
      </c>
      <c r="C99">
        <v>0.71501000000000003</v>
      </c>
      <c r="D99">
        <v>-0.42109999999999997</v>
      </c>
      <c r="E99">
        <v>4.0590000000000001E-2</v>
      </c>
      <c r="F99">
        <v>0.53032999999999997</v>
      </c>
      <c r="G99">
        <v>-0.25167</v>
      </c>
      <c r="H99">
        <v>0.34332000000000001</v>
      </c>
      <c r="I99">
        <v>-3.7620000000000001E-2</v>
      </c>
      <c r="J99">
        <v>-7.8631000000000006E-2</v>
      </c>
    </row>
    <row r="100" spans="1:10" x14ac:dyDescent="0.35">
      <c r="A100" t="s">
        <v>255</v>
      </c>
      <c r="B100">
        <v>0.39345999999999998</v>
      </c>
      <c r="C100">
        <v>0.39151999999999998</v>
      </c>
      <c r="D100">
        <v>-0.63099000000000005</v>
      </c>
      <c r="E100">
        <v>-0.14918000000000001</v>
      </c>
      <c r="F100">
        <v>0.92708000000000002</v>
      </c>
      <c r="G100">
        <v>-0.46908</v>
      </c>
      <c r="H100">
        <v>6.2265000000000001E-2</v>
      </c>
      <c r="I100">
        <v>5.4815000000000003E-2</v>
      </c>
      <c r="J100">
        <v>-9.8635E-2</v>
      </c>
    </row>
    <row r="103" spans="1:10" x14ac:dyDescent="0.35">
      <c r="B103" t="s">
        <v>26</v>
      </c>
      <c r="C103" t="s">
        <v>27</v>
      </c>
      <c r="D103" t="s">
        <v>28</v>
      </c>
      <c r="E103" t="s">
        <v>29</v>
      </c>
      <c r="F103" t="s">
        <v>30</v>
      </c>
      <c r="G103" t="s">
        <v>31</v>
      </c>
      <c r="H103" t="s">
        <v>32</v>
      </c>
      <c r="I103" t="s">
        <v>33</v>
      </c>
      <c r="J103" t="s">
        <v>34</v>
      </c>
    </row>
    <row r="104" spans="1:10" x14ac:dyDescent="0.35">
      <c r="A104" t="s">
        <v>76</v>
      </c>
      <c r="B104">
        <v>-9.4201999999999994E-2</v>
      </c>
      <c r="C104">
        <v>-6.0707999999999998E-2</v>
      </c>
      <c r="D104">
        <v>-6.6518999999999995E-2</v>
      </c>
      <c r="E104">
        <v>-7.5463000000000002E-2</v>
      </c>
      <c r="F104">
        <v>1.9692999999999999E-2</v>
      </c>
      <c r="G104">
        <v>0.21354999999999999</v>
      </c>
      <c r="H104">
        <v>0.30362</v>
      </c>
      <c r="I104">
        <v>0.57027000000000005</v>
      </c>
      <c r="J104">
        <v>0.71689000000000003</v>
      </c>
    </row>
    <row r="105" spans="1:10" x14ac:dyDescent="0.35">
      <c r="A105" t="s">
        <v>77</v>
      </c>
      <c r="B105">
        <v>4.0534000000000001E-2</v>
      </c>
      <c r="C105">
        <v>8.6988999999999997E-2</v>
      </c>
      <c r="D105">
        <v>8.6051000000000002E-2</v>
      </c>
      <c r="E105">
        <v>2.7134999999999999E-2</v>
      </c>
      <c r="F105">
        <v>0.23214000000000001</v>
      </c>
      <c r="G105">
        <v>-0.21082999999999999</v>
      </c>
      <c r="H105">
        <v>-2.1992999999999999E-2</v>
      </c>
      <c r="I105">
        <v>-0.69020999999999999</v>
      </c>
      <c r="J105">
        <v>0.63831000000000004</v>
      </c>
    </row>
    <row r="106" spans="1:10" x14ac:dyDescent="0.35">
      <c r="A106" t="s">
        <v>214</v>
      </c>
      <c r="B106">
        <v>-2.9463E-2</v>
      </c>
      <c r="C106">
        <v>0.33923999999999999</v>
      </c>
      <c r="D106">
        <v>-0.49147999999999997</v>
      </c>
      <c r="E106">
        <v>0.32675999999999999</v>
      </c>
      <c r="F106">
        <v>0.51437999999999995</v>
      </c>
      <c r="G106">
        <v>5.6078999999999997E-2</v>
      </c>
      <c r="H106">
        <v>0.48054000000000002</v>
      </c>
      <c r="I106">
        <v>-4.0876999999999997E-2</v>
      </c>
      <c r="J106">
        <v>-0.18817999999999999</v>
      </c>
    </row>
    <row r="107" spans="1:10" x14ac:dyDescent="0.35">
      <c r="A107" t="s">
        <v>211</v>
      </c>
      <c r="B107">
        <v>-0.25030000000000002</v>
      </c>
      <c r="C107">
        <v>0.63149999999999995</v>
      </c>
      <c r="D107">
        <v>0.28295999999999999</v>
      </c>
      <c r="E107">
        <v>-0.12031</v>
      </c>
      <c r="F107">
        <v>0.20230000000000001</v>
      </c>
      <c r="G107">
        <v>0.52090999999999998</v>
      </c>
      <c r="H107">
        <v>-0.36210999999999999</v>
      </c>
      <c r="I107">
        <v>2.3449000000000001E-2</v>
      </c>
      <c r="J107">
        <v>8.1568999999999999E-3</v>
      </c>
    </row>
    <row r="108" spans="1:10" x14ac:dyDescent="0.35">
      <c r="A108" t="s">
        <v>212</v>
      </c>
      <c r="B108">
        <v>-0.4264</v>
      </c>
      <c r="C108">
        <v>0.35707</v>
      </c>
      <c r="D108">
        <v>0.40550000000000003</v>
      </c>
      <c r="E108">
        <v>0.23882999999999999</v>
      </c>
      <c r="F108">
        <v>-0.40216000000000002</v>
      </c>
      <c r="G108">
        <v>-0.34627000000000002</v>
      </c>
      <c r="H108">
        <v>0.43165999999999999</v>
      </c>
      <c r="I108">
        <v>4.2595999999999997E-3</v>
      </c>
      <c r="J108">
        <v>-3.5034999999999997E-2</v>
      </c>
    </row>
    <row r="109" spans="1:10" x14ac:dyDescent="0.35">
      <c r="A109" t="s">
        <v>213</v>
      </c>
      <c r="B109">
        <v>0.34323999999999999</v>
      </c>
      <c r="C109">
        <v>0.53378000000000003</v>
      </c>
      <c r="D109">
        <v>-0.23313999999999999</v>
      </c>
      <c r="E109">
        <v>-0.34553</v>
      </c>
      <c r="F109">
        <v>-5.4261999999999998E-2</v>
      </c>
      <c r="G109">
        <v>-0.55727000000000004</v>
      </c>
      <c r="H109">
        <v>-0.18701000000000001</v>
      </c>
      <c r="I109">
        <v>0.26545000000000002</v>
      </c>
      <c r="J109">
        <v>6.7835000000000006E-2</v>
      </c>
    </row>
    <row r="110" spans="1:10" x14ac:dyDescent="0.35">
      <c r="A110" t="s">
        <v>216</v>
      </c>
      <c r="B110">
        <v>0.41575000000000001</v>
      </c>
      <c r="C110">
        <v>0.15181</v>
      </c>
      <c r="D110">
        <v>-2.3116999999999999E-2</v>
      </c>
      <c r="E110">
        <v>0.77505999999999997</v>
      </c>
      <c r="F110">
        <v>-0.27905999999999997</v>
      </c>
      <c r="G110">
        <v>0.11652999999999999</v>
      </c>
      <c r="H110">
        <v>-0.27655999999999997</v>
      </c>
      <c r="I110">
        <v>9.7765000000000005E-2</v>
      </c>
      <c r="J110">
        <v>0.15923999999999999</v>
      </c>
    </row>
    <row r="111" spans="1:10" x14ac:dyDescent="0.35">
      <c r="A111" t="s">
        <v>218</v>
      </c>
      <c r="B111">
        <v>0.56154999999999999</v>
      </c>
      <c r="C111">
        <v>0.17602999999999999</v>
      </c>
      <c r="D111">
        <v>0.11437</v>
      </c>
      <c r="E111">
        <v>-0.29409000000000002</v>
      </c>
      <c r="F111">
        <v>-0.32111000000000001</v>
      </c>
      <c r="G111">
        <v>0.39794000000000002</v>
      </c>
      <c r="H111">
        <v>0.48226000000000002</v>
      </c>
      <c r="I111">
        <v>-0.23865</v>
      </c>
      <c r="J111">
        <v>-5.5777E-2</v>
      </c>
    </row>
    <row r="112" spans="1:10" x14ac:dyDescent="0.35">
      <c r="A112" t="s">
        <v>220</v>
      </c>
      <c r="B112">
        <v>0.37168000000000001</v>
      </c>
      <c r="C112">
        <v>-9.1754000000000002E-2</v>
      </c>
      <c r="D112">
        <v>0.65890000000000004</v>
      </c>
      <c r="E112">
        <v>9.3238000000000001E-2</v>
      </c>
      <c r="F112">
        <v>0.54271999999999998</v>
      </c>
      <c r="G112">
        <v>-0.18184</v>
      </c>
      <c r="H112">
        <v>0.12223000000000001</v>
      </c>
      <c r="I112">
        <v>0.24329999999999999</v>
      </c>
      <c r="J112">
        <v>-9.4026999999999999E-2</v>
      </c>
    </row>
  </sheetData>
  <conditionalFormatting sqref="B9:J11 B4:C4 B5:D5 B6:E6 B7:F7 B8:G8 B3">
    <cfRule type="colorScale" priority="4">
      <colorScale>
        <cfvo type="min"/>
        <cfvo type="num" val="0"/>
        <cfvo type="max"/>
        <color rgb="FFF8696B"/>
        <color rgb="FFFCFCFF"/>
        <color rgb="FF5A8AC6"/>
      </colorScale>
    </cfRule>
  </conditionalFormatting>
  <conditionalFormatting sqref="B47:J55">
    <cfRule type="colorScale" priority="3">
      <colorScale>
        <cfvo type="min"/>
        <cfvo type="percentile" val="50"/>
        <cfvo type="max"/>
        <color rgb="FFF8696B"/>
        <color rgb="FFFFEB84"/>
        <color rgb="FF63BE7B"/>
      </colorScale>
    </cfRule>
  </conditionalFormatting>
  <conditionalFormatting sqref="B68:J68 B60:C61 B62:D63 B66:H67 B64:F65">
    <cfRule type="colorScale" priority="2">
      <colorScale>
        <cfvo type="min"/>
        <cfvo type="percentile" val="50"/>
        <cfvo type="max"/>
        <color rgb="FFF8696B"/>
        <color rgb="FFFCFCFF"/>
        <color rgb="FF5A8AC6"/>
      </colorScale>
    </cfRule>
  </conditionalFormatting>
  <conditionalFormatting sqref="B104:J112">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E2C6A-15A5-47DF-9FB3-D955C1FA5971}">
  <dimension ref="A1:AU152"/>
  <sheetViews>
    <sheetView zoomScale="72" zoomScaleNormal="100" workbookViewId="0">
      <selection activeCell="F9" sqref="F9"/>
    </sheetView>
  </sheetViews>
  <sheetFormatPr defaultRowHeight="14.5" x14ac:dyDescent="0.35"/>
  <cols>
    <col min="2" max="2" width="11.54296875" bestFit="1" customWidth="1"/>
    <col min="3" max="3" width="14.54296875" customWidth="1"/>
    <col min="4" max="4" width="14.1796875" customWidth="1"/>
    <col min="5" max="5" width="10.1796875" customWidth="1"/>
    <col min="6" max="7" width="13.1796875" customWidth="1"/>
    <col min="8" max="8" width="13.81640625" customWidth="1"/>
    <col min="10" max="10" width="0" hidden="1" customWidth="1"/>
    <col min="11" max="11" width="12.81640625" hidden="1" customWidth="1"/>
    <col min="12" max="13" width="11" customWidth="1"/>
    <col min="14" max="15" width="12" customWidth="1"/>
  </cols>
  <sheetData>
    <row r="1" spans="1:35" ht="52.5" x14ac:dyDescent="0.35">
      <c r="A1" s="3" t="s">
        <v>35</v>
      </c>
      <c r="B1" s="3" t="s">
        <v>36</v>
      </c>
      <c r="C1" s="4" t="s">
        <v>38</v>
      </c>
      <c r="D1" s="5" t="s">
        <v>39</v>
      </c>
      <c r="E1" s="6" t="s">
        <v>40</v>
      </c>
      <c r="F1" s="6" t="s">
        <v>41</v>
      </c>
      <c r="G1" s="6" t="s">
        <v>307</v>
      </c>
      <c r="H1" s="6" t="s">
        <v>42</v>
      </c>
      <c r="I1" s="6" t="s">
        <v>308</v>
      </c>
      <c r="J1" s="6" t="s">
        <v>43</v>
      </c>
      <c r="K1" s="6" t="s">
        <v>44</v>
      </c>
      <c r="L1" s="6" t="s">
        <v>41</v>
      </c>
      <c r="M1" s="6" t="s">
        <v>309</v>
      </c>
      <c r="N1" s="6" t="s">
        <v>42</v>
      </c>
      <c r="O1" s="6" t="s">
        <v>310</v>
      </c>
      <c r="P1" s="3" t="s">
        <v>37</v>
      </c>
      <c r="Q1" s="3" t="s">
        <v>304</v>
      </c>
      <c r="R1" s="3" t="s">
        <v>45</v>
      </c>
      <c r="S1" s="3" t="s">
        <v>305</v>
      </c>
      <c r="T1" s="7" t="s">
        <v>46</v>
      </c>
      <c r="U1" s="7" t="s">
        <v>306</v>
      </c>
      <c r="V1" s="7" t="s">
        <v>47</v>
      </c>
      <c r="W1" s="7" t="s">
        <v>215</v>
      </c>
      <c r="X1" s="7" t="s">
        <v>48</v>
      </c>
      <c r="Y1" s="3" t="s">
        <v>217</v>
      </c>
      <c r="Z1" s="3"/>
      <c r="AA1" s="8"/>
      <c r="AB1" s="8"/>
      <c r="AC1" s="8"/>
      <c r="AD1" s="8"/>
      <c r="AE1" s="8"/>
      <c r="AF1" s="8"/>
      <c r="AG1" s="8"/>
      <c r="AH1" s="8"/>
      <c r="AI1" s="8"/>
    </row>
    <row r="2" spans="1:35" x14ac:dyDescent="0.35">
      <c r="A2" s="3">
        <v>1</v>
      </c>
      <c r="B2" s="15" t="s">
        <v>50</v>
      </c>
      <c r="C2" s="10">
        <v>44021</v>
      </c>
      <c r="D2" s="10">
        <v>44080</v>
      </c>
      <c r="E2" s="10">
        <v>44050.5</v>
      </c>
      <c r="F2" s="11">
        <v>23</v>
      </c>
      <c r="G2" s="9">
        <f t="shared" ref="G2:G33" si="0">(F2-(AVERAGE($F$2:$F$121)))/STDEV($F$2:$F$121)</f>
        <v>-2.2307031486370295</v>
      </c>
      <c r="H2" s="11">
        <v>0.2</v>
      </c>
      <c r="I2" s="9">
        <f t="shared" ref="I2:I33" si="1">(H2-(AVERAGE($H$2:$H$121)))/STDEV($H$2:$H$121)</f>
        <v>-8.1271724424199845E-2</v>
      </c>
      <c r="J2" s="11">
        <v>-2</v>
      </c>
      <c r="K2" s="66">
        <f t="shared" ref="K2:K33" si="2">E2+J2</f>
        <v>44048.5</v>
      </c>
      <c r="L2" s="11">
        <v>24</v>
      </c>
      <c r="M2" s="9">
        <f t="shared" ref="M2:M33" si="3">(L2-(AVERAGE($L$2:$L$121)))/STDEV($L$2:$L$121)</f>
        <v>-1.0577519562260409</v>
      </c>
      <c r="N2" s="11">
        <v>0.5</v>
      </c>
      <c r="O2" s="9">
        <f t="shared" ref="O2:O33" si="4">(N2-(AVERAGE($N$2:$N$121)))/STDEV($N$2:$N$121)</f>
        <v>0.18611394727785383</v>
      </c>
      <c r="P2" s="15"/>
      <c r="Q2" s="9"/>
      <c r="R2" s="15"/>
      <c r="S2" s="9"/>
      <c r="T2" s="16">
        <v>17.38</v>
      </c>
      <c r="U2" s="11">
        <f>(T2-(AVERAGE($T$2:$T$121)))/STDEV($T$2:$T$121)</f>
        <v>0.69526320101625205</v>
      </c>
      <c r="V2" s="16">
        <v>44.08</v>
      </c>
      <c r="W2" s="11">
        <f>(V2-(AVERAGE($V$2:$V$121)))/STDEV($V$2:$V121)</f>
        <v>1.4721875907548527</v>
      </c>
      <c r="X2" s="16"/>
      <c r="Y2" s="11"/>
      <c r="Z2" s="13"/>
      <c r="AA2" s="14"/>
      <c r="AB2" s="14"/>
      <c r="AC2" s="14"/>
      <c r="AD2" s="14"/>
      <c r="AE2" s="14"/>
      <c r="AF2" s="14"/>
      <c r="AG2" s="14"/>
      <c r="AH2" s="14"/>
      <c r="AI2" s="14"/>
    </row>
    <row r="3" spans="1:35" x14ac:dyDescent="0.35">
      <c r="A3" s="3">
        <v>2</v>
      </c>
      <c r="B3" s="15" t="s">
        <v>50</v>
      </c>
      <c r="C3" s="10">
        <v>44020</v>
      </c>
      <c r="D3" s="10">
        <v>44080</v>
      </c>
      <c r="E3" s="10">
        <v>44050</v>
      </c>
      <c r="F3" s="11">
        <v>23</v>
      </c>
      <c r="G3" s="9">
        <f t="shared" si="0"/>
        <v>-2.2307031486370295</v>
      </c>
      <c r="H3" s="11">
        <v>0.2</v>
      </c>
      <c r="I3" s="9">
        <f t="shared" si="1"/>
        <v>-8.1271724424199845E-2</v>
      </c>
      <c r="J3" s="11">
        <v>-2</v>
      </c>
      <c r="K3" s="66">
        <f t="shared" si="2"/>
        <v>44048</v>
      </c>
      <c r="L3" s="11">
        <v>24</v>
      </c>
      <c r="M3" s="9">
        <f t="shared" si="3"/>
        <v>-1.0577519562260409</v>
      </c>
      <c r="N3" s="11">
        <v>0.5</v>
      </c>
      <c r="O3" s="9">
        <f t="shared" si="4"/>
        <v>0.18611394727785383</v>
      </c>
      <c r="P3" s="15"/>
      <c r="Q3" s="9"/>
      <c r="R3" s="15"/>
      <c r="S3" s="9"/>
      <c r="T3" s="16">
        <v>15.9</v>
      </c>
      <c r="U3" s="11">
        <f>(T3-(AVERAGE($T$2:$T$121)))/STDEV($T$2:$T$121)</f>
        <v>-0.19806336302138072</v>
      </c>
      <c r="V3" s="16">
        <v>43.46</v>
      </c>
      <c r="W3" s="11">
        <f>(V3-(AVERAGE($V$2:$V$121)))/STDEV($V$2:$V122)</f>
        <v>1.0481384685384487</v>
      </c>
      <c r="X3" s="16"/>
      <c r="Y3" s="11"/>
      <c r="Z3" s="15"/>
      <c r="AA3" s="14"/>
      <c r="AB3" s="14"/>
      <c r="AC3" s="14"/>
      <c r="AD3" s="14"/>
      <c r="AE3" s="14"/>
      <c r="AF3" s="14"/>
      <c r="AG3" s="14"/>
      <c r="AH3" s="14"/>
      <c r="AI3" s="14"/>
    </row>
    <row r="4" spans="1:35" x14ac:dyDescent="0.35">
      <c r="A4" s="3">
        <v>3</v>
      </c>
      <c r="B4" s="9" t="s">
        <v>54</v>
      </c>
      <c r="C4" s="10">
        <v>44028</v>
      </c>
      <c r="D4" s="10">
        <v>44082</v>
      </c>
      <c r="E4" s="10">
        <v>44055</v>
      </c>
      <c r="F4" s="11">
        <v>24</v>
      </c>
      <c r="G4" s="9">
        <f t="shared" si="0"/>
        <v>-1.1427782523755272</v>
      </c>
      <c r="H4" s="11">
        <v>0.2</v>
      </c>
      <c r="I4" s="9">
        <f t="shared" si="1"/>
        <v>-8.1271724424199845E-2</v>
      </c>
      <c r="J4" s="11">
        <v>-2</v>
      </c>
      <c r="K4" s="66">
        <f t="shared" si="2"/>
        <v>44053</v>
      </c>
      <c r="L4" s="11">
        <v>25</v>
      </c>
      <c r="M4" s="9">
        <f t="shared" si="3"/>
        <v>4.6392629659036705E-2</v>
      </c>
      <c r="N4" s="11">
        <v>0</v>
      </c>
      <c r="O4" s="9">
        <f t="shared" si="4"/>
        <v>-0.21366149904100187</v>
      </c>
      <c r="P4" s="17">
        <v>82</v>
      </c>
      <c r="Q4" s="9">
        <f>(P4-(AVERAGE($P$2:$P$121)))/STDEV($P$2:$P$121)</f>
        <v>-0.39893836746328337</v>
      </c>
      <c r="R4" s="12">
        <v>91</v>
      </c>
      <c r="S4" s="9">
        <f t="shared" ref="S4:S35" si="5">(R4-(AVERAGE($R$2:$R$121)))/STDEV($R$2:$R$121)</f>
        <v>0.6543953171686594</v>
      </c>
      <c r="T4" s="11">
        <v>16.940000000000001</v>
      </c>
      <c r="U4" s="11">
        <f>(T4-(AVERAGE($T$2:$T$121)))/STDEV($T$2:$T$121)</f>
        <v>0.42967962792398401</v>
      </c>
      <c r="V4" s="11">
        <v>43.05</v>
      </c>
      <c r="W4" s="11">
        <f>(V4-(AVERAGE($V$2:$V$121)))/STDEV($V$2:$V123)</f>
        <v>0.76771888771791985</v>
      </c>
      <c r="X4" s="11">
        <v>32.78</v>
      </c>
      <c r="Y4" s="11">
        <f>(X4-(AVERAGE($X$2:$X$121)))/STDEV($X$2:$X123)</f>
        <v>0.60314198818767062</v>
      </c>
      <c r="Z4" s="15"/>
      <c r="AA4" s="13"/>
      <c r="AB4" s="13"/>
      <c r="AC4" s="13"/>
      <c r="AD4" s="13"/>
      <c r="AE4" s="13"/>
      <c r="AF4" s="13"/>
      <c r="AG4" s="13"/>
      <c r="AH4" s="13"/>
      <c r="AI4" s="13"/>
    </row>
    <row r="5" spans="1:35" x14ac:dyDescent="0.35">
      <c r="A5" s="3">
        <v>4</v>
      </c>
      <c r="B5" s="9" t="s">
        <v>49</v>
      </c>
      <c r="C5" s="10">
        <v>44028</v>
      </c>
      <c r="D5" s="10">
        <v>44080</v>
      </c>
      <c r="E5" s="10">
        <v>44054</v>
      </c>
      <c r="F5" s="11">
        <v>25</v>
      </c>
      <c r="G5" s="9">
        <f t="shared" si="0"/>
        <v>-5.4853356114025122E-2</v>
      </c>
      <c r="H5" s="11">
        <v>0.6</v>
      </c>
      <c r="I5" s="9">
        <f t="shared" si="1"/>
        <v>0.1289746931079693</v>
      </c>
      <c r="J5" s="11">
        <v>-2</v>
      </c>
      <c r="K5" s="66">
        <f t="shared" si="2"/>
        <v>44052</v>
      </c>
      <c r="L5" s="11">
        <v>25</v>
      </c>
      <c r="M5" s="9">
        <f t="shared" si="3"/>
        <v>4.6392629659036705E-2</v>
      </c>
      <c r="N5" s="11">
        <v>0</v>
      </c>
      <c r="O5" s="9">
        <f t="shared" si="4"/>
        <v>-0.21366149904100187</v>
      </c>
      <c r="P5" s="9">
        <v>91</v>
      </c>
      <c r="Q5" s="9">
        <f>(P5-(AVERAGE($P$2:$P$121)))/STDEV($P$2:$P$121)</f>
        <v>0.23115490883273429</v>
      </c>
      <c r="R5" s="12">
        <v>0</v>
      </c>
      <c r="S5" s="9">
        <f t="shared" si="5"/>
        <v>-3.1756024567219296</v>
      </c>
      <c r="T5" s="11">
        <v>17.399999999999999</v>
      </c>
      <c r="U5" s="11">
        <f>(T5-(AVERAGE($T$2:$T$121)))/STDEV($T$2:$T$121)</f>
        <v>0.707335181611355</v>
      </c>
      <c r="V5" s="11">
        <v>42.69</v>
      </c>
      <c r="W5" s="11">
        <f>(V5-(AVERAGE($V$2:$V$121)))/STDEV($V$2:$V124)</f>
        <v>0.52149681675355564</v>
      </c>
      <c r="X5" s="11">
        <v>31.222222222222221</v>
      </c>
      <c r="Y5" s="11">
        <f>(X5-(AVERAGE($X$2:$X$121)))/STDEV($X$2:$X124)</f>
        <v>-0.71503283688090247</v>
      </c>
      <c r="Z5" s="13"/>
      <c r="AA5" s="13"/>
      <c r="AB5" s="13"/>
      <c r="AC5" s="13"/>
      <c r="AD5" s="13"/>
      <c r="AE5" s="13"/>
      <c r="AF5" s="13"/>
      <c r="AG5" s="13"/>
      <c r="AH5" s="13"/>
      <c r="AI5" s="13"/>
    </row>
    <row r="6" spans="1:35" x14ac:dyDescent="0.35">
      <c r="A6" s="3">
        <v>5</v>
      </c>
      <c r="B6" s="9" t="s">
        <v>49</v>
      </c>
      <c r="C6" s="10">
        <v>44028</v>
      </c>
      <c r="D6" s="10">
        <v>44076</v>
      </c>
      <c r="E6" s="10">
        <v>44052</v>
      </c>
      <c r="F6" s="11">
        <v>25</v>
      </c>
      <c r="G6" s="9">
        <f t="shared" si="0"/>
        <v>-5.4853356114025122E-2</v>
      </c>
      <c r="H6" s="11">
        <v>0</v>
      </c>
      <c r="I6" s="9">
        <f t="shared" si="1"/>
        <v>-0.18639493319028441</v>
      </c>
      <c r="J6" s="11">
        <v>-2</v>
      </c>
      <c r="K6" s="66">
        <f t="shared" si="2"/>
        <v>44050</v>
      </c>
      <c r="L6" s="11">
        <v>23</v>
      </c>
      <c r="M6" s="9">
        <f t="shared" si="3"/>
        <v>-2.1618965421111183</v>
      </c>
      <c r="N6" s="11">
        <v>0.2</v>
      </c>
      <c r="O6" s="9">
        <f t="shared" si="4"/>
        <v>-5.3751320513459572E-2</v>
      </c>
      <c r="P6" s="9">
        <v>81</v>
      </c>
      <c r="Q6" s="9">
        <f>(P6-(AVERAGE($P$2:$P$121)))/STDEV($P$2:$P$121)</f>
        <v>-0.46894873149617428</v>
      </c>
      <c r="R6" s="12">
        <v>100</v>
      </c>
      <c r="S6" s="9">
        <f t="shared" si="5"/>
        <v>1.0331863057952011</v>
      </c>
      <c r="T6" s="11">
        <v>14.3</v>
      </c>
      <c r="U6" s="11">
        <f>(T6-(AVERAGE($T$2:$T$121)))/STDEV($T$2:$T125)</f>
        <v>-1.163821810629633</v>
      </c>
      <c r="V6" s="11">
        <v>41.1</v>
      </c>
      <c r="W6" s="11">
        <f>(V6-(AVERAGE($V$2:$V$121)))/STDEV($V$2:$V125)</f>
        <v>-0.56598399667238541</v>
      </c>
      <c r="X6" s="11">
        <v>32.875</v>
      </c>
      <c r="Y6" s="11">
        <f>(X6-(AVERAGE($X$2:$X$121)))/STDEV($X$2:$X125)</f>
        <v>0.68352996789049625</v>
      </c>
      <c r="Z6" s="13"/>
      <c r="AA6" s="13"/>
      <c r="AB6" s="13"/>
      <c r="AC6" s="13"/>
      <c r="AD6" s="13"/>
      <c r="AE6" s="13"/>
      <c r="AF6" s="13"/>
      <c r="AG6" s="13"/>
      <c r="AH6" s="13"/>
      <c r="AI6" s="13"/>
    </row>
    <row r="7" spans="1:35" x14ac:dyDescent="0.35">
      <c r="A7" s="3">
        <v>6</v>
      </c>
      <c r="B7" s="9" t="s">
        <v>54</v>
      </c>
      <c r="C7" s="10">
        <v>44028</v>
      </c>
      <c r="D7" s="10">
        <v>44084</v>
      </c>
      <c r="E7" s="10">
        <v>44056</v>
      </c>
      <c r="F7" s="11">
        <v>25</v>
      </c>
      <c r="G7" s="9">
        <f t="shared" si="0"/>
        <v>-5.4853356114025122E-2</v>
      </c>
      <c r="H7" s="11">
        <v>0.2</v>
      </c>
      <c r="I7" s="9">
        <f t="shared" si="1"/>
        <v>-8.1271724424199845E-2</v>
      </c>
      <c r="J7" s="11">
        <v>-2</v>
      </c>
      <c r="K7" s="66">
        <f t="shared" si="2"/>
        <v>44054</v>
      </c>
      <c r="L7" s="11">
        <v>25</v>
      </c>
      <c r="M7" s="9">
        <f t="shared" si="3"/>
        <v>4.6392629659036705E-2</v>
      </c>
      <c r="N7" s="11">
        <v>0.6</v>
      </c>
      <c r="O7" s="9">
        <f t="shared" si="4"/>
        <v>0.26606903654162495</v>
      </c>
      <c r="P7" s="9">
        <v>96</v>
      </c>
      <c r="Q7" s="9">
        <f>(P7-(AVERAGE($P$2:$P$121)))/STDEV($P$2:$P$121)</f>
        <v>0.5812067289971885</v>
      </c>
      <c r="R7" s="12">
        <v>76.5</v>
      </c>
      <c r="S7" s="9">
        <f t="shared" si="5"/>
        <v>4.4120946603675375E-2</v>
      </c>
      <c r="T7" s="11">
        <v>15.75</v>
      </c>
      <c r="U7" s="11">
        <f t="shared" ref="U7:U38" si="6">(T7-(AVERAGE($T$2:$T$121)))/STDEV($T$2:$T$121)</f>
        <v>-0.28860321748465462</v>
      </c>
      <c r="V7" s="11">
        <v>41.423000000000002</v>
      </c>
      <c r="W7" s="11">
        <f>(V7-(AVERAGE($V$2:$V$121)))/STDEV($V$2:$V126)</f>
        <v>-0.34506808300158026</v>
      </c>
      <c r="X7" s="11">
        <v>33.299999999999997</v>
      </c>
      <c r="Y7" s="11">
        <f>(X7-(AVERAGE($X$2:$X$121)))/STDEV($X$2:$X126)</f>
        <v>1.043160403403139</v>
      </c>
      <c r="Z7" s="13"/>
      <c r="AA7" s="13"/>
      <c r="AB7" s="13"/>
      <c r="AC7" s="13"/>
      <c r="AD7" s="13"/>
      <c r="AE7" s="13"/>
      <c r="AF7" s="13"/>
      <c r="AG7" s="13"/>
      <c r="AH7" s="13"/>
      <c r="AI7" s="13"/>
    </row>
    <row r="8" spans="1:35" x14ac:dyDescent="0.35">
      <c r="A8" s="3">
        <v>7</v>
      </c>
      <c r="B8" s="9" t="s">
        <v>49</v>
      </c>
      <c r="C8" s="10">
        <v>44028</v>
      </c>
      <c r="D8" s="10">
        <v>44094</v>
      </c>
      <c r="E8" s="10">
        <v>44061</v>
      </c>
      <c r="F8" s="11">
        <v>25</v>
      </c>
      <c r="G8" s="9">
        <f t="shared" si="0"/>
        <v>-5.4853356114025122E-2</v>
      </c>
      <c r="H8" s="11">
        <v>0</v>
      </c>
      <c r="I8" s="9">
        <f t="shared" si="1"/>
        <v>-0.18639493319028441</v>
      </c>
      <c r="J8" s="11">
        <v>-2</v>
      </c>
      <c r="K8" s="66">
        <f t="shared" si="2"/>
        <v>44059</v>
      </c>
      <c r="L8" s="11">
        <v>24</v>
      </c>
      <c r="M8" s="9">
        <f t="shared" si="3"/>
        <v>-1.0577519562260409</v>
      </c>
      <c r="N8" s="11">
        <v>0.1</v>
      </c>
      <c r="O8" s="9">
        <f t="shared" si="4"/>
        <v>-0.13370640977723072</v>
      </c>
      <c r="P8" s="9">
        <v>91</v>
      </c>
      <c r="Q8" s="9">
        <f>(P8-(AVERAGE($P$2:$P$121)))/STDEV($P$2:$P$121)</f>
        <v>0.23115490883273429</v>
      </c>
      <c r="R8" s="12">
        <v>4.2</v>
      </c>
      <c r="S8" s="9">
        <f t="shared" si="5"/>
        <v>-2.9988333286962101</v>
      </c>
      <c r="T8" s="11">
        <v>15.8</v>
      </c>
      <c r="U8" s="11">
        <f t="shared" si="6"/>
        <v>-0.2584232659968963</v>
      </c>
      <c r="V8" s="11">
        <v>41.8</v>
      </c>
      <c r="W8" s="11">
        <f>(V8-(AVERAGE($V$2:$V$121)))/STDEV($V$2:$V127)</f>
        <v>-8.7218858686123849E-2</v>
      </c>
      <c r="X8" s="11">
        <v>32.299999999999997</v>
      </c>
      <c r="Y8" s="11">
        <f>(X8-(AVERAGE($X$2:$X$121)))/STDEV($X$2:$X127)</f>
        <v>0.19697114337338559</v>
      </c>
      <c r="Z8" s="13"/>
      <c r="AA8" s="13"/>
      <c r="AB8" s="13"/>
      <c r="AC8" s="13"/>
      <c r="AD8" s="13"/>
      <c r="AE8" s="13"/>
      <c r="AF8" s="13"/>
      <c r="AG8" s="13"/>
      <c r="AH8" s="13"/>
      <c r="AI8" s="13"/>
    </row>
    <row r="9" spans="1:35" x14ac:dyDescent="0.35">
      <c r="A9" s="3">
        <v>8</v>
      </c>
      <c r="B9" s="9" t="s">
        <v>49</v>
      </c>
      <c r="C9" s="10">
        <v>44028</v>
      </c>
      <c r="D9" s="10">
        <v>44089</v>
      </c>
      <c r="E9" s="10">
        <v>44058.5</v>
      </c>
      <c r="F9" s="11">
        <v>24</v>
      </c>
      <c r="G9" s="9">
        <f t="shared" si="0"/>
        <v>-1.1427782523755272</v>
      </c>
      <c r="H9" s="11">
        <v>0</v>
      </c>
      <c r="I9" s="9">
        <f t="shared" si="1"/>
        <v>-0.18639493319028441</v>
      </c>
      <c r="J9" s="11">
        <v>-2</v>
      </c>
      <c r="K9" s="66">
        <f t="shared" si="2"/>
        <v>44056.5</v>
      </c>
      <c r="L9" s="11">
        <v>25</v>
      </c>
      <c r="M9" s="9">
        <f t="shared" si="3"/>
        <v>4.6392629659036705E-2</v>
      </c>
      <c r="N9" s="11">
        <v>0.2</v>
      </c>
      <c r="O9" s="9">
        <f t="shared" si="4"/>
        <v>-5.3751320513459572E-2</v>
      </c>
      <c r="P9" s="9"/>
      <c r="Q9" s="9"/>
      <c r="R9" s="12">
        <v>40.299999999999997</v>
      </c>
      <c r="S9" s="9">
        <f t="shared" si="5"/>
        <v>-1.4794605854275262</v>
      </c>
      <c r="T9" s="11">
        <v>15.31</v>
      </c>
      <c r="U9" s="11">
        <f t="shared" si="6"/>
        <v>-0.55418679057692377</v>
      </c>
      <c r="V9" s="11">
        <v>42.45</v>
      </c>
      <c r="W9" s="11">
        <f>(V9-(AVERAGE($V$2:$V$121)))/STDEV($V$2:$V128)</f>
        <v>0.35734876944398275</v>
      </c>
      <c r="X9" s="11">
        <v>31.979000000000003</v>
      </c>
      <c r="Y9" s="11">
        <f>(X9-(AVERAGE($X$2:$X$121)))/STDEV($X$2:$X128)</f>
        <v>-7.4655609096160536E-2</v>
      </c>
      <c r="Z9" s="13"/>
      <c r="AA9" s="13"/>
      <c r="AB9" s="13"/>
      <c r="AC9" s="13"/>
      <c r="AD9" s="13"/>
      <c r="AE9" s="13"/>
      <c r="AF9" s="13"/>
      <c r="AG9" s="13"/>
      <c r="AH9" s="13"/>
      <c r="AI9" s="13"/>
    </row>
    <row r="10" spans="1:35" x14ac:dyDescent="0.35">
      <c r="A10" s="3">
        <v>9</v>
      </c>
      <c r="B10" s="9" t="s">
        <v>53</v>
      </c>
      <c r="C10" s="10">
        <v>44029</v>
      </c>
      <c r="D10" s="10">
        <v>44081</v>
      </c>
      <c r="E10" s="10">
        <v>44055</v>
      </c>
      <c r="F10" s="11">
        <v>24</v>
      </c>
      <c r="G10" s="9">
        <f t="shared" si="0"/>
        <v>-1.1427782523755272</v>
      </c>
      <c r="H10" s="11">
        <v>0.2</v>
      </c>
      <c r="I10" s="9">
        <f t="shared" si="1"/>
        <v>-8.1271724424199845E-2</v>
      </c>
      <c r="J10" s="11">
        <v>-2</v>
      </c>
      <c r="K10" s="66">
        <f t="shared" si="2"/>
        <v>44053</v>
      </c>
      <c r="L10" s="11">
        <v>25</v>
      </c>
      <c r="M10" s="9">
        <f t="shared" si="3"/>
        <v>4.6392629659036705E-2</v>
      </c>
      <c r="N10" s="11">
        <v>0</v>
      </c>
      <c r="O10" s="9">
        <f t="shared" si="4"/>
        <v>-0.21366149904100187</v>
      </c>
      <c r="P10" s="9">
        <v>114</v>
      </c>
      <c r="Q10" s="9">
        <f t="shared" ref="Q10:Q38" si="7">(P10-(AVERAGE($P$2:$P$121)))/STDEV($P$2:$P$121)</f>
        <v>1.841393281589224</v>
      </c>
      <c r="R10" s="12">
        <v>100</v>
      </c>
      <c r="S10" s="9">
        <f t="shared" si="5"/>
        <v>1.0331863057952011</v>
      </c>
      <c r="T10" s="11">
        <v>12.125</v>
      </c>
      <c r="U10" s="11">
        <f t="shared" si="6"/>
        <v>-2.4766497003471017</v>
      </c>
      <c r="V10" s="11">
        <v>38.5</v>
      </c>
      <c r="W10" s="11">
        <f>(V10-(AVERAGE($V$2:$V$121)))/STDEV($V$2:$V129)</f>
        <v>-2.3442545091927971</v>
      </c>
      <c r="X10" s="11">
        <v>29.73</v>
      </c>
      <c r="Y10" s="11">
        <f>(X10-(AVERAGE($X$2:$X$121)))/STDEV($X$2:$X129)</f>
        <v>-1.977735254903078</v>
      </c>
      <c r="Z10" s="13"/>
      <c r="AA10" s="13"/>
      <c r="AB10" s="13"/>
      <c r="AC10" s="13"/>
      <c r="AD10" s="13"/>
      <c r="AE10" s="13"/>
      <c r="AF10" s="13"/>
      <c r="AG10" s="13"/>
      <c r="AH10" s="13"/>
      <c r="AI10" s="13"/>
    </row>
    <row r="11" spans="1:35" x14ac:dyDescent="0.35">
      <c r="A11" s="3">
        <v>10</v>
      </c>
      <c r="B11" s="9" t="s">
        <v>53</v>
      </c>
      <c r="C11" s="10">
        <v>44029</v>
      </c>
      <c r="D11" s="10">
        <v>44084</v>
      </c>
      <c r="E11" s="10">
        <v>44056.5</v>
      </c>
      <c r="F11" s="11">
        <v>25</v>
      </c>
      <c r="G11" s="9">
        <f t="shared" si="0"/>
        <v>-5.4853356114025122E-2</v>
      </c>
      <c r="H11" s="11">
        <v>0.2</v>
      </c>
      <c r="I11" s="9">
        <f t="shared" si="1"/>
        <v>-8.1271724424199845E-2</v>
      </c>
      <c r="J11" s="11">
        <v>-2</v>
      </c>
      <c r="K11" s="66">
        <f t="shared" si="2"/>
        <v>44054.5</v>
      </c>
      <c r="L11" s="11">
        <v>25</v>
      </c>
      <c r="M11" s="9">
        <f t="shared" si="3"/>
        <v>4.6392629659036705E-2</v>
      </c>
      <c r="N11" s="11">
        <v>0.6</v>
      </c>
      <c r="O11" s="9">
        <f t="shared" si="4"/>
        <v>0.26606903654162495</v>
      </c>
      <c r="P11" s="9">
        <v>83</v>
      </c>
      <c r="Q11" s="9">
        <f t="shared" si="7"/>
        <v>-0.32892800343039252</v>
      </c>
      <c r="R11" s="12">
        <v>83.7</v>
      </c>
      <c r="S11" s="9">
        <f t="shared" si="5"/>
        <v>0.34715373750490891</v>
      </c>
      <c r="T11" s="11">
        <v>16.23</v>
      </c>
      <c r="U11" s="11">
        <f t="shared" si="6"/>
        <v>1.1243167978214174E-3</v>
      </c>
      <c r="V11" s="11">
        <v>42.476999999999997</v>
      </c>
      <c r="W11" s="11">
        <f>(V11-(AVERAGE($V$2:$V$121)))/STDEV($V$2:$V130)</f>
        <v>0.37581542476630592</v>
      </c>
      <c r="X11" s="11">
        <v>31.92</v>
      </c>
      <c r="Y11" s="11">
        <f>(X11-(AVERAGE($X$2:$X$121)))/STDEV($X$2:$X130)</f>
        <v>-0.12458077543791687</v>
      </c>
      <c r="Z11" s="13"/>
      <c r="AA11" s="13"/>
      <c r="AB11" s="13"/>
      <c r="AC11" s="13"/>
      <c r="AD11" s="13"/>
      <c r="AE11" s="13"/>
      <c r="AF11" s="13"/>
      <c r="AG11" s="13"/>
      <c r="AH11" s="13"/>
      <c r="AI11" s="13"/>
    </row>
    <row r="12" spans="1:35" x14ac:dyDescent="0.35">
      <c r="A12" s="3">
        <v>11</v>
      </c>
      <c r="B12" s="9" t="s">
        <v>49</v>
      </c>
      <c r="C12" s="10">
        <v>44029</v>
      </c>
      <c r="D12" s="10">
        <v>44087</v>
      </c>
      <c r="E12" s="10">
        <v>44058</v>
      </c>
      <c r="F12" s="11">
        <v>25</v>
      </c>
      <c r="G12" s="9">
        <f t="shared" si="0"/>
        <v>-5.4853356114025122E-2</v>
      </c>
      <c r="H12" s="11">
        <v>0</v>
      </c>
      <c r="I12" s="9">
        <f t="shared" si="1"/>
        <v>-0.18639493319028441</v>
      </c>
      <c r="J12" s="11">
        <v>-2</v>
      </c>
      <c r="K12" s="66">
        <f t="shared" si="2"/>
        <v>44056</v>
      </c>
      <c r="L12" s="11">
        <v>25</v>
      </c>
      <c r="M12" s="9">
        <f t="shared" si="3"/>
        <v>4.6392629659036705E-2</v>
      </c>
      <c r="N12" s="11">
        <v>0.2</v>
      </c>
      <c r="O12" s="9">
        <f t="shared" si="4"/>
        <v>-5.3751320513459572E-2</v>
      </c>
      <c r="P12" s="9">
        <v>67</v>
      </c>
      <c r="Q12" s="9">
        <f t="shared" si="7"/>
        <v>-1.4490938279566461</v>
      </c>
      <c r="R12" s="12">
        <v>62</v>
      </c>
      <c r="S12" s="9">
        <f t="shared" si="5"/>
        <v>-0.56615342396130863</v>
      </c>
      <c r="T12" s="11">
        <v>15.5</v>
      </c>
      <c r="U12" s="11">
        <f t="shared" si="6"/>
        <v>-0.43950297492344409</v>
      </c>
      <c r="V12" s="11">
        <v>40.200000000000003</v>
      </c>
      <c r="W12" s="11">
        <f>(V12-(AVERAGE($V$2:$V$121)))/STDEV($V$2:$V131)</f>
        <v>-1.1815391740832959</v>
      </c>
      <c r="X12" s="11">
        <v>30.67</v>
      </c>
      <c r="Y12" s="11">
        <f>(X12-(AVERAGE($X$2:$X$121)))/STDEV($X$2:$X131)</f>
        <v>-1.1823173504751088</v>
      </c>
      <c r="Z12" s="13"/>
      <c r="AA12" s="13"/>
      <c r="AB12" s="13"/>
      <c r="AC12" s="13"/>
      <c r="AD12" s="13"/>
      <c r="AE12" s="13"/>
      <c r="AF12" s="13"/>
      <c r="AG12" s="13"/>
      <c r="AH12" s="13"/>
      <c r="AI12" s="13"/>
    </row>
    <row r="13" spans="1:35" x14ac:dyDescent="0.35">
      <c r="A13" s="3">
        <v>12</v>
      </c>
      <c r="B13" s="9" t="s">
        <v>49</v>
      </c>
      <c r="C13" s="10">
        <v>44030</v>
      </c>
      <c r="D13" s="10">
        <v>44083</v>
      </c>
      <c r="E13" s="10">
        <v>44056.5</v>
      </c>
      <c r="F13" s="11">
        <v>25</v>
      </c>
      <c r="G13" s="9">
        <f t="shared" si="0"/>
        <v>-5.4853356114025122E-2</v>
      </c>
      <c r="H13" s="11">
        <v>0.2</v>
      </c>
      <c r="I13" s="9">
        <f t="shared" si="1"/>
        <v>-8.1271724424199845E-2</v>
      </c>
      <c r="J13" s="11">
        <v>-2</v>
      </c>
      <c r="K13" s="66">
        <f t="shared" si="2"/>
        <v>44054.5</v>
      </c>
      <c r="L13" s="11">
        <v>25</v>
      </c>
      <c r="M13" s="9">
        <f t="shared" si="3"/>
        <v>4.6392629659036705E-2</v>
      </c>
      <c r="N13" s="11">
        <v>0.6</v>
      </c>
      <c r="O13" s="9">
        <f t="shared" si="4"/>
        <v>0.26606903654162495</v>
      </c>
      <c r="P13" s="9">
        <v>101</v>
      </c>
      <c r="Q13" s="9">
        <f t="shared" si="7"/>
        <v>0.93125854916164286</v>
      </c>
      <c r="R13" s="12">
        <v>98.2</v>
      </c>
      <c r="S13" s="9">
        <f t="shared" si="5"/>
        <v>0.95742810806989287</v>
      </c>
      <c r="T13" s="11">
        <v>15.14</v>
      </c>
      <c r="U13" s="11">
        <f t="shared" si="6"/>
        <v>-0.65679862563530056</v>
      </c>
      <c r="V13" s="11">
        <v>40.880000000000003</v>
      </c>
      <c r="W13" s="11">
        <f>(V13-(AVERAGE($V$2:$V$121)))/STDEV($V$2:$V132)</f>
        <v>-0.71645304003949628</v>
      </c>
      <c r="X13" s="11">
        <v>30.67</v>
      </c>
      <c r="Y13" s="11">
        <f>(X13-(AVERAGE($X$2:$X$121)))/STDEV($X$2:$X132)</f>
        <v>-1.1823173504751088</v>
      </c>
      <c r="Z13" s="13"/>
      <c r="AA13" s="13"/>
      <c r="AB13" s="13"/>
      <c r="AC13" s="13"/>
      <c r="AD13" s="13"/>
      <c r="AE13" s="13"/>
      <c r="AF13" s="13"/>
      <c r="AG13" s="13"/>
      <c r="AH13" s="13"/>
      <c r="AI13" s="13"/>
    </row>
    <row r="14" spans="1:35" x14ac:dyDescent="0.35">
      <c r="A14" s="3">
        <v>13</v>
      </c>
      <c r="B14" s="9" t="s">
        <v>49</v>
      </c>
      <c r="C14" s="10">
        <v>44029</v>
      </c>
      <c r="D14" s="10">
        <v>44083</v>
      </c>
      <c r="E14" s="10">
        <v>44056</v>
      </c>
      <c r="F14" s="11">
        <v>25</v>
      </c>
      <c r="G14" s="9">
        <f t="shared" si="0"/>
        <v>-5.4853356114025122E-2</v>
      </c>
      <c r="H14" s="11">
        <v>0.2</v>
      </c>
      <c r="I14" s="9">
        <f t="shared" si="1"/>
        <v>-8.1271724424199845E-2</v>
      </c>
      <c r="J14" s="11">
        <v>-2</v>
      </c>
      <c r="K14" s="66">
        <f t="shared" si="2"/>
        <v>44054</v>
      </c>
      <c r="L14" s="11">
        <v>25</v>
      </c>
      <c r="M14" s="9">
        <f t="shared" si="3"/>
        <v>4.6392629659036705E-2</v>
      </c>
      <c r="N14" s="11">
        <v>0.6</v>
      </c>
      <c r="O14" s="9">
        <f t="shared" si="4"/>
        <v>0.26606903654162495</v>
      </c>
      <c r="P14" s="9">
        <v>79</v>
      </c>
      <c r="Q14" s="9">
        <f t="shared" si="7"/>
        <v>-0.60896945956195592</v>
      </c>
      <c r="R14" s="12">
        <v>91</v>
      </c>
      <c r="S14" s="9">
        <f t="shared" si="5"/>
        <v>0.6543953171686594</v>
      </c>
      <c r="T14" s="11">
        <v>16.32</v>
      </c>
      <c r="U14" s="11">
        <f t="shared" si="6"/>
        <v>5.5448229475785538E-2</v>
      </c>
      <c r="V14" s="11">
        <v>43.527999999999999</v>
      </c>
      <c r="W14" s="11">
        <f>(V14-(AVERAGE($V$2:$V$121)))/STDEV($V$2:$V133)</f>
        <v>1.0946470819428271</v>
      </c>
      <c r="X14" s="11">
        <v>32.133333333333333</v>
      </c>
      <c r="Y14" s="11">
        <f>(X14-(AVERAGE($X$2:$X$121)))/STDEV($X$2:$X133)</f>
        <v>5.5939600035095349E-2</v>
      </c>
      <c r="Z14" s="13"/>
      <c r="AA14" s="13"/>
      <c r="AB14" s="13"/>
      <c r="AC14" s="13"/>
      <c r="AD14" s="13"/>
      <c r="AE14" s="13"/>
      <c r="AF14" s="13"/>
      <c r="AG14" s="13"/>
      <c r="AH14" s="13"/>
      <c r="AI14" s="13"/>
    </row>
    <row r="15" spans="1:35" x14ac:dyDescent="0.35">
      <c r="A15" s="3">
        <v>14</v>
      </c>
      <c r="B15" s="9" t="s">
        <v>49</v>
      </c>
      <c r="C15" s="10">
        <v>44030</v>
      </c>
      <c r="D15" s="10">
        <v>44085</v>
      </c>
      <c r="E15" s="10">
        <v>44057.5</v>
      </c>
      <c r="F15" s="11">
        <v>25</v>
      </c>
      <c r="G15" s="9">
        <f t="shared" si="0"/>
        <v>-5.4853356114025122E-2</v>
      </c>
      <c r="H15" s="11">
        <v>0</v>
      </c>
      <c r="I15" s="9">
        <f t="shared" si="1"/>
        <v>-0.18639493319028441</v>
      </c>
      <c r="J15" s="11">
        <v>-2</v>
      </c>
      <c r="K15" s="66">
        <f t="shared" si="2"/>
        <v>44055.5</v>
      </c>
      <c r="L15" s="11">
        <v>24</v>
      </c>
      <c r="M15" s="9">
        <f t="shared" si="3"/>
        <v>-1.0577519562260409</v>
      </c>
      <c r="N15" s="11">
        <v>0.2</v>
      </c>
      <c r="O15" s="9">
        <f t="shared" si="4"/>
        <v>-5.3751320513459572E-2</v>
      </c>
      <c r="P15" s="9">
        <v>86</v>
      </c>
      <c r="Q15" s="9">
        <f t="shared" si="7"/>
        <v>-0.11889691133171998</v>
      </c>
      <c r="R15" s="12">
        <v>83.7</v>
      </c>
      <c r="S15" s="9">
        <f t="shared" si="5"/>
        <v>0.34715373750490891</v>
      </c>
      <c r="T15" s="11">
        <v>14.608333333333334</v>
      </c>
      <c r="U15" s="11">
        <f t="shared" si="6"/>
        <v>-0.97771210978845924</v>
      </c>
      <c r="V15" s="11">
        <v>41.858333333333341</v>
      </c>
      <c r="W15" s="11">
        <f>(V15-(AVERAGE($V$2:$V$121)))/STDEV($V$2:$V134)</f>
        <v>-4.7321763853927695E-2</v>
      </c>
      <c r="X15" s="11">
        <v>31.758333333333336</v>
      </c>
      <c r="Y15" s="11">
        <f>(X15-(AVERAGE($X$2:$X$121)))/STDEV($X$2:$X134)</f>
        <v>-0.26138137247605919</v>
      </c>
      <c r="Z15" s="13"/>
      <c r="AA15" s="13"/>
      <c r="AB15" s="13"/>
      <c r="AC15" s="13"/>
      <c r="AD15" s="13"/>
      <c r="AE15" s="13"/>
      <c r="AF15" s="13"/>
      <c r="AG15" s="13"/>
      <c r="AH15" s="13"/>
      <c r="AI15" s="13"/>
    </row>
    <row r="16" spans="1:35" x14ac:dyDescent="0.35">
      <c r="A16" s="3">
        <v>15</v>
      </c>
      <c r="B16" s="9" t="s">
        <v>49</v>
      </c>
      <c r="C16" s="10">
        <v>44030</v>
      </c>
      <c r="D16" s="10">
        <v>44090</v>
      </c>
      <c r="E16" s="10">
        <v>44060</v>
      </c>
      <c r="F16" s="11">
        <v>26</v>
      </c>
      <c r="G16" s="9">
        <f t="shared" si="0"/>
        <v>1.033071540147477</v>
      </c>
      <c r="H16" s="11">
        <v>0</v>
      </c>
      <c r="I16" s="9">
        <f t="shared" si="1"/>
        <v>-0.18639493319028441</v>
      </c>
      <c r="J16" s="11">
        <v>-2</v>
      </c>
      <c r="K16" s="66">
        <f t="shared" si="2"/>
        <v>44058</v>
      </c>
      <c r="L16" s="11">
        <v>24</v>
      </c>
      <c r="M16" s="9">
        <f t="shared" si="3"/>
        <v>-1.0577519562260409</v>
      </c>
      <c r="N16" s="11">
        <v>0</v>
      </c>
      <c r="O16" s="9">
        <f t="shared" si="4"/>
        <v>-0.21366149904100187</v>
      </c>
      <c r="P16" s="9">
        <v>88</v>
      </c>
      <c r="Q16" s="9">
        <f t="shared" si="7"/>
        <v>2.1123816734061725E-2</v>
      </c>
      <c r="R16" s="12">
        <v>47.6</v>
      </c>
      <c r="S16" s="9">
        <f t="shared" si="5"/>
        <v>-1.1722190057637754</v>
      </c>
      <c r="T16" s="11">
        <v>16.850000000000001</v>
      </c>
      <c r="U16" s="11">
        <f t="shared" si="6"/>
        <v>0.37535571524601991</v>
      </c>
      <c r="V16" s="11">
        <v>41.64</v>
      </c>
      <c r="W16" s="11">
        <f>(V16-(AVERAGE($V$2:$V$121)))/STDEV($V$2:$V135)</f>
        <v>-0.19665089022583912</v>
      </c>
      <c r="X16" s="11">
        <v>30.9</v>
      </c>
      <c r="Y16" s="11">
        <f>(X16-(AVERAGE($X$2:$X$121)))/STDEV($X$2:$X135)</f>
        <v>-0.98769382066826805</v>
      </c>
      <c r="Z16" s="13"/>
      <c r="AA16" s="13"/>
      <c r="AB16" s="13"/>
      <c r="AC16" s="13"/>
      <c r="AD16" s="13"/>
      <c r="AE16" s="13"/>
      <c r="AF16" s="13"/>
      <c r="AG16" s="13"/>
      <c r="AH16" s="13"/>
      <c r="AI16" s="13"/>
    </row>
    <row r="17" spans="1:47" x14ac:dyDescent="0.35">
      <c r="A17" s="3">
        <v>16</v>
      </c>
      <c r="B17" s="9" t="s">
        <v>49</v>
      </c>
      <c r="C17" s="10">
        <v>44030</v>
      </c>
      <c r="D17" s="10">
        <v>44095</v>
      </c>
      <c r="E17" s="10">
        <v>44062.5</v>
      </c>
      <c r="F17" s="11">
        <v>24</v>
      </c>
      <c r="G17" s="9">
        <f t="shared" si="0"/>
        <v>-1.1427782523755272</v>
      </c>
      <c r="H17" s="11">
        <v>0</v>
      </c>
      <c r="I17" s="9">
        <f t="shared" si="1"/>
        <v>-0.18639493319028441</v>
      </c>
      <c r="J17" s="11">
        <v>-2</v>
      </c>
      <c r="K17" s="66">
        <f t="shared" si="2"/>
        <v>44060.5</v>
      </c>
      <c r="L17" s="11">
        <v>26</v>
      </c>
      <c r="M17" s="9">
        <f t="shared" si="3"/>
        <v>1.1505372155441143</v>
      </c>
      <c r="N17" s="11">
        <v>0</v>
      </c>
      <c r="O17" s="9">
        <f t="shared" si="4"/>
        <v>-0.21366149904100187</v>
      </c>
      <c r="P17" s="9">
        <v>84</v>
      </c>
      <c r="Q17" s="9">
        <f t="shared" si="7"/>
        <v>-0.25891763939750168</v>
      </c>
      <c r="R17" s="12">
        <v>11.4</v>
      </c>
      <c r="S17" s="9">
        <f t="shared" si="5"/>
        <v>-2.6958005377949767</v>
      </c>
      <c r="T17" s="11">
        <v>10.7</v>
      </c>
      <c r="U17" s="11">
        <f t="shared" si="6"/>
        <v>-3.3367783177482022</v>
      </c>
      <c r="V17" s="11">
        <v>37</v>
      </c>
      <c r="W17" s="11">
        <f>(V17-(AVERAGE($V$2:$V$121)))/STDEV($V$2:$V136)</f>
        <v>-3.3701798048776497</v>
      </c>
      <c r="X17" s="11">
        <v>30</v>
      </c>
      <c r="Y17" s="11">
        <f>(X17-(AVERAGE($X$2:$X$121)))/STDEV($X$2:$X136)</f>
        <v>-1.7492641546950449</v>
      </c>
      <c r="Z17" s="13"/>
      <c r="AA17" s="13"/>
      <c r="AB17" s="13"/>
      <c r="AC17" s="13"/>
      <c r="AD17" s="13"/>
      <c r="AE17" s="13"/>
      <c r="AF17" s="13"/>
      <c r="AG17" s="13"/>
      <c r="AH17" s="13"/>
      <c r="AI17" s="13"/>
    </row>
    <row r="18" spans="1:47" x14ac:dyDescent="0.35">
      <c r="A18" s="3">
        <v>17</v>
      </c>
      <c r="B18" s="9" t="s">
        <v>53</v>
      </c>
      <c r="C18" s="10">
        <v>44031</v>
      </c>
      <c r="D18" s="10">
        <v>44086</v>
      </c>
      <c r="E18" s="10">
        <v>44058.5</v>
      </c>
      <c r="F18" s="11">
        <v>24</v>
      </c>
      <c r="G18" s="9">
        <f t="shared" si="0"/>
        <v>-1.1427782523755272</v>
      </c>
      <c r="H18" s="11">
        <v>0</v>
      </c>
      <c r="I18" s="9">
        <f t="shared" si="1"/>
        <v>-0.18639493319028441</v>
      </c>
      <c r="J18" s="11">
        <v>-2</v>
      </c>
      <c r="K18" s="66">
        <f t="shared" si="2"/>
        <v>44056.5</v>
      </c>
      <c r="L18" s="11">
        <v>25</v>
      </c>
      <c r="M18" s="9">
        <f t="shared" si="3"/>
        <v>4.6392629659036705E-2</v>
      </c>
      <c r="N18" s="11">
        <v>0.2</v>
      </c>
      <c r="O18" s="9">
        <f t="shared" si="4"/>
        <v>-5.3751320513459572E-2</v>
      </c>
      <c r="P18" s="9">
        <v>97</v>
      </c>
      <c r="Q18" s="9">
        <f t="shared" si="7"/>
        <v>0.65121709303007935</v>
      </c>
      <c r="R18" s="12">
        <v>83.7</v>
      </c>
      <c r="S18" s="9">
        <f t="shared" si="5"/>
        <v>0.34715373750490891</v>
      </c>
      <c r="T18" s="11">
        <v>15.45</v>
      </c>
      <c r="U18" s="11">
        <f t="shared" si="6"/>
        <v>-0.46968292641120241</v>
      </c>
      <c r="V18" s="11">
        <v>41.6</v>
      </c>
      <c r="W18" s="11">
        <f>(V18-(AVERAGE($V$2:$V$121)))/STDEV($V$2:$V137)</f>
        <v>-0.22400889811076793</v>
      </c>
      <c r="X18" s="11">
        <v>30.9</v>
      </c>
      <c r="Y18" s="11">
        <f>(X18-(AVERAGE($X$2:$X$121)))/STDEV($X$2:$X137)</f>
        <v>-0.98769382066826805</v>
      </c>
      <c r="Z18" s="13"/>
      <c r="AA18" s="13"/>
      <c r="AB18" s="13"/>
      <c r="AC18" s="13"/>
      <c r="AD18" s="13"/>
      <c r="AE18" s="13"/>
      <c r="AF18" s="13"/>
      <c r="AG18" s="13"/>
      <c r="AH18" s="13"/>
      <c r="AI18" s="13"/>
    </row>
    <row r="19" spans="1:47" x14ac:dyDescent="0.35">
      <c r="A19" s="3">
        <v>18</v>
      </c>
      <c r="B19" s="9" t="s">
        <v>53</v>
      </c>
      <c r="C19" s="10">
        <v>44030</v>
      </c>
      <c r="D19" s="10">
        <v>44093</v>
      </c>
      <c r="E19" s="10">
        <v>44061.5</v>
      </c>
      <c r="F19" s="11">
        <v>25</v>
      </c>
      <c r="G19" s="9">
        <f t="shared" si="0"/>
        <v>-5.4853356114025122E-2</v>
      </c>
      <c r="H19" s="11">
        <v>0</v>
      </c>
      <c r="I19" s="9">
        <f t="shared" si="1"/>
        <v>-0.18639493319028441</v>
      </c>
      <c r="J19" s="11">
        <v>-2</v>
      </c>
      <c r="K19" s="66">
        <f t="shared" si="2"/>
        <v>44059.5</v>
      </c>
      <c r="L19" s="11">
        <v>24</v>
      </c>
      <c r="M19" s="9">
        <f t="shared" si="3"/>
        <v>-1.0577519562260409</v>
      </c>
      <c r="N19" s="11">
        <v>0.1</v>
      </c>
      <c r="O19" s="9">
        <f t="shared" si="4"/>
        <v>-0.13370640977723072</v>
      </c>
      <c r="P19" s="9">
        <v>100</v>
      </c>
      <c r="Q19" s="9">
        <f t="shared" si="7"/>
        <v>0.86124818512875201</v>
      </c>
      <c r="R19" s="12">
        <v>25.9</v>
      </c>
      <c r="S19" s="9">
        <f t="shared" si="5"/>
        <v>-2.0855261672299927</v>
      </c>
      <c r="T19" s="11">
        <v>14.58</v>
      </c>
      <c r="U19" s="11">
        <f t="shared" si="6"/>
        <v>-0.99481408229818924</v>
      </c>
      <c r="V19" s="11">
        <v>41.86</v>
      </c>
      <c r="W19" s="11">
        <f>(V19-(AVERAGE($V$2:$V$121)))/STDEV($V$2:$V138)</f>
        <v>-4.6181846858728198E-2</v>
      </c>
      <c r="X19" s="11">
        <v>32.93</v>
      </c>
      <c r="Y19" s="11">
        <f>(X19-(AVERAGE($X$2:$X$121)))/STDEV($X$2:$X138)</f>
        <v>0.73007037719213241</v>
      </c>
      <c r="Z19" s="13"/>
      <c r="AA19" s="13"/>
      <c r="AB19" s="13"/>
      <c r="AC19" s="13"/>
      <c r="AD19" s="13"/>
      <c r="AE19" s="13"/>
      <c r="AF19" s="13"/>
      <c r="AG19" s="13"/>
      <c r="AH19" s="13"/>
      <c r="AI19" s="13"/>
    </row>
    <row r="20" spans="1:47" x14ac:dyDescent="0.35">
      <c r="A20" s="3">
        <v>19</v>
      </c>
      <c r="B20" s="9" t="s">
        <v>53</v>
      </c>
      <c r="C20" s="10">
        <v>44031</v>
      </c>
      <c r="D20" s="10">
        <v>44094</v>
      </c>
      <c r="E20" s="10">
        <v>44062.5</v>
      </c>
      <c r="F20" s="11">
        <v>24</v>
      </c>
      <c r="G20" s="9">
        <f t="shared" si="0"/>
        <v>-1.1427782523755272</v>
      </c>
      <c r="H20" s="11">
        <v>0</v>
      </c>
      <c r="I20" s="9">
        <f t="shared" si="1"/>
        <v>-0.18639493319028441</v>
      </c>
      <c r="J20" s="11">
        <v>-2</v>
      </c>
      <c r="K20" s="66">
        <f t="shared" si="2"/>
        <v>44060.5</v>
      </c>
      <c r="L20" s="11">
        <v>26</v>
      </c>
      <c r="M20" s="9">
        <f t="shared" si="3"/>
        <v>1.1505372155441143</v>
      </c>
      <c r="N20" s="11">
        <v>0</v>
      </c>
      <c r="O20" s="9">
        <f t="shared" si="4"/>
        <v>-0.21366149904100187</v>
      </c>
      <c r="P20" s="9">
        <v>76</v>
      </c>
      <c r="Q20" s="9">
        <f t="shared" si="7"/>
        <v>-0.81900055166062857</v>
      </c>
      <c r="R20" s="12">
        <v>25.9</v>
      </c>
      <c r="S20" s="9">
        <f t="shared" si="5"/>
        <v>-2.0855261672299927</v>
      </c>
      <c r="T20" s="11">
        <v>14.97</v>
      </c>
      <c r="U20" s="11">
        <f t="shared" si="6"/>
        <v>-0.75941046069367735</v>
      </c>
      <c r="V20" s="11">
        <v>41.7</v>
      </c>
      <c r="W20" s="11">
        <f>(V20-(AVERAGE($V$2:$V$121)))/STDEV($V$2:$V139)</f>
        <v>-0.15561387839844346</v>
      </c>
      <c r="X20" s="11">
        <v>32.299999999999997</v>
      </c>
      <c r="Y20" s="11">
        <f>(X20-(AVERAGE($X$2:$X$121)))/STDEV($X$2:$X139)</f>
        <v>0.19697114337338559</v>
      </c>
      <c r="Z20" s="14"/>
      <c r="AA20" s="14" t="s">
        <v>23</v>
      </c>
      <c r="AB20" s="14" t="s">
        <v>24</v>
      </c>
      <c r="AC20" s="14" t="s">
        <v>25</v>
      </c>
      <c r="AD20" s="14" t="s">
        <v>311</v>
      </c>
      <c r="AE20" s="14" t="s">
        <v>312</v>
      </c>
      <c r="AF20" s="14"/>
      <c r="AG20" s="14"/>
      <c r="AH20" s="14"/>
      <c r="AI20" s="14"/>
    </row>
    <row r="21" spans="1:47" x14ac:dyDescent="0.35">
      <c r="A21" s="3">
        <v>20</v>
      </c>
      <c r="B21" s="9" t="s">
        <v>49</v>
      </c>
      <c r="C21" s="10">
        <v>44031</v>
      </c>
      <c r="D21" s="10">
        <v>44090</v>
      </c>
      <c r="E21" s="10">
        <v>44060.5</v>
      </c>
      <c r="F21" s="11">
        <v>26</v>
      </c>
      <c r="G21" s="9">
        <f t="shared" si="0"/>
        <v>1.033071540147477</v>
      </c>
      <c r="H21" s="11">
        <v>0</v>
      </c>
      <c r="I21" s="9">
        <f t="shared" si="1"/>
        <v>-0.18639493319028441</v>
      </c>
      <c r="J21" s="11">
        <v>-2</v>
      </c>
      <c r="K21" s="66">
        <f t="shared" si="2"/>
        <v>44058.5</v>
      </c>
      <c r="L21" s="11">
        <v>24</v>
      </c>
      <c r="M21" s="9">
        <f t="shared" si="3"/>
        <v>-1.0577519562260409</v>
      </c>
      <c r="N21" s="11">
        <v>0</v>
      </c>
      <c r="O21" s="9">
        <f t="shared" si="4"/>
        <v>-0.21366149904100187</v>
      </c>
      <c r="P21" s="9">
        <v>42</v>
      </c>
      <c r="Q21" s="9">
        <f t="shared" si="7"/>
        <v>-3.1993529287789175</v>
      </c>
      <c r="R21" s="12">
        <v>54.8</v>
      </c>
      <c r="S21" s="9">
        <f t="shared" si="5"/>
        <v>-0.86918621486254211</v>
      </c>
      <c r="T21" s="11">
        <v>16.149999999999999</v>
      </c>
      <c r="U21" s="11">
        <f t="shared" si="6"/>
        <v>-4.7163605582592326E-2</v>
      </c>
      <c r="V21" s="11">
        <v>41.56</v>
      </c>
      <c r="W21" s="11">
        <f>(V21-(AVERAGE($V$2:$V$121)))/STDEV($V$2:$V140)</f>
        <v>-0.25136690599569672</v>
      </c>
      <c r="X21" s="11">
        <v>33.200000000000003</v>
      </c>
      <c r="Y21" s="11">
        <f>(X21-(AVERAGE($X$2:$X$121)))/STDEV($X$2:$X140)</f>
        <v>0.95854147740016848</v>
      </c>
      <c r="Z21" s="14"/>
      <c r="AA21" s="14">
        <v>1</v>
      </c>
      <c r="AB21" s="14">
        <v>2.4727899999999998</v>
      </c>
      <c r="AC21" s="14">
        <v>27.969000000000001</v>
      </c>
      <c r="AD21" s="14">
        <v>19.632999999999999</v>
      </c>
      <c r="AE21" s="14">
        <v>36.642000000000003</v>
      </c>
      <c r="AF21" s="14">
        <f>SUM(AC21:AC23)</f>
        <v>58.536999999999999</v>
      </c>
      <c r="AG21" s="14">
        <f>SUM(AE21:AE23)</f>
        <v>79.328000000000003</v>
      </c>
      <c r="AH21" s="14"/>
      <c r="AI21" s="14"/>
    </row>
    <row r="22" spans="1:47" x14ac:dyDescent="0.35">
      <c r="A22" s="3">
        <v>21</v>
      </c>
      <c r="B22" s="9" t="s">
        <v>53</v>
      </c>
      <c r="C22" s="10">
        <v>44031</v>
      </c>
      <c r="D22" s="10">
        <v>44089</v>
      </c>
      <c r="E22" s="10">
        <v>44060</v>
      </c>
      <c r="F22" s="11">
        <v>26</v>
      </c>
      <c r="G22" s="9">
        <f t="shared" si="0"/>
        <v>1.033071540147477</v>
      </c>
      <c r="H22" s="11">
        <v>0</v>
      </c>
      <c r="I22" s="9">
        <f t="shared" si="1"/>
        <v>-0.18639493319028441</v>
      </c>
      <c r="J22" s="11">
        <v>-2</v>
      </c>
      <c r="K22" s="66">
        <f t="shared" si="2"/>
        <v>44058</v>
      </c>
      <c r="L22" s="11">
        <v>24</v>
      </c>
      <c r="M22" s="9">
        <f t="shared" si="3"/>
        <v>-1.0577519562260409</v>
      </c>
      <c r="N22" s="11">
        <v>0</v>
      </c>
      <c r="O22" s="9">
        <f t="shared" si="4"/>
        <v>-0.21366149904100187</v>
      </c>
      <c r="P22" s="9">
        <v>83</v>
      </c>
      <c r="Q22" s="9">
        <f t="shared" si="7"/>
        <v>-0.32892800343039252</v>
      </c>
      <c r="R22" s="12">
        <v>54.8</v>
      </c>
      <c r="S22" s="9">
        <f t="shared" si="5"/>
        <v>-0.86918621486254211</v>
      </c>
      <c r="T22" s="11">
        <v>18.559999999999999</v>
      </c>
      <c r="U22" s="11">
        <f t="shared" si="6"/>
        <v>1.4075100561273381</v>
      </c>
      <c r="V22" s="11">
        <v>44.42</v>
      </c>
      <c r="W22" s="11">
        <f>(V22-(AVERAGE($V$2:$V$121)))/STDEV($V$2:$V141)</f>
        <v>1.7047306577767549</v>
      </c>
      <c r="X22" s="11">
        <v>33.47</v>
      </c>
      <c r="Y22" s="11">
        <f>(X22-(AVERAGE($X$2:$X$121)))/STDEV($X$2:$X141)</f>
        <v>1.1870125776081986</v>
      </c>
      <c r="Z22" s="13"/>
      <c r="AA22" s="13">
        <v>2</v>
      </c>
      <c r="AB22" s="13">
        <v>1.46417</v>
      </c>
      <c r="AC22" s="13">
        <v>16.561</v>
      </c>
      <c r="AD22" s="13">
        <v>9.8164999999999996</v>
      </c>
      <c r="AE22" s="13">
        <v>21.72</v>
      </c>
      <c r="AF22" s="13"/>
      <c r="AG22" s="13"/>
      <c r="AH22" s="13"/>
      <c r="AI22" s="13"/>
    </row>
    <row r="23" spans="1:47" x14ac:dyDescent="0.35">
      <c r="A23" s="3">
        <v>22</v>
      </c>
      <c r="B23" s="9" t="s">
        <v>49</v>
      </c>
      <c r="C23" s="10">
        <v>44031</v>
      </c>
      <c r="D23" s="10">
        <v>44092</v>
      </c>
      <c r="E23" s="10">
        <v>44061.5</v>
      </c>
      <c r="F23" s="11">
        <v>25</v>
      </c>
      <c r="G23" s="9">
        <f t="shared" si="0"/>
        <v>-5.4853356114025122E-2</v>
      </c>
      <c r="H23" s="11">
        <v>0</v>
      </c>
      <c r="I23" s="9">
        <f t="shared" si="1"/>
        <v>-0.18639493319028441</v>
      </c>
      <c r="J23" s="11">
        <v>-2</v>
      </c>
      <c r="K23" s="66">
        <f t="shared" si="2"/>
        <v>44059.5</v>
      </c>
      <c r="L23" s="11">
        <v>24</v>
      </c>
      <c r="M23" s="9">
        <f t="shared" si="3"/>
        <v>-1.0577519562260409</v>
      </c>
      <c r="N23" s="11">
        <v>0.1</v>
      </c>
      <c r="O23" s="9">
        <f t="shared" si="4"/>
        <v>-0.13370640977723072</v>
      </c>
      <c r="P23" s="9">
        <v>78</v>
      </c>
      <c r="Q23" s="9">
        <f t="shared" si="7"/>
        <v>-0.67897982359484677</v>
      </c>
      <c r="R23" s="12">
        <v>40.299999999999997</v>
      </c>
      <c r="S23" s="9">
        <f t="shared" si="5"/>
        <v>-1.4794605854275262</v>
      </c>
      <c r="T23" s="11">
        <v>15.87</v>
      </c>
      <c r="U23" s="11">
        <f t="shared" si="6"/>
        <v>-0.21617133391403615</v>
      </c>
      <c r="V23" s="11">
        <v>42.790999999999997</v>
      </c>
      <c r="W23" s="11">
        <f>(V23-(AVERAGE($V$2:$V$121)))/STDEV($V$2:$V142)</f>
        <v>0.5905757866630017</v>
      </c>
      <c r="X23" s="11">
        <v>32.5</v>
      </c>
      <c r="Y23" s="11">
        <f>(X23-(AVERAGE($X$2:$X$121)))/STDEV($X$2:$X142)</f>
        <v>0.36620899537933865</v>
      </c>
      <c r="Z23" s="13"/>
      <c r="AA23" s="13">
        <v>3</v>
      </c>
      <c r="AB23" s="13">
        <v>1.23837</v>
      </c>
      <c r="AC23" s="13">
        <v>14.007</v>
      </c>
      <c r="AD23" s="13">
        <v>3.1657999999999999</v>
      </c>
      <c r="AE23" s="13">
        <v>20.966000000000001</v>
      </c>
      <c r="AF23" s="13"/>
      <c r="AG23" s="13"/>
      <c r="AH23" s="13"/>
      <c r="AI23" s="13"/>
    </row>
    <row r="24" spans="1:47" x14ac:dyDescent="0.35">
      <c r="A24" s="3">
        <v>23</v>
      </c>
      <c r="B24" s="9" t="s">
        <v>49</v>
      </c>
      <c r="C24" s="10">
        <v>44031</v>
      </c>
      <c r="D24" s="10">
        <v>44087</v>
      </c>
      <c r="E24" s="10">
        <v>44059</v>
      </c>
      <c r="F24" s="11">
        <v>24</v>
      </c>
      <c r="G24" s="9">
        <f t="shared" si="0"/>
        <v>-1.1427782523755272</v>
      </c>
      <c r="H24" s="11">
        <v>0.1</v>
      </c>
      <c r="I24" s="9">
        <f t="shared" si="1"/>
        <v>-0.13383332880724211</v>
      </c>
      <c r="J24" s="11">
        <v>-2</v>
      </c>
      <c r="K24" s="66">
        <f t="shared" si="2"/>
        <v>44057</v>
      </c>
      <c r="L24" s="11">
        <v>25</v>
      </c>
      <c r="M24" s="9">
        <f t="shared" si="3"/>
        <v>4.6392629659036705E-2</v>
      </c>
      <c r="N24" s="11">
        <v>0</v>
      </c>
      <c r="O24" s="9">
        <f t="shared" si="4"/>
        <v>-0.21366149904100187</v>
      </c>
      <c r="P24" s="9">
        <v>95</v>
      </c>
      <c r="Q24" s="9">
        <f t="shared" si="7"/>
        <v>0.51119636496429766</v>
      </c>
      <c r="R24" s="12">
        <v>76.5</v>
      </c>
      <c r="S24" s="9">
        <f t="shared" si="5"/>
        <v>4.4120946603675375E-2</v>
      </c>
      <c r="T24" s="11">
        <v>16.5</v>
      </c>
      <c r="U24" s="11">
        <f t="shared" si="6"/>
        <v>0.16409605483171377</v>
      </c>
      <c r="V24" s="11">
        <v>40.200000000000003</v>
      </c>
      <c r="W24" s="11">
        <f>(V24-(AVERAGE($V$2:$V$121)))/STDEV($V$2:$V143)</f>
        <v>-1.1815391740832959</v>
      </c>
      <c r="X24" s="11">
        <v>33.299999999999997</v>
      </c>
      <c r="Y24" s="11">
        <f>(X24-(AVERAGE($X$2:$X$121)))/STDEV($X$2:$X143)</f>
        <v>1.043160403403139</v>
      </c>
      <c r="Z24" s="13"/>
      <c r="AA24" s="13">
        <v>4</v>
      </c>
      <c r="AB24" s="13">
        <v>0.94649700000000003</v>
      </c>
      <c r="AC24" s="13">
        <v>10.706</v>
      </c>
      <c r="AD24" s="13">
        <v>6.5274999999999999</v>
      </c>
      <c r="AE24" s="13">
        <v>14.484999999999999</v>
      </c>
      <c r="AF24" s="13"/>
      <c r="AG24" s="13"/>
      <c r="AH24" s="13"/>
      <c r="AI24" s="13"/>
    </row>
    <row r="25" spans="1:47" x14ac:dyDescent="0.35">
      <c r="A25" s="3">
        <v>24</v>
      </c>
      <c r="B25" s="9" t="s">
        <v>49</v>
      </c>
      <c r="C25" s="10">
        <v>44032</v>
      </c>
      <c r="D25" s="10">
        <v>44085</v>
      </c>
      <c r="E25" s="10">
        <v>44058.5</v>
      </c>
      <c r="F25" s="11">
        <v>24</v>
      </c>
      <c r="G25" s="9">
        <f t="shared" si="0"/>
        <v>-1.1427782523755272</v>
      </c>
      <c r="H25" s="11">
        <v>0</v>
      </c>
      <c r="I25" s="9">
        <f t="shared" si="1"/>
        <v>-0.18639493319028441</v>
      </c>
      <c r="J25" s="11">
        <v>-2</v>
      </c>
      <c r="K25" s="66">
        <f t="shared" si="2"/>
        <v>44056.5</v>
      </c>
      <c r="L25" s="11">
        <v>25</v>
      </c>
      <c r="M25" s="9">
        <f t="shared" si="3"/>
        <v>4.6392629659036705E-2</v>
      </c>
      <c r="N25" s="11">
        <v>0.2</v>
      </c>
      <c r="O25" s="9">
        <f t="shared" si="4"/>
        <v>-5.3751320513459572E-2</v>
      </c>
      <c r="P25" s="9">
        <v>73</v>
      </c>
      <c r="Q25" s="9">
        <f t="shared" si="7"/>
        <v>-1.029031643759301</v>
      </c>
      <c r="R25" s="12">
        <v>98.2</v>
      </c>
      <c r="S25" s="9">
        <f t="shared" si="5"/>
        <v>0.95742810806989287</v>
      </c>
      <c r="T25" s="11">
        <v>17</v>
      </c>
      <c r="U25" s="11">
        <f t="shared" si="6"/>
        <v>0.46589556970929269</v>
      </c>
      <c r="V25" s="11">
        <v>43.43</v>
      </c>
      <c r="W25" s="11">
        <f>(V25-(AVERAGE($V$2:$V$121)))/STDEV($V$2:$V144)</f>
        <v>1.0276199626247509</v>
      </c>
      <c r="X25" s="11">
        <v>33.1</v>
      </c>
      <c r="Y25" s="11">
        <f>(X25-(AVERAGE($X$2:$X$121)))/STDEV($X$2:$X144)</f>
        <v>0.87392255139719199</v>
      </c>
      <c r="Z25" s="13"/>
      <c r="AA25" s="13">
        <v>5</v>
      </c>
      <c r="AB25" s="13">
        <v>0.904227</v>
      </c>
      <c r="AC25" s="13">
        <v>10.228</v>
      </c>
      <c r="AD25" s="13">
        <v>3.3193999999999999</v>
      </c>
      <c r="AE25" s="13">
        <v>36.908000000000001</v>
      </c>
      <c r="AF25" s="13"/>
      <c r="AG25" s="13"/>
      <c r="AH25" s="13"/>
      <c r="AI25" s="13"/>
    </row>
    <row r="26" spans="1:47" x14ac:dyDescent="0.35">
      <c r="A26" s="3">
        <v>25</v>
      </c>
      <c r="B26" s="9" t="s">
        <v>53</v>
      </c>
      <c r="C26" s="10">
        <v>44032</v>
      </c>
      <c r="D26" s="10">
        <v>44087</v>
      </c>
      <c r="E26" s="10">
        <v>44059.5</v>
      </c>
      <c r="F26" s="11">
        <v>24</v>
      </c>
      <c r="G26" s="9">
        <f t="shared" si="0"/>
        <v>-1.1427782523755272</v>
      </c>
      <c r="H26" s="11">
        <v>0.1</v>
      </c>
      <c r="I26" s="9">
        <f t="shared" si="1"/>
        <v>-0.13383332880724211</v>
      </c>
      <c r="J26" s="11">
        <v>-2</v>
      </c>
      <c r="K26" s="66">
        <f t="shared" si="2"/>
        <v>44057.5</v>
      </c>
      <c r="L26" s="11">
        <v>25</v>
      </c>
      <c r="M26" s="9">
        <f t="shared" si="3"/>
        <v>4.6392629659036705E-2</v>
      </c>
      <c r="N26" s="11">
        <v>0</v>
      </c>
      <c r="O26" s="9">
        <f t="shared" si="4"/>
        <v>-0.21366149904100187</v>
      </c>
      <c r="P26" s="9">
        <v>87</v>
      </c>
      <c r="Q26" s="9">
        <f t="shared" si="7"/>
        <v>-4.8886547298829131E-2</v>
      </c>
      <c r="R26" s="12">
        <v>76.5</v>
      </c>
      <c r="S26" s="9">
        <f t="shared" si="5"/>
        <v>4.4120946603675375E-2</v>
      </c>
      <c r="T26" s="11">
        <v>15.87</v>
      </c>
      <c r="U26" s="11">
        <f t="shared" si="6"/>
        <v>-0.21617133391403615</v>
      </c>
      <c r="V26" s="11">
        <v>41.5</v>
      </c>
      <c r="W26" s="11">
        <f>(V26-(AVERAGE($V$2:$V$121)))/STDEV($V$2:$V145)</f>
        <v>-0.29240391782309239</v>
      </c>
      <c r="X26" s="11">
        <v>31.2</v>
      </c>
      <c r="Y26" s="11">
        <f>(X26-(AVERAGE($X$2:$X$121)))/STDEV($X$2:$X145)</f>
        <v>-0.73383704265934135</v>
      </c>
      <c r="Z26" s="13"/>
      <c r="AA26" s="13">
        <v>6</v>
      </c>
      <c r="AB26" s="13">
        <v>0.78216699999999995</v>
      </c>
      <c r="AC26" s="13">
        <v>8.8469999999999995</v>
      </c>
      <c r="AD26" s="13">
        <v>0.77880000000000005</v>
      </c>
      <c r="AE26" s="13">
        <v>14.473000000000001</v>
      </c>
      <c r="AF26" s="13"/>
      <c r="AG26" s="13"/>
      <c r="AH26" s="13"/>
      <c r="AI26" s="13"/>
    </row>
    <row r="27" spans="1:47" x14ac:dyDescent="0.35">
      <c r="A27" s="3">
        <v>26</v>
      </c>
      <c r="B27" s="9" t="s">
        <v>49</v>
      </c>
      <c r="C27" s="10">
        <v>44032</v>
      </c>
      <c r="D27" s="10">
        <v>44088</v>
      </c>
      <c r="E27" s="10">
        <v>44060</v>
      </c>
      <c r="F27" s="11">
        <v>26</v>
      </c>
      <c r="G27" s="9">
        <f t="shared" si="0"/>
        <v>1.033071540147477</v>
      </c>
      <c r="H27" s="11">
        <v>0</v>
      </c>
      <c r="I27" s="9">
        <f t="shared" si="1"/>
        <v>-0.18639493319028441</v>
      </c>
      <c r="J27" s="11">
        <v>-2</v>
      </c>
      <c r="K27" s="66">
        <f t="shared" si="2"/>
        <v>44058</v>
      </c>
      <c r="L27" s="11">
        <v>24</v>
      </c>
      <c r="M27" s="9">
        <f t="shared" si="3"/>
        <v>-1.0577519562260409</v>
      </c>
      <c r="N27" s="11">
        <v>0</v>
      </c>
      <c r="O27" s="9">
        <f t="shared" si="4"/>
        <v>-0.21366149904100187</v>
      </c>
      <c r="P27" s="9">
        <v>91</v>
      </c>
      <c r="Q27" s="9">
        <f t="shared" si="7"/>
        <v>0.23115490883273429</v>
      </c>
      <c r="R27" s="12">
        <v>69.3</v>
      </c>
      <c r="S27" s="9">
        <f t="shared" si="5"/>
        <v>-0.25891184429755815</v>
      </c>
      <c r="T27" s="11">
        <v>13.749000000000001</v>
      </c>
      <c r="U27" s="11">
        <f t="shared" si="6"/>
        <v>-1.4964048760247251</v>
      </c>
      <c r="V27" s="11">
        <v>40.64</v>
      </c>
      <c r="W27" s="11">
        <f>(V27-(AVERAGE($V$2:$V$121)))/STDEV($V$2:$V146)</f>
        <v>-0.88060108734907405</v>
      </c>
      <c r="X27" s="11">
        <v>30.82</v>
      </c>
      <c r="Y27" s="11">
        <f>(X27-(AVERAGE($X$2:$X$121)))/STDEV($X$2:$X146)</f>
        <v>-1.0553889614706469</v>
      </c>
      <c r="Z27" s="13"/>
      <c r="AA27" s="13">
        <v>7</v>
      </c>
      <c r="AB27" s="13">
        <v>0.52332299999999998</v>
      </c>
      <c r="AC27" s="13">
        <v>5.9192</v>
      </c>
      <c r="AD27" s="13">
        <v>0.64917000000000002</v>
      </c>
      <c r="AE27" s="13">
        <v>8.8838000000000008</v>
      </c>
      <c r="AF27" s="13"/>
      <c r="AG27" s="13"/>
      <c r="AH27" s="13"/>
      <c r="AI27" s="13"/>
    </row>
    <row r="28" spans="1:47" x14ac:dyDescent="0.35">
      <c r="A28" s="3">
        <v>27</v>
      </c>
      <c r="B28" s="15" t="s">
        <v>49</v>
      </c>
      <c r="C28" s="10">
        <v>44032</v>
      </c>
      <c r="D28" s="10">
        <v>44092</v>
      </c>
      <c r="E28" s="10">
        <v>44062</v>
      </c>
      <c r="F28" s="11">
        <v>24</v>
      </c>
      <c r="G28" s="9">
        <f t="shared" si="0"/>
        <v>-1.1427782523755272</v>
      </c>
      <c r="H28" s="11">
        <v>0</v>
      </c>
      <c r="I28" s="9">
        <f t="shared" si="1"/>
        <v>-0.18639493319028441</v>
      </c>
      <c r="J28" s="11">
        <v>-2</v>
      </c>
      <c r="K28" s="66">
        <f t="shared" si="2"/>
        <v>44060</v>
      </c>
      <c r="L28" s="11">
        <v>26</v>
      </c>
      <c r="M28" s="9">
        <f t="shared" si="3"/>
        <v>1.1505372155441143</v>
      </c>
      <c r="N28" s="11">
        <v>0</v>
      </c>
      <c r="O28" s="9">
        <f t="shared" si="4"/>
        <v>-0.21366149904100187</v>
      </c>
      <c r="P28" s="15">
        <v>91</v>
      </c>
      <c r="Q28" s="9">
        <f t="shared" si="7"/>
        <v>0.23115490883273429</v>
      </c>
      <c r="R28" s="12">
        <v>47.6</v>
      </c>
      <c r="S28" s="9">
        <f t="shared" si="5"/>
        <v>-1.1722190057637754</v>
      </c>
      <c r="T28" s="16">
        <v>14.28</v>
      </c>
      <c r="U28" s="11">
        <f t="shared" si="6"/>
        <v>-1.1758937912247371</v>
      </c>
      <c r="V28" s="16">
        <v>41.14</v>
      </c>
      <c r="W28" s="11">
        <f>(V28-(AVERAGE($V$2:$V$121)))/STDEV($V$2:$V147)</f>
        <v>-0.5386259887874566</v>
      </c>
      <c r="X28" s="16">
        <v>32.03</v>
      </c>
      <c r="Y28" s="11">
        <f>(X28-(AVERAGE($X$2:$X$121)))/STDEV($X$2:$X147)</f>
        <v>-3.1499956834644474E-2</v>
      </c>
      <c r="Z28" s="13"/>
      <c r="AA28" s="13">
        <v>8</v>
      </c>
      <c r="AB28" s="13">
        <v>0.32740000000000002</v>
      </c>
      <c r="AC28" s="13">
        <v>3.7031999999999998</v>
      </c>
      <c r="AD28" s="13">
        <v>2.3426999999999998</v>
      </c>
      <c r="AE28" s="13">
        <v>5.3743999999999996</v>
      </c>
      <c r="AF28" s="13"/>
      <c r="AG28" s="13"/>
      <c r="AH28" s="13"/>
      <c r="AI28" s="13"/>
    </row>
    <row r="29" spans="1:47" x14ac:dyDescent="0.35">
      <c r="A29" s="3">
        <v>28</v>
      </c>
      <c r="B29" s="9" t="s">
        <v>49</v>
      </c>
      <c r="C29" s="10">
        <v>44033</v>
      </c>
      <c r="D29" s="10">
        <v>44084</v>
      </c>
      <c r="E29" s="10">
        <v>44058.5</v>
      </c>
      <c r="F29" s="11">
        <v>24</v>
      </c>
      <c r="G29" s="9">
        <f t="shared" si="0"/>
        <v>-1.1427782523755272</v>
      </c>
      <c r="H29" s="11">
        <v>0</v>
      </c>
      <c r="I29" s="9">
        <f t="shared" si="1"/>
        <v>-0.18639493319028441</v>
      </c>
      <c r="J29" s="11">
        <v>-2</v>
      </c>
      <c r="K29" s="66">
        <f t="shared" si="2"/>
        <v>44056.5</v>
      </c>
      <c r="L29" s="11">
        <v>25</v>
      </c>
      <c r="M29" s="9">
        <f t="shared" si="3"/>
        <v>4.6392629659036705E-2</v>
      </c>
      <c r="N29" s="11">
        <v>0.2</v>
      </c>
      <c r="O29" s="9">
        <f t="shared" si="4"/>
        <v>-5.3751320513459572E-2</v>
      </c>
      <c r="P29" s="9">
        <v>97</v>
      </c>
      <c r="Q29" s="9">
        <f t="shared" si="7"/>
        <v>0.65121709303007935</v>
      </c>
      <c r="R29" s="12">
        <v>98.2</v>
      </c>
      <c r="S29" s="9">
        <f t="shared" si="5"/>
        <v>0.95742810806989287</v>
      </c>
      <c r="T29" s="11">
        <v>18.22</v>
      </c>
      <c r="U29" s="11">
        <f t="shared" si="6"/>
        <v>1.2022863860105846</v>
      </c>
      <c r="V29" s="11">
        <v>43.542999999999999</v>
      </c>
      <c r="W29" s="11">
        <f>(V29-(AVERAGE($V$2:$V$121)))/STDEV($V$2:$V148)</f>
        <v>1.1049063348996762</v>
      </c>
      <c r="X29" s="11">
        <v>32.1</v>
      </c>
      <c r="Y29" s="11">
        <f>(X29-(AVERAGE($X$2:$X$121)))/STDEV($X$2:$X148)</f>
        <v>2.7733291367438507E-2</v>
      </c>
      <c r="Z29" s="13"/>
      <c r="AA29" s="13">
        <v>9</v>
      </c>
      <c r="AB29" s="13">
        <v>0.182141</v>
      </c>
      <c r="AC29" s="13">
        <v>2.0602</v>
      </c>
      <c r="AD29" s="13">
        <v>1.0889</v>
      </c>
      <c r="AE29" s="13">
        <v>2.5844999999999998</v>
      </c>
      <c r="AF29" s="13"/>
      <c r="AG29" s="13"/>
      <c r="AH29" s="13"/>
      <c r="AI29" s="13"/>
    </row>
    <row r="30" spans="1:47" x14ac:dyDescent="0.35">
      <c r="A30" s="3">
        <v>29</v>
      </c>
      <c r="B30" s="9" t="s">
        <v>53</v>
      </c>
      <c r="C30" s="10">
        <v>44032</v>
      </c>
      <c r="D30" s="10">
        <v>44086</v>
      </c>
      <c r="E30" s="10">
        <v>44059</v>
      </c>
      <c r="F30" s="11">
        <v>24</v>
      </c>
      <c r="G30" s="9">
        <f t="shared" si="0"/>
        <v>-1.1427782523755272</v>
      </c>
      <c r="H30" s="11">
        <v>0.1</v>
      </c>
      <c r="I30" s="9">
        <f t="shared" si="1"/>
        <v>-0.13383332880724211</v>
      </c>
      <c r="J30" s="11">
        <v>-2</v>
      </c>
      <c r="K30" s="66">
        <f t="shared" si="2"/>
        <v>44057</v>
      </c>
      <c r="L30" s="11">
        <v>25</v>
      </c>
      <c r="M30" s="9">
        <f t="shared" si="3"/>
        <v>4.6392629659036705E-2</v>
      </c>
      <c r="N30" s="11">
        <v>0</v>
      </c>
      <c r="O30" s="9">
        <f t="shared" si="4"/>
        <v>-0.21366149904100187</v>
      </c>
      <c r="P30" s="9">
        <v>106</v>
      </c>
      <c r="Q30" s="9">
        <f t="shared" si="7"/>
        <v>1.281310369326097</v>
      </c>
      <c r="R30" s="12">
        <v>91</v>
      </c>
      <c r="S30" s="9">
        <f t="shared" si="5"/>
        <v>0.6543953171686594</v>
      </c>
      <c r="T30" s="11">
        <v>16.904</v>
      </c>
      <c r="U30" s="11">
        <f t="shared" si="6"/>
        <v>0.4079500628527975</v>
      </c>
      <c r="V30" s="11">
        <v>42.631999999999998</v>
      </c>
      <c r="W30" s="11">
        <f>(V30-(AVERAGE($V$2:$V$121)))/STDEV($V$2:$V149)</f>
        <v>0.48182770532040814</v>
      </c>
      <c r="X30" s="11">
        <v>32.799999999999997</v>
      </c>
      <c r="Y30" s="11">
        <f>(X30-(AVERAGE($X$2:$X$121)))/STDEV($X$2:$X149)</f>
        <v>0.6200657733882623</v>
      </c>
      <c r="Z30" s="13"/>
      <c r="AA30" s="13"/>
      <c r="AB30" s="13"/>
      <c r="AC30" s="13"/>
      <c r="AD30" s="13"/>
      <c r="AE30" s="13"/>
      <c r="AF30" s="13"/>
      <c r="AG30" s="13"/>
      <c r="AH30" s="13"/>
      <c r="AI30" s="13"/>
    </row>
    <row r="31" spans="1:47" x14ac:dyDescent="0.35">
      <c r="A31" s="3">
        <v>30</v>
      </c>
      <c r="B31" s="9" t="s">
        <v>50</v>
      </c>
      <c r="C31" s="10">
        <v>44033</v>
      </c>
      <c r="D31" s="10">
        <v>44089</v>
      </c>
      <c r="E31" s="10">
        <v>44061</v>
      </c>
      <c r="F31" s="11">
        <v>25</v>
      </c>
      <c r="G31" s="9">
        <f t="shared" si="0"/>
        <v>-5.4853356114025122E-2</v>
      </c>
      <c r="H31" s="11">
        <v>0</v>
      </c>
      <c r="I31" s="9">
        <f t="shared" si="1"/>
        <v>-0.18639493319028441</v>
      </c>
      <c r="J31" s="11">
        <v>-2</v>
      </c>
      <c r="K31" s="66">
        <f t="shared" si="2"/>
        <v>44059</v>
      </c>
      <c r="L31" s="11">
        <v>24</v>
      </c>
      <c r="M31" s="9">
        <f t="shared" si="3"/>
        <v>-1.0577519562260409</v>
      </c>
      <c r="N31" s="11">
        <v>0.1</v>
      </c>
      <c r="O31" s="9">
        <f t="shared" si="4"/>
        <v>-0.13370640977723072</v>
      </c>
      <c r="P31" s="9">
        <v>88</v>
      </c>
      <c r="Q31" s="9">
        <f t="shared" si="7"/>
        <v>2.1123816734061725E-2</v>
      </c>
      <c r="R31" s="12">
        <v>76.5</v>
      </c>
      <c r="S31" s="9">
        <f t="shared" si="5"/>
        <v>4.4120946603675375E-2</v>
      </c>
      <c r="T31" s="11">
        <v>15.77</v>
      </c>
      <c r="U31" s="11">
        <f t="shared" si="6"/>
        <v>-0.27653123688955172</v>
      </c>
      <c r="V31" s="11">
        <v>42.17</v>
      </c>
      <c r="W31" s="11">
        <f>(V31-(AVERAGE($V$2:$V$121)))/STDEV($V$2:$V150)</f>
        <v>0.16584271424947619</v>
      </c>
      <c r="X31" s="11">
        <v>32.479999999999997</v>
      </c>
      <c r="Y31" s="11">
        <f>(X31-(AVERAGE($X$2:$X$121)))/STDEV($X$2:$X150)</f>
        <v>0.34928521017874098</v>
      </c>
      <c r="Z31" s="13"/>
      <c r="AA31" s="13"/>
      <c r="AB31" s="13"/>
      <c r="AC31" s="13"/>
      <c r="AD31" s="13"/>
      <c r="AE31" s="13"/>
      <c r="AF31" s="13"/>
      <c r="AG31" s="13"/>
      <c r="AH31" s="13"/>
      <c r="AI31" s="13"/>
    </row>
    <row r="32" spans="1:47" x14ac:dyDescent="0.35">
      <c r="A32" s="3">
        <v>31</v>
      </c>
      <c r="B32" s="9" t="s">
        <v>49</v>
      </c>
      <c r="C32" s="10">
        <v>44033</v>
      </c>
      <c r="D32" s="10">
        <v>44095</v>
      </c>
      <c r="E32" s="10">
        <v>44064</v>
      </c>
      <c r="F32" s="11">
        <v>24</v>
      </c>
      <c r="G32" s="9">
        <f t="shared" si="0"/>
        <v>-1.1427782523755272</v>
      </c>
      <c r="H32" s="11">
        <v>0.2</v>
      </c>
      <c r="I32" s="9">
        <f t="shared" si="1"/>
        <v>-8.1271724424199845E-2</v>
      </c>
      <c r="J32" s="11">
        <v>-2</v>
      </c>
      <c r="K32" s="66">
        <f t="shared" si="2"/>
        <v>44062</v>
      </c>
      <c r="L32" s="11">
        <v>25</v>
      </c>
      <c r="M32" s="9">
        <f t="shared" si="3"/>
        <v>4.6392629659036705E-2</v>
      </c>
      <c r="N32" s="11">
        <v>0</v>
      </c>
      <c r="O32" s="9">
        <f t="shared" si="4"/>
        <v>-0.21366149904100187</v>
      </c>
      <c r="P32" s="9">
        <v>70</v>
      </c>
      <c r="Q32" s="9">
        <f t="shared" si="7"/>
        <v>-1.2390627358579736</v>
      </c>
      <c r="R32" s="12">
        <v>33.1</v>
      </c>
      <c r="S32" s="9">
        <f t="shared" si="5"/>
        <v>-1.7824933763287594</v>
      </c>
      <c r="T32" s="11">
        <v>12.66</v>
      </c>
      <c r="U32" s="11">
        <f t="shared" si="6"/>
        <v>-2.1537242194280921</v>
      </c>
      <c r="V32" s="11">
        <v>39.700000000000003</v>
      </c>
      <c r="W32" s="11">
        <f>(V32-(AVERAGE($V$2:$V$121)))/STDEV($V$2:$V151)</f>
        <v>-1.5235142726449133</v>
      </c>
      <c r="X32" s="11">
        <v>31.1</v>
      </c>
      <c r="Y32" s="11">
        <f>(X32-(AVERAGE($X$2:$X$121)))/STDEV($X$2:$X151)</f>
        <v>-0.81845596866231496</v>
      </c>
      <c r="Z32" s="13"/>
      <c r="AA32" s="13"/>
      <c r="AB32" s="13" t="s">
        <v>26</v>
      </c>
      <c r="AC32" s="13" t="s">
        <v>27</v>
      </c>
      <c r="AD32" s="13" t="s">
        <v>28</v>
      </c>
      <c r="AE32" s="13" t="s">
        <v>29</v>
      </c>
      <c r="AF32" s="13" t="s">
        <v>30</v>
      </c>
      <c r="AG32" s="13" t="s">
        <v>31</v>
      </c>
      <c r="AH32" s="13" t="s">
        <v>32</v>
      </c>
      <c r="AI32" s="13" t="s">
        <v>33</v>
      </c>
      <c r="AJ32" t="s">
        <v>34</v>
      </c>
      <c r="AM32" t="s">
        <v>26</v>
      </c>
      <c r="AN32" t="s">
        <v>27</v>
      </c>
      <c r="AO32" t="s">
        <v>28</v>
      </c>
      <c r="AP32" t="s">
        <v>29</v>
      </c>
      <c r="AQ32" t="s">
        <v>30</v>
      </c>
      <c r="AR32" t="s">
        <v>31</v>
      </c>
      <c r="AS32" t="s">
        <v>32</v>
      </c>
      <c r="AT32" t="s">
        <v>33</v>
      </c>
      <c r="AU32" t="s">
        <v>34</v>
      </c>
    </row>
    <row r="33" spans="1:47" x14ac:dyDescent="0.35">
      <c r="A33" s="3">
        <v>32</v>
      </c>
      <c r="B33" s="9" t="s">
        <v>53</v>
      </c>
      <c r="C33" s="10">
        <v>44033</v>
      </c>
      <c r="D33" s="10">
        <v>44094</v>
      </c>
      <c r="E33" s="10">
        <v>44063.5</v>
      </c>
      <c r="F33" s="11">
        <v>24</v>
      </c>
      <c r="G33" s="9">
        <f t="shared" si="0"/>
        <v>-1.1427782523755272</v>
      </c>
      <c r="H33" s="11">
        <v>0</v>
      </c>
      <c r="I33" s="9">
        <f t="shared" si="1"/>
        <v>-0.18639493319028441</v>
      </c>
      <c r="J33" s="11">
        <v>-2</v>
      </c>
      <c r="K33" s="66">
        <f t="shared" si="2"/>
        <v>44061.5</v>
      </c>
      <c r="L33" s="11">
        <v>25</v>
      </c>
      <c r="M33" s="9">
        <f t="shared" si="3"/>
        <v>4.6392629659036705E-2</v>
      </c>
      <c r="N33" s="11">
        <v>0</v>
      </c>
      <c r="O33" s="9">
        <f t="shared" si="4"/>
        <v>-0.21366149904100187</v>
      </c>
      <c r="P33" s="9">
        <v>108</v>
      </c>
      <c r="Q33" s="9">
        <f t="shared" si="7"/>
        <v>1.4213310973918789</v>
      </c>
      <c r="R33" s="12">
        <v>40.299999999999997</v>
      </c>
      <c r="S33" s="9">
        <f t="shared" si="5"/>
        <v>-1.4794605854275262</v>
      </c>
      <c r="T33" s="11">
        <v>18.93</v>
      </c>
      <c r="U33" s="11">
        <f t="shared" si="6"/>
        <v>1.6308416971367472</v>
      </c>
      <c r="V33" s="11">
        <v>44.3</v>
      </c>
      <c r="W33" s="11">
        <f>(V33-(AVERAGE($V$2:$V$121)))/STDEV($V$2:$V152)</f>
        <v>1.6226566341219635</v>
      </c>
      <c r="X33" s="11"/>
      <c r="Y33" s="11"/>
      <c r="Z33" s="13"/>
      <c r="AA33" s="13">
        <v>5</v>
      </c>
      <c r="AB33" s="13">
        <v>-0.25666</v>
      </c>
      <c r="AC33" s="13">
        <v>-0.68864000000000003</v>
      </c>
      <c r="AD33" s="13">
        <v>-0.62719999999999998</v>
      </c>
      <c r="AE33" s="13">
        <v>-1.7853000000000001</v>
      </c>
      <c r="AF33" s="13">
        <v>-0.23562</v>
      </c>
      <c r="AG33" s="13">
        <v>0.57557000000000003</v>
      </c>
      <c r="AH33" s="13">
        <v>-0.74794000000000005</v>
      </c>
      <c r="AI33" s="13">
        <v>1.7487999999999999</v>
      </c>
      <c r="AJ33">
        <v>9.7696000000000005E-2</v>
      </c>
      <c r="AL33" t="s">
        <v>307</v>
      </c>
      <c r="AM33">
        <v>-6.3064999999999996E-2</v>
      </c>
      <c r="AN33">
        <v>0.60570000000000002</v>
      </c>
      <c r="AO33">
        <v>-0.23218</v>
      </c>
      <c r="AP33">
        <v>-0.37345</v>
      </c>
      <c r="AQ33">
        <v>-1.0707E-2</v>
      </c>
      <c r="AR33">
        <v>0.28344000000000003</v>
      </c>
      <c r="AS33">
        <v>0.58386000000000005</v>
      </c>
      <c r="AT33">
        <v>-0.1138</v>
      </c>
      <c r="AU33">
        <v>3.8684999999999997E-2</v>
      </c>
    </row>
    <row r="34" spans="1:47" x14ac:dyDescent="0.35">
      <c r="A34" s="3">
        <v>33</v>
      </c>
      <c r="B34" s="9" t="s">
        <v>53</v>
      </c>
      <c r="C34" s="10">
        <v>44033</v>
      </c>
      <c r="D34" s="10">
        <v>44091</v>
      </c>
      <c r="E34" s="10">
        <v>44062</v>
      </c>
      <c r="F34" s="11">
        <v>24</v>
      </c>
      <c r="G34" s="9">
        <f t="shared" ref="G34:G65" si="8">(F34-(AVERAGE($F$2:$F$121)))/STDEV($F$2:$F$121)</f>
        <v>-1.1427782523755272</v>
      </c>
      <c r="H34" s="11">
        <v>0</v>
      </c>
      <c r="I34" s="9">
        <f t="shared" ref="I34:I65" si="9">(H34-(AVERAGE($H$2:$H$121)))/STDEV($H$2:$H$121)</f>
        <v>-0.18639493319028441</v>
      </c>
      <c r="J34" s="11">
        <v>-2</v>
      </c>
      <c r="K34" s="66">
        <f t="shared" ref="K34:K57" si="10">E34+J34</f>
        <v>44060</v>
      </c>
      <c r="L34" s="11">
        <v>26</v>
      </c>
      <c r="M34" s="9">
        <f t="shared" ref="M34:M65" si="11">(L34-(AVERAGE($L$2:$L$121)))/STDEV($L$2:$L$121)</f>
        <v>1.1505372155441143</v>
      </c>
      <c r="N34" s="11">
        <v>0</v>
      </c>
      <c r="O34" s="9">
        <f t="shared" ref="O34:O65" si="12">(N34-(AVERAGE($N$2:$N$121)))/STDEV($N$2:$N$121)</f>
        <v>-0.21366149904100187</v>
      </c>
      <c r="P34" s="9">
        <v>91</v>
      </c>
      <c r="Q34" s="9">
        <f t="shared" si="7"/>
        <v>0.23115490883273429</v>
      </c>
      <c r="R34" s="12">
        <v>62</v>
      </c>
      <c r="S34" s="9">
        <f t="shared" si="5"/>
        <v>-0.56615342396130863</v>
      </c>
      <c r="T34" s="11">
        <v>17.920000000000002</v>
      </c>
      <c r="U34" s="11">
        <f t="shared" si="6"/>
        <v>1.0212066770840389</v>
      </c>
      <c r="V34" s="11">
        <v>42.88</v>
      </c>
      <c r="W34" s="11">
        <f>(V34-(AVERAGE($V$2:$V$121)))/STDEV($V$2:$V153)</f>
        <v>0.65144735420697364</v>
      </c>
      <c r="X34" s="11">
        <v>33.799999999999997</v>
      </c>
      <c r="Y34" s="11">
        <f>(X34-(AVERAGE($X$2:$X$121)))/STDEV($X$2:$X153)</f>
        <v>1.4662550334180158</v>
      </c>
      <c r="Z34" s="13"/>
      <c r="AA34" s="13">
        <v>1</v>
      </c>
      <c r="AB34" s="13">
        <v>1.5526</v>
      </c>
      <c r="AC34" s="13">
        <v>-1.4962</v>
      </c>
      <c r="AD34" s="13">
        <v>-0.12228</v>
      </c>
      <c r="AE34" s="13">
        <v>0.29056999999999999</v>
      </c>
      <c r="AF34" s="13">
        <v>0.18559</v>
      </c>
      <c r="AG34" s="13">
        <v>-0.38124999999999998</v>
      </c>
      <c r="AH34" s="13">
        <v>-1.8744000000000001</v>
      </c>
      <c r="AI34" s="13">
        <v>-0.34891</v>
      </c>
      <c r="AJ34">
        <v>0.47354000000000002</v>
      </c>
      <c r="AL34" t="s">
        <v>308</v>
      </c>
      <c r="AM34">
        <v>-0.14237</v>
      </c>
      <c r="AN34">
        <v>0.43379000000000001</v>
      </c>
      <c r="AO34">
        <v>-0.17413000000000001</v>
      </c>
      <c r="AP34">
        <v>0.12559999999999999</v>
      </c>
      <c r="AQ34">
        <v>0.76454999999999995</v>
      </c>
      <c r="AR34">
        <v>-0.16461000000000001</v>
      </c>
      <c r="AS34">
        <v>-0.32868999999999998</v>
      </c>
      <c r="AT34">
        <v>0.13091</v>
      </c>
      <c r="AU34">
        <v>-9.2993000000000006E-2</v>
      </c>
    </row>
    <row r="35" spans="1:47" x14ac:dyDescent="0.35">
      <c r="A35" s="3">
        <v>34</v>
      </c>
      <c r="B35" s="9" t="s">
        <v>49</v>
      </c>
      <c r="C35" s="10">
        <v>44033</v>
      </c>
      <c r="D35" s="10">
        <v>44090</v>
      </c>
      <c r="E35" s="10">
        <v>44061.5</v>
      </c>
      <c r="F35" s="11">
        <v>25</v>
      </c>
      <c r="G35" s="9">
        <f t="shared" si="8"/>
        <v>-5.4853356114025122E-2</v>
      </c>
      <c r="H35" s="11">
        <v>0</v>
      </c>
      <c r="I35" s="9">
        <f t="shared" si="9"/>
        <v>-0.18639493319028441</v>
      </c>
      <c r="J35" s="11">
        <v>-2</v>
      </c>
      <c r="K35" s="66">
        <f t="shared" si="10"/>
        <v>44059.5</v>
      </c>
      <c r="L35" s="11">
        <v>24</v>
      </c>
      <c r="M35" s="9">
        <f t="shared" si="11"/>
        <v>-1.0577519562260409</v>
      </c>
      <c r="N35" s="11">
        <v>0.1</v>
      </c>
      <c r="O35" s="9">
        <f t="shared" si="12"/>
        <v>-0.13370640977723072</v>
      </c>
      <c r="P35" s="9">
        <v>74</v>
      </c>
      <c r="Q35" s="9">
        <f t="shared" si="7"/>
        <v>-0.95902127972641027</v>
      </c>
      <c r="R35" s="12">
        <v>69.3</v>
      </c>
      <c r="S35" s="9">
        <f t="shared" si="5"/>
        <v>-0.25891184429755815</v>
      </c>
      <c r="T35" s="11">
        <v>16.77</v>
      </c>
      <c r="U35" s="11">
        <f t="shared" si="6"/>
        <v>0.32706779286560617</v>
      </c>
      <c r="V35" s="11">
        <v>42.76</v>
      </c>
      <c r="W35" s="11">
        <f>(V35-(AVERAGE($V$2:$V$121)))/STDEV($V$2:$V154)</f>
        <v>0.56937333055218231</v>
      </c>
      <c r="X35" s="11">
        <v>31.48</v>
      </c>
      <c r="Y35" s="11">
        <f>(X35-(AVERAGE($X$2:$X$121)))/STDEV($X$2:$X154)</f>
        <v>-0.49690404985100944</v>
      </c>
      <c r="Z35" s="13"/>
      <c r="AA35" s="13">
        <v>2</v>
      </c>
      <c r="AB35" s="13">
        <v>0.79491000000000001</v>
      </c>
      <c r="AC35" s="13">
        <v>-1.5690999999999999</v>
      </c>
      <c r="AD35" s="13">
        <v>-3.6308E-2</v>
      </c>
      <c r="AE35" s="13">
        <v>0.27989000000000003</v>
      </c>
      <c r="AF35" s="13">
        <v>9.6042000000000002E-2</v>
      </c>
      <c r="AG35" s="13">
        <v>-0.19101000000000001</v>
      </c>
      <c r="AH35" s="13">
        <v>-1.8624000000000001</v>
      </c>
      <c r="AI35" s="13">
        <v>0.18012</v>
      </c>
      <c r="AJ35">
        <v>0.74780999999999997</v>
      </c>
      <c r="AL35" t="s">
        <v>309</v>
      </c>
      <c r="AM35">
        <v>-0.12578</v>
      </c>
      <c r="AN35">
        <v>0.32861000000000001</v>
      </c>
      <c r="AO35">
        <v>0.46894999999999998</v>
      </c>
      <c r="AP35">
        <v>0.55650999999999995</v>
      </c>
      <c r="AQ35">
        <v>-0.10131</v>
      </c>
      <c r="AR35">
        <v>-0.42879</v>
      </c>
      <c r="AS35">
        <v>0.36857000000000001</v>
      </c>
      <c r="AT35">
        <v>-0.10780000000000001</v>
      </c>
      <c r="AU35">
        <v>7.0566000000000004E-2</v>
      </c>
    </row>
    <row r="36" spans="1:47" x14ac:dyDescent="0.35">
      <c r="A36" s="3">
        <v>35</v>
      </c>
      <c r="B36" s="9" t="s">
        <v>49</v>
      </c>
      <c r="C36" s="10">
        <v>44033</v>
      </c>
      <c r="D36" s="10">
        <v>44089</v>
      </c>
      <c r="E36" s="10">
        <v>44061</v>
      </c>
      <c r="F36" s="11">
        <v>25</v>
      </c>
      <c r="G36" s="9">
        <f t="shared" si="8"/>
        <v>-5.4853356114025122E-2</v>
      </c>
      <c r="H36" s="11">
        <v>0</v>
      </c>
      <c r="I36" s="9">
        <f t="shared" si="9"/>
        <v>-0.18639493319028441</v>
      </c>
      <c r="J36" s="11">
        <v>-2</v>
      </c>
      <c r="K36" s="66">
        <f t="shared" si="10"/>
        <v>44059</v>
      </c>
      <c r="L36" s="11">
        <v>24</v>
      </c>
      <c r="M36" s="9">
        <f t="shared" si="11"/>
        <v>-1.0577519562260409</v>
      </c>
      <c r="N36" s="11">
        <v>0.1</v>
      </c>
      <c r="O36" s="9">
        <f t="shared" si="12"/>
        <v>-0.13370640977723072</v>
      </c>
      <c r="P36" s="9">
        <v>94</v>
      </c>
      <c r="Q36" s="9">
        <f t="shared" si="7"/>
        <v>0.44118600093140686</v>
      </c>
      <c r="R36" s="12">
        <v>76.5</v>
      </c>
      <c r="S36" s="9">
        <f t="shared" ref="S36:S67" si="13">(R36-(AVERAGE($R$2:$R$121)))/STDEV($R$2:$R$121)</f>
        <v>4.4120946603675375E-2</v>
      </c>
      <c r="T36" s="11">
        <v>16.61</v>
      </c>
      <c r="U36" s="11">
        <f t="shared" si="6"/>
        <v>0.2304919481047808</v>
      </c>
      <c r="V36" s="11">
        <v>41.27</v>
      </c>
      <c r="W36" s="11">
        <f>(V36-(AVERAGE($V$2:$V$121)))/STDEV($V$2:$V155)</f>
        <v>-0.44971246316143432</v>
      </c>
      <c r="X36" s="11">
        <v>31.61</v>
      </c>
      <c r="Y36" s="11">
        <f>(X36-(AVERAGE($X$2:$X$121)))/STDEV($X$2:$X155)</f>
        <v>-0.38689944604714238</v>
      </c>
      <c r="Z36" s="13"/>
      <c r="AA36" s="13">
        <v>4</v>
      </c>
      <c r="AB36" s="13">
        <v>-0.13272999999999999</v>
      </c>
      <c r="AC36" s="13">
        <v>-0.27305000000000001</v>
      </c>
      <c r="AD36" s="13">
        <v>-1.6349</v>
      </c>
      <c r="AE36" s="13">
        <v>2.0526</v>
      </c>
      <c r="AF36" s="13">
        <v>0.11533</v>
      </c>
      <c r="AG36" s="13">
        <v>1.0181</v>
      </c>
      <c r="AH36" s="13">
        <v>-1.4130999999999999E-2</v>
      </c>
      <c r="AI36" s="13">
        <v>-1.8622000000000001</v>
      </c>
      <c r="AJ36">
        <v>-4.9155999999999998E-2</v>
      </c>
      <c r="AL36" t="s">
        <v>310</v>
      </c>
      <c r="AM36">
        <v>0.13763</v>
      </c>
      <c r="AN36">
        <v>0.45430999999999999</v>
      </c>
      <c r="AO36">
        <v>0.45106000000000002</v>
      </c>
      <c r="AP36">
        <v>6.0742999999999998E-2</v>
      </c>
      <c r="AQ36">
        <v>-0.23957999999999999</v>
      </c>
      <c r="AR36">
        <v>0.51398999999999995</v>
      </c>
      <c r="AS36">
        <v>-0.49535000000000001</v>
      </c>
      <c r="AT36">
        <v>-2.0507000000000001E-2</v>
      </c>
      <c r="AU36">
        <v>-1.1676000000000001E-2</v>
      </c>
    </row>
    <row r="37" spans="1:47" x14ac:dyDescent="0.35">
      <c r="A37" s="3">
        <v>36</v>
      </c>
      <c r="B37" s="9" t="s">
        <v>49</v>
      </c>
      <c r="C37" s="10">
        <v>44033</v>
      </c>
      <c r="D37" s="10">
        <v>44083</v>
      </c>
      <c r="E37" s="10">
        <v>44058</v>
      </c>
      <c r="F37" s="11">
        <v>24</v>
      </c>
      <c r="G37" s="9">
        <f t="shared" si="8"/>
        <v>-1.1427782523755272</v>
      </c>
      <c r="H37" s="11">
        <v>0</v>
      </c>
      <c r="I37" s="9">
        <f t="shared" si="9"/>
        <v>-0.18639493319028441</v>
      </c>
      <c r="J37" s="11">
        <v>-2</v>
      </c>
      <c r="K37" s="66">
        <f t="shared" si="10"/>
        <v>44056</v>
      </c>
      <c r="L37" s="11">
        <v>25</v>
      </c>
      <c r="M37" s="9">
        <f t="shared" si="11"/>
        <v>4.6392629659036705E-2</v>
      </c>
      <c r="N37" s="11">
        <v>0.2</v>
      </c>
      <c r="O37" s="9">
        <f t="shared" si="12"/>
        <v>-5.3751320513459572E-2</v>
      </c>
      <c r="P37" s="9">
        <v>89</v>
      </c>
      <c r="Q37" s="9">
        <f t="shared" si="7"/>
        <v>9.113418076695258E-2</v>
      </c>
      <c r="R37" s="12">
        <v>100</v>
      </c>
      <c r="S37" s="9">
        <f t="shared" si="13"/>
        <v>1.0331863057952011</v>
      </c>
      <c r="T37" s="11">
        <v>13.56</v>
      </c>
      <c r="U37" s="11">
        <f t="shared" si="6"/>
        <v>-1.61048509264845</v>
      </c>
      <c r="V37" s="11">
        <v>40.369999999999997</v>
      </c>
      <c r="W37" s="11">
        <f>(V37-(AVERAGE($V$2:$V$121)))/STDEV($V$2:$V156)</f>
        <v>-1.0652676405723496</v>
      </c>
      <c r="X37" s="11">
        <v>30.31</v>
      </c>
      <c r="Y37" s="11">
        <f>(X37-(AVERAGE($X$2:$X$121)))/STDEV($X$2:$X156)</f>
        <v>-1.4869454840858225</v>
      </c>
      <c r="Z37" s="13"/>
      <c r="AA37" s="13">
        <v>9</v>
      </c>
      <c r="AB37" s="13">
        <v>-3.3814000000000002</v>
      </c>
      <c r="AC37" s="13">
        <v>-1.8128</v>
      </c>
      <c r="AD37" s="13">
        <v>2.1840000000000002</v>
      </c>
      <c r="AE37" s="13">
        <v>-0.71331999999999995</v>
      </c>
      <c r="AF37" s="13">
        <v>0.89076999999999995</v>
      </c>
      <c r="AG37" s="13">
        <v>0.51275999999999999</v>
      </c>
      <c r="AH37" s="13">
        <v>-0.19303999999999999</v>
      </c>
      <c r="AI37" s="13">
        <v>0.44640999999999997</v>
      </c>
      <c r="AJ37">
        <v>0.26834000000000002</v>
      </c>
      <c r="AL37" t="s">
        <v>304</v>
      </c>
      <c r="AM37">
        <v>0.1004</v>
      </c>
      <c r="AN37">
        <v>-0.33871000000000001</v>
      </c>
      <c r="AO37">
        <v>0.43530999999999997</v>
      </c>
      <c r="AP37">
        <v>7.0356000000000002E-2</v>
      </c>
      <c r="AQ37">
        <v>0.57225000000000004</v>
      </c>
      <c r="AR37">
        <v>0.47175</v>
      </c>
      <c r="AS37">
        <v>0.33699000000000001</v>
      </c>
      <c r="AT37">
        <v>-9.7763000000000003E-2</v>
      </c>
      <c r="AU37">
        <v>8.7183999999999998E-2</v>
      </c>
    </row>
    <row r="38" spans="1:47" x14ac:dyDescent="0.35">
      <c r="A38" s="3">
        <v>37</v>
      </c>
      <c r="B38" s="9" t="s">
        <v>49</v>
      </c>
      <c r="C38" s="10">
        <v>44034</v>
      </c>
      <c r="D38" s="10">
        <v>44096</v>
      </c>
      <c r="E38" s="10">
        <v>44065</v>
      </c>
      <c r="F38" s="11">
        <v>26</v>
      </c>
      <c r="G38" s="9">
        <f t="shared" si="8"/>
        <v>1.033071540147477</v>
      </c>
      <c r="H38" s="11">
        <v>0</v>
      </c>
      <c r="I38" s="9">
        <f t="shared" si="9"/>
        <v>-0.18639493319028441</v>
      </c>
      <c r="J38" s="11">
        <v>-2</v>
      </c>
      <c r="K38" s="66">
        <f t="shared" si="10"/>
        <v>44063</v>
      </c>
      <c r="L38" s="11">
        <v>24</v>
      </c>
      <c r="M38" s="9">
        <f t="shared" si="11"/>
        <v>-1.0577519562260409</v>
      </c>
      <c r="N38" s="11">
        <v>0</v>
      </c>
      <c r="O38" s="9">
        <f t="shared" si="12"/>
        <v>-0.21366149904100187</v>
      </c>
      <c r="P38" s="9">
        <v>98</v>
      </c>
      <c r="Q38" s="9">
        <f t="shared" si="7"/>
        <v>0.72122745706297031</v>
      </c>
      <c r="R38" s="12">
        <v>33.1</v>
      </c>
      <c r="S38" s="9">
        <f t="shared" si="13"/>
        <v>-1.7824933763287594</v>
      </c>
      <c r="T38" s="11">
        <v>13.44</v>
      </c>
      <c r="U38" s="11">
        <f t="shared" si="6"/>
        <v>-1.6829169762190697</v>
      </c>
      <c r="V38" s="11">
        <v>40.08</v>
      </c>
      <c r="W38" s="11">
        <f>(V38-(AVERAGE($V$2:$V$121)))/STDEV($V$2:$V157)</f>
        <v>-1.2636131977380871</v>
      </c>
      <c r="X38" s="11"/>
      <c r="Y38" s="11"/>
      <c r="Z38" s="13"/>
      <c r="AA38" s="13">
        <v>3</v>
      </c>
      <c r="AB38" s="13">
        <v>1.0902000000000001</v>
      </c>
      <c r="AC38" s="13">
        <v>-0.51810999999999996</v>
      </c>
      <c r="AD38" s="13">
        <v>0.17133000000000001</v>
      </c>
      <c r="AE38" s="13">
        <v>0.13321</v>
      </c>
      <c r="AF38" s="13">
        <v>-0.11272</v>
      </c>
      <c r="AG38" s="13">
        <v>-1.0178</v>
      </c>
      <c r="AH38" s="13">
        <v>-0.59053999999999995</v>
      </c>
      <c r="AI38" s="13">
        <v>0.39590999999999998</v>
      </c>
      <c r="AJ38">
        <v>0.16678000000000001</v>
      </c>
      <c r="AL38" t="s">
        <v>305</v>
      </c>
      <c r="AM38">
        <v>0.14121</v>
      </c>
      <c r="AN38">
        <v>5.0742000000000002E-2</v>
      </c>
      <c r="AO38">
        <v>0.51544999999999996</v>
      </c>
      <c r="AP38">
        <v>-0.67874000000000001</v>
      </c>
      <c r="AQ38">
        <v>8.8579000000000005E-2</v>
      </c>
      <c r="AR38">
        <v>-0.41509000000000001</v>
      </c>
      <c r="AS38">
        <v>-1.3139E-2</v>
      </c>
      <c r="AT38">
        <v>0.26521</v>
      </c>
      <c r="AU38">
        <v>2.1427999999999999E-2</v>
      </c>
    </row>
    <row r="39" spans="1:47" x14ac:dyDescent="0.35">
      <c r="A39" s="3">
        <v>38</v>
      </c>
      <c r="B39" s="9" t="s">
        <v>50</v>
      </c>
      <c r="C39" s="10">
        <v>44019</v>
      </c>
      <c r="D39" s="10">
        <v>44082</v>
      </c>
      <c r="E39" s="10">
        <v>44050.5</v>
      </c>
      <c r="F39" s="11">
        <v>23</v>
      </c>
      <c r="G39" s="9">
        <f t="shared" si="8"/>
        <v>-2.2307031486370295</v>
      </c>
      <c r="H39" s="11">
        <v>0.2</v>
      </c>
      <c r="I39" s="9">
        <f t="shared" si="9"/>
        <v>-8.1271724424199845E-2</v>
      </c>
      <c r="J39" s="11">
        <v>-2</v>
      </c>
      <c r="K39" s="66">
        <f t="shared" si="10"/>
        <v>44048.5</v>
      </c>
      <c r="L39" s="11">
        <v>24</v>
      </c>
      <c r="M39" s="9">
        <f t="shared" si="11"/>
        <v>-1.0577519562260409</v>
      </c>
      <c r="N39" s="11">
        <v>0.5</v>
      </c>
      <c r="O39" s="9">
        <f t="shared" si="12"/>
        <v>0.18611394727785383</v>
      </c>
      <c r="P39" s="9"/>
      <c r="Q39" s="9"/>
      <c r="R39" s="12">
        <v>25.9</v>
      </c>
      <c r="S39" s="9">
        <f t="shared" si="13"/>
        <v>-2.0855261672299927</v>
      </c>
      <c r="T39" s="11">
        <v>17.309999999999999</v>
      </c>
      <c r="U39" s="11">
        <f t="shared" ref="U39:U70" si="14">(T39-(AVERAGE($T$2:$T$121)))/STDEV($T$2:$T$121)</f>
        <v>0.6530112689333909</v>
      </c>
      <c r="V39" s="11">
        <v>41.17</v>
      </c>
      <c r="W39" s="11">
        <f>(V39-(AVERAGE($V$2:$V$121)))/STDEV($V$2:$V158)</f>
        <v>-0.51810748287375874</v>
      </c>
      <c r="X39" s="11">
        <v>32.380000000000003</v>
      </c>
      <c r="Y39" s="11">
        <f>(X39-(AVERAGE($X$2:$X$121)))/STDEV($X$2:$X158)</f>
        <v>0.26466628417577043</v>
      </c>
      <c r="Z39" s="13"/>
      <c r="AA39" s="13">
        <v>38</v>
      </c>
      <c r="AB39" s="13">
        <v>0.22523000000000001</v>
      </c>
      <c r="AC39" s="13">
        <v>-1.7547999999999999</v>
      </c>
      <c r="AD39" s="13">
        <v>-0.92064999999999997</v>
      </c>
      <c r="AE39" s="13">
        <v>1.7083999999999999</v>
      </c>
      <c r="AF39" s="13">
        <v>-0.17355999999999999</v>
      </c>
      <c r="AG39" s="13">
        <v>0.80005000000000004</v>
      </c>
      <c r="AH39" s="13">
        <v>-1.6057999999999999</v>
      </c>
      <c r="AI39" s="13">
        <v>-0.17205999999999999</v>
      </c>
      <c r="AJ39">
        <v>-1.0348999999999999</v>
      </c>
      <c r="AL39" t="s">
        <v>306</v>
      </c>
      <c r="AM39">
        <v>0.57569000000000004</v>
      </c>
      <c r="AN39">
        <v>4.1520000000000001E-2</v>
      </c>
      <c r="AO39">
        <v>-2.3955000000000001E-2</v>
      </c>
      <c r="AP39">
        <v>-3.1405000000000001E-3</v>
      </c>
      <c r="AQ39">
        <v>6.2112000000000001E-2</v>
      </c>
      <c r="AR39">
        <v>-0.14460999999999999</v>
      </c>
      <c r="AS39">
        <v>3.0446999999999998E-2</v>
      </c>
      <c r="AT39">
        <v>-0.46911000000000003</v>
      </c>
      <c r="AU39">
        <v>-0.64846999999999999</v>
      </c>
    </row>
    <row r="40" spans="1:47" x14ac:dyDescent="0.35">
      <c r="A40" s="3">
        <v>39</v>
      </c>
      <c r="B40" s="9" t="s">
        <v>49</v>
      </c>
      <c r="C40" s="10">
        <v>44034</v>
      </c>
      <c r="D40" s="10">
        <v>44089</v>
      </c>
      <c r="E40" s="10">
        <v>44061.5</v>
      </c>
      <c r="F40" s="11">
        <v>25</v>
      </c>
      <c r="G40" s="9">
        <f t="shared" si="8"/>
        <v>-5.4853356114025122E-2</v>
      </c>
      <c r="H40" s="11">
        <v>0</v>
      </c>
      <c r="I40" s="9">
        <f t="shared" si="9"/>
        <v>-0.18639493319028441</v>
      </c>
      <c r="J40" s="11">
        <v>-2</v>
      </c>
      <c r="K40" s="66">
        <f t="shared" si="10"/>
        <v>44059.5</v>
      </c>
      <c r="L40" s="11">
        <v>24</v>
      </c>
      <c r="M40" s="9">
        <f t="shared" si="11"/>
        <v>-1.0577519562260409</v>
      </c>
      <c r="N40" s="11">
        <v>0.1</v>
      </c>
      <c r="O40" s="9">
        <f t="shared" si="12"/>
        <v>-0.13370640977723072</v>
      </c>
      <c r="P40" s="9">
        <v>47</v>
      </c>
      <c r="Q40" s="9">
        <f t="shared" ref="Q40:Q71" si="15">(P40-(AVERAGE($P$2:$P$121)))/STDEV($P$2:$P$121)</f>
        <v>-2.8493011086144633</v>
      </c>
      <c r="R40" s="12">
        <v>83.7</v>
      </c>
      <c r="S40" s="9">
        <f t="shared" si="13"/>
        <v>0.34715373750490891</v>
      </c>
      <c r="T40" s="11">
        <v>14.42</v>
      </c>
      <c r="U40" s="11">
        <f t="shared" si="14"/>
        <v>-1.0913899270590146</v>
      </c>
      <c r="V40" s="11">
        <v>40.229999999999997</v>
      </c>
      <c r="W40" s="11">
        <f>(V40-(AVERAGE($V$2:$V$121)))/STDEV($V$2:$V159)</f>
        <v>-1.1610206681696029</v>
      </c>
      <c r="X40" s="11">
        <v>30.89</v>
      </c>
      <c r="Y40" s="11">
        <f>(X40-(AVERAGE($X$2:$X$121)))/STDEV($X$2:$X159)</f>
        <v>-0.99615571326856389</v>
      </c>
      <c r="Z40" s="13"/>
      <c r="AA40" s="13">
        <v>12</v>
      </c>
      <c r="AB40" s="13">
        <v>-1.1108</v>
      </c>
      <c r="AC40" s="13">
        <v>-0.36588999999999999</v>
      </c>
      <c r="AD40" s="13">
        <v>1.3289</v>
      </c>
      <c r="AE40" s="13">
        <v>-0.85323000000000004</v>
      </c>
      <c r="AF40" s="13">
        <v>0.44295000000000001</v>
      </c>
      <c r="AG40" s="13">
        <v>0.24762999999999999</v>
      </c>
      <c r="AH40" s="13">
        <v>-2.5478000000000001E-2</v>
      </c>
      <c r="AI40" s="13">
        <v>-0.26804</v>
      </c>
      <c r="AJ40">
        <v>0.14327999999999999</v>
      </c>
      <c r="AL40" t="s">
        <v>215</v>
      </c>
      <c r="AM40">
        <v>0.57047000000000003</v>
      </c>
      <c r="AN40">
        <v>8.4414000000000003E-2</v>
      </c>
      <c r="AO40">
        <v>-0.15337000000000001</v>
      </c>
      <c r="AP40">
        <v>3.2154000000000002E-2</v>
      </c>
      <c r="AQ40">
        <v>8.0119999999999997E-2</v>
      </c>
      <c r="AR40">
        <v>-0.14307</v>
      </c>
      <c r="AS40">
        <v>-9.3829999999999997E-2</v>
      </c>
      <c r="AT40">
        <v>-0.25435999999999998</v>
      </c>
      <c r="AU40">
        <v>0.73653999999999997</v>
      </c>
    </row>
    <row r="41" spans="1:47" x14ac:dyDescent="0.35">
      <c r="A41" s="3">
        <v>40</v>
      </c>
      <c r="B41" s="9" t="s">
        <v>49</v>
      </c>
      <c r="C41" s="10">
        <v>44034</v>
      </c>
      <c r="D41" s="10">
        <v>44090</v>
      </c>
      <c r="E41" s="10">
        <v>44062</v>
      </c>
      <c r="F41" s="11">
        <v>24</v>
      </c>
      <c r="G41" s="9">
        <f t="shared" si="8"/>
        <v>-1.1427782523755272</v>
      </c>
      <c r="H41" s="11">
        <v>0</v>
      </c>
      <c r="I41" s="9">
        <f t="shared" si="9"/>
        <v>-0.18639493319028441</v>
      </c>
      <c r="J41" s="11">
        <v>-2</v>
      </c>
      <c r="K41" s="66">
        <f t="shared" si="10"/>
        <v>44060</v>
      </c>
      <c r="L41" s="11">
        <v>26</v>
      </c>
      <c r="M41" s="9">
        <f t="shared" si="11"/>
        <v>1.1505372155441143</v>
      </c>
      <c r="N41" s="11">
        <v>0</v>
      </c>
      <c r="O41" s="9">
        <f t="shared" si="12"/>
        <v>-0.21366149904100187</v>
      </c>
      <c r="P41" s="9">
        <v>109</v>
      </c>
      <c r="Q41" s="9">
        <f t="shared" si="15"/>
        <v>1.4913414614247698</v>
      </c>
      <c r="R41" s="12">
        <v>76.5</v>
      </c>
      <c r="S41" s="9">
        <f t="shared" si="13"/>
        <v>4.4120946603675375E-2</v>
      </c>
      <c r="T41" s="11">
        <v>17.82</v>
      </c>
      <c r="U41" s="11">
        <f t="shared" si="14"/>
        <v>0.96084677410852237</v>
      </c>
      <c r="V41" s="11">
        <v>42.22</v>
      </c>
      <c r="W41" s="11">
        <f>(V41-(AVERAGE($V$2:$V$121)))/STDEV($V$2:$V160)</f>
        <v>0.20004022410563599</v>
      </c>
      <c r="X41" s="11">
        <v>32.840000000000003</v>
      </c>
      <c r="Y41" s="11">
        <f>(X41-(AVERAGE($X$2:$X$121)))/STDEV($X$2:$X160)</f>
        <v>0.65391334378945776</v>
      </c>
      <c r="Z41" s="13"/>
      <c r="AA41" s="13">
        <v>13</v>
      </c>
      <c r="AB41" s="13">
        <v>0.76385999999999998</v>
      </c>
      <c r="AC41" s="13">
        <v>0.40564</v>
      </c>
      <c r="AD41" s="13">
        <v>6.5329999999999999E-2</v>
      </c>
      <c r="AE41" s="13">
        <v>-0.3846</v>
      </c>
      <c r="AF41" s="13">
        <v>-0.33217999999999998</v>
      </c>
      <c r="AG41" s="13">
        <v>-0.60341</v>
      </c>
      <c r="AH41" s="13">
        <v>-0.42137000000000002</v>
      </c>
      <c r="AI41" s="13">
        <v>-4.0932000000000003E-2</v>
      </c>
      <c r="AJ41">
        <v>0.72372999999999998</v>
      </c>
      <c r="AL41" t="s">
        <v>217</v>
      </c>
      <c r="AM41">
        <v>0.50409999999999999</v>
      </c>
      <c r="AN41">
        <v>6.6554000000000002E-2</v>
      </c>
      <c r="AO41">
        <v>-0.11454</v>
      </c>
      <c r="AP41">
        <v>0.25434000000000001</v>
      </c>
      <c r="AQ41">
        <v>-4.5664000000000003E-2</v>
      </c>
      <c r="AR41">
        <v>9.1011999999999996E-2</v>
      </c>
      <c r="AS41">
        <v>0.21539</v>
      </c>
      <c r="AT41">
        <v>0.7702</v>
      </c>
      <c r="AU41">
        <v>-0.11695</v>
      </c>
    </row>
    <row r="42" spans="1:47" x14ac:dyDescent="0.35">
      <c r="A42" s="3">
        <v>41</v>
      </c>
      <c r="B42" s="9" t="s">
        <v>53</v>
      </c>
      <c r="C42" s="10">
        <v>44034</v>
      </c>
      <c r="D42" s="10">
        <v>44089</v>
      </c>
      <c r="E42" s="10">
        <v>44061.5</v>
      </c>
      <c r="F42" s="11">
        <v>25</v>
      </c>
      <c r="G42" s="9">
        <f t="shared" si="8"/>
        <v>-5.4853356114025122E-2</v>
      </c>
      <c r="H42" s="11">
        <v>0</v>
      </c>
      <c r="I42" s="9">
        <f t="shared" si="9"/>
        <v>-0.18639493319028441</v>
      </c>
      <c r="J42" s="11">
        <v>-2</v>
      </c>
      <c r="K42" s="66">
        <f t="shared" si="10"/>
        <v>44059.5</v>
      </c>
      <c r="L42" s="11">
        <v>24</v>
      </c>
      <c r="M42" s="9">
        <f t="shared" si="11"/>
        <v>-1.0577519562260409</v>
      </c>
      <c r="N42" s="11">
        <v>0.1</v>
      </c>
      <c r="O42" s="9">
        <f t="shared" si="12"/>
        <v>-0.13370640977723072</v>
      </c>
      <c r="P42" s="9">
        <v>102</v>
      </c>
      <c r="Q42" s="9">
        <f t="shared" si="15"/>
        <v>1.0012689131945336</v>
      </c>
      <c r="R42" s="12">
        <v>76.5</v>
      </c>
      <c r="S42" s="9">
        <f t="shared" si="13"/>
        <v>4.4120946603675375E-2</v>
      </c>
      <c r="T42" s="11">
        <v>16.59</v>
      </c>
      <c r="U42" s="11">
        <f t="shared" si="14"/>
        <v>0.2184199675096779</v>
      </c>
      <c r="V42" s="11">
        <v>42.47</v>
      </c>
      <c r="W42" s="11">
        <f>(V42-(AVERAGE($V$2:$V$121)))/STDEV($V$2:$V161)</f>
        <v>0.37102777338644471</v>
      </c>
      <c r="X42" s="11">
        <v>32.909999999999997</v>
      </c>
      <c r="Y42" s="11">
        <f>(X42-(AVERAGE($X$2:$X$121)))/STDEV($X$2:$X161)</f>
        <v>0.71314659199153474</v>
      </c>
      <c r="Z42" s="13"/>
      <c r="AA42" s="13">
        <v>36</v>
      </c>
      <c r="AB42" s="13">
        <v>-2.0478000000000001</v>
      </c>
      <c r="AC42" s="13">
        <v>-1.0169999999999999</v>
      </c>
      <c r="AD42" s="13">
        <v>1.2407999999999999</v>
      </c>
      <c r="AE42" s="13">
        <v>-0.67722000000000004</v>
      </c>
      <c r="AF42" s="13">
        <v>-9.6096000000000001E-2</v>
      </c>
      <c r="AG42" s="13">
        <v>-0.47633999999999999</v>
      </c>
      <c r="AH42" s="13">
        <v>-0.81466000000000005</v>
      </c>
      <c r="AI42" s="13">
        <v>0.24671000000000001</v>
      </c>
      <c r="AJ42">
        <v>0.43758999999999998</v>
      </c>
    </row>
    <row r="43" spans="1:47" x14ac:dyDescent="0.35">
      <c r="A43" s="3">
        <v>42</v>
      </c>
      <c r="B43" s="9" t="s">
        <v>49</v>
      </c>
      <c r="C43" s="10">
        <v>44034</v>
      </c>
      <c r="D43" s="10">
        <v>44093</v>
      </c>
      <c r="E43" s="10">
        <v>44063.5</v>
      </c>
      <c r="F43" s="11">
        <v>24</v>
      </c>
      <c r="G43" s="9">
        <f t="shared" si="8"/>
        <v>-1.1427782523755272</v>
      </c>
      <c r="H43" s="11">
        <v>0</v>
      </c>
      <c r="I43" s="9">
        <f t="shared" si="9"/>
        <v>-0.18639493319028441</v>
      </c>
      <c r="J43" s="11">
        <v>-2</v>
      </c>
      <c r="K43" s="66">
        <f t="shared" si="10"/>
        <v>44061.5</v>
      </c>
      <c r="L43" s="11">
        <v>25</v>
      </c>
      <c r="M43" s="9">
        <f t="shared" si="11"/>
        <v>4.6392629659036705E-2</v>
      </c>
      <c r="N43" s="11">
        <v>0</v>
      </c>
      <c r="O43" s="9">
        <f t="shared" si="12"/>
        <v>-0.21366149904100187</v>
      </c>
      <c r="P43" s="9">
        <v>99</v>
      </c>
      <c r="Q43" s="9">
        <f t="shared" si="15"/>
        <v>0.79123782109586116</v>
      </c>
      <c r="R43" s="12">
        <v>54.8</v>
      </c>
      <c r="S43" s="9">
        <f t="shared" si="13"/>
        <v>-0.86918621486254211</v>
      </c>
      <c r="T43" s="11">
        <v>18.933333333333334</v>
      </c>
      <c r="U43" s="11">
        <f t="shared" si="14"/>
        <v>1.6328536939025979</v>
      </c>
      <c r="V43" s="11">
        <v>42.766666666666666</v>
      </c>
      <c r="W43" s="11">
        <f>(V43-(AVERAGE($V$2:$V$121)))/STDEV($V$2:$V162)</f>
        <v>0.57393299853300461</v>
      </c>
      <c r="X43" s="11">
        <v>32.42</v>
      </c>
      <c r="Y43" s="11">
        <f>(X43-(AVERAGE($X$2:$X$121)))/STDEV($X$2:$X162)</f>
        <v>0.29851385457695984</v>
      </c>
      <c r="Z43" s="13"/>
      <c r="AA43" s="13">
        <v>6</v>
      </c>
      <c r="AB43" s="13">
        <v>0.26823999999999998</v>
      </c>
      <c r="AC43" s="13">
        <v>-9.9320000000000006E-2</v>
      </c>
      <c r="AD43" s="13">
        <v>0.38585999999999998</v>
      </c>
      <c r="AE43" s="13">
        <v>0.31741000000000003</v>
      </c>
      <c r="AF43" s="13">
        <v>0.11298999999999999</v>
      </c>
      <c r="AG43" s="13">
        <v>0.55720000000000003</v>
      </c>
      <c r="AH43" s="13">
        <v>0.32327</v>
      </c>
      <c r="AI43" s="13">
        <v>0.96613000000000004</v>
      </c>
      <c r="AJ43">
        <v>-0.13385</v>
      </c>
    </row>
    <row r="44" spans="1:47" x14ac:dyDescent="0.35">
      <c r="A44" s="3">
        <v>43</v>
      </c>
      <c r="B44" s="9" t="s">
        <v>49</v>
      </c>
      <c r="C44" s="10">
        <v>44034</v>
      </c>
      <c r="D44" s="10">
        <v>44096</v>
      </c>
      <c r="E44" s="10">
        <v>44065</v>
      </c>
      <c r="F44" s="11">
        <v>26</v>
      </c>
      <c r="G44" s="9">
        <f t="shared" si="8"/>
        <v>1.033071540147477</v>
      </c>
      <c r="H44" s="11">
        <v>0</v>
      </c>
      <c r="I44" s="9">
        <f t="shared" si="9"/>
        <v>-0.18639493319028441</v>
      </c>
      <c r="J44" s="11">
        <v>-2</v>
      </c>
      <c r="K44" s="66">
        <f t="shared" si="10"/>
        <v>44063</v>
      </c>
      <c r="L44" s="11">
        <v>24</v>
      </c>
      <c r="M44" s="9">
        <f t="shared" si="11"/>
        <v>-1.0577519562260409</v>
      </c>
      <c r="N44" s="11">
        <v>0</v>
      </c>
      <c r="O44" s="9">
        <f t="shared" si="12"/>
        <v>-0.21366149904100187</v>
      </c>
      <c r="P44" s="9">
        <v>89</v>
      </c>
      <c r="Q44" s="9">
        <f t="shared" si="15"/>
        <v>9.113418076695258E-2</v>
      </c>
      <c r="R44" s="12">
        <v>33.1</v>
      </c>
      <c r="S44" s="9">
        <f t="shared" si="13"/>
        <v>-1.7824933763287594</v>
      </c>
      <c r="T44" s="11">
        <v>15.387499999999999</v>
      </c>
      <c r="U44" s="11">
        <f t="shared" si="14"/>
        <v>-0.5074078657708998</v>
      </c>
      <c r="V44" s="11">
        <v>41.9375</v>
      </c>
      <c r="W44" s="11">
        <f>(V44-(AVERAGE($V$2:$V$121)))/STDEV($V$2:$V163)</f>
        <v>6.8242934183228993E-3</v>
      </c>
      <c r="X44" s="11">
        <v>31.3</v>
      </c>
      <c r="Y44" s="11">
        <f>(X44-(AVERAGE($X$2:$X$121)))/STDEV($X$2:$X163)</f>
        <v>-0.64921811665636486</v>
      </c>
      <c r="Z44" s="13"/>
      <c r="AA44" s="13">
        <v>10</v>
      </c>
      <c r="AB44" s="13">
        <v>0.21828</v>
      </c>
      <c r="AC44" s="13">
        <v>0.22078999999999999</v>
      </c>
      <c r="AD44" s="13">
        <v>0.15981000000000001</v>
      </c>
      <c r="AE44" s="13">
        <v>-0.22478000000000001</v>
      </c>
      <c r="AF44" s="13">
        <v>-0.25152999999999998</v>
      </c>
      <c r="AG44" s="13">
        <v>-0.24989</v>
      </c>
      <c r="AH44" s="13">
        <v>-0.29693000000000003</v>
      </c>
      <c r="AI44" s="13">
        <v>-7.9686999999999994E-2</v>
      </c>
      <c r="AJ44">
        <v>0.27857999999999999</v>
      </c>
    </row>
    <row r="45" spans="1:47" x14ac:dyDescent="0.35">
      <c r="A45" s="3">
        <v>44</v>
      </c>
      <c r="B45" s="9" t="s">
        <v>53</v>
      </c>
      <c r="C45" s="10">
        <v>44034</v>
      </c>
      <c r="D45" s="10">
        <v>44086</v>
      </c>
      <c r="E45" s="10">
        <v>44060</v>
      </c>
      <c r="F45" s="11">
        <v>26</v>
      </c>
      <c r="G45" s="9">
        <f t="shared" si="8"/>
        <v>1.033071540147477</v>
      </c>
      <c r="H45" s="11">
        <v>0</v>
      </c>
      <c r="I45" s="9">
        <f t="shared" si="9"/>
        <v>-0.18639493319028441</v>
      </c>
      <c r="J45" s="11">
        <v>-2</v>
      </c>
      <c r="K45" s="66">
        <f t="shared" si="10"/>
        <v>44058</v>
      </c>
      <c r="L45" s="11">
        <v>24</v>
      </c>
      <c r="M45" s="9">
        <f t="shared" si="11"/>
        <v>-1.0577519562260409</v>
      </c>
      <c r="N45" s="11">
        <v>0</v>
      </c>
      <c r="O45" s="9">
        <f t="shared" si="12"/>
        <v>-0.21366149904100187</v>
      </c>
      <c r="P45" s="9">
        <v>84</v>
      </c>
      <c r="Q45" s="9">
        <f t="shared" si="15"/>
        <v>-0.25891763939750168</v>
      </c>
      <c r="R45" s="12">
        <v>40.299999999999997</v>
      </c>
      <c r="S45" s="9">
        <f t="shared" si="13"/>
        <v>-1.4794605854275262</v>
      </c>
      <c r="T45" s="11">
        <v>17.64</v>
      </c>
      <c r="U45" s="11">
        <f t="shared" si="14"/>
        <v>0.85219894875259405</v>
      </c>
      <c r="V45" s="11">
        <v>43.1</v>
      </c>
      <c r="W45" s="11">
        <f>(V45-(AVERAGE($V$2:$V$121)))/STDEV($V$2:$V164)</f>
        <v>0.80191639757408451</v>
      </c>
      <c r="X45" s="11">
        <v>33.4</v>
      </c>
      <c r="Y45" s="11">
        <f>(X45-(AVERAGE($X$2:$X$121)))/STDEV($X$2:$X164)</f>
        <v>1.1277793294061156</v>
      </c>
      <c r="Z45" s="13"/>
      <c r="AA45" s="13">
        <v>28</v>
      </c>
      <c r="AB45" s="13">
        <v>1.6195999999999999</v>
      </c>
      <c r="AC45" s="13">
        <v>-0.8095</v>
      </c>
      <c r="AD45" s="13">
        <v>0.87134</v>
      </c>
      <c r="AE45" s="13">
        <v>-0.13885</v>
      </c>
      <c r="AF45" s="13">
        <v>0.49669000000000002</v>
      </c>
      <c r="AG45" s="13">
        <v>-0.75915999999999995</v>
      </c>
      <c r="AH45" s="13">
        <v>-0.41559000000000001</v>
      </c>
      <c r="AI45" s="13">
        <v>-0.52759999999999996</v>
      </c>
      <c r="AJ45">
        <v>8.3137000000000003E-2</v>
      </c>
    </row>
    <row r="46" spans="1:47" x14ac:dyDescent="0.35">
      <c r="A46" s="3">
        <v>45</v>
      </c>
      <c r="B46" s="9" t="s">
        <v>53</v>
      </c>
      <c r="C46" s="10">
        <v>44035</v>
      </c>
      <c r="D46" s="10">
        <v>44088</v>
      </c>
      <c r="E46" s="10">
        <v>44061.5</v>
      </c>
      <c r="F46" s="11">
        <v>25</v>
      </c>
      <c r="G46" s="9">
        <f t="shared" si="8"/>
        <v>-5.4853356114025122E-2</v>
      </c>
      <c r="H46" s="11">
        <v>0</v>
      </c>
      <c r="I46" s="9">
        <f t="shared" si="9"/>
        <v>-0.18639493319028441</v>
      </c>
      <c r="J46" s="11">
        <v>-2</v>
      </c>
      <c r="K46" s="66">
        <f t="shared" si="10"/>
        <v>44059.5</v>
      </c>
      <c r="L46" s="11">
        <v>24</v>
      </c>
      <c r="M46" s="9">
        <f t="shared" si="11"/>
        <v>-1.0577519562260409</v>
      </c>
      <c r="N46" s="11">
        <v>0.1</v>
      </c>
      <c r="O46" s="9">
        <f t="shared" si="12"/>
        <v>-0.13370640977723072</v>
      </c>
      <c r="P46" s="9">
        <v>99</v>
      </c>
      <c r="Q46" s="9">
        <f t="shared" si="15"/>
        <v>0.79123782109586116</v>
      </c>
      <c r="R46" s="12">
        <v>98.2</v>
      </c>
      <c r="S46" s="9">
        <f t="shared" si="13"/>
        <v>0.95742810806989287</v>
      </c>
      <c r="T46" s="11">
        <v>15.59</v>
      </c>
      <c r="U46" s="11">
        <f t="shared" si="14"/>
        <v>-0.38517906224547993</v>
      </c>
      <c r="V46" s="11">
        <v>42.26</v>
      </c>
      <c r="W46" s="11">
        <f>(V46-(AVERAGE($V$2:$V$121)))/STDEV($V$2:$V165)</f>
        <v>0.2273982319905648</v>
      </c>
      <c r="X46" s="11">
        <v>31.8</v>
      </c>
      <c r="Y46" s="11">
        <f>(X46-(AVERAGE($X$2:$X$121)))/STDEV($X$2:$X165)</f>
        <v>-0.22612348664148813</v>
      </c>
      <c r="Z46" s="13"/>
      <c r="AA46" s="13">
        <v>14</v>
      </c>
      <c r="AB46" s="13">
        <v>-0.53085000000000004</v>
      </c>
      <c r="AC46" s="13">
        <v>-0.49037999999999998</v>
      </c>
      <c r="AD46" s="13">
        <v>-0.28704000000000002</v>
      </c>
      <c r="AE46" s="13">
        <v>-0.90346000000000004</v>
      </c>
      <c r="AF46" s="13">
        <v>-0.11216</v>
      </c>
      <c r="AG46" s="13">
        <v>0.36604999999999999</v>
      </c>
      <c r="AH46" s="13">
        <v>-0.45978000000000002</v>
      </c>
      <c r="AI46" s="13">
        <v>0.47288000000000002</v>
      </c>
      <c r="AJ46">
        <v>0.56764000000000003</v>
      </c>
    </row>
    <row r="47" spans="1:47" x14ac:dyDescent="0.35">
      <c r="A47" s="3">
        <v>46</v>
      </c>
      <c r="B47" s="9" t="s">
        <v>53</v>
      </c>
      <c r="C47" s="10">
        <v>44035</v>
      </c>
      <c r="D47" s="10">
        <v>44089</v>
      </c>
      <c r="E47" s="10">
        <v>44062</v>
      </c>
      <c r="F47" s="11">
        <v>24</v>
      </c>
      <c r="G47" s="9">
        <f t="shared" si="8"/>
        <v>-1.1427782523755272</v>
      </c>
      <c r="H47" s="11">
        <v>0</v>
      </c>
      <c r="I47" s="9">
        <f t="shared" si="9"/>
        <v>-0.18639493319028441</v>
      </c>
      <c r="J47" s="11">
        <v>-2</v>
      </c>
      <c r="K47" s="66">
        <f t="shared" si="10"/>
        <v>44060</v>
      </c>
      <c r="L47" s="11">
        <v>26</v>
      </c>
      <c r="M47" s="9">
        <f t="shared" si="11"/>
        <v>1.1505372155441143</v>
      </c>
      <c r="N47" s="11">
        <v>0</v>
      </c>
      <c r="O47" s="9">
        <f t="shared" si="12"/>
        <v>-0.21366149904100187</v>
      </c>
      <c r="P47" s="9">
        <v>97</v>
      </c>
      <c r="Q47" s="9">
        <f t="shared" si="15"/>
        <v>0.65121709303007935</v>
      </c>
      <c r="R47" s="12">
        <v>91</v>
      </c>
      <c r="S47" s="9">
        <f t="shared" si="13"/>
        <v>0.6543953171686594</v>
      </c>
      <c r="T47" s="11">
        <v>15.27</v>
      </c>
      <c r="U47" s="11">
        <f t="shared" si="14"/>
        <v>-0.57833075176713067</v>
      </c>
      <c r="V47" s="11">
        <v>39.85</v>
      </c>
      <c r="W47" s="11">
        <f>(V47-(AVERAGE($V$2:$V$121)))/STDEV($V$2:$V166)</f>
        <v>-1.4209217430764292</v>
      </c>
      <c r="X47" s="11">
        <v>29.78</v>
      </c>
      <c r="Y47" s="11">
        <f>(X47-(AVERAGE($X$2:$X$121)))/STDEV($X$2:$X166)</f>
        <v>-1.9354257919015898</v>
      </c>
      <c r="Z47" s="13"/>
      <c r="AA47" s="13">
        <v>24</v>
      </c>
      <c r="AB47" s="13">
        <v>1.4141999999999999</v>
      </c>
      <c r="AC47" s="13">
        <v>-0.22067999999999999</v>
      </c>
      <c r="AD47" s="13">
        <v>7.1915999999999994E-2</v>
      </c>
      <c r="AE47" s="13">
        <v>-4.3381999999999997E-2</v>
      </c>
      <c r="AF47" s="13">
        <v>-0.55415000000000003</v>
      </c>
      <c r="AG47" s="13">
        <v>-1.3597999999999999</v>
      </c>
      <c r="AH47" s="13">
        <v>-0.81654000000000004</v>
      </c>
      <c r="AI47" s="13">
        <v>0.64388999999999996</v>
      </c>
      <c r="AJ47">
        <v>0.26023000000000002</v>
      </c>
    </row>
    <row r="48" spans="1:47" x14ac:dyDescent="0.35">
      <c r="A48" s="3">
        <v>47</v>
      </c>
      <c r="B48" s="9" t="s">
        <v>53</v>
      </c>
      <c r="C48" s="10">
        <v>44035</v>
      </c>
      <c r="D48" s="10">
        <v>44090</v>
      </c>
      <c r="E48" s="10">
        <v>44062.5</v>
      </c>
      <c r="F48" s="11">
        <v>24</v>
      </c>
      <c r="G48" s="9">
        <f t="shared" si="8"/>
        <v>-1.1427782523755272</v>
      </c>
      <c r="H48" s="11">
        <v>0</v>
      </c>
      <c r="I48" s="9">
        <f t="shared" si="9"/>
        <v>-0.18639493319028441</v>
      </c>
      <c r="J48" s="11">
        <v>-2</v>
      </c>
      <c r="K48" s="66">
        <f t="shared" si="10"/>
        <v>44060.5</v>
      </c>
      <c r="L48" s="11">
        <v>26</v>
      </c>
      <c r="M48" s="9">
        <f t="shared" si="11"/>
        <v>1.1505372155441143</v>
      </c>
      <c r="N48" s="11">
        <v>0</v>
      </c>
      <c r="O48" s="9">
        <f t="shared" si="12"/>
        <v>-0.21366149904100187</v>
      </c>
      <c r="P48" s="9">
        <v>81</v>
      </c>
      <c r="Q48" s="9">
        <f t="shared" si="15"/>
        <v>-0.46894873149617428</v>
      </c>
      <c r="R48" s="12">
        <v>83.7</v>
      </c>
      <c r="S48" s="9">
        <f t="shared" si="13"/>
        <v>0.34715373750490891</v>
      </c>
      <c r="T48" s="11">
        <v>18.23</v>
      </c>
      <c r="U48" s="11">
        <f t="shared" si="14"/>
        <v>1.2083223763081372</v>
      </c>
      <c r="V48" s="11">
        <v>42.51</v>
      </c>
      <c r="W48" s="11">
        <f>(V48-(AVERAGE($V$2:$V$121)))/STDEV($V$2:$V167)</f>
        <v>0.39838578127137353</v>
      </c>
      <c r="X48" s="11">
        <v>33.549999999999997</v>
      </c>
      <c r="Y48" s="11">
        <f>(X48-(AVERAGE($X$2:$X$121)))/STDEV($X$2:$X167)</f>
        <v>1.2547077184105775</v>
      </c>
      <c r="Z48" s="13"/>
      <c r="AA48" s="13">
        <v>17</v>
      </c>
      <c r="AB48" s="13">
        <v>-0.69516999999999995</v>
      </c>
      <c r="AC48" s="13">
        <v>-1.0891</v>
      </c>
      <c r="AD48" s="13">
        <v>0.91605000000000003</v>
      </c>
      <c r="AE48" s="13">
        <v>-2.1260999999999999E-2</v>
      </c>
      <c r="AF48" s="13">
        <v>0.27972000000000002</v>
      </c>
      <c r="AG48" s="13">
        <v>-0.16832</v>
      </c>
      <c r="AH48" s="13">
        <v>-0.55425000000000002</v>
      </c>
      <c r="AI48" s="13">
        <v>-0.35587999999999997</v>
      </c>
      <c r="AJ48">
        <v>0.30004999999999998</v>
      </c>
    </row>
    <row r="49" spans="1:36" x14ac:dyDescent="0.35">
      <c r="A49" s="3">
        <v>48</v>
      </c>
      <c r="B49" s="9" t="s">
        <v>49</v>
      </c>
      <c r="C49" s="10">
        <v>44035</v>
      </c>
      <c r="D49" s="10">
        <v>44088</v>
      </c>
      <c r="E49" s="10">
        <v>44061.5</v>
      </c>
      <c r="F49" s="11">
        <v>25</v>
      </c>
      <c r="G49" s="9">
        <f t="shared" si="8"/>
        <v>-5.4853356114025122E-2</v>
      </c>
      <c r="H49" s="11">
        <v>0</v>
      </c>
      <c r="I49" s="9">
        <f t="shared" si="9"/>
        <v>-0.18639493319028441</v>
      </c>
      <c r="J49" s="11">
        <v>-2</v>
      </c>
      <c r="K49" s="66">
        <f t="shared" si="10"/>
        <v>44059.5</v>
      </c>
      <c r="L49" s="11">
        <v>24</v>
      </c>
      <c r="M49" s="9">
        <f t="shared" si="11"/>
        <v>-1.0577519562260409</v>
      </c>
      <c r="N49" s="11">
        <v>0.1</v>
      </c>
      <c r="O49" s="9">
        <f t="shared" si="12"/>
        <v>-0.13370640977723072</v>
      </c>
      <c r="P49" s="9">
        <v>87</v>
      </c>
      <c r="Q49" s="9">
        <f t="shared" si="15"/>
        <v>-4.8886547298829131E-2</v>
      </c>
      <c r="R49" s="12">
        <v>91</v>
      </c>
      <c r="S49" s="9">
        <f t="shared" si="13"/>
        <v>0.6543953171686594</v>
      </c>
      <c r="T49" s="11">
        <v>16.350000000000001</v>
      </c>
      <c r="U49" s="11">
        <f t="shared" si="14"/>
        <v>7.355620036844096E-2</v>
      </c>
      <c r="V49" s="11">
        <v>42.26</v>
      </c>
      <c r="W49" s="11">
        <f>(V49-(AVERAGE($V$2:$V$121)))/STDEV($V$2:$V168)</f>
        <v>0.2273982319905648</v>
      </c>
      <c r="X49" s="11">
        <v>30.3</v>
      </c>
      <c r="Y49" s="11">
        <f>(X49-(AVERAGE($X$2:$X$121)))/STDEV($X$2:$X168)</f>
        <v>-1.4954073766861182</v>
      </c>
      <c r="Z49" s="13"/>
      <c r="AA49" s="13">
        <v>29</v>
      </c>
      <c r="AB49" s="13">
        <v>1.0994999999999999</v>
      </c>
      <c r="AC49" s="13">
        <v>-1.1339999999999999</v>
      </c>
      <c r="AD49" s="13">
        <v>0.95457999999999998</v>
      </c>
      <c r="AE49" s="13">
        <v>0.24065</v>
      </c>
      <c r="AF49" s="13">
        <v>0.78322999999999998</v>
      </c>
      <c r="AG49" s="13">
        <v>-0.17033000000000001</v>
      </c>
      <c r="AH49" s="13">
        <v>2.3865999999999998E-2</v>
      </c>
      <c r="AI49" s="13">
        <v>0.32330999999999999</v>
      </c>
      <c r="AJ49">
        <v>0.11519</v>
      </c>
    </row>
    <row r="50" spans="1:36" x14ac:dyDescent="0.35">
      <c r="A50" s="3">
        <v>49</v>
      </c>
      <c r="B50" s="9" t="s">
        <v>53</v>
      </c>
      <c r="C50" s="10">
        <v>44036</v>
      </c>
      <c r="D50" s="10">
        <v>44091</v>
      </c>
      <c r="E50" s="10">
        <v>44063.5</v>
      </c>
      <c r="F50" s="11">
        <v>24</v>
      </c>
      <c r="G50" s="9">
        <f t="shared" si="8"/>
        <v>-1.1427782523755272</v>
      </c>
      <c r="H50" s="11">
        <v>0</v>
      </c>
      <c r="I50" s="9">
        <f t="shared" si="9"/>
        <v>-0.18639493319028441</v>
      </c>
      <c r="J50" s="11">
        <v>-2</v>
      </c>
      <c r="K50" s="66">
        <f t="shared" si="10"/>
        <v>44061.5</v>
      </c>
      <c r="L50" s="11">
        <v>25</v>
      </c>
      <c r="M50" s="9">
        <f t="shared" si="11"/>
        <v>4.6392629659036705E-2</v>
      </c>
      <c r="N50" s="11">
        <v>0</v>
      </c>
      <c r="O50" s="9">
        <f t="shared" si="12"/>
        <v>-0.21366149904100187</v>
      </c>
      <c r="P50" s="9">
        <v>114</v>
      </c>
      <c r="Q50" s="9">
        <f t="shared" si="15"/>
        <v>1.841393281589224</v>
      </c>
      <c r="R50" s="12">
        <v>83.7</v>
      </c>
      <c r="S50" s="9">
        <f t="shared" si="13"/>
        <v>0.34715373750490891</v>
      </c>
      <c r="T50" s="11">
        <v>16.739999999999998</v>
      </c>
      <c r="U50" s="11">
        <f t="shared" si="14"/>
        <v>0.30895982197295074</v>
      </c>
      <c r="V50" s="11">
        <v>42.03</v>
      </c>
      <c r="W50" s="11">
        <f>(V50-(AVERAGE($V$2:$V$121)))/STDEV($V$2:$V169)</f>
        <v>7.0089686652222913E-2</v>
      </c>
      <c r="X50" s="11">
        <v>33.06</v>
      </c>
      <c r="Y50" s="11">
        <f>(X50-(AVERAGE($X$2:$X$121)))/STDEV($X$2:$X169)</f>
        <v>0.84007498099600253</v>
      </c>
      <c r="Z50" s="13"/>
      <c r="AA50" s="13">
        <v>44</v>
      </c>
      <c r="AB50" s="13">
        <v>1.3456999999999999</v>
      </c>
      <c r="AC50" s="13">
        <v>0.29091</v>
      </c>
      <c r="AD50" s="13">
        <v>-1.9476</v>
      </c>
      <c r="AE50" s="13">
        <v>0.28560000000000002</v>
      </c>
      <c r="AF50" s="13">
        <v>-0.20913000000000001</v>
      </c>
      <c r="AG50" s="13">
        <v>1.0246</v>
      </c>
      <c r="AH50" s="13">
        <v>0.50678999999999996</v>
      </c>
      <c r="AI50" s="13">
        <v>-0.1225</v>
      </c>
      <c r="AJ50">
        <v>-0.16295000000000001</v>
      </c>
    </row>
    <row r="51" spans="1:36" x14ac:dyDescent="0.35">
      <c r="A51" s="3">
        <v>50</v>
      </c>
      <c r="B51" s="9" t="s">
        <v>53</v>
      </c>
      <c r="C51" s="10">
        <v>44035</v>
      </c>
      <c r="D51" s="10">
        <v>44087</v>
      </c>
      <c r="E51" s="10">
        <v>44061</v>
      </c>
      <c r="F51" s="11">
        <v>25</v>
      </c>
      <c r="G51" s="9">
        <f t="shared" si="8"/>
        <v>-5.4853356114025122E-2</v>
      </c>
      <c r="H51" s="11">
        <v>0</v>
      </c>
      <c r="I51" s="9">
        <f t="shared" si="9"/>
        <v>-0.18639493319028441</v>
      </c>
      <c r="J51" s="11">
        <v>-2</v>
      </c>
      <c r="K51" s="66">
        <f t="shared" si="10"/>
        <v>44059</v>
      </c>
      <c r="L51" s="11">
        <v>24</v>
      </c>
      <c r="M51" s="9">
        <f t="shared" si="11"/>
        <v>-1.0577519562260409</v>
      </c>
      <c r="N51" s="11">
        <v>0.1</v>
      </c>
      <c r="O51" s="9">
        <f t="shared" si="12"/>
        <v>-0.13370640977723072</v>
      </c>
      <c r="P51" s="9">
        <v>62</v>
      </c>
      <c r="Q51" s="9">
        <f t="shared" si="15"/>
        <v>-1.7991456481211006</v>
      </c>
      <c r="R51" s="12">
        <v>100</v>
      </c>
      <c r="S51" s="9">
        <f t="shared" si="13"/>
        <v>1.0331863057952011</v>
      </c>
      <c r="T51" s="11">
        <v>16.100000000000001</v>
      </c>
      <c r="U51" s="11">
        <f t="shared" si="14"/>
        <v>-7.7343557070348498E-2</v>
      </c>
      <c r="V51" s="11">
        <v>42.36</v>
      </c>
      <c r="W51" s="11">
        <f>(V51-(AVERAGE($V$2:$V$121)))/STDEV($V$2:$V170)</f>
        <v>0.29579325170288928</v>
      </c>
      <c r="X51" s="11">
        <v>31.67</v>
      </c>
      <c r="Y51" s="11">
        <f>(X51-(AVERAGE($X$2:$X$121)))/STDEV($X$2:$X170)</f>
        <v>-0.33612809044535524</v>
      </c>
      <c r="Z51" s="14"/>
      <c r="AA51" s="13">
        <v>11</v>
      </c>
      <c r="AB51" s="13">
        <v>-1.7298</v>
      </c>
      <c r="AC51" s="13">
        <v>0.14247000000000001</v>
      </c>
      <c r="AD51" s="13">
        <v>-0.55332000000000003</v>
      </c>
      <c r="AE51" s="13">
        <v>-3.4703999999999999E-2</v>
      </c>
      <c r="AF51" s="13">
        <v>-1.0810999999999999</v>
      </c>
      <c r="AG51" s="13">
        <v>-0.35596</v>
      </c>
      <c r="AH51" s="13">
        <v>-0.56476999999999999</v>
      </c>
      <c r="AI51" s="13">
        <v>-0.43280000000000002</v>
      </c>
      <c r="AJ51">
        <v>-0.56486000000000003</v>
      </c>
    </row>
    <row r="52" spans="1:36" x14ac:dyDescent="0.35">
      <c r="A52" s="3">
        <v>51</v>
      </c>
      <c r="B52" s="9" t="s">
        <v>49</v>
      </c>
      <c r="C52" s="10">
        <v>44036</v>
      </c>
      <c r="D52" s="10">
        <v>44091</v>
      </c>
      <c r="E52" s="10">
        <v>44063.5</v>
      </c>
      <c r="F52" s="11">
        <v>24</v>
      </c>
      <c r="G52" s="9">
        <f t="shared" si="8"/>
        <v>-1.1427782523755272</v>
      </c>
      <c r="H52" s="11">
        <v>0</v>
      </c>
      <c r="I52" s="9">
        <f t="shared" si="9"/>
        <v>-0.18639493319028441</v>
      </c>
      <c r="J52" s="11">
        <v>-2</v>
      </c>
      <c r="K52" s="66">
        <f t="shared" si="10"/>
        <v>44061.5</v>
      </c>
      <c r="L52" s="11">
        <v>25</v>
      </c>
      <c r="M52" s="9">
        <f t="shared" si="11"/>
        <v>4.6392629659036705E-2</v>
      </c>
      <c r="N52" s="11">
        <v>0</v>
      </c>
      <c r="O52" s="9">
        <f t="shared" si="12"/>
        <v>-0.21366149904100187</v>
      </c>
      <c r="P52" s="9">
        <v>90</v>
      </c>
      <c r="Q52" s="9">
        <f t="shared" si="15"/>
        <v>0.16114454479984344</v>
      </c>
      <c r="R52" s="12">
        <v>83.7</v>
      </c>
      <c r="S52" s="9">
        <f t="shared" si="13"/>
        <v>0.34715373750490891</v>
      </c>
      <c r="T52" s="11">
        <v>14.94</v>
      </c>
      <c r="U52" s="11">
        <f t="shared" si="14"/>
        <v>-0.77751843158633283</v>
      </c>
      <c r="V52" s="11">
        <v>40.9</v>
      </c>
      <c r="W52" s="11">
        <f>(V52-(AVERAGE($V$2:$V$121)))/STDEV($V$2:$V171)</f>
        <v>-0.70277403609703437</v>
      </c>
      <c r="X52" s="11">
        <v>32.1</v>
      </c>
      <c r="Y52" s="11">
        <f>(X52-(AVERAGE($X$2:$X$121)))/STDEV($X$2:$X171)</f>
        <v>2.7733291367438507E-2</v>
      </c>
      <c r="Z52" s="13"/>
      <c r="AA52" s="13">
        <v>23</v>
      </c>
      <c r="AB52" s="13">
        <v>5.6850999999999999E-2</v>
      </c>
      <c r="AC52" s="13">
        <v>-1.0266999999999999</v>
      </c>
      <c r="AD52" s="13">
        <v>0.51724999999999999</v>
      </c>
      <c r="AE52" s="13">
        <v>0.65491999999999995</v>
      </c>
      <c r="AF52" s="13">
        <v>0.12077</v>
      </c>
      <c r="AG52" s="13">
        <v>3.1567999999999999E-2</v>
      </c>
      <c r="AH52" s="13">
        <v>1.0975E-2</v>
      </c>
      <c r="AI52" s="13">
        <v>1.0996999999999999</v>
      </c>
      <c r="AJ52">
        <v>-1.0747</v>
      </c>
    </row>
    <row r="53" spans="1:36" x14ac:dyDescent="0.35">
      <c r="A53" s="3">
        <v>52</v>
      </c>
      <c r="B53" s="9" t="s">
        <v>49</v>
      </c>
      <c r="C53" s="10">
        <v>44036</v>
      </c>
      <c r="D53" s="10">
        <v>44090</v>
      </c>
      <c r="E53" s="10">
        <v>44063</v>
      </c>
      <c r="F53" s="11">
        <v>24</v>
      </c>
      <c r="G53" s="9">
        <f t="shared" si="8"/>
        <v>-1.1427782523755272</v>
      </c>
      <c r="H53" s="11">
        <v>0</v>
      </c>
      <c r="I53" s="9">
        <f t="shared" si="9"/>
        <v>-0.18639493319028441</v>
      </c>
      <c r="J53" s="11">
        <v>-2</v>
      </c>
      <c r="K53" s="66">
        <f t="shared" si="10"/>
        <v>44061</v>
      </c>
      <c r="L53" s="11">
        <v>25</v>
      </c>
      <c r="M53" s="9">
        <f t="shared" si="11"/>
        <v>4.6392629659036705E-2</v>
      </c>
      <c r="N53" s="11">
        <v>0</v>
      </c>
      <c r="O53" s="9">
        <f t="shared" si="12"/>
        <v>-0.21366149904100187</v>
      </c>
      <c r="P53" s="9">
        <v>98</v>
      </c>
      <c r="Q53" s="9">
        <f t="shared" si="15"/>
        <v>0.72122745706297031</v>
      </c>
      <c r="R53" s="12">
        <v>91</v>
      </c>
      <c r="S53" s="9">
        <f t="shared" si="13"/>
        <v>0.6543953171686594</v>
      </c>
      <c r="T53" s="11">
        <v>17.440000000000001</v>
      </c>
      <c r="U53" s="11">
        <f t="shared" si="14"/>
        <v>0.7314791428015629</v>
      </c>
      <c r="V53" s="11">
        <v>41.52</v>
      </c>
      <c r="W53" s="11">
        <f>(V53-(AVERAGE($V$2:$V$121)))/STDEV($V$2:$V172)</f>
        <v>-0.27872491388062554</v>
      </c>
      <c r="X53" s="11">
        <v>30.34</v>
      </c>
      <c r="Y53" s="11">
        <f>(X53-(AVERAGE($X$2:$X$121)))/STDEV($X$2:$X172)</f>
        <v>-1.4615598062849289</v>
      </c>
      <c r="Z53" s="13"/>
      <c r="AA53" s="13">
        <v>25</v>
      </c>
      <c r="AB53" s="13">
        <v>-0.60268999999999995</v>
      </c>
      <c r="AC53" s="13">
        <v>-0.89542999999999995</v>
      </c>
      <c r="AD53" s="13">
        <v>0.34877999999999998</v>
      </c>
      <c r="AE53" s="13">
        <v>0.19514000000000001</v>
      </c>
      <c r="AF53" s="13">
        <v>-7.1212999999999999E-2</v>
      </c>
      <c r="AG53" s="13">
        <v>-0.46612999999999999</v>
      </c>
      <c r="AH53" s="13">
        <v>-0.65407999999999999</v>
      </c>
      <c r="AI53" s="13">
        <v>-0.25686999999999999</v>
      </c>
      <c r="AJ53">
        <v>-1.4581E-2</v>
      </c>
    </row>
    <row r="54" spans="1:36" x14ac:dyDescent="0.35">
      <c r="A54" s="3">
        <v>53</v>
      </c>
      <c r="B54" s="9" t="s">
        <v>53</v>
      </c>
      <c r="C54" s="10">
        <v>44037</v>
      </c>
      <c r="D54" s="10">
        <v>44092</v>
      </c>
      <c r="E54" s="10">
        <v>44064.5</v>
      </c>
      <c r="F54" s="11">
        <v>24</v>
      </c>
      <c r="G54" s="9">
        <f t="shared" si="8"/>
        <v>-1.1427782523755272</v>
      </c>
      <c r="H54" s="11">
        <v>0.2</v>
      </c>
      <c r="I54" s="9">
        <f t="shared" si="9"/>
        <v>-8.1271724424199845E-2</v>
      </c>
      <c r="J54" s="11">
        <v>-2</v>
      </c>
      <c r="K54" s="66">
        <f t="shared" si="10"/>
        <v>44062.5</v>
      </c>
      <c r="L54" s="11">
        <v>24</v>
      </c>
      <c r="M54" s="9">
        <f t="shared" si="11"/>
        <v>-1.0577519562260409</v>
      </c>
      <c r="N54" s="11">
        <v>0</v>
      </c>
      <c r="O54" s="9">
        <f t="shared" si="12"/>
        <v>-0.21366149904100187</v>
      </c>
      <c r="P54" s="9">
        <v>109</v>
      </c>
      <c r="Q54" s="9">
        <f t="shared" si="15"/>
        <v>1.4913414614247698</v>
      </c>
      <c r="R54" s="12">
        <v>83.7</v>
      </c>
      <c r="S54" s="9">
        <f t="shared" si="13"/>
        <v>0.34715373750490891</v>
      </c>
      <c r="T54" s="11">
        <v>16.21</v>
      </c>
      <c r="U54" s="11">
        <f t="shared" si="14"/>
        <v>-1.0947663797281482E-2</v>
      </c>
      <c r="V54" s="11">
        <v>41.8</v>
      </c>
      <c r="W54" s="11">
        <f>(V54-(AVERAGE($V$2:$V$121)))/STDEV($V$2:$V173)</f>
        <v>-8.7218858686123849E-2</v>
      </c>
      <c r="X54" s="11">
        <v>32.5</v>
      </c>
      <c r="Y54" s="11">
        <f>(X54-(AVERAGE($X$2:$X$121)))/STDEV($X$2:$X173)</f>
        <v>0.36620899537933865</v>
      </c>
      <c r="Z54" s="13"/>
      <c r="AA54" s="13">
        <v>50</v>
      </c>
      <c r="AB54" s="13">
        <v>6.3769000000000006E-2</v>
      </c>
      <c r="AC54" s="13">
        <v>0.13882</v>
      </c>
      <c r="AD54" s="13">
        <v>-0.76700000000000002</v>
      </c>
      <c r="AE54" s="13">
        <v>-1.5041</v>
      </c>
      <c r="AF54" s="13">
        <v>-0.90617000000000003</v>
      </c>
      <c r="AG54" s="13">
        <v>-0.93998000000000004</v>
      </c>
      <c r="AH54" s="13">
        <v>-1.0181</v>
      </c>
      <c r="AI54" s="13">
        <v>0.24789</v>
      </c>
      <c r="AJ54">
        <v>0.12031</v>
      </c>
    </row>
    <row r="55" spans="1:36" x14ac:dyDescent="0.35">
      <c r="A55" s="3">
        <v>54</v>
      </c>
      <c r="B55" s="9" t="s">
        <v>53</v>
      </c>
      <c r="C55" s="10">
        <v>44036</v>
      </c>
      <c r="D55" s="10">
        <v>44093</v>
      </c>
      <c r="E55" s="10">
        <v>44064.5</v>
      </c>
      <c r="F55" s="11">
        <v>24</v>
      </c>
      <c r="G55" s="9">
        <f t="shared" si="8"/>
        <v>-1.1427782523755272</v>
      </c>
      <c r="H55" s="11">
        <v>0.2</v>
      </c>
      <c r="I55" s="9">
        <f t="shared" si="9"/>
        <v>-8.1271724424199845E-2</v>
      </c>
      <c r="J55" s="11">
        <v>-2</v>
      </c>
      <c r="K55" s="66">
        <f t="shared" si="10"/>
        <v>44062.5</v>
      </c>
      <c r="L55" s="11">
        <v>24</v>
      </c>
      <c r="M55" s="9">
        <f t="shared" si="11"/>
        <v>-1.0577519562260409</v>
      </c>
      <c r="N55" s="11">
        <v>0</v>
      </c>
      <c r="O55" s="9">
        <f t="shared" si="12"/>
        <v>-0.21366149904100187</v>
      </c>
      <c r="P55" s="9">
        <v>63</v>
      </c>
      <c r="Q55" s="9">
        <f t="shared" si="15"/>
        <v>-1.7291352840882097</v>
      </c>
      <c r="R55" s="12">
        <v>69.3</v>
      </c>
      <c r="S55" s="9">
        <f t="shared" si="13"/>
        <v>-0.25891184429755815</v>
      </c>
      <c r="T55" s="11">
        <v>19.899999999999999</v>
      </c>
      <c r="U55" s="11">
        <f t="shared" si="14"/>
        <v>2.2163327559992498</v>
      </c>
      <c r="V55" s="11">
        <v>44.5</v>
      </c>
      <c r="W55" s="11">
        <f>(V55-(AVERAGE($V$2:$V$121)))/STDEV($V$2:$V174)</f>
        <v>1.7594466735466125</v>
      </c>
      <c r="X55" s="11">
        <v>34.6</v>
      </c>
      <c r="Y55" s="11">
        <f>(X55-(AVERAGE($X$2:$X$121)))/STDEV($X$2:$X174)</f>
        <v>2.1432064414418219</v>
      </c>
      <c r="Z55" s="13"/>
      <c r="AA55" s="13">
        <v>26</v>
      </c>
      <c r="AB55" s="13">
        <v>-1.8480000000000001</v>
      </c>
      <c r="AC55" s="13">
        <v>-0.1983</v>
      </c>
      <c r="AD55" s="13">
        <v>-0.54039999999999999</v>
      </c>
      <c r="AE55" s="13">
        <v>-1.1120000000000001</v>
      </c>
      <c r="AF55" s="13">
        <v>-1.1279E-3</v>
      </c>
      <c r="AG55" s="13">
        <v>1.1301000000000001</v>
      </c>
      <c r="AH55" s="13">
        <v>0.27028999999999997</v>
      </c>
      <c r="AI55" s="13">
        <v>-3.7014000000000001E-3</v>
      </c>
      <c r="AJ55">
        <v>0.44856000000000001</v>
      </c>
    </row>
    <row r="56" spans="1:36" x14ac:dyDescent="0.35">
      <c r="A56" s="3">
        <v>55</v>
      </c>
      <c r="B56" s="9" t="s">
        <v>49</v>
      </c>
      <c r="C56" s="10">
        <v>44037</v>
      </c>
      <c r="D56" s="10">
        <v>44088</v>
      </c>
      <c r="E56" s="10">
        <v>44062.5</v>
      </c>
      <c r="F56" s="11">
        <v>24</v>
      </c>
      <c r="G56" s="9">
        <f t="shared" si="8"/>
        <v>-1.1427782523755272</v>
      </c>
      <c r="H56" s="11">
        <v>0</v>
      </c>
      <c r="I56" s="9">
        <f t="shared" si="9"/>
        <v>-0.18639493319028441</v>
      </c>
      <c r="J56" s="11">
        <v>-2</v>
      </c>
      <c r="K56" s="66">
        <f t="shared" si="10"/>
        <v>44060.5</v>
      </c>
      <c r="L56" s="11">
        <v>26</v>
      </c>
      <c r="M56" s="9">
        <f t="shared" si="11"/>
        <v>1.1505372155441143</v>
      </c>
      <c r="N56" s="11">
        <v>0</v>
      </c>
      <c r="O56" s="9">
        <f t="shared" si="12"/>
        <v>-0.21366149904100187</v>
      </c>
      <c r="P56" s="9">
        <v>102</v>
      </c>
      <c r="Q56" s="9">
        <f t="shared" si="15"/>
        <v>1.0012689131945336</v>
      </c>
      <c r="R56" s="12">
        <v>100</v>
      </c>
      <c r="S56" s="9">
        <f t="shared" si="13"/>
        <v>1.0331863057952011</v>
      </c>
      <c r="T56" s="11">
        <v>17.8</v>
      </c>
      <c r="U56" s="11">
        <f t="shared" si="14"/>
        <v>0.94877479351341942</v>
      </c>
      <c r="V56" s="11">
        <v>43.57</v>
      </c>
      <c r="W56" s="11">
        <f>(V56-(AVERAGE($V$2:$V$121)))/STDEV($V$2:$V175)</f>
        <v>1.1233729902220042</v>
      </c>
      <c r="X56" s="11">
        <v>34.116666666666667</v>
      </c>
      <c r="Y56" s="11">
        <f>(X56-(AVERAGE($X$2:$X$121)))/STDEV($X$2:$X175)</f>
        <v>1.7342149657607737</v>
      </c>
      <c r="Z56" s="13"/>
      <c r="AA56" s="13">
        <v>45</v>
      </c>
      <c r="AB56" s="13">
        <v>0.15021000000000001</v>
      </c>
      <c r="AC56" s="13">
        <v>-0.75388999999999995</v>
      </c>
      <c r="AD56" s="13">
        <v>0.32713999999999999</v>
      </c>
      <c r="AE56" s="13">
        <v>-1.2437</v>
      </c>
      <c r="AF56" s="13">
        <v>0.53959000000000001</v>
      </c>
      <c r="AG56" s="13">
        <v>0.37834000000000001</v>
      </c>
      <c r="AH56" s="13">
        <v>-0.12334000000000001</v>
      </c>
      <c r="AI56" s="13">
        <v>0.22251000000000001</v>
      </c>
      <c r="AJ56">
        <v>0.48113</v>
      </c>
    </row>
    <row r="57" spans="1:36" x14ac:dyDescent="0.35">
      <c r="A57" s="3">
        <v>56</v>
      </c>
      <c r="B57" s="9" t="s">
        <v>49</v>
      </c>
      <c r="C57" s="10">
        <v>44037</v>
      </c>
      <c r="D57" s="10">
        <v>44088</v>
      </c>
      <c r="E57" s="10">
        <v>44062.5</v>
      </c>
      <c r="F57" s="11">
        <v>24</v>
      </c>
      <c r="G57" s="9">
        <f t="shared" si="8"/>
        <v>-1.1427782523755272</v>
      </c>
      <c r="H57" s="11">
        <v>0</v>
      </c>
      <c r="I57" s="9">
        <f t="shared" si="9"/>
        <v>-0.18639493319028441</v>
      </c>
      <c r="J57" s="11">
        <v>-2</v>
      </c>
      <c r="K57" s="66">
        <f t="shared" si="10"/>
        <v>44060.5</v>
      </c>
      <c r="L57" s="11">
        <v>26</v>
      </c>
      <c r="M57" s="9">
        <f t="shared" si="11"/>
        <v>1.1505372155441143</v>
      </c>
      <c r="N57" s="11">
        <v>0</v>
      </c>
      <c r="O57" s="9">
        <f t="shared" si="12"/>
        <v>-0.21366149904100187</v>
      </c>
      <c r="P57" s="9">
        <v>108</v>
      </c>
      <c r="Q57" s="9">
        <f t="shared" si="15"/>
        <v>1.4213310973918789</v>
      </c>
      <c r="R57" s="12">
        <v>100</v>
      </c>
      <c r="S57" s="9">
        <f t="shared" si="13"/>
        <v>1.0331863057952011</v>
      </c>
      <c r="T57" s="11">
        <v>17.02</v>
      </c>
      <c r="U57" s="11">
        <f t="shared" si="14"/>
        <v>0.47796755030439558</v>
      </c>
      <c r="V57" s="11">
        <v>41.65</v>
      </c>
      <c r="W57" s="11">
        <f>(V57-(AVERAGE($V$2:$V$121)))/STDEV($V$2:$V176)</f>
        <v>-0.18981138825460811</v>
      </c>
      <c r="X57" s="11">
        <v>32.14</v>
      </c>
      <c r="Y57" s="11">
        <f>(X57-(AVERAGE($X$2:$X$121)))/STDEV($X$2:$X176)</f>
        <v>6.1580861768627919E-2</v>
      </c>
      <c r="Z57" s="13"/>
      <c r="AA57" s="13">
        <v>48</v>
      </c>
      <c r="AB57" s="13">
        <v>-0.35232000000000002</v>
      </c>
      <c r="AC57" s="13">
        <v>-0.55012000000000005</v>
      </c>
      <c r="AD57" s="13">
        <v>-6.0333999999999999E-2</v>
      </c>
      <c r="AE57" s="13">
        <v>-1.4216</v>
      </c>
      <c r="AF57" s="13">
        <v>0.11855</v>
      </c>
      <c r="AG57" s="13">
        <v>-7.4303999999999995E-2</v>
      </c>
      <c r="AH57" s="13">
        <v>-0.66200000000000003</v>
      </c>
      <c r="AI57" s="13">
        <v>-0.96967000000000003</v>
      </c>
      <c r="AJ57">
        <v>0.25162000000000001</v>
      </c>
    </row>
    <row r="58" spans="1:36" x14ac:dyDescent="0.35">
      <c r="A58" s="3">
        <v>57</v>
      </c>
      <c r="B58" s="9" t="s">
        <v>53</v>
      </c>
      <c r="C58" s="10">
        <v>44036</v>
      </c>
      <c r="D58" s="10">
        <v>44095</v>
      </c>
      <c r="E58" s="10">
        <v>44065.5</v>
      </c>
      <c r="F58" s="11">
        <v>26</v>
      </c>
      <c r="G58" s="9">
        <f t="shared" si="8"/>
        <v>1.033071540147477</v>
      </c>
      <c r="H58" s="11">
        <v>0</v>
      </c>
      <c r="I58" s="9">
        <f t="shared" si="9"/>
        <v>-0.18639493319028441</v>
      </c>
      <c r="J58" s="11">
        <v>-2</v>
      </c>
      <c r="K58" s="67">
        <v>44063</v>
      </c>
      <c r="L58" s="11">
        <v>24</v>
      </c>
      <c r="M58" s="9">
        <f t="shared" si="11"/>
        <v>-1.0577519562260409</v>
      </c>
      <c r="N58" s="11">
        <v>0</v>
      </c>
      <c r="O58" s="9">
        <f t="shared" si="12"/>
        <v>-0.21366149904100187</v>
      </c>
      <c r="P58" s="9">
        <v>72</v>
      </c>
      <c r="Q58" s="9">
        <f t="shared" si="15"/>
        <v>-1.0990420077921919</v>
      </c>
      <c r="R58" s="12">
        <v>54.8</v>
      </c>
      <c r="S58" s="9">
        <f t="shared" si="13"/>
        <v>-0.86918621486254211</v>
      </c>
      <c r="T58" s="11">
        <v>16.14</v>
      </c>
      <c r="U58" s="11">
        <f t="shared" si="14"/>
        <v>-5.3199595880142704E-2</v>
      </c>
      <c r="V58" s="11">
        <v>42.04</v>
      </c>
      <c r="W58" s="11">
        <f>(V58-(AVERAGE($V$2:$V$121)))/STDEV($V$2:$V177)</f>
        <v>7.6929188623453895E-2</v>
      </c>
      <c r="X58" s="11">
        <v>31.9</v>
      </c>
      <c r="Y58" s="11">
        <f>(X58-(AVERAGE($X$2:$X$121)))/STDEV($X$2:$X177)</f>
        <v>-0.14150456063851458</v>
      </c>
      <c r="Z58" s="13"/>
      <c r="AA58" s="13">
        <v>55</v>
      </c>
      <c r="AB58" s="13">
        <v>2.2290000000000001</v>
      </c>
      <c r="AC58" s="13">
        <v>-0.52959000000000001</v>
      </c>
      <c r="AD58" s="13">
        <v>1.3166</v>
      </c>
      <c r="AE58" s="13">
        <v>0.87292000000000003</v>
      </c>
      <c r="AF58" s="13">
        <v>0.53861999999999999</v>
      </c>
      <c r="AG58" s="13">
        <v>-0.99309999999999998</v>
      </c>
      <c r="AH58" s="13">
        <v>0.54422000000000004</v>
      </c>
      <c r="AI58" s="13">
        <v>0.76405000000000001</v>
      </c>
      <c r="AJ58">
        <v>0.1731</v>
      </c>
    </row>
    <row r="59" spans="1:36" x14ac:dyDescent="0.35">
      <c r="A59" s="3">
        <v>58</v>
      </c>
      <c r="B59" s="9" t="s">
        <v>53</v>
      </c>
      <c r="C59" s="10">
        <v>44037</v>
      </c>
      <c r="D59" s="10">
        <v>44093</v>
      </c>
      <c r="E59" s="10">
        <v>44065</v>
      </c>
      <c r="F59" s="11">
        <v>26</v>
      </c>
      <c r="G59" s="9">
        <f t="shared" si="8"/>
        <v>1.033071540147477</v>
      </c>
      <c r="H59" s="11">
        <v>0</v>
      </c>
      <c r="I59" s="9">
        <f t="shared" si="9"/>
        <v>-0.18639493319028441</v>
      </c>
      <c r="J59" s="11">
        <v>-2</v>
      </c>
      <c r="K59" s="66">
        <f t="shared" ref="K59:K103" si="16">E59+J59</f>
        <v>44063</v>
      </c>
      <c r="L59" s="11">
        <v>24</v>
      </c>
      <c r="M59" s="9">
        <f t="shared" si="11"/>
        <v>-1.0577519562260409</v>
      </c>
      <c r="N59" s="11">
        <v>0</v>
      </c>
      <c r="O59" s="9">
        <f t="shared" si="12"/>
        <v>-0.21366149904100187</v>
      </c>
      <c r="P59" s="9">
        <v>96</v>
      </c>
      <c r="Q59" s="9">
        <f t="shared" si="15"/>
        <v>0.5812067289971885</v>
      </c>
      <c r="R59" s="12">
        <v>76.5</v>
      </c>
      <c r="S59" s="9">
        <f t="shared" si="13"/>
        <v>4.4120946603675375E-2</v>
      </c>
      <c r="T59" s="11">
        <v>16.57</v>
      </c>
      <c r="U59" s="11">
        <f t="shared" si="14"/>
        <v>0.20634798691457501</v>
      </c>
      <c r="V59" s="11">
        <v>41.4</v>
      </c>
      <c r="W59" s="11">
        <f>(V59-(AVERAGE($V$2:$V$121)))/STDEV($V$2:$V178)</f>
        <v>-0.36079893753541686</v>
      </c>
      <c r="X59" s="11">
        <v>32.200000000000003</v>
      </c>
      <c r="Y59" s="11">
        <f>(X59-(AVERAGE($X$2:$X$121)))/STDEV($X$2:$X178)</f>
        <v>0.11235221737041505</v>
      </c>
      <c r="Z59" s="13"/>
      <c r="AA59" s="13">
        <v>56</v>
      </c>
      <c r="AB59" s="13">
        <v>0.41145999999999999</v>
      </c>
      <c r="AC59" s="13">
        <v>-0.91310999999999998</v>
      </c>
      <c r="AD59" s="13">
        <v>1.9029</v>
      </c>
      <c r="AE59" s="13">
        <v>0.43708000000000002</v>
      </c>
      <c r="AF59" s="13">
        <v>0.72111000000000003</v>
      </c>
      <c r="AG59" s="13">
        <v>-0.69152999999999998</v>
      </c>
      <c r="AH59" s="13">
        <v>0.43469000000000002</v>
      </c>
      <c r="AI59" s="13">
        <v>-9.5563000000000002E-3</v>
      </c>
      <c r="AJ59">
        <v>-0.25507000000000002</v>
      </c>
    </row>
    <row r="60" spans="1:36" x14ac:dyDescent="0.35">
      <c r="A60" s="3">
        <v>59</v>
      </c>
      <c r="B60" s="9" t="s">
        <v>53</v>
      </c>
      <c r="C60" s="10">
        <v>44038</v>
      </c>
      <c r="D60" s="10">
        <v>44090</v>
      </c>
      <c r="E60" s="10">
        <v>44064</v>
      </c>
      <c r="F60" s="11">
        <v>24</v>
      </c>
      <c r="G60" s="9">
        <f t="shared" si="8"/>
        <v>-1.1427782523755272</v>
      </c>
      <c r="H60" s="11">
        <v>0.2</v>
      </c>
      <c r="I60" s="9">
        <f t="shared" si="9"/>
        <v>-8.1271724424199845E-2</v>
      </c>
      <c r="J60" s="11">
        <v>-2</v>
      </c>
      <c r="K60" s="66">
        <f t="shared" si="16"/>
        <v>44062</v>
      </c>
      <c r="L60" s="11">
        <v>24</v>
      </c>
      <c r="M60" s="9">
        <f t="shared" si="11"/>
        <v>-1.0577519562260409</v>
      </c>
      <c r="N60" s="11">
        <v>0</v>
      </c>
      <c r="O60" s="9">
        <f t="shared" si="12"/>
        <v>-0.21366149904100187</v>
      </c>
      <c r="P60" s="9">
        <v>96</v>
      </c>
      <c r="Q60" s="9">
        <f t="shared" si="15"/>
        <v>0.5812067289971885</v>
      </c>
      <c r="R60" s="12">
        <v>100</v>
      </c>
      <c r="S60" s="9">
        <f t="shared" si="13"/>
        <v>1.0331863057952011</v>
      </c>
      <c r="T60" s="11">
        <v>16.57</v>
      </c>
      <c r="U60" s="11">
        <f t="shared" si="14"/>
        <v>0.20634798691457501</v>
      </c>
      <c r="V60" s="11">
        <v>41.4</v>
      </c>
      <c r="W60" s="11">
        <f>(V60-(AVERAGE($V$2:$V$121)))/STDEV($V$2:$V179)</f>
        <v>-0.36079893753541686</v>
      </c>
      <c r="X60" s="11">
        <v>30.41</v>
      </c>
      <c r="Y60" s="11">
        <f>(X60-(AVERAGE($X$2:$X$121)))/STDEV($X$2:$X179)</f>
        <v>-1.4023265580828459</v>
      </c>
      <c r="Z60" s="13"/>
      <c r="AA60" s="13">
        <v>8</v>
      </c>
      <c r="AB60" s="13">
        <v>-0.26989000000000002</v>
      </c>
      <c r="AC60" s="13">
        <v>-0.85435000000000005</v>
      </c>
      <c r="AD60" s="13">
        <v>-0.50136999999999998</v>
      </c>
      <c r="AE60" s="13">
        <v>1.4256</v>
      </c>
      <c r="AF60" s="13">
        <v>-0.25524999999999998</v>
      </c>
      <c r="AG60" s="13">
        <v>0.29499999999999998</v>
      </c>
      <c r="AH60" s="13">
        <v>-0.60840000000000005</v>
      </c>
      <c r="AI60" s="13">
        <v>-0.17807000000000001</v>
      </c>
      <c r="AJ60">
        <v>0.57562000000000002</v>
      </c>
    </row>
    <row r="61" spans="1:36" x14ac:dyDescent="0.35">
      <c r="A61" s="3">
        <v>60</v>
      </c>
      <c r="B61" s="9" t="s">
        <v>53</v>
      </c>
      <c r="C61" s="10">
        <v>44038</v>
      </c>
      <c r="D61" s="10">
        <v>44091</v>
      </c>
      <c r="E61" s="10">
        <v>44064.5</v>
      </c>
      <c r="F61" s="11">
        <v>24</v>
      </c>
      <c r="G61" s="9">
        <f t="shared" si="8"/>
        <v>-1.1427782523755272</v>
      </c>
      <c r="H61" s="11">
        <v>0.2</v>
      </c>
      <c r="I61" s="9">
        <f t="shared" si="9"/>
        <v>-8.1271724424199845E-2</v>
      </c>
      <c r="J61" s="11">
        <v>-2</v>
      </c>
      <c r="K61" s="66">
        <f t="shared" si="16"/>
        <v>44062.5</v>
      </c>
      <c r="L61" s="11">
        <v>24</v>
      </c>
      <c r="M61" s="9">
        <f t="shared" si="11"/>
        <v>-1.0577519562260409</v>
      </c>
      <c r="N61" s="11">
        <v>0</v>
      </c>
      <c r="O61" s="9">
        <f t="shared" si="12"/>
        <v>-0.21366149904100187</v>
      </c>
      <c r="P61" s="9">
        <v>108</v>
      </c>
      <c r="Q61" s="9">
        <f t="shared" si="15"/>
        <v>1.4213310973918789</v>
      </c>
      <c r="R61" s="12">
        <v>98.2</v>
      </c>
      <c r="S61" s="9">
        <f t="shared" si="13"/>
        <v>0.95742810806989287</v>
      </c>
      <c r="T61" s="11">
        <v>18.56111111111111</v>
      </c>
      <c r="U61" s="11">
        <f t="shared" si="14"/>
        <v>1.4081807217159552</v>
      </c>
      <c r="V61" s="11">
        <v>45.74444444444444</v>
      </c>
      <c r="W61" s="11">
        <f>(V61-(AVERAGE($V$2:$V$121)))/STDEV($V$2:$V180)</f>
        <v>2.6105846966333019</v>
      </c>
      <c r="X61" s="11">
        <v>34.299999999999997</v>
      </c>
      <c r="Y61" s="11">
        <f>(X61-(AVERAGE($X$2:$X$121)))/STDEV($X$2:$X180)</f>
        <v>1.8893496634328926</v>
      </c>
      <c r="Z61" s="13"/>
      <c r="AA61" s="13">
        <v>21</v>
      </c>
      <c r="AB61" s="13">
        <v>2.2909000000000002</v>
      </c>
      <c r="AC61" s="13">
        <v>0.44879999999999998</v>
      </c>
      <c r="AD61" s="13">
        <v>-1.8219000000000001</v>
      </c>
      <c r="AE61" s="13">
        <v>-9.1103000000000003E-2</v>
      </c>
      <c r="AF61" s="13">
        <v>-9.0984999999999996E-2</v>
      </c>
      <c r="AG61" s="13">
        <v>0.53400000000000003</v>
      </c>
      <c r="AH61" s="13">
        <v>0.42070000000000002</v>
      </c>
      <c r="AI61" s="13">
        <v>-0.39922000000000002</v>
      </c>
      <c r="AJ61">
        <v>0.13675000000000001</v>
      </c>
    </row>
    <row r="62" spans="1:36" x14ac:dyDescent="0.35">
      <c r="A62" s="3">
        <v>61</v>
      </c>
      <c r="B62" s="9" t="s">
        <v>56</v>
      </c>
      <c r="C62" s="10">
        <v>44038</v>
      </c>
      <c r="D62" s="10">
        <v>44093</v>
      </c>
      <c r="E62" s="10">
        <v>44065.5</v>
      </c>
      <c r="F62" s="11">
        <v>26</v>
      </c>
      <c r="G62" s="9">
        <f t="shared" si="8"/>
        <v>1.033071540147477</v>
      </c>
      <c r="H62" s="11">
        <v>0</v>
      </c>
      <c r="I62" s="9">
        <f t="shared" si="9"/>
        <v>-0.18639493319028441</v>
      </c>
      <c r="J62" s="11">
        <v>-2</v>
      </c>
      <c r="K62" s="66">
        <f t="shared" si="16"/>
        <v>44063.5</v>
      </c>
      <c r="L62" s="11">
        <v>24</v>
      </c>
      <c r="M62" s="9">
        <f t="shared" si="11"/>
        <v>-1.0577519562260409</v>
      </c>
      <c r="N62" s="11">
        <v>0</v>
      </c>
      <c r="O62" s="9">
        <f t="shared" si="12"/>
        <v>-0.21366149904100187</v>
      </c>
      <c r="P62" s="9">
        <v>63</v>
      </c>
      <c r="Q62" s="9">
        <f t="shared" si="15"/>
        <v>-1.7291352840882097</v>
      </c>
      <c r="R62" s="12">
        <v>83.7</v>
      </c>
      <c r="S62" s="9">
        <f t="shared" si="13"/>
        <v>0.34715373750490891</v>
      </c>
      <c r="T62" s="11">
        <v>15.43</v>
      </c>
      <c r="U62" s="11">
        <f t="shared" si="14"/>
        <v>-0.4817549070063053</v>
      </c>
      <c r="V62" s="11">
        <v>41.07</v>
      </c>
      <c r="W62" s="11">
        <f>(V62-(AVERAGE($V$2:$V$121)))/STDEV($V$2:$V181)</f>
        <v>-0.58650250258608327</v>
      </c>
      <c r="X62" s="11">
        <v>31.2</v>
      </c>
      <c r="Y62" s="11">
        <f>(X62-(AVERAGE($X$2:$X$121)))/STDEV($X$2:$X181)</f>
        <v>-0.73383704265934135</v>
      </c>
      <c r="Z62" s="13"/>
      <c r="AA62" s="13">
        <v>30</v>
      </c>
      <c r="AB62" s="13">
        <v>0.26540000000000002</v>
      </c>
      <c r="AC62" s="13">
        <v>-0.50127999999999995</v>
      </c>
      <c r="AD62" s="13">
        <v>-0.53873000000000004</v>
      </c>
      <c r="AE62" s="13">
        <v>-0.53276999999999997</v>
      </c>
      <c r="AF62" s="13">
        <v>-6.4681000000000001E-3</v>
      </c>
      <c r="AG62" s="13">
        <v>0.43961</v>
      </c>
      <c r="AH62" s="13">
        <v>-0.23694999999999999</v>
      </c>
      <c r="AI62" s="13">
        <v>0.46594999999999998</v>
      </c>
      <c r="AJ62">
        <v>0.21106</v>
      </c>
    </row>
    <row r="63" spans="1:36" x14ac:dyDescent="0.35">
      <c r="A63" s="3">
        <v>62</v>
      </c>
      <c r="B63" s="9" t="s">
        <v>56</v>
      </c>
      <c r="C63" s="10">
        <v>44038</v>
      </c>
      <c r="D63" s="10">
        <v>44092</v>
      </c>
      <c r="E63" s="10">
        <v>44065</v>
      </c>
      <c r="F63" s="11">
        <v>26</v>
      </c>
      <c r="G63" s="9">
        <f t="shared" si="8"/>
        <v>1.033071540147477</v>
      </c>
      <c r="H63" s="11">
        <v>0</v>
      </c>
      <c r="I63" s="9">
        <f t="shared" si="9"/>
        <v>-0.18639493319028441</v>
      </c>
      <c r="J63" s="11">
        <v>-2</v>
      </c>
      <c r="K63" s="66">
        <f t="shared" si="16"/>
        <v>44063</v>
      </c>
      <c r="L63" s="11">
        <v>24</v>
      </c>
      <c r="M63" s="9">
        <f t="shared" si="11"/>
        <v>-1.0577519562260409</v>
      </c>
      <c r="N63" s="11">
        <v>0</v>
      </c>
      <c r="O63" s="9">
        <f t="shared" si="12"/>
        <v>-0.21366149904100187</v>
      </c>
      <c r="P63" s="9">
        <v>94</v>
      </c>
      <c r="Q63" s="9">
        <f t="shared" si="15"/>
        <v>0.44118600093140686</v>
      </c>
      <c r="R63" s="12">
        <v>91</v>
      </c>
      <c r="S63" s="9">
        <f t="shared" si="13"/>
        <v>0.6543953171686594</v>
      </c>
      <c r="T63" s="11">
        <v>17.34</v>
      </c>
      <c r="U63" s="11">
        <f t="shared" si="14"/>
        <v>0.67111923982604627</v>
      </c>
      <c r="V63" s="11">
        <v>42.44</v>
      </c>
      <c r="W63" s="11">
        <f>(V63-(AVERAGE($V$2:$V$121)))/STDEV($V$2:$V182)</f>
        <v>0.35050926747274691</v>
      </c>
      <c r="X63" s="11">
        <v>31.56</v>
      </c>
      <c r="Y63" s="11">
        <f>(X63-(AVERAGE($X$2:$X$121)))/STDEV($X$2:$X182)</f>
        <v>-0.42920890904863063</v>
      </c>
      <c r="Z63" s="13"/>
      <c r="AA63" s="13">
        <v>35</v>
      </c>
      <c r="AB63" s="13">
        <v>-0.12554999999999999</v>
      </c>
      <c r="AC63" s="13">
        <v>-0.72397</v>
      </c>
      <c r="AD63" s="13">
        <v>-0.18823999999999999</v>
      </c>
      <c r="AE63" s="13">
        <v>-0.71296000000000004</v>
      </c>
      <c r="AF63" s="13">
        <v>0.24970999999999999</v>
      </c>
      <c r="AG63" s="13">
        <v>0.58538000000000001</v>
      </c>
      <c r="AH63" s="13">
        <v>-0.18107999999999999</v>
      </c>
      <c r="AI63" s="13">
        <v>-0.22661000000000001</v>
      </c>
      <c r="AJ63">
        <v>-0.45315</v>
      </c>
    </row>
    <row r="64" spans="1:36" x14ac:dyDescent="0.35">
      <c r="A64" s="3">
        <v>63</v>
      </c>
      <c r="B64" s="9" t="s">
        <v>56</v>
      </c>
      <c r="C64" s="10">
        <v>44038</v>
      </c>
      <c r="D64" s="10">
        <v>44095</v>
      </c>
      <c r="E64" s="10">
        <v>44066.5</v>
      </c>
      <c r="F64" s="11">
        <v>26</v>
      </c>
      <c r="G64" s="9">
        <f t="shared" si="8"/>
        <v>1.033071540147477</v>
      </c>
      <c r="H64" s="11">
        <v>0</v>
      </c>
      <c r="I64" s="9">
        <f t="shared" si="9"/>
        <v>-0.18639493319028441</v>
      </c>
      <c r="J64" s="11">
        <v>-2</v>
      </c>
      <c r="K64" s="66">
        <f t="shared" si="16"/>
        <v>44064.5</v>
      </c>
      <c r="L64" s="11">
        <v>24</v>
      </c>
      <c r="M64" s="9">
        <f t="shared" si="11"/>
        <v>-1.0577519562260409</v>
      </c>
      <c r="N64" s="11">
        <v>0.2</v>
      </c>
      <c r="O64" s="9">
        <f t="shared" si="12"/>
        <v>-5.3751320513459572E-2</v>
      </c>
      <c r="P64" s="9">
        <v>113</v>
      </c>
      <c r="Q64" s="9">
        <f t="shared" si="15"/>
        <v>1.7713829175563331</v>
      </c>
      <c r="R64" s="12">
        <v>69.3</v>
      </c>
      <c r="S64" s="9">
        <f t="shared" si="13"/>
        <v>-0.25891184429755815</v>
      </c>
      <c r="T64" s="11">
        <v>17.211764705882359</v>
      </c>
      <c r="U64" s="11">
        <f t="shared" si="14"/>
        <v>0.59371654071627111</v>
      </c>
      <c r="V64" s="11">
        <v>41.447058823529424</v>
      </c>
      <c r="W64" s="11">
        <f>(V64-(AVERAGE($V$2:$V$121)))/STDEV($V$2:$V183)</f>
        <v>-0.32861304590607854</v>
      </c>
      <c r="X64" s="11">
        <v>32.1</v>
      </c>
      <c r="Y64" s="11">
        <f>(X64-(AVERAGE($X$2:$X$121)))/STDEV($X$2:$X183)</f>
        <v>2.7733291367438507E-2</v>
      </c>
      <c r="Z64" s="13"/>
      <c r="AA64" s="13">
        <v>39</v>
      </c>
      <c r="AB64" s="13">
        <v>-1.8855999999999999</v>
      </c>
      <c r="AC64" s="13">
        <v>0.25061</v>
      </c>
      <c r="AD64" s="13">
        <v>-1.2541</v>
      </c>
      <c r="AE64" s="13">
        <v>-1.3240000000000001</v>
      </c>
      <c r="AF64" s="13">
        <v>-1.7175</v>
      </c>
      <c r="AG64" s="13">
        <v>-0.85575000000000001</v>
      </c>
      <c r="AH64" s="13">
        <v>-1.3989</v>
      </c>
      <c r="AI64" s="13">
        <v>0.50544999999999995</v>
      </c>
      <c r="AJ64">
        <v>-0.32916000000000001</v>
      </c>
    </row>
    <row r="65" spans="1:36" x14ac:dyDescent="0.35">
      <c r="A65" s="3">
        <v>64</v>
      </c>
      <c r="B65" s="9" t="s">
        <v>56</v>
      </c>
      <c r="C65" s="10">
        <v>44039</v>
      </c>
      <c r="D65" s="10">
        <v>44094</v>
      </c>
      <c r="E65" s="10">
        <v>44066.5</v>
      </c>
      <c r="F65" s="11">
        <v>26</v>
      </c>
      <c r="G65" s="9">
        <f t="shared" si="8"/>
        <v>1.033071540147477</v>
      </c>
      <c r="H65" s="11">
        <v>0</v>
      </c>
      <c r="I65" s="9">
        <f t="shared" si="9"/>
        <v>-0.18639493319028441</v>
      </c>
      <c r="J65" s="11">
        <v>-2</v>
      </c>
      <c r="K65" s="66">
        <f t="shared" si="16"/>
        <v>44064.5</v>
      </c>
      <c r="L65" s="11">
        <v>24</v>
      </c>
      <c r="M65" s="9">
        <f t="shared" si="11"/>
        <v>-1.0577519562260409</v>
      </c>
      <c r="N65" s="11">
        <v>0.2</v>
      </c>
      <c r="O65" s="9">
        <f t="shared" si="12"/>
        <v>-5.3751320513459572E-2</v>
      </c>
      <c r="P65" s="9">
        <v>84</v>
      </c>
      <c r="Q65" s="9">
        <f t="shared" si="15"/>
        <v>-0.25891763939750168</v>
      </c>
      <c r="R65" s="12">
        <v>83.7</v>
      </c>
      <c r="S65" s="9">
        <f t="shared" si="13"/>
        <v>0.34715373750490891</v>
      </c>
      <c r="T65" s="11">
        <v>19.329999999999998</v>
      </c>
      <c r="U65" s="11">
        <f t="shared" si="14"/>
        <v>1.8722813090388095</v>
      </c>
      <c r="V65" s="11">
        <v>43.3</v>
      </c>
      <c r="W65" s="11">
        <f>(V65-(AVERAGE($V$2:$V$121)))/STDEV($V$2:$V184)</f>
        <v>0.93870643699872858</v>
      </c>
      <c r="X65" s="11">
        <v>33.700000000000003</v>
      </c>
      <c r="Y65" s="11">
        <f>(X65-(AVERAGE($X$2:$X$121)))/STDEV($X$2:$X184)</f>
        <v>1.3816361074150452</v>
      </c>
      <c r="Z65" s="13"/>
      <c r="AA65" s="13">
        <v>41</v>
      </c>
      <c r="AB65" s="13">
        <v>0.94723000000000002</v>
      </c>
      <c r="AC65" s="13">
        <v>-0.77166000000000001</v>
      </c>
      <c r="AD65" s="13">
        <v>-0.19594</v>
      </c>
      <c r="AE65" s="13">
        <v>-0.36737999999999998</v>
      </c>
      <c r="AF65" s="13">
        <v>0.58506000000000002</v>
      </c>
      <c r="AG65" s="13">
        <v>0.83384000000000003</v>
      </c>
      <c r="AH65" s="13">
        <v>0.16733999999999999</v>
      </c>
      <c r="AI65" s="13">
        <v>0.36197000000000001</v>
      </c>
      <c r="AJ65">
        <v>7.7487E-2</v>
      </c>
    </row>
    <row r="66" spans="1:36" x14ac:dyDescent="0.35">
      <c r="A66" s="3">
        <v>65</v>
      </c>
      <c r="B66" s="9" t="s">
        <v>53</v>
      </c>
      <c r="C66" s="10">
        <v>44038</v>
      </c>
      <c r="D66" s="10">
        <v>44089</v>
      </c>
      <c r="E66" s="10">
        <v>44063.5</v>
      </c>
      <c r="F66" s="11">
        <v>24</v>
      </c>
      <c r="G66" s="9">
        <f t="shared" ref="G66:G97" si="17">(F66-(AVERAGE($F$2:$F$121)))/STDEV($F$2:$F$121)</f>
        <v>-1.1427782523755272</v>
      </c>
      <c r="H66" s="11">
        <v>0</v>
      </c>
      <c r="I66" s="9">
        <f t="shared" ref="I66:I97" si="18">(H66-(AVERAGE($H$2:$H$121)))/STDEV($H$2:$H$121)</f>
        <v>-0.18639493319028441</v>
      </c>
      <c r="J66" s="11">
        <v>-2</v>
      </c>
      <c r="K66" s="66">
        <f t="shared" si="16"/>
        <v>44061.5</v>
      </c>
      <c r="L66" s="11">
        <v>25</v>
      </c>
      <c r="M66" s="9">
        <f t="shared" ref="M66:M97" si="19">(L66-(AVERAGE($L$2:$L$121)))/STDEV($L$2:$L$121)</f>
        <v>4.6392629659036705E-2</v>
      </c>
      <c r="N66" s="11">
        <v>0</v>
      </c>
      <c r="O66" s="9">
        <f t="shared" ref="O66:O97" si="20">(N66-(AVERAGE($N$2:$N$121)))/STDEV($N$2:$N$121)</f>
        <v>-0.21366149904100187</v>
      </c>
      <c r="P66" s="9">
        <v>100</v>
      </c>
      <c r="Q66" s="9">
        <f t="shared" si="15"/>
        <v>0.86124818512875201</v>
      </c>
      <c r="R66" s="12">
        <v>100</v>
      </c>
      <c r="S66" s="9">
        <f t="shared" si="13"/>
        <v>1.0331863057952011</v>
      </c>
      <c r="T66" s="11">
        <v>15.757142857142856</v>
      </c>
      <c r="U66" s="11">
        <f t="shared" si="14"/>
        <v>-0.28429179584354691</v>
      </c>
      <c r="V66" s="11">
        <v>41.307142857142864</v>
      </c>
      <c r="W66" s="11">
        <f>(V66-(AVERAGE($V$2:$V$121)))/STDEV($V$2:$V185)</f>
        <v>-0.42430859869685439</v>
      </c>
      <c r="X66" s="11">
        <v>33.087499999999999</v>
      </c>
      <c r="Y66" s="11">
        <f>(X66-(AVERAGE($X$2:$X$121)))/STDEV($X$2:$X185)</f>
        <v>0.86334518564681761</v>
      </c>
      <c r="Z66" s="13"/>
      <c r="AA66" s="13">
        <v>46</v>
      </c>
      <c r="AB66" s="13">
        <v>-2.0394999999999999</v>
      </c>
      <c r="AC66" s="13">
        <v>-0.95243</v>
      </c>
      <c r="AD66" s="13">
        <v>1.8156000000000001</v>
      </c>
      <c r="AE66" s="13">
        <v>9.5100000000000004E-2</v>
      </c>
      <c r="AF66" s="13">
        <v>0.17379</v>
      </c>
      <c r="AG66" s="13">
        <v>-0.75036000000000003</v>
      </c>
      <c r="AH66" s="13">
        <v>-0.16749</v>
      </c>
      <c r="AI66" s="13">
        <v>-0.76500999999999997</v>
      </c>
      <c r="AJ66">
        <v>-0.315</v>
      </c>
    </row>
    <row r="67" spans="1:36" x14ac:dyDescent="0.35">
      <c r="A67" s="3">
        <v>66</v>
      </c>
      <c r="B67" s="9" t="s">
        <v>50</v>
      </c>
      <c r="C67" s="10">
        <v>44038</v>
      </c>
      <c r="D67" s="10">
        <v>44092</v>
      </c>
      <c r="E67" s="10">
        <v>44065</v>
      </c>
      <c r="F67" s="11">
        <v>26</v>
      </c>
      <c r="G67" s="9">
        <f t="shared" si="17"/>
        <v>1.033071540147477</v>
      </c>
      <c r="H67" s="11">
        <v>0</v>
      </c>
      <c r="I67" s="9">
        <f t="shared" si="18"/>
        <v>-0.18639493319028441</v>
      </c>
      <c r="J67" s="11">
        <v>-2</v>
      </c>
      <c r="K67" s="66">
        <f t="shared" si="16"/>
        <v>44063</v>
      </c>
      <c r="L67" s="11">
        <v>24</v>
      </c>
      <c r="M67" s="9">
        <f t="shared" si="19"/>
        <v>-1.0577519562260409</v>
      </c>
      <c r="N67" s="11">
        <v>0</v>
      </c>
      <c r="O67" s="9">
        <f t="shared" si="20"/>
        <v>-0.21366149904100187</v>
      </c>
      <c r="P67" s="9">
        <v>94</v>
      </c>
      <c r="Q67" s="9">
        <f t="shared" si="15"/>
        <v>0.44118600093140686</v>
      </c>
      <c r="R67" s="12">
        <v>91</v>
      </c>
      <c r="S67" s="9">
        <f t="shared" si="13"/>
        <v>0.6543953171686594</v>
      </c>
      <c r="T67" s="11">
        <v>15.606249999999999</v>
      </c>
      <c r="U67" s="11">
        <f t="shared" si="14"/>
        <v>-0.375370578011959</v>
      </c>
      <c r="V67" s="11">
        <v>40.6</v>
      </c>
      <c r="W67" s="11">
        <f>(V67-(AVERAGE($V$2:$V$121)))/STDEV($V$2:$V186)</f>
        <v>-0.90795909523400287</v>
      </c>
      <c r="X67" s="11">
        <v>31.5</v>
      </c>
      <c r="Y67" s="11">
        <f>(X67-(AVERAGE($X$2:$X$121)))/STDEV($X$2:$X186)</f>
        <v>-0.47998026465041477</v>
      </c>
      <c r="Z67" s="13"/>
      <c r="AA67" s="13">
        <v>65</v>
      </c>
      <c r="AB67" s="13">
        <v>0.32866000000000001</v>
      </c>
      <c r="AC67" s="13">
        <v>-1.0840000000000001</v>
      </c>
      <c r="AD67" s="13">
        <v>1.1032</v>
      </c>
      <c r="AE67" s="13">
        <v>-1.8332999999999999E-2</v>
      </c>
      <c r="AF67" s="13">
        <v>0.41028999999999999</v>
      </c>
      <c r="AG67" s="13">
        <v>-0.26667999999999997</v>
      </c>
      <c r="AH67" s="13">
        <v>9.7415999999999996E-3</v>
      </c>
      <c r="AI67" s="13">
        <v>1.1954</v>
      </c>
      <c r="AJ67">
        <v>-0.15193999999999999</v>
      </c>
    </row>
    <row r="68" spans="1:36" x14ac:dyDescent="0.35">
      <c r="A68" s="3">
        <v>67</v>
      </c>
      <c r="B68" s="9" t="s">
        <v>53</v>
      </c>
      <c r="C68" s="10">
        <v>44038</v>
      </c>
      <c r="D68" s="10">
        <v>44092</v>
      </c>
      <c r="E68" s="10">
        <v>44065</v>
      </c>
      <c r="F68" s="11">
        <v>26</v>
      </c>
      <c r="G68" s="9">
        <f t="shared" si="17"/>
        <v>1.033071540147477</v>
      </c>
      <c r="H68" s="11">
        <v>0</v>
      </c>
      <c r="I68" s="9">
        <f t="shared" si="18"/>
        <v>-0.18639493319028441</v>
      </c>
      <c r="J68" s="11">
        <v>-2</v>
      </c>
      <c r="K68" s="66">
        <f t="shared" si="16"/>
        <v>44063</v>
      </c>
      <c r="L68" s="11">
        <v>24</v>
      </c>
      <c r="M68" s="9">
        <f t="shared" si="19"/>
        <v>-1.0577519562260409</v>
      </c>
      <c r="N68" s="11">
        <v>0</v>
      </c>
      <c r="O68" s="9">
        <f t="shared" si="20"/>
        <v>-0.21366149904100187</v>
      </c>
      <c r="P68" s="9">
        <v>80</v>
      </c>
      <c r="Q68" s="9">
        <f t="shared" si="15"/>
        <v>-0.53895909552906507</v>
      </c>
      <c r="R68" s="12">
        <v>91</v>
      </c>
      <c r="S68" s="9">
        <f t="shared" ref="S68:S99" si="21">(R68-(AVERAGE($R$2:$R$121)))/STDEV($R$2:$R$121)</f>
        <v>0.6543953171686594</v>
      </c>
      <c r="T68" s="11">
        <v>16.71</v>
      </c>
      <c r="U68" s="11">
        <f t="shared" si="14"/>
        <v>0.29085185108029743</v>
      </c>
      <c r="V68" s="11">
        <v>42.2</v>
      </c>
      <c r="W68" s="11">
        <f>(V68-(AVERAGE($V$2:$V$121)))/STDEV($V$2:$V187)</f>
        <v>0.18636122016317402</v>
      </c>
      <c r="X68" s="11"/>
      <c r="Y68" s="11"/>
      <c r="Z68" s="13"/>
      <c r="AA68" s="13">
        <v>15</v>
      </c>
      <c r="AB68" s="13">
        <v>-0.49258000000000002</v>
      </c>
      <c r="AC68" s="13">
        <v>-3.3381000000000001E-2</v>
      </c>
      <c r="AD68" s="13">
        <v>-1.2599</v>
      </c>
      <c r="AE68" s="13">
        <v>-0.47310999999999998</v>
      </c>
      <c r="AF68" s="13">
        <v>-3.4165000000000001E-2</v>
      </c>
      <c r="AG68" s="13">
        <v>1.0472999999999999</v>
      </c>
      <c r="AH68" s="13">
        <v>0.22001999999999999</v>
      </c>
      <c r="AI68" s="13">
        <v>-1.2263999999999999</v>
      </c>
      <c r="AJ68">
        <v>-0.31578000000000001</v>
      </c>
    </row>
    <row r="69" spans="1:36" x14ac:dyDescent="0.35">
      <c r="A69" s="3">
        <v>68</v>
      </c>
      <c r="B69" s="9" t="s">
        <v>56</v>
      </c>
      <c r="C69" s="10">
        <v>44038</v>
      </c>
      <c r="D69" s="10">
        <v>44094</v>
      </c>
      <c r="E69" s="10">
        <v>44066</v>
      </c>
      <c r="F69" s="11">
        <v>26</v>
      </c>
      <c r="G69" s="9">
        <f t="shared" si="17"/>
        <v>1.033071540147477</v>
      </c>
      <c r="H69" s="11">
        <v>0</v>
      </c>
      <c r="I69" s="9">
        <f t="shared" si="18"/>
        <v>-0.18639493319028441</v>
      </c>
      <c r="J69" s="11">
        <v>-2</v>
      </c>
      <c r="K69" s="66">
        <f t="shared" si="16"/>
        <v>44064</v>
      </c>
      <c r="L69" s="11">
        <v>24</v>
      </c>
      <c r="M69" s="9">
        <f t="shared" si="19"/>
        <v>-1.0577519562260409</v>
      </c>
      <c r="N69" s="11">
        <v>0.2</v>
      </c>
      <c r="O69" s="9">
        <f t="shared" si="20"/>
        <v>-5.3751320513459572E-2</v>
      </c>
      <c r="P69" s="9">
        <v>98</v>
      </c>
      <c r="Q69" s="9">
        <f t="shared" si="15"/>
        <v>0.72122745706297031</v>
      </c>
      <c r="R69" s="12">
        <v>76.5</v>
      </c>
      <c r="S69" s="9">
        <f t="shared" si="21"/>
        <v>4.4120946603675375E-2</v>
      </c>
      <c r="T69" s="11">
        <v>19.079999999999998</v>
      </c>
      <c r="U69" s="11">
        <f t="shared" si="14"/>
        <v>1.7213815516000199</v>
      </c>
      <c r="V69" s="11">
        <v>44.7</v>
      </c>
      <c r="W69" s="11">
        <f>(V69-(AVERAGE($V$2:$V$121)))/STDEV($V$2:$V188)</f>
        <v>1.8962367129712614</v>
      </c>
      <c r="X69" s="11">
        <v>32.799999999999997</v>
      </c>
      <c r="Y69" s="11">
        <f>(X69-(AVERAGE($X$2:$X$121)))/STDEV($X$2:$X188)</f>
        <v>0.6200657733882623</v>
      </c>
      <c r="Z69" s="13"/>
      <c r="AA69" s="13">
        <v>20</v>
      </c>
      <c r="AB69" s="13">
        <v>-6.6214999999999996E-2</v>
      </c>
      <c r="AC69" s="13">
        <v>1.1805000000000001</v>
      </c>
      <c r="AD69" s="13">
        <v>-2.7109999999999999</v>
      </c>
      <c r="AE69" s="13">
        <v>-0.40966999999999998</v>
      </c>
      <c r="AF69" s="13">
        <v>-1.97</v>
      </c>
      <c r="AG69" s="13">
        <v>-0.35093999999999997</v>
      </c>
      <c r="AH69" s="13">
        <v>-0.45762000000000003</v>
      </c>
      <c r="AI69" s="13">
        <v>0.88517000000000001</v>
      </c>
      <c r="AJ69">
        <v>-0.57609999999999995</v>
      </c>
    </row>
    <row r="70" spans="1:36" x14ac:dyDescent="0.35">
      <c r="A70" s="3">
        <v>69</v>
      </c>
      <c r="B70" s="9" t="s">
        <v>56</v>
      </c>
      <c r="C70" s="10">
        <v>44038</v>
      </c>
      <c r="D70" s="10">
        <v>44094</v>
      </c>
      <c r="E70" s="10">
        <v>44066</v>
      </c>
      <c r="F70" s="11">
        <v>26</v>
      </c>
      <c r="G70" s="9">
        <f t="shared" si="17"/>
        <v>1.033071540147477</v>
      </c>
      <c r="H70" s="11">
        <v>0</v>
      </c>
      <c r="I70" s="9">
        <f t="shared" si="18"/>
        <v>-0.18639493319028441</v>
      </c>
      <c r="J70" s="11">
        <v>-2</v>
      </c>
      <c r="K70" s="66">
        <f t="shared" si="16"/>
        <v>44064</v>
      </c>
      <c r="L70" s="11">
        <v>24</v>
      </c>
      <c r="M70" s="9">
        <f t="shared" si="19"/>
        <v>-1.0577519562260409</v>
      </c>
      <c r="N70" s="11">
        <v>0.2</v>
      </c>
      <c r="O70" s="9">
        <f t="shared" si="20"/>
        <v>-5.3751320513459572E-2</v>
      </c>
      <c r="P70" s="9">
        <v>77</v>
      </c>
      <c r="Q70" s="9">
        <f t="shared" si="15"/>
        <v>-0.74899018762773761</v>
      </c>
      <c r="R70" s="12">
        <v>76.5</v>
      </c>
      <c r="S70" s="9">
        <f t="shared" si="21"/>
        <v>4.4120946603675375E-2</v>
      </c>
      <c r="T70" s="11">
        <v>15.8</v>
      </c>
      <c r="U70" s="11">
        <f t="shared" si="14"/>
        <v>-0.2584232659968963</v>
      </c>
      <c r="V70" s="11">
        <v>43.3</v>
      </c>
      <c r="W70" s="11">
        <f>(V70-(AVERAGE($V$2:$V$121)))/STDEV($V$2:$V189)</f>
        <v>0.93870643699872858</v>
      </c>
      <c r="X70" s="11">
        <v>31.7</v>
      </c>
      <c r="Y70" s="11">
        <f>(X70-(AVERAGE($X$2:$X$121)))/STDEV($X$2:$X189)</f>
        <v>-0.31074241264446467</v>
      </c>
      <c r="Z70" s="13"/>
      <c r="AA70" s="13">
        <v>34</v>
      </c>
      <c r="AB70" s="13">
        <v>0.27506999999999998</v>
      </c>
      <c r="AC70" s="13">
        <v>-0.18214</v>
      </c>
      <c r="AD70" s="13">
        <v>-1.1002000000000001</v>
      </c>
      <c r="AE70" s="13">
        <v>-0.60128999999999999</v>
      </c>
      <c r="AF70" s="13">
        <v>-0.48544999999999999</v>
      </c>
      <c r="AG70" s="13">
        <v>-0.11978999999999999</v>
      </c>
      <c r="AH70" s="13">
        <v>-0.76531000000000005</v>
      </c>
      <c r="AI70" s="13">
        <v>-0.56116999999999995</v>
      </c>
      <c r="AJ70">
        <v>0.11756999999999999</v>
      </c>
    </row>
    <row r="71" spans="1:36" x14ac:dyDescent="0.35">
      <c r="A71" s="3">
        <v>70</v>
      </c>
      <c r="B71" s="9" t="s">
        <v>50</v>
      </c>
      <c r="C71" s="10">
        <v>44039</v>
      </c>
      <c r="D71" s="10">
        <v>44090</v>
      </c>
      <c r="E71" s="10">
        <v>44064.5</v>
      </c>
      <c r="F71" s="11">
        <v>24</v>
      </c>
      <c r="G71" s="9">
        <f t="shared" si="17"/>
        <v>-1.1427782523755272</v>
      </c>
      <c r="H71" s="11">
        <v>0.2</v>
      </c>
      <c r="I71" s="9">
        <f t="shared" si="18"/>
        <v>-8.1271724424199845E-2</v>
      </c>
      <c r="J71" s="11">
        <v>-2</v>
      </c>
      <c r="K71" s="66">
        <f t="shared" si="16"/>
        <v>44062.5</v>
      </c>
      <c r="L71" s="11">
        <v>24</v>
      </c>
      <c r="M71" s="9">
        <f t="shared" si="19"/>
        <v>-1.0577519562260409</v>
      </c>
      <c r="N71" s="11">
        <v>0</v>
      </c>
      <c r="O71" s="9">
        <f t="shared" si="20"/>
        <v>-0.21366149904100187</v>
      </c>
      <c r="P71" s="9">
        <v>107</v>
      </c>
      <c r="Q71" s="9">
        <f t="shared" si="15"/>
        <v>1.3513207333589878</v>
      </c>
      <c r="R71" s="12">
        <v>98.2</v>
      </c>
      <c r="S71" s="9">
        <f t="shared" si="21"/>
        <v>0.95742810806989287</v>
      </c>
      <c r="T71" s="11">
        <v>18.633333333333333</v>
      </c>
      <c r="U71" s="11">
        <f t="shared" ref="U71:U102" si="22">(T71-(AVERAGE($T$2:$T$121)))/STDEV($T$2:$T$121)</f>
        <v>1.4517739849760503</v>
      </c>
      <c r="V71" s="11">
        <v>43.877777777777773</v>
      </c>
      <c r="W71" s="11">
        <f>(V71-(AVERAGE($V$2:$V$121)))/STDEV($V$2:$V190)</f>
        <v>1.3338776620032629</v>
      </c>
      <c r="X71" s="11">
        <v>32.544444444444451</v>
      </c>
      <c r="Y71" s="11">
        <f>(X71-(AVERAGE($X$2:$X$121)))/STDEV($X$2:$X190)</f>
        <v>0.40381740693622248</v>
      </c>
      <c r="Z71" s="13"/>
      <c r="AA71" s="13">
        <v>40</v>
      </c>
      <c r="AB71" s="13">
        <v>1.0750999999999999</v>
      </c>
      <c r="AC71" s="13">
        <v>-0.89488999999999996</v>
      </c>
      <c r="AD71" s="13">
        <v>1.2847</v>
      </c>
      <c r="AE71" s="13">
        <v>1.2744</v>
      </c>
      <c r="AF71" s="13">
        <v>0.70767999999999998</v>
      </c>
      <c r="AG71" s="13">
        <v>-0.31946000000000002</v>
      </c>
      <c r="AH71" s="13">
        <v>0.57637000000000005</v>
      </c>
      <c r="AI71" s="13">
        <v>-0.14867</v>
      </c>
      <c r="AJ71">
        <v>-0.36316999999999999</v>
      </c>
    </row>
    <row r="72" spans="1:36" x14ac:dyDescent="0.35">
      <c r="A72" s="3">
        <v>71</v>
      </c>
      <c r="B72" s="9" t="s">
        <v>50</v>
      </c>
      <c r="C72" s="10">
        <v>44039</v>
      </c>
      <c r="D72" s="10">
        <v>44092</v>
      </c>
      <c r="E72" s="10">
        <v>44065.5</v>
      </c>
      <c r="F72" s="11">
        <v>26</v>
      </c>
      <c r="G72" s="9">
        <f t="shared" si="17"/>
        <v>1.033071540147477</v>
      </c>
      <c r="H72" s="11">
        <v>0</v>
      </c>
      <c r="I72" s="9">
        <f t="shared" si="18"/>
        <v>-0.18639493319028441</v>
      </c>
      <c r="J72" s="11">
        <v>-2</v>
      </c>
      <c r="K72" s="66">
        <f t="shared" si="16"/>
        <v>44063.5</v>
      </c>
      <c r="L72" s="11">
        <v>24</v>
      </c>
      <c r="M72" s="9">
        <f t="shared" si="19"/>
        <v>-1.0577519562260409</v>
      </c>
      <c r="N72" s="11">
        <v>0</v>
      </c>
      <c r="O72" s="9">
        <f t="shared" si="20"/>
        <v>-0.21366149904100187</v>
      </c>
      <c r="P72" s="9">
        <v>71</v>
      </c>
      <c r="Q72" s="9">
        <f t="shared" ref="Q72:Q103" si="23">(P72-(AVERAGE($P$2:$P$121)))/STDEV($P$2:$P$121)</f>
        <v>-1.1690523718250827</v>
      </c>
      <c r="R72" s="12">
        <v>98.2</v>
      </c>
      <c r="S72" s="9">
        <f t="shared" si="21"/>
        <v>0.95742810806989287</v>
      </c>
      <c r="T72" s="11">
        <v>16.13</v>
      </c>
      <c r="U72" s="11">
        <f t="shared" si="22"/>
        <v>-5.9235586177695226E-2</v>
      </c>
      <c r="V72" s="11">
        <v>41.14</v>
      </c>
      <c r="W72" s="11">
        <f>(V72-(AVERAGE($V$2:$V$121)))/STDEV($V$2:$V191)</f>
        <v>-0.5386259887874566</v>
      </c>
      <c r="X72" s="11">
        <v>31.18</v>
      </c>
      <c r="Y72" s="11">
        <f>(X72-(AVERAGE($X$2:$X$121)))/STDEV($X$2:$X191)</f>
        <v>-0.75076082785993614</v>
      </c>
      <c r="Z72" s="13"/>
      <c r="AA72" s="13">
        <v>47</v>
      </c>
      <c r="AB72" s="13">
        <v>1.4815</v>
      </c>
      <c r="AC72" s="13">
        <v>-0.14834</v>
      </c>
      <c r="AD72" s="13">
        <v>0.48220000000000002</v>
      </c>
      <c r="AE72" s="13">
        <v>1.0891</v>
      </c>
      <c r="AF72" s="13">
        <v>-0.38311000000000001</v>
      </c>
      <c r="AG72" s="13">
        <v>-1.3802000000000001</v>
      </c>
      <c r="AH72" s="13">
        <v>2.9877000000000001E-2</v>
      </c>
      <c r="AI72" s="13">
        <v>0.41731000000000001</v>
      </c>
      <c r="AJ72">
        <v>-0.61255999999999999</v>
      </c>
    </row>
    <row r="73" spans="1:36" x14ac:dyDescent="0.35">
      <c r="A73" s="3">
        <v>72</v>
      </c>
      <c r="B73" s="9" t="s">
        <v>56</v>
      </c>
      <c r="C73" s="10">
        <v>44039</v>
      </c>
      <c r="D73" s="10">
        <v>44094</v>
      </c>
      <c r="E73" s="10">
        <v>44066.5</v>
      </c>
      <c r="F73" s="11">
        <v>26</v>
      </c>
      <c r="G73" s="9">
        <f t="shared" si="17"/>
        <v>1.033071540147477</v>
      </c>
      <c r="H73" s="11">
        <v>0</v>
      </c>
      <c r="I73" s="9">
        <f t="shared" si="18"/>
        <v>-0.18639493319028441</v>
      </c>
      <c r="J73" s="11">
        <v>-2</v>
      </c>
      <c r="K73" s="66">
        <f t="shared" si="16"/>
        <v>44064.5</v>
      </c>
      <c r="L73" s="11">
        <v>24</v>
      </c>
      <c r="M73" s="9">
        <f t="shared" si="19"/>
        <v>-1.0577519562260409</v>
      </c>
      <c r="N73" s="11">
        <v>0.2</v>
      </c>
      <c r="O73" s="9">
        <f t="shared" si="20"/>
        <v>-5.3751320513459572E-2</v>
      </c>
      <c r="P73" s="9">
        <v>98</v>
      </c>
      <c r="Q73" s="9">
        <f t="shared" si="23"/>
        <v>0.72122745706297031</v>
      </c>
      <c r="R73" s="12">
        <v>83.7</v>
      </c>
      <c r="S73" s="9">
        <f t="shared" si="21"/>
        <v>0.34715373750490891</v>
      </c>
      <c r="T73" s="11">
        <v>16.13</v>
      </c>
      <c r="U73" s="11">
        <f t="shared" si="22"/>
        <v>-5.9235586177695226E-2</v>
      </c>
      <c r="V73" s="11">
        <v>40.6</v>
      </c>
      <c r="W73" s="11">
        <f>(V73-(AVERAGE($V$2:$V$121)))/STDEV($V$2:$V192)</f>
        <v>-0.90795909523400287</v>
      </c>
      <c r="X73" s="11">
        <v>34</v>
      </c>
      <c r="Y73" s="11">
        <f>(X73-(AVERAGE($X$2:$X$121)))/STDEV($X$2:$X192)</f>
        <v>1.6354928854239688</v>
      </c>
      <c r="Z73" s="13"/>
      <c r="AA73" s="13">
        <v>52</v>
      </c>
      <c r="AB73" s="13">
        <v>-0.24709</v>
      </c>
      <c r="AC73" s="13">
        <v>-1.1564000000000001</v>
      </c>
      <c r="AD73" s="13">
        <v>1.0670999999999999</v>
      </c>
      <c r="AE73" s="13">
        <v>-0.35981999999999997</v>
      </c>
      <c r="AF73" s="13">
        <v>0.47649999999999998</v>
      </c>
      <c r="AG73" s="13">
        <v>-0.55274000000000001</v>
      </c>
      <c r="AH73" s="13">
        <v>-0.51454999999999995</v>
      </c>
      <c r="AI73" s="13">
        <v>-1.1876</v>
      </c>
      <c r="AJ73">
        <v>-0.45278000000000002</v>
      </c>
    </row>
    <row r="74" spans="1:36" x14ac:dyDescent="0.35">
      <c r="A74" s="3">
        <v>73</v>
      </c>
      <c r="B74" s="9" t="s">
        <v>56</v>
      </c>
      <c r="C74" s="10">
        <v>44039</v>
      </c>
      <c r="D74" s="10">
        <v>44094</v>
      </c>
      <c r="E74" s="10">
        <v>44066.5</v>
      </c>
      <c r="F74" s="11">
        <v>26</v>
      </c>
      <c r="G74" s="9">
        <f t="shared" si="17"/>
        <v>1.033071540147477</v>
      </c>
      <c r="H74" s="11">
        <v>0</v>
      </c>
      <c r="I74" s="9">
        <f t="shared" si="18"/>
        <v>-0.18639493319028441</v>
      </c>
      <c r="J74" s="11">
        <v>-2</v>
      </c>
      <c r="K74" s="66">
        <f t="shared" si="16"/>
        <v>44064.5</v>
      </c>
      <c r="L74" s="11">
        <v>24</v>
      </c>
      <c r="M74" s="9">
        <f t="shared" si="19"/>
        <v>-1.0577519562260409</v>
      </c>
      <c r="N74" s="11">
        <v>0.2</v>
      </c>
      <c r="O74" s="9">
        <f t="shared" si="20"/>
        <v>-5.3751320513459572E-2</v>
      </c>
      <c r="P74" s="9">
        <v>83</v>
      </c>
      <c r="Q74" s="9">
        <f t="shared" si="23"/>
        <v>-0.32892800343039252</v>
      </c>
      <c r="R74" s="12">
        <v>83.7</v>
      </c>
      <c r="S74" s="9">
        <f t="shared" si="21"/>
        <v>0.34715373750490891</v>
      </c>
      <c r="T74" s="11">
        <v>16.97</v>
      </c>
      <c r="U74" s="11">
        <f t="shared" si="22"/>
        <v>0.44778759881663727</v>
      </c>
      <c r="V74" s="11">
        <v>41.8</v>
      </c>
      <c r="W74" s="11">
        <f>(V74-(AVERAGE($V$2:$V$121)))/STDEV($V$2:$V193)</f>
        <v>-8.7218858686123849E-2</v>
      </c>
      <c r="X74" s="11">
        <v>31.6</v>
      </c>
      <c r="Y74" s="11">
        <f>(X74-(AVERAGE($X$2:$X$121)))/STDEV($X$2:$X193)</f>
        <v>-0.39536133864743822</v>
      </c>
      <c r="Z74" s="13"/>
      <c r="AA74" s="13">
        <v>59</v>
      </c>
      <c r="AB74" s="13">
        <v>-0.39850000000000002</v>
      </c>
      <c r="AC74" s="13">
        <v>-1.4313</v>
      </c>
      <c r="AD74" s="13">
        <v>0.68310000000000004</v>
      </c>
      <c r="AE74" s="13">
        <v>-1.2137</v>
      </c>
      <c r="AF74" s="13">
        <v>0.58070999999999995</v>
      </c>
      <c r="AG74" s="13">
        <v>-0.22778000000000001</v>
      </c>
      <c r="AH74" s="13">
        <v>-1.0036</v>
      </c>
      <c r="AI74" s="13">
        <v>-0.63019000000000003</v>
      </c>
      <c r="AJ74">
        <v>-0.27329999999999999</v>
      </c>
    </row>
    <row r="75" spans="1:36" x14ac:dyDescent="0.35">
      <c r="A75" s="3">
        <v>74</v>
      </c>
      <c r="B75" s="9" t="s">
        <v>53</v>
      </c>
      <c r="C75" s="10">
        <v>44040</v>
      </c>
      <c r="D75" s="10">
        <v>44097</v>
      </c>
      <c r="E75" s="10">
        <v>44068.5</v>
      </c>
      <c r="F75" s="11">
        <v>25</v>
      </c>
      <c r="G75" s="9">
        <f t="shared" si="17"/>
        <v>-5.4853356114025122E-2</v>
      </c>
      <c r="H75" s="11">
        <v>0</v>
      </c>
      <c r="I75" s="9">
        <f t="shared" si="18"/>
        <v>-0.18639493319028441</v>
      </c>
      <c r="J75" s="11">
        <v>-2</v>
      </c>
      <c r="K75" s="66">
        <f t="shared" si="16"/>
        <v>44066.5</v>
      </c>
      <c r="L75" s="11">
        <v>26</v>
      </c>
      <c r="M75" s="9">
        <f t="shared" si="19"/>
        <v>1.1505372155441143</v>
      </c>
      <c r="N75" s="11">
        <v>0</v>
      </c>
      <c r="O75" s="9">
        <f t="shared" si="20"/>
        <v>-0.21366149904100187</v>
      </c>
      <c r="P75" s="9">
        <v>80</v>
      </c>
      <c r="Q75" s="9">
        <f t="shared" si="23"/>
        <v>-0.53895909552906507</v>
      </c>
      <c r="R75" s="12">
        <v>69.3</v>
      </c>
      <c r="S75" s="9">
        <f t="shared" si="21"/>
        <v>-0.25891184429755815</v>
      </c>
      <c r="T75" s="11">
        <v>15.13</v>
      </c>
      <c r="U75" s="11">
        <f t="shared" si="22"/>
        <v>-0.66283461593285198</v>
      </c>
      <c r="V75" s="11">
        <v>41.8</v>
      </c>
      <c r="W75" s="11">
        <f>(V75-(AVERAGE($V$2:$V$121)))/STDEV($V$2:$V194)</f>
        <v>-8.7218858686123849E-2</v>
      </c>
      <c r="X75" s="11">
        <v>31.7</v>
      </c>
      <c r="Y75" s="11">
        <f>(X75-(AVERAGE($X$2:$X$121)))/STDEV($X$2:$X194)</f>
        <v>-0.31074241264446467</v>
      </c>
      <c r="Z75" s="13"/>
      <c r="AA75" s="13">
        <v>70</v>
      </c>
      <c r="AB75" s="13">
        <v>2.2534999999999998</v>
      </c>
      <c r="AC75" s="13">
        <v>-1.3821000000000001</v>
      </c>
      <c r="AD75" s="13">
        <v>0.48422999999999999</v>
      </c>
      <c r="AE75" s="13">
        <v>-0.59985999999999995</v>
      </c>
      <c r="AF75" s="13">
        <v>1.1449</v>
      </c>
      <c r="AG75" s="13">
        <v>-9.0316999999999995E-2</v>
      </c>
      <c r="AH75" s="13">
        <v>-0.47622999999999999</v>
      </c>
      <c r="AI75" s="13">
        <v>-0.35077999999999998</v>
      </c>
      <c r="AJ75">
        <v>2.2367000000000001E-2</v>
      </c>
    </row>
    <row r="76" spans="1:36" x14ac:dyDescent="0.35">
      <c r="A76" s="3">
        <v>75</v>
      </c>
      <c r="B76" s="9" t="s">
        <v>56</v>
      </c>
      <c r="C76" s="10">
        <v>44039</v>
      </c>
      <c r="D76" s="10">
        <v>44098</v>
      </c>
      <c r="E76" s="10">
        <v>44068.5</v>
      </c>
      <c r="F76" s="11">
        <v>25</v>
      </c>
      <c r="G76" s="9">
        <f t="shared" si="17"/>
        <v>-5.4853356114025122E-2</v>
      </c>
      <c r="H76" s="11">
        <v>0</v>
      </c>
      <c r="I76" s="9">
        <f t="shared" si="18"/>
        <v>-0.18639493319028441</v>
      </c>
      <c r="J76" s="11">
        <v>-2</v>
      </c>
      <c r="K76" s="66">
        <f t="shared" si="16"/>
        <v>44066.5</v>
      </c>
      <c r="L76" s="11">
        <v>26</v>
      </c>
      <c r="M76" s="9">
        <f t="shared" si="19"/>
        <v>1.1505372155441143</v>
      </c>
      <c r="N76" s="11">
        <v>0</v>
      </c>
      <c r="O76" s="9">
        <f t="shared" si="20"/>
        <v>-0.21366149904100187</v>
      </c>
      <c r="P76" s="9">
        <v>68</v>
      </c>
      <c r="Q76" s="9">
        <f t="shared" si="23"/>
        <v>-1.3790834639237552</v>
      </c>
      <c r="R76" s="12">
        <v>54.8</v>
      </c>
      <c r="S76" s="9">
        <f t="shared" si="21"/>
        <v>-0.86918621486254211</v>
      </c>
      <c r="T76" s="11">
        <v>14.7</v>
      </c>
      <c r="U76" s="11">
        <f t="shared" si="22"/>
        <v>-0.92238219872757077</v>
      </c>
      <c r="V76" s="11">
        <v>38.200000000000003</v>
      </c>
      <c r="W76" s="11">
        <f>(V76-(AVERAGE($V$2:$V$121)))/STDEV($V$2:$V195)</f>
        <v>-2.5494395683297659</v>
      </c>
      <c r="X76" s="11">
        <v>30.1</v>
      </c>
      <c r="Y76" s="11">
        <f>(X76-(AVERAGE($X$2:$X$121)))/STDEV($X$2:$X195)</f>
        <v>-1.6646452286920683</v>
      </c>
      <c r="Z76" s="13"/>
      <c r="AA76" s="13">
        <v>33</v>
      </c>
      <c r="AB76" s="13">
        <v>1.5669999999999999</v>
      </c>
      <c r="AC76" s="13">
        <v>-0.40395999999999999</v>
      </c>
      <c r="AD76" s="13">
        <v>0.25720999999999999</v>
      </c>
      <c r="AE76" s="13">
        <v>1.8228</v>
      </c>
      <c r="AF76" s="13">
        <v>-6.5188999999999997E-2</v>
      </c>
      <c r="AG76" s="13">
        <v>-0.65907000000000004</v>
      </c>
      <c r="AH76" s="13">
        <v>0.29594999999999999</v>
      </c>
      <c r="AI76" s="13">
        <v>0.30163000000000001</v>
      </c>
      <c r="AJ76">
        <v>-0.28948000000000002</v>
      </c>
    </row>
    <row r="77" spans="1:36" x14ac:dyDescent="0.35">
      <c r="A77" s="3">
        <v>76</v>
      </c>
      <c r="B77" s="9" t="s">
        <v>56</v>
      </c>
      <c r="C77" s="10">
        <v>44040</v>
      </c>
      <c r="D77" s="10">
        <v>44092</v>
      </c>
      <c r="E77" s="10">
        <v>44066</v>
      </c>
      <c r="F77" s="11">
        <v>26</v>
      </c>
      <c r="G77" s="9">
        <f t="shared" si="17"/>
        <v>1.033071540147477</v>
      </c>
      <c r="H77" s="11">
        <v>0</v>
      </c>
      <c r="I77" s="9">
        <f t="shared" si="18"/>
        <v>-0.18639493319028441</v>
      </c>
      <c r="J77" s="11">
        <v>-2</v>
      </c>
      <c r="K77" s="66">
        <f t="shared" si="16"/>
        <v>44064</v>
      </c>
      <c r="L77" s="11">
        <v>24</v>
      </c>
      <c r="M77" s="9">
        <f t="shared" si="19"/>
        <v>-1.0577519562260409</v>
      </c>
      <c r="N77" s="11">
        <v>0.2</v>
      </c>
      <c r="O77" s="9">
        <f t="shared" si="20"/>
        <v>-5.3751320513459572E-2</v>
      </c>
      <c r="P77" s="9">
        <v>93</v>
      </c>
      <c r="Q77" s="9">
        <f t="shared" si="23"/>
        <v>0.37117563689851601</v>
      </c>
      <c r="R77" s="12">
        <v>100</v>
      </c>
      <c r="S77" s="9">
        <f t="shared" si="21"/>
        <v>1.0331863057952011</v>
      </c>
      <c r="T77" s="11">
        <v>19.3</v>
      </c>
      <c r="U77" s="11">
        <f t="shared" si="22"/>
        <v>1.8541733381461563</v>
      </c>
      <c r="V77" s="11">
        <v>43.28</v>
      </c>
      <c r="W77" s="11">
        <f>(V77-(AVERAGE($V$2:$V$121)))/STDEV($V$2:$V196)</f>
        <v>0.92502743305626656</v>
      </c>
      <c r="X77" s="11">
        <v>33.76</v>
      </c>
      <c r="Y77" s="11">
        <f>(X77-(AVERAGE($X$2:$X$121)))/STDEV($X$2:$X196)</f>
        <v>1.4324074630168264</v>
      </c>
      <c r="Z77" s="13"/>
      <c r="AA77" s="13">
        <v>49</v>
      </c>
      <c r="AB77" s="13">
        <v>0.93930000000000002</v>
      </c>
      <c r="AC77" s="13">
        <v>-1.3862000000000001</v>
      </c>
      <c r="AD77" s="13">
        <v>1.0892999999999999</v>
      </c>
      <c r="AE77" s="13">
        <v>0.52507999999999999</v>
      </c>
      <c r="AF77" s="13">
        <v>0.98723000000000005</v>
      </c>
      <c r="AG77" s="13">
        <v>0.32322000000000001</v>
      </c>
      <c r="AH77" s="13">
        <v>0.31673000000000001</v>
      </c>
      <c r="AI77" s="13">
        <v>0.50083999999999995</v>
      </c>
      <c r="AJ77">
        <v>-0.10054</v>
      </c>
    </row>
    <row r="78" spans="1:36" x14ac:dyDescent="0.35">
      <c r="A78" s="3">
        <v>77</v>
      </c>
      <c r="B78" s="9" t="s">
        <v>56</v>
      </c>
      <c r="C78" s="10">
        <v>44040</v>
      </c>
      <c r="D78" s="10">
        <v>44091</v>
      </c>
      <c r="E78" s="10">
        <v>44065.5</v>
      </c>
      <c r="F78" s="11">
        <v>26</v>
      </c>
      <c r="G78" s="9">
        <f t="shared" si="17"/>
        <v>1.033071540147477</v>
      </c>
      <c r="H78" s="11">
        <v>0</v>
      </c>
      <c r="I78" s="9">
        <f t="shared" si="18"/>
        <v>-0.18639493319028441</v>
      </c>
      <c r="J78" s="11">
        <v>-2</v>
      </c>
      <c r="K78" s="66">
        <f t="shared" si="16"/>
        <v>44063.5</v>
      </c>
      <c r="L78" s="11">
        <v>24</v>
      </c>
      <c r="M78" s="9">
        <f t="shared" si="19"/>
        <v>-1.0577519562260409</v>
      </c>
      <c r="N78" s="11">
        <v>0</v>
      </c>
      <c r="O78" s="9">
        <f t="shared" si="20"/>
        <v>-0.21366149904100187</v>
      </c>
      <c r="P78" s="9">
        <v>89</v>
      </c>
      <c r="Q78" s="9">
        <f t="shared" si="23"/>
        <v>9.113418076695258E-2</v>
      </c>
      <c r="R78" s="12">
        <v>100</v>
      </c>
      <c r="S78" s="9">
        <f t="shared" si="21"/>
        <v>1.0331863057952011</v>
      </c>
      <c r="T78" s="11">
        <v>17.2</v>
      </c>
      <c r="U78" s="11">
        <f t="shared" si="22"/>
        <v>0.58661537566032385</v>
      </c>
      <c r="V78" s="11">
        <v>44.08</v>
      </c>
      <c r="W78" s="11">
        <f>(V78-(AVERAGE($V$2:$V$121)))/STDEV($V$2:$V197)</f>
        <v>1.4721875907548527</v>
      </c>
      <c r="X78" s="11">
        <v>33.51</v>
      </c>
      <c r="Y78" s="11">
        <f>(X78-(AVERAGE($X$2:$X$121)))/STDEV($X$2:$X197)</f>
        <v>1.2208601480093879</v>
      </c>
      <c r="Z78" s="13"/>
      <c r="AA78" s="13">
        <v>51</v>
      </c>
      <c r="AB78" s="13">
        <v>-0.70448999999999995</v>
      </c>
      <c r="AC78" s="13">
        <v>-0.98126999999999998</v>
      </c>
      <c r="AD78" s="13">
        <v>0.5948</v>
      </c>
      <c r="AE78" s="13">
        <v>0.17951</v>
      </c>
      <c r="AF78" s="13">
        <v>-6.6700999999999996E-2</v>
      </c>
      <c r="AG78" s="13">
        <v>-0.27537</v>
      </c>
      <c r="AH78" s="13">
        <v>-0.38489000000000001</v>
      </c>
      <c r="AI78" s="13">
        <v>0.74843000000000004</v>
      </c>
      <c r="AJ78">
        <v>-1.261E-2</v>
      </c>
    </row>
    <row r="79" spans="1:36" x14ac:dyDescent="0.35">
      <c r="A79" s="3">
        <v>78</v>
      </c>
      <c r="B79" s="9" t="s">
        <v>50</v>
      </c>
      <c r="C79" s="10">
        <v>44040</v>
      </c>
      <c r="D79" s="10">
        <v>44095</v>
      </c>
      <c r="E79" s="10">
        <v>44067.5</v>
      </c>
      <c r="F79" s="11">
        <v>25</v>
      </c>
      <c r="G79" s="9">
        <f t="shared" si="17"/>
        <v>-5.4853356114025122E-2</v>
      </c>
      <c r="H79" s="11">
        <v>0.1</v>
      </c>
      <c r="I79" s="9">
        <f t="shared" si="18"/>
        <v>-0.13383332880724211</v>
      </c>
      <c r="J79" s="11">
        <v>-2</v>
      </c>
      <c r="K79" s="66">
        <f t="shared" si="16"/>
        <v>44065.5</v>
      </c>
      <c r="L79" s="11">
        <v>26</v>
      </c>
      <c r="M79" s="9">
        <f t="shared" si="19"/>
        <v>1.1505372155441143</v>
      </c>
      <c r="N79" s="11">
        <v>0</v>
      </c>
      <c r="O79" s="9">
        <f t="shared" si="20"/>
        <v>-0.21366149904100187</v>
      </c>
      <c r="P79" s="9">
        <v>91</v>
      </c>
      <c r="Q79" s="9">
        <f t="shared" si="23"/>
        <v>0.23115490883273429</v>
      </c>
      <c r="R79" s="12">
        <v>83.7</v>
      </c>
      <c r="S79" s="9">
        <f t="shared" si="21"/>
        <v>0.34715373750490891</v>
      </c>
      <c r="T79" s="11">
        <v>18.8</v>
      </c>
      <c r="U79" s="11">
        <f t="shared" si="22"/>
        <v>1.5523738232685773</v>
      </c>
      <c r="V79" s="11">
        <v>42.47</v>
      </c>
      <c r="W79" s="11">
        <f>(V79-(AVERAGE($V$2:$V$121)))/STDEV($V$2:$V198)</f>
        <v>0.37102777338644471</v>
      </c>
      <c r="X79" s="11">
        <v>32.67</v>
      </c>
      <c r="Y79" s="11">
        <f>(X79-(AVERAGE($X$2:$X$121)))/STDEV($X$2:$X198)</f>
        <v>0.51006116958439818</v>
      </c>
      <c r="Z79" s="13"/>
      <c r="AA79" s="13">
        <v>60</v>
      </c>
      <c r="AB79" s="13">
        <v>3.7187999999999999</v>
      </c>
      <c r="AC79" s="13">
        <v>-1.2001999999999999</v>
      </c>
      <c r="AD79" s="13">
        <v>0.1487</v>
      </c>
      <c r="AE79" s="13">
        <v>-0.17469000000000001</v>
      </c>
      <c r="AF79" s="13">
        <v>1.2170000000000001</v>
      </c>
      <c r="AG79" s="13">
        <v>-9.9030000000000007E-2</v>
      </c>
      <c r="AH79" s="13">
        <v>-0.25302999999999998</v>
      </c>
      <c r="AI79" s="13">
        <v>0.48315999999999998</v>
      </c>
      <c r="AJ79">
        <v>0.82293000000000005</v>
      </c>
    </row>
    <row r="80" spans="1:36" x14ac:dyDescent="0.35">
      <c r="A80" s="3">
        <v>79</v>
      </c>
      <c r="B80" s="9" t="s">
        <v>56</v>
      </c>
      <c r="C80" s="10">
        <v>44040</v>
      </c>
      <c r="D80" s="10">
        <v>44095</v>
      </c>
      <c r="E80" s="10">
        <v>44067.5</v>
      </c>
      <c r="F80" s="11">
        <v>25</v>
      </c>
      <c r="G80" s="9">
        <f t="shared" si="17"/>
        <v>-5.4853356114025122E-2</v>
      </c>
      <c r="H80" s="11">
        <v>0.1</v>
      </c>
      <c r="I80" s="9">
        <f t="shared" si="18"/>
        <v>-0.13383332880724211</v>
      </c>
      <c r="J80" s="11">
        <v>-2</v>
      </c>
      <c r="K80" s="66">
        <f t="shared" si="16"/>
        <v>44065.5</v>
      </c>
      <c r="L80" s="11">
        <v>26</v>
      </c>
      <c r="M80" s="9">
        <f t="shared" si="19"/>
        <v>1.1505372155441143</v>
      </c>
      <c r="N80" s="11">
        <v>0</v>
      </c>
      <c r="O80" s="9">
        <f t="shared" si="20"/>
        <v>-0.21366149904100187</v>
      </c>
      <c r="P80" s="9">
        <v>83</v>
      </c>
      <c r="Q80" s="9">
        <f t="shared" si="23"/>
        <v>-0.32892800343039252</v>
      </c>
      <c r="R80" s="12">
        <v>83.7</v>
      </c>
      <c r="S80" s="9">
        <f t="shared" si="21"/>
        <v>0.34715373750490891</v>
      </c>
      <c r="T80" s="11">
        <v>19.39</v>
      </c>
      <c r="U80" s="11">
        <f t="shared" si="22"/>
        <v>1.9084972508241203</v>
      </c>
      <c r="V80" s="11">
        <v>43.1</v>
      </c>
      <c r="W80" s="11">
        <f>(V80-(AVERAGE($V$2:$V$121)))/STDEV($V$2:$V199)</f>
        <v>0.80191639757408451</v>
      </c>
      <c r="X80" s="11">
        <v>32.57</v>
      </c>
      <c r="Y80" s="11">
        <f>(X80-(AVERAGE($X$2:$X$121)))/STDEV($X$2:$X199)</f>
        <v>0.42544224358142169</v>
      </c>
      <c r="Z80" s="13"/>
      <c r="AA80" s="13">
        <v>77</v>
      </c>
      <c r="AB80" s="13">
        <v>2.0135000000000001</v>
      </c>
      <c r="AC80" s="13">
        <v>0.35159000000000001</v>
      </c>
      <c r="AD80" s="13">
        <v>-0.60696000000000006</v>
      </c>
      <c r="AE80" s="13">
        <v>-1.3499000000000001</v>
      </c>
      <c r="AF80" s="13">
        <v>0.24718000000000001</v>
      </c>
      <c r="AG80" s="13">
        <v>9.6724000000000004E-2</v>
      </c>
      <c r="AH80" s="13">
        <v>0.54034000000000004</v>
      </c>
      <c r="AI80" s="13">
        <v>0.53052999999999995</v>
      </c>
      <c r="AJ80">
        <v>0.57296999999999998</v>
      </c>
    </row>
    <row r="81" spans="1:36" x14ac:dyDescent="0.35">
      <c r="A81" s="3">
        <v>80</v>
      </c>
      <c r="B81" s="9" t="s">
        <v>53</v>
      </c>
      <c r="C81" s="10">
        <v>44039</v>
      </c>
      <c r="D81" s="10">
        <v>44097</v>
      </c>
      <c r="E81" s="10">
        <v>44068</v>
      </c>
      <c r="F81" s="11">
        <v>25</v>
      </c>
      <c r="G81" s="9">
        <f t="shared" si="17"/>
        <v>-5.4853356114025122E-2</v>
      </c>
      <c r="H81" s="11">
        <v>0</v>
      </c>
      <c r="I81" s="9">
        <f t="shared" si="18"/>
        <v>-0.18639493319028441</v>
      </c>
      <c r="J81" s="11">
        <v>-2</v>
      </c>
      <c r="K81" s="66">
        <f t="shared" si="16"/>
        <v>44066</v>
      </c>
      <c r="L81" s="11">
        <v>26</v>
      </c>
      <c r="M81" s="9">
        <f t="shared" si="19"/>
        <v>1.1505372155441143</v>
      </c>
      <c r="N81" s="11">
        <v>0</v>
      </c>
      <c r="O81" s="9">
        <f t="shared" si="20"/>
        <v>-0.21366149904100187</v>
      </c>
      <c r="P81" s="9">
        <v>103</v>
      </c>
      <c r="Q81" s="9">
        <f t="shared" si="23"/>
        <v>1.0712792772274244</v>
      </c>
      <c r="R81" s="12">
        <v>33.1</v>
      </c>
      <c r="S81" s="9">
        <f t="shared" si="21"/>
        <v>-1.7824933763287594</v>
      </c>
      <c r="T81" s="11">
        <v>15.63</v>
      </c>
      <c r="U81" s="11">
        <f t="shared" si="22"/>
        <v>-0.36103510105527309</v>
      </c>
      <c r="V81" s="11">
        <v>42.51</v>
      </c>
      <c r="W81" s="11">
        <f>(V81-(AVERAGE($V$2:$V$121)))/STDEV($V$2:$V200)</f>
        <v>0.39838578127137353</v>
      </c>
      <c r="X81" s="11">
        <v>32.700000000000003</v>
      </c>
      <c r="Y81" s="11">
        <f>(X81-(AVERAGE($X$2:$X$121)))/STDEV($X$2:$X200)</f>
        <v>0.5354468473852918</v>
      </c>
      <c r="Z81" s="13"/>
      <c r="AA81" s="13">
        <v>22</v>
      </c>
      <c r="AB81" s="13">
        <v>0.26418999999999998</v>
      </c>
      <c r="AC81" s="13">
        <v>-0.30216999999999999</v>
      </c>
      <c r="AD81" s="13">
        <v>-1.6970000000000001</v>
      </c>
      <c r="AE81" s="13">
        <v>0.47049000000000002</v>
      </c>
      <c r="AF81" s="13">
        <v>-0.50560000000000005</v>
      </c>
      <c r="AG81" s="13">
        <v>0.67481999999999998</v>
      </c>
      <c r="AH81" s="13">
        <v>-0.48613000000000001</v>
      </c>
      <c r="AI81" s="13">
        <v>1.0749999999999999E-2</v>
      </c>
      <c r="AJ81">
        <v>0.38547999999999999</v>
      </c>
    </row>
    <row r="82" spans="1:36" x14ac:dyDescent="0.35">
      <c r="A82" s="3">
        <v>81</v>
      </c>
      <c r="B82" s="9" t="s">
        <v>53</v>
      </c>
      <c r="C82" s="10">
        <v>44040</v>
      </c>
      <c r="D82" s="10">
        <v>44094</v>
      </c>
      <c r="E82" s="10">
        <v>44067</v>
      </c>
      <c r="F82" s="11">
        <v>25</v>
      </c>
      <c r="G82" s="9">
        <f t="shared" si="17"/>
        <v>-5.4853356114025122E-2</v>
      </c>
      <c r="H82" s="11">
        <v>0.1</v>
      </c>
      <c r="I82" s="9">
        <f t="shared" si="18"/>
        <v>-0.13383332880724211</v>
      </c>
      <c r="J82" s="11">
        <v>-2</v>
      </c>
      <c r="K82" s="66">
        <f t="shared" si="16"/>
        <v>44065</v>
      </c>
      <c r="L82" s="11">
        <v>26</v>
      </c>
      <c r="M82" s="9">
        <f t="shared" si="19"/>
        <v>1.1505372155441143</v>
      </c>
      <c r="N82" s="11">
        <v>0</v>
      </c>
      <c r="O82" s="9">
        <f t="shared" si="20"/>
        <v>-0.21366149904100187</v>
      </c>
      <c r="P82" s="9">
        <v>57</v>
      </c>
      <c r="Q82" s="9">
        <f t="shared" si="23"/>
        <v>-2.1491974682855548</v>
      </c>
      <c r="R82" s="12">
        <v>91</v>
      </c>
      <c r="S82" s="9">
        <f t="shared" si="21"/>
        <v>0.6543953171686594</v>
      </c>
      <c r="T82" s="11">
        <v>19</v>
      </c>
      <c r="U82" s="11">
        <f t="shared" si="22"/>
        <v>1.6730936292196084</v>
      </c>
      <c r="V82" s="11">
        <v>45.4</v>
      </c>
      <c r="W82" s="11">
        <f>(V82-(AVERAGE($V$2:$V$121)))/STDEV($V$2:$V201)</f>
        <v>2.3750018509575228</v>
      </c>
      <c r="X82" s="11">
        <v>33.799999999999997</v>
      </c>
      <c r="Y82" s="11">
        <f>(X82-(AVERAGE($X$2:$X$121)))/STDEV($X$2:$X201)</f>
        <v>1.4662550334180158</v>
      </c>
      <c r="Z82" s="13"/>
      <c r="AA82" s="13">
        <v>27</v>
      </c>
      <c r="AB82" s="13">
        <v>-1.2201</v>
      </c>
      <c r="AC82" s="13">
        <v>-0.72633999999999999</v>
      </c>
      <c r="AD82" s="13">
        <v>0.35182999999999998</v>
      </c>
      <c r="AE82" s="13">
        <v>1.8212999999999999</v>
      </c>
      <c r="AF82" s="13">
        <v>-0.28237000000000001</v>
      </c>
      <c r="AG82" s="13">
        <v>-5.5617E-2</v>
      </c>
      <c r="AH82" s="13">
        <v>2.5503000000000001E-2</v>
      </c>
      <c r="AI82" s="13">
        <v>0.32034000000000001</v>
      </c>
      <c r="AJ82">
        <v>0.42309999999999998</v>
      </c>
    </row>
    <row r="83" spans="1:36" x14ac:dyDescent="0.35">
      <c r="A83" s="3">
        <v>82</v>
      </c>
      <c r="B83" s="9" t="s">
        <v>53</v>
      </c>
      <c r="C83" s="10">
        <v>44040</v>
      </c>
      <c r="D83" s="10">
        <v>44095</v>
      </c>
      <c r="E83" s="10">
        <v>44067.5</v>
      </c>
      <c r="F83" s="11">
        <v>25</v>
      </c>
      <c r="G83" s="9">
        <f t="shared" si="17"/>
        <v>-5.4853356114025122E-2</v>
      </c>
      <c r="H83" s="11">
        <v>0.1</v>
      </c>
      <c r="I83" s="9">
        <f t="shared" si="18"/>
        <v>-0.13383332880724211</v>
      </c>
      <c r="J83" s="11">
        <v>-2</v>
      </c>
      <c r="K83" s="66">
        <f t="shared" si="16"/>
        <v>44065.5</v>
      </c>
      <c r="L83" s="11">
        <v>26</v>
      </c>
      <c r="M83" s="9">
        <f t="shared" si="19"/>
        <v>1.1505372155441143</v>
      </c>
      <c r="N83" s="11">
        <v>0</v>
      </c>
      <c r="O83" s="9">
        <f t="shared" si="20"/>
        <v>-0.21366149904100187</v>
      </c>
      <c r="P83" s="9">
        <v>76</v>
      </c>
      <c r="Q83" s="9">
        <f t="shared" si="23"/>
        <v>-0.81900055166062857</v>
      </c>
      <c r="R83" s="12">
        <v>83.7</v>
      </c>
      <c r="S83" s="9">
        <f t="shared" si="21"/>
        <v>0.34715373750490891</v>
      </c>
      <c r="T83" s="11">
        <v>16.79</v>
      </c>
      <c r="U83" s="11">
        <f t="shared" si="22"/>
        <v>0.33913977346070906</v>
      </c>
      <c r="V83" s="11">
        <v>41.42</v>
      </c>
      <c r="W83" s="11">
        <f>(V83-(AVERAGE($V$2:$V$121)))/STDEV($V$2:$V202)</f>
        <v>-0.34711993359295001</v>
      </c>
      <c r="X83" s="11">
        <v>32.08</v>
      </c>
      <c r="Y83" s="11">
        <f>(X83-(AVERAGE($X$2:$X$121)))/STDEV($X$2:$X202)</f>
        <v>1.0809506166840791E-2</v>
      </c>
      <c r="Z83" s="13"/>
      <c r="AA83" s="13">
        <v>53</v>
      </c>
      <c r="AB83" s="13">
        <v>0.51563999999999999</v>
      </c>
      <c r="AC83" s="13">
        <v>-1.643</v>
      </c>
      <c r="AD83" s="13">
        <v>0.48681999999999997</v>
      </c>
      <c r="AE83" s="13">
        <v>-0.22450000000000001</v>
      </c>
      <c r="AF83" s="13">
        <v>0.96791000000000005</v>
      </c>
      <c r="AG83" s="13">
        <v>0.64061999999999997</v>
      </c>
      <c r="AH83" s="13">
        <v>-0.3387</v>
      </c>
      <c r="AI83" s="13">
        <v>0.49667</v>
      </c>
      <c r="AJ83">
        <v>-7.4121000000000006E-2</v>
      </c>
    </row>
    <row r="84" spans="1:36" x14ac:dyDescent="0.35">
      <c r="A84" s="3">
        <v>83</v>
      </c>
      <c r="B84" s="9" t="s">
        <v>53</v>
      </c>
      <c r="C84" s="10">
        <v>44041</v>
      </c>
      <c r="D84" s="10">
        <v>44097</v>
      </c>
      <c r="E84" s="10">
        <v>44069</v>
      </c>
      <c r="F84" s="11">
        <v>25</v>
      </c>
      <c r="G84" s="9">
        <f t="shared" si="17"/>
        <v>-5.4853356114025122E-2</v>
      </c>
      <c r="H84" s="11">
        <v>0.1</v>
      </c>
      <c r="I84" s="9">
        <f t="shared" si="18"/>
        <v>-0.13383332880724211</v>
      </c>
      <c r="J84" s="11">
        <v>-2</v>
      </c>
      <c r="K84" s="66">
        <f t="shared" si="16"/>
        <v>44067</v>
      </c>
      <c r="L84" s="11">
        <v>25</v>
      </c>
      <c r="M84" s="9">
        <f t="shared" si="19"/>
        <v>4.6392629659036705E-2</v>
      </c>
      <c r="N84" s="11">
        <v>0.1</v>
      </c>
      <c r="O84" s="9">
        <f t="shared" si="20"/>
        <v>-0.13370640977723072</v>
      </c>
      <c r="P84" s="9">
        <v>103</v>
      </c>
      <c r="Q84" s="9">
        <f t="shared" si="23"/>
        <v>1.0712792772274244</v>
      </c>
      <c r="R84" s="12">
        <v>76.5</v>
      </c>
      <c r="S84" s="9">
        <f t="shared" si="21"/>
        <v>4.4120946603675375E-2</v>
      </c>
      <c r="T84" s="11">
        <v>16.34</v>
      </c>
      <c r="U84" s="11">
        <f t="shared" si="22"/>
        <v>6.7520210070888445E-2</v>
      </c>
      <c r="V84" s="11">
        <v>42</v>
      </c>
      <c r="W84" s="11">
        <f>(V84-(AVERAGE($V$2:$V$121)))/STDEV($V$2:$V203)</f>
        <v>4.9571180738525081E-2</v>
      </c>
      <c r="X84" s="11">
        <v>33.1</v>
      </c>
      <c r="Y84" s="11">
        <f>(X84-(AVERAGE($X$2:$X$121)))/STDEV($X$2:$X203)</f>
        <v>0.87392255139719199</v>
      </c>
      <c r="Z84" s="13"/>
      <c r="AA84" s="13">
        <v>62</v>
      </c>
      <c r="AB84" s="13">
        <v>0.57052999999999998</v>
      </c>
      <c r="AC84" s="13">
        <v>1.2763E-2</v>
      </c>
      <c r="AD84" s="13">
        <v>-0.29099000000000003</v>
      </c>
      <c r="AE84" s="13">
        <v>-1.5241</v>
      </c>
      <c r="AF84" s="13">
        <v>0.40451999999999999</v>
      </c>
      <c r="AG84" s="13">
        <v>0.41760000000000003</v>
      </c>
      <c r="AH84" s="13">
        <v>0.41542000000000001</v>
      </c>
      <c r="AI84" s="13">
        <v>-0.62763000000000002</v>
      </c>
      <c r="AJ84">
        <v>-8.8467000000000004E-2</v>
      </c>
    </row>
    <row r="85" spans="1:36" x14ac:dyDescent="0.35">
      <c r="A85" s="3">
        <v>84</v>
      </c>
      <c r="B85" s="9" t="s">
        <v>56</v>
      </c>
      <c r="C85" s="10">
        <v>44041</v>
      </c>
      <c r="D85" s="10">
        <v>44097</v>
      </c>
      <c r="E85" s="10">
        <v>44069</v>
      </c>
      <c r="F85" s="11">
        <v>25</v>
      </c>
      <c r="G85" s="9">
        <f t="shared" si="17"/>
        <v>-5.4853356114025122E-2</v>
      </c>
      <c r="H85" s="11">
        <v>0.1</v>
      </c>
      <c r="I85" s="9">
        <f t="shared" si="18"/>
        <v>-0.13383332880724211</v>
      </c>
      <c r="J85" s="11">
        <v>-2</v>
      </c>
      <c r="K85" s="66">
        <f t="shared" si="16"/>
        <v>44067</v>
      </c>
      <c r="L85" s="11">
        <v>25</v>
      </c>
      <c r="M85" s="9">
        <f t="shared" si="19"/>
        <v>4.6392629659036705E-2</v>
      </c>
      <c r="N85" s="11">
        <v>0.1</v>
      </c>
      <c r="O85" s="9">
        <f t="shared" si="20"/>
        <v>-0.13370640977723072</v>
      </c>
      <c r="P85" s="9">
        <v>94</v>
      </c>
      <c r="Q85" s="9">
        <f t="shared" si="23"/>
        <v>0.44118600093140686</v>
      </c>
      <c r="R85" s="12">
        <v>76.5</v>
      </c>
      <c r="S85" s="9">
        <f t="shared" si="21"/>
        <v>4.4120946603675375E-2</v>
      </c>
      <c r="T85" s="11">
        <v>14.5</v>
      </c>
      <c r="U85" s="11">
        <f t="shared" si="22"/>
        <v>-1.0431020046786019</v>
      </c>
      <c r="V85" s="11">
        <v>40.64</v>
      </c>
      <c r="W85" s="11">
        <f>(V85-(AVERAGE($V$2:$V$121)))/STDEV($V$2:$V204)</f>
        <v>-0.88060108734907405</v>
      </c>
      <c r="X85" s="11">
        <v>32.18</v>
      </c>
      <c r="Y85" s="11">
        <f>(X85-(AVERAGE($X$2:$X$121)))/STDEV($X$2:$X204)</f>
        <v>9.5428432169817334E-2</v>
      </c>
      <c r="Z85" s="13"/>
      <c r="AA85" s="13">
        <v>66</v>
      </c>
      <c r="AB85" s="13">
        <v>-0.77793999999999996</v>
      </c>
      <c r="AC85" s="13">
        <v>-0.14052000000000001</v>
      </c>
      <c r="AD85" s="13">
        <v>-6.6863000000000006E-2</v>
      </c>
      <c r="AE85" s="13">
        <v>-1.5741000000000001</v>
      </c>
      <c r="AF85" s="13">
        <v>0.24063999999999999</v>
      </c>
      <c r="AG85" s="13">
        <v>0.74516000000000004</v>
      </c>
      <c r="AH85" s="13">
        <v>0.4909</v>
      </c>
      <c r="AI85" s="13">
        <v>0.14693000000000001</v>
      </c>
      <c r="AJ85">
        <v>-0.32977000000000001</v>
      </c>
    </row>
    <row r="86" spans="1:36" x14ac:dyDescent="0.35">
      <c r="A86" s="3">
        <v>85</v>
      </c>
      <c r="B86" s="9" t="s">
        <v>53</v>
      </c>
      <c r="C86" s="10">
        <v>44041</v>
      </c>
      <c r="D86" s="10">
        <v>44095</v>
      </c>
      <c r="E86" s="10">
        <v>44068</v>
      </c>
      <c r="F86" s="11">
        <v>25</v>
      </c>
      <c r="G86" s="9">
        <f t="shared" si="17"/>
        <v>-5.4853356114025122E-2</v>
      </c>
      <c r="H86" s="11">
        <v>0</v>
      </c>
      <c r="I86" s="9">
        <f t="shared" si="18"/>
        <v>-0.18639493319028441</v>
      </c>
      <c r="J86" s="11">
        <v>-2</v>
      </c>
      <c r="K86" s="66">
        <f t="shared" si="16"/>
        <v>44066</v>
      </c>
      <c r="L86" s="11">
        <v>26</v>
      </c>
      <c r="M86" s="9">
        <f t="shared" si="19"/>
        <v>1.1505372155441143</v>
      </c>
      <c r="N86" s="11">
        <v>0</v>
      </c>
      <c r="O86" s="9">
        <f t="shared" si="20"/>
        <v>-0.21366149904100187</v>
      </c>
      <c r="P86" s="9">
        <v>77</v>
      </c>
      <c r="Q86" s="9">
        <f t="shared" si="23"/>
        <v>-0.74899018762773761</v>
      </c>
      <c r="R86" s="12">
        <v>91</v>
      </c>
      <c r="S86" s="9">
        <f t="shared" si="21"/>
        <v>0.6543953171686594</v>
      </c>
      <c r="T86" s="11">
        <v>15.74</v>
      </c>
      <c r="U86" s="11">
        <f t="shared" si="22"/>
        <v>-0.29463920778220604</v>
      </c>
      <c r="V86" s="11">
        <v>41.31</v>
      </c>
      <c r="W86" s="11">
        <f>(V86-(AVERAGE($V$2:$V$121)))/STDEV($V$2:$V205)</f>
        <v>-0.4223544552765055</v>
      </c>
      <c r="X86" s="11">
        <v>31.4</v>
      </c>
      <c r="Y86" s="11">
        <f>(X86-(AVERAGE($X$2:$X$121)))/STDEV($X$2:$X205)</f>
        <v>-0.56459919065339126</v>
      </c>
      <c r="Z86" s="13"/>
      <c r="AA86" s="13">
        <v>67</v>
      </c>
      <c r="AB86" s="13">
        <v>0.37880000000000003</v>
      </c>
      <c r="AC86" s="13">
        <v>0.34408</v>
      </c>
      <c r="AD86" s="13">
        <v>-0.73326000000000002</v>
      </c>
      <c r="AE86" s="13">
        <v>-1.4877</v>
      </c>
      <c r="AF86" s="13">
        <v>-0.21242</v>
      </c>
      <c r="AG86" s="13">
        <v>7.2181999999999996E-2</v>
      </c>
      <c r="AH86" s="13">
        <v>0.18115999999999999</v>
      </c>
      <c r="AI86" s="13">
        <v>1.8273999999999999E-2</v>
      </c>
      <c r="AJ86">
        <v>-9.5626000000000003E-2</v>
      </c>
    </row>
    <row r="87" spans="1:36" x14ac:dyDescent="0.35">
      <c r="A87" s="3">
        <v>86</v>
      </c>
      <c r="B87" s="9" t="s">
        <v>56</v>
      </c>
      <c r="C87" s="10">
        <v>44041</v>
      </c>
      <c r="D87" s="10">
        <v>44092</v>
      </c>
      <c r="E87" s="10">
        <v>44066.5</v>
      </c>
      <c r="F87" s="11">
        <v>26</v>
      </c>
      <c r="G87" s="9">
        <f t="shared" si="17"/>
        <v>1.033071540147477</v>
      </c>
      <c r="H87" s="11">
        <v>0</v>
      </c>
      <c r="I87" s="9">
        <f t="shared" si="18"/>
        <v>-0.18639493319028441</v>
      </c>
      <c r="J87" s="11">
        <v>-2</v>
      </c>
      <c r="K87" s="66">
        <f t="shared" si="16"/>
        <v>44064.5</v>
      </c>
      <c r="L87" s="11">
        <v>24</v>
      </c>
      <c r="M87" s="9">
        <f t="shared" si="19"/>
        <v>-1.0577519562260409</v>
      </c>
      <c r="N87" s="11">
        <v>0.2</v>
      </c>
      <c r="O87" s="9">
        <f t="shared" si="20"/>
        <v>-5.3751320513459572E-2</v>
      </c>
      <c r="P87" s="9">
        <v>102</v>
      </c>
      <c r="Q87" s="9">
        <f t="shared" si="23"/>
        <v>1.0012689131945336</v>
      </c>
      <c r="R87" s="12">
        <v>100</v>
      </c>
      <c r="S87" s="9">
        <f t="shared" si="21"/>
        <v>1.0331863057952011</v>
      </c>
      <c r="T87" s="11">
        <v>17.399999999999999</v>
      </c>
      <c r="U87" s="11">
        <f t="shared" si="22"/>
        <v>0.707335181611355</v>
      </c>
      <c r="V87" s="11">
        <v>41.34</v>
      </c>
      <c r="W87" s="11">
        <f>(V87-(AVERAGE($V$2:$V$121)))/STDEV($V$2:$V206)</f>
        <v>-0.40183594936280764</v>
      </c>
      <c r="X87" s="11">
        <v>31.47</v>
      </c>
      <c r="Y87" s="11">
        <f>(X87-(AVERAGE($X$2:$X$121)))/STDEV($X$2:$X206)</f>
        <v>-0.50536594245130828</v>
      </c>
      <c r="Z87" s="13"/>
      <c r="AA87" s="13">
        <v>71</v>
      </c>
      <c r="AB87" s="13">
        <v>-0.63763999999999998</v>
      </c>
      <c r="AC87" s="13">
        <v>0.44681999999999999</v>
      </c>
      <c r="AD87" s="13">
        <v>-0.64510999999999996</v>
      </c>
      <c r="AE87" s="13">
        <v>-1.9508000000000001</v>
      </c>
      <c r="AF87" s="13">
        <v>-0.59213000000000005</v>
      </c>
      <c r="AG87" s="13">
        <v>-0.26405000000000001</v>
      </c>
      <c r="AH87" s="13">
        <v>-0.13883999999999999</v>
      </c>
      <c r="AI87" s="13">
        <v>-6.7468E-2</v>
      </c>
      <c r="AJ87">
        <v>-0.36708000000000002</v>
      </c>
    </row>
    <row r="88" spans="1:36" x14ac:dyDescent="0.35">
      <c r="A88" s="3">
        <v>87</v>
      </c>
      <c r="B88" s="9" t="s">
        <v>53</v>
      </c>
      <c r="C88" s="10">
        <v>44041</v>
      </c>
      <c r="D88" s="10">
        <v>44095</v>
      </c>
      <c r="E88" s="10">
        <v>44068</v>
      </c>
      <c r="F88" s="11">
        <v>25</v>
      </c>
      <c r="G88" s="9">
        <f t="shared" si="17"/>
        <v>-5.4853356114025122E-2</v>
      </c>
      <c r="H88" s="11">
        <v>0</v>
      </c>
      <c r="I88" s="9">
        <f t="shared" si="18"/>
        <v>-0.18639493319028441</v>
      </c>
      <c r="J88" s="11">
        <v>-2</v>
      </c>
      <c r="K88" s="66">
        <f t="shared" si="16"/>
        <v>44066</v>
      </c>
      <c r="L88" s="11">
        <v>26</v>
      </c>
      <c r="M88" s="9">
        <f t="shared" si="19"/>
        <v>1.1505372155441143</v>
      </c>
      <c r="N88" s="11">
        <v>0</v>
      </c>
      <c r="O88" s="9">
        <f t="shared" si="20"/>
        <v>-0.21366149904100187</v>
      </c>
      <c r="P88" s="9">
        <v>85</v>
      </c>
      <c r="Q88" s="9">
        <f t="shared" si="23"/>
        <v>-0.18890727536461083</v>
      </c>
      <c r="R88" s="12">
        <v>91</v>
      </c>
      <c r="S88" s="9">
        <f t="shared" si="21"/>
        <v>0.6543953171686594</v>
      </c>
      <c r="T88" s="11">
        <v>16.54</v>
      </c>
      <c r="U88" s="11">
        <f t="shared" si="22"/>
        <v>0.18824001602191959</v>
      </c>
      <c r="V88" s="11">
        <v>42</v>
      </c>
      <c r="W88" s="11">
        <f>(V88-(AVERAGE($V$2:$V$121)))/STDEV($V$2:$V207)</f>
        <v>4.9571180738525081E-2</v>
      </c>
      <c r="X88" s="11">
        <v>33</v>
      </c>
      <c r="Y88" s="11">
        <f>(X88-(AVERAGE($X$2:$X$121)))/STDEV($X$2:$X207)</f>
        <v>0.78930362539421539</v>
      </c>
      <c r="Z88" s="13"/>
      <c r="AA88" s="13">
        <v>76</v>
      </c>
      <c r="AB88" s="13">
        <v>2.5868000000000002</v>
      </c>
      <c r="AC88" s="13">
        <v>0.35009000000000001</v>
      </c>
      <c r="AD88" s="13">
        <v>-0.38435000000000002</v>
      </c>
      <c r="AE88" s="13">
        <v>-1.2884</v>
      </c>
      <c r="AF88" s="13">
        <v>0.39452999999999999</v>
      </c>
      <c r="AG88" s="13">
        <v>0.22519</v>
      </c>
      <c r="AH88" s="13">
        <v>0.68976000000000004</v>
      </c>
      <c r="AI88" s="13">
        <v>0.20788999999999999</v>
      </c>
      <c r="AJ88">
        <v>-0.64383999999999997</v>
      </c>
    </row>
    <row r="89" spans="1:36" x14ac:dyDescent="0.35">
      <c r="A89" s="3">
        <v>88</v>
      </c>
      <c r="B89" s="9" t="s">
        <v>56</v>
      </c>
      <c r="C89" s="10">
        <v>44041</v>
      </c>
      <c r="D89" s="10">
        <v>44094</v>
      </c>
      <c r="E89" s="10">
        <v>44067.5</v>
      </c>
      <c r="F89" s="11">
        <v>25</v>
      </c>
      <c r="G89" s="9">
        <f t="shared" si="17"/>
        <v>-5.4853356114025122E-2</v>
      </c>
      <c r="H89" s="11">
        <v>0.1</v>
      </c>
      <c r="I89" s="9">
        <f t="shared" si="18"/>
        <v>-0.13383332880724211</v>
      </c>
      <c r="J89" s="11">
        <v>-2</v>
      </c>
      <c r="K89" s="66">
        <f t="shared" si="16"/>
        <v>44065.5</v>
      </c>
      <c r="L89" s="11">
        <v>26</v>
      </c>
      <c r="M89" s="9">
        <f t="shared" si="19"/>
        <v>1.1505372155441143</v>
      </c>
      <c r="N89" s="11">
        <v>0</v>
      </c>
      <c r="O89" s="9">
        <f t="shared" si="20"/>
        <v>-0.21366149904100187</v>
      </c>
      <c r="P89" s="9">
        <v>119</v>
      </c>
      <c r="Q89" s="9">
        <f t="shared" si="23"/>
        <v>2.1914451017536782</v>
      </c>
      <c r="R89" s="12">
        <v>98.2</v>
      </c>
      <c r="S89" s="9">
        <f t="shared" si="21"/>
        <v>0.95742810806989287</v>
      </c>
      <c r="T89" s="11">
        <v>15.75</v>
      </c>
      <c r="U89" s="11">
        <f t="shared" si="22"/>
        <v>-0.28860321748465462</v>
      </c>
      <c r="V89" s="11">
        <v>42.3</v>
      </c>
      <c r="W89" s="11">
        <f>(V89-(AVERAGE($V$2:$V$121)))/STDEV($V$2:$V208)</f>
        <v>0.25475623987549362</v>
      </c>
      <c r="X89" s="11">
        <v>31.7</v>
      </c>
      <c r="Y89" s="11">
        <f>(X89-(AVERAGE($X$2:$X$121)))/STDEV($X$2:$X208)</f>
        <v>-0.31074241264446467</v>
      </c>
      <c r="Z89" s="13"/>
      <c r="AA89" s="13">
        <v>86</v>
      </c>
      <c r="AB89" s="13">
        <v>0.25711000000000001</v>
      </c>
      <c r="AC89" s="13">
        <v>-0.15204999999999999</v>
      </c>
      <c r="AD89" s="13">
        <v>0.34343000000000001</v>
      </c>
      <c r="AE89" s="13">
        <v>-1.7766999999999999</v>
      </c>
      <c r="AF89" s="13">
        <v>0.66632000000000002</v>
      </c>
      <c r="AG89" s="13">
        <v>0.70101999999999998</v>
      </c>
      <c r="AH89" s="13">
        <v>0.57433000000000001</v>
      </c>
      <c r="AI89" s="13">
        <v>-0.47481000000000001</v>
      </c>
      <c r="AJ89">
        <v>-0.60238000000000003</v>
      </c>
    </row>
    <row r="90" spans="1:36" x14ac:dyDescent="0.35">
      <c r="A90" s="3">
        <v>89</v>
      </c>
      <c r="B90" s="9" t="s">
        <v>53</v>
      </c>
      <c r="C90" s="10">
        <v>44041</v>
      </c>
      <c r="D90" s="10">
        <v>44097</v>
      </c>
      <c r="E90" s="10">
        <v>44069</v>
      </c>
      <c r="F90" s="11">
        <v>25</v>
      </c>
      <c r="G90" s="9">
        <f t="shared" si="17"/>
        <v>-5.4853356114025122E-2</v>
      </c>
      <c r="H90" s="11">
        <v>0.1</v>
      </c>
      <c r="I90" s="9">
        <f t="shared" si="18"/>
        <v>-0.13383332880724211</v>
      </c>
      <c r="J90" s="11">
        <v>-2</v>
      </c>
      <c r="K90" s="66">
        <f t="shared" si="16"/>
        <v>44067</v>
      </c>
      <c r="L90" s="11">
        <v>25</v>
      </c>
      <c r="M90" s="9">
        <f t="shared" si="19"/>
        <v>4.6392629659036705E-2</v>
      </c>
      <c r="N90" s="11">
        <v>0.1</v>
      </c>
      <c r="O90" s="9">
        <f t="shared" si="20"/>
        <v>-0.13370640977723072</v>
      </c>
      <c r="P90" s="9">
        <v>90</v>
      </c>
      <c r="Q90" s="9">
        <f t="shared" si="23"/>
        <v>0.16114454479984344</v>
      </c>
      <c r="R90" s="12">
        <v>69.3</v>
      </c>
      <c r="S90" s="9">
        <f t="shared" si="21"/>
        <v>-0.25891184429755815</v>
      </c>
      <c r="T90" s="11">
        <v>20.83</v>
      </c>
      <c r="U90" s="11">
        <f t="shared" si="22"/>
        <v>2.7776798536715464</v>
      </c>
      <c r="V90" s="11">
        <v>45.32</v>
      </c>
      <c r="W90" s="11">
        <f>(V90-(AVERAGE($V$2:$V$121)))/STDEV($V$2:$V209)</f>
        <v>2.3202858351876654</v>
      </c>
      <c r="X90" s="11">
        <v>36</v>
      </c>
      <c r="Y90" s="11">
        <f>(X90-(AVERAGE($X$2:$X$121)))/STDEV($X$2:$X209)</f>
        <v>3.3278714054834757</v>
      </c>
      <c r="Z90" s="13"/>
      <c r="AA90" s="13">
        <v>18</v>
      </c>
      <c r="AB90" s="13">
        <v>-0.29365000000000002</v>
      </c>
      <c r="AC90" s="13">
        <v>-0.91666000000000003</v>
      </c>
      <c r="AD90" s="13">
        <v>-1.2635000000000001</v>
      </c>
      <c r="AE90" s="13">
        <v>1.0636000000000001</v>
      </c>
      <c r="AF90" s="13">
        <v>0.20658000000000001</v>
      </c>
      <c r="AG90" s="13">
        <v>1.8887</v>
      </c>
      <c r="AH90" s="13">
        <v>0.15501999999999999</v>
      </c>
      <c r="AI90" s="13">
        <v>0.50072000000000005</v>
      </c>
      <c r="AJ90">
        <v>0.49259999999999998</v>
      </c>
    </row>
    <row r="91" spans="1:36" x14ac:dyDescent="0.35">
      <c r="A91" s="3">
        <v>90</v>
      </c>
      <c r="B91" s="9" t="s">
        <v>56</v>
      </c>
      <c r="C91" s="10">
        <v>44042</v>
      </c>
      <c r="D91" s="10">
        <v>44094</v>
      </c>
      <c r="E91" s="10">
        <v>44068</v>
      </c>
      <c r="F91" s="11">
        <v>25</v>
      </c>
      <c r="G91" s="9">
        <f t="shared" si="17"/>
        <v>-5.4853356114025122E-2</v>
      </c>
      <c r="H91" s="11">
        <v>0</v>
      </c>
      <c r="I91" s="9">
        <f t="shared" si="18"/>
        <v>-0.18639493319028441</v>
      </c>
      <c r="J91" s="11">
        <v>-2</v>
      </c>
      <c r="K91" s="66">
        <f t="shared" si="16"/>
        <v>44066</v>
      </c>
      <c r="L91" s="11">
        <v>26</v>
      </c>
      <c r="M91" s="9">
        <f t="shared" si="19"/>
        <v>1.1505372155441143</v>
      </c>
      <c r="N91" s="11">
        <v>0</v>
      </c>
      <c r="O91" s="9">
        <f t="shared" si="20"/>
        <v>-0.21366149904100187</v>
      </c>
      <c r="P91" s="9">
        <v>68</v>
      </c>
      <c r="Q91" s="9">
        <f t="shared" si="23"/>
        <v>-1.3790834639237552</v>
      </c>
      <c r="R91" s="12">
        <v>76.5</v>
      </c>
      <c r="S91" s="9">
        <f t="shared" si="21"/>
        <v>4.4120946603675375E-2</v>
      </c>
      <c r="T91" s="11">
        <v>16.63</v>
      </c>
      <c r="U91" s="11">
        <f t="shared" si="22"/>
        <v>0.24256392869988369</v>
      </c>
      <c r="V91" s="11">
        <v>42.9</v>
      </c>
      <c r="W91" s="11">
        <f>(V91-(AVERAGE($V$2:$V$121)))/STDEV($V$2:$V210)</f>
        <v>0.66512635814943555</v>
      </c>
      <c r="X91" s="11">
        <v>33.4</v>
      </c>
      <c r="Y91" s="11">
        <f>(X91-(AVERAGE($X$2:$X$121)))/STDEV($X$2:$X210)</f>
        <v>1.1277793294061156</v>
      </c>
      <c r="Z91" s="13"/>
      <c r="AA91" s="13">
        <v>42</v>
      </c>
      <c r="AB91" s="13">
        <v>1.4350000000000001</v>
      </c>
      <c r="AC91" s="13">
        <v>-1.0311999999999999</v>
      </c>
      <c r="AD91" s="13">
        <v>-4.1304E-2</v>
      </c>
      <c r="AE91" s="13">
        <v>1.1514</v>
      </c>
      <c r="AF91" s="13">
        <v>0.42524000000000001</v>
      </c>
      <c r="AG91" s="13">
        <v>2.1137E-2</v>
      </c>
      <c r="AH91" s="13">
        <v>-0.14421</v>
      </c>
      <c r="AI91" s="13">
        <v>-0.88139999999999996</v>
      </c>
      <c r="AJ91">
        <v>-0.64271</v>
      </c>
    </row>
    <row r="92" spans="1:36" x14ac:dyDescent="0.35">
      <c r="A92" s="3">
        <v>91</v>
      </c>
      <c r="B92" s="9" t="s">
        <v>56</v>
      </c>
      <c r="C92" s="10">
        <v>44041</v>
      </c>
      <c r="D92" s="10">
        <v>44093</v>
      </c>
      <c r="E92" s="10">
        <v>44067</v>
      </c>
      <c r="F92" s="11">
        <v>25</v>
      </c>
      <c r="G92" s="9">
        <f t="shared" si="17"/>
        <v>-5.4853356114025122E-2</v>
      </c>
      <c r="H92" s="11">
        <v>0.1</v>
      </c>
      <c r="I92" s="9">
        <f t="shared" si="18"/>
        <v>-0.13383332880724211</v>
      </c>
      <c r="J92" s="11">
        <v>-2</v>
      </c>
      <c r="K92" s="66">
        <f t="shared" si="16"/>
        <v>44065</v>
      </c>
      <c r="L92" s="11">
        <v>26</v>
      </c>
      <c r="M92" s="9">
        <f t="shared" si="19"/>
        <v>1.1505372155441143</v>
      </c>
      <c r="N92" s="11">
        <v>0</v>
      </c>
      <c r="O92" s="9">
        <f t="shared" si="20"/>
        <v>-0.21366149904100187</v>
      </c>
      <c r="P92" s="9">
        <v>101</v>
      </c>
      <c r="Q92" s="9">
        <f t="shared" si="23"/>
        <v>0.93125854916164286</v>
      </c>
      <c r="R92" s="12">
        <v>100</v>
      </c>
      <c r="S92" s="9">
        <f t="shared" si="21"/>
        <v>1.0331863057952011</v>
      </c>
      <c r="T92" s="11">
        <v>17.8</v>
      </c>
      <c r="U92" s="11">
        <f t="shared" si="22"/>
        <v>0.94877479351341942</v>
      </c>
      <c r="V92" s="11">
        <v>41.6</v>
      </c>
      <c r="W92" s="11">
        <f>(V92-(AVERAGE($V$2:$V$121)))/STDEV($V$2:$V211)</f>
        <v>-0.22400889811076793</v>
      </c>
      <c r="X92" s="11">
        <v>32.1</v>
      </c>
      <c r="Y92" s="11">
        <f>(X92-(AVERAGE($X$2:$X$121)))/STDEV($X$2:$X211)</f>
        <v>2.7733291367438507E-2</v>
      </c>
      <c r="Z92" s="13"/>
      <c r="AA92" s="13">
        <v>54</v>
      </c>
      <c r="AB92" s="13">
        <v>3.3380999999999998</v>
      </c>
      <c r="AC92" s="13">
        <v>-0.21634</v>
      </c>
      <c r="AD92" s="13">
        <v>-1.7674000000000001</v>
      </c>
      <c r="AE92" s="13">
        <v>0.46294000000000002</v>
      </c>
      <c r="AF92" s="13">
        <v>-0.7228</v>
      </c>
      <c r="AG92" s="13">
        <v>-1.0530999999999999</v>
      </c>
      <c r="AH92" s="13">
        <v>-1.1405000000000001</v>
      </c>
      <c r="AI92" s="13">
        <v>0.49734</v>
      </c>
      <c r="AJ92">
        <v>-0.65835999999999995</v>
      </c>
    </row>
    <row r="93" spans="1:36" x14ac:dyDescent="0.35">
      <c r="A93" s="3">
        <v>92</v>
      </c>
      <c r="B93" s="9" t="s">
        <v>53</v>
      </c>
      <c r="C93" s="10">
        <v>44042</v>
      </c>
      <c r="D93" s="10">
        <v>44094</v>
      </c>
      <c r="E93" s="10">
        <v>44068</v>
      </c>
      <c r="F93" s="11">
        <v>25</v>
      </c>
      <c r="G93" s="9">
        <f t="shared" si="17"/>
        <v>-5.4853356114025122E-2</v>
      </c>
      <c r="H93" s="11">
        <v>0</v>
      </c>
      <c r="I93" s="9">
        <f t="shared" si="18"/>
        <v>-0.18639493319028441</v>
      </c>
      <c r="J93" s="11">
        <v>-2</v>
      </c>
      <c r="K93" s="66">
        <f t="shared" si="16"/>
        <v>44066</v>
      </c>
      <c r="L93" s="11">
        <v>26</v>
      </c>
      <c r="M93" s="9">
        <f t="shared" si="19"/>
        <v>1.1505372155441143</v>
      </c>
      <c r="N93" s="11">
        <v>0</v>
      </c>
      <c r="O93" s="9">
        <f t="shared" si="20"/>
        <v>-0.21366149904100187</v>
      </c>
      <c r="P93" s="9">
        <v>79</v>
      </c>
      <c r="Q93" s="9">
        <f t="shared" si="23"/>
        <v>-0.60896945956195592</v>
      </c>
      <c r="R93" s="12">
        <v>83.7</v>
      </c>
      <c r="S93" s="9">
        <f t="shared" si="21"/>
        <v>0.34715373750490891</v>
      </c>
      <c r="T93" s="11">
        <v>15.97</v>
      </c>
      <c r="U93" s="11">
        <f t="shared" si="22"/>
        <v>-0.15581143093851949</v>
      </c>
      <c r="V93" s="11">
        <v>42</v>
      </c>
      <c r="W93" s="11">
        <f>(V93-(AVERAGE($V$2:$V$121)))/STDEV($V$2:$V212)</f>
        <v>4.9571180738525081E-2</v>
      </c>
      <c r="X93" s="11">
        <v>30.9</v>
      </c>
      <c r="Y93" s="11">
        <f>(X93-(AVERAGE($X$2:$X$121)))/STDEV($X$2:$X212)</f>
        <v>-0.98769382066826805</v>
      </c>
      <c r="Z93" s="13"/>
      <c r="AA93" s="13">
        <v>58</v>
      </c>
      <c r="AB93" s="13">
        <v>0.10077999999999999</v>
      </c>
      <c r="AC93" s="13">
        <v>-0.10872</v>
      </c>
      <c r="AD93" s="13">
        <v>-0.48653999999999997</v>
      </c>
      <c r="AE93" s="13">
        <v>-0.98411999999999999</v>
      </c>
      <c r="AF93" s="13">
        <v>0.32047999999999999</v>
      </c>
      <c r="AG93" s="13">
        <v>0.95421999999999996</v>
      </c>
      <c r="AH93" s="13">
        <v>0.63954</v>
      </c>
      <c r="AI93" s="13">
        <v>9.1280000000000007E-3</v>
      </c>
      <c r="AJ93">
        <v>-0.37713999999999998</v>
      </c>
    </row>
    <row r="94" spans="1:36" x14ac:dyDescent="0.35">
      <c r="A94" s="3">
        <v>93</v>
      </c>
      <c r="B94" s="9" t="s">
        <v>53</v>
      </c>
      <c r="C94" s="10">
        <v>44042</v>
      </c>
      <c r="D94" s="10">
        <v>44097</v>
      </c>
      <c r="E94" s="10">
        <v>44069.5</v>
      </c>
      <c r="F94" s="11">
        <v>25</v>
      </c>
      <c r="G94" s="9">
        <f t="shared" si="17"/>
        <v>-5.4853356114025122E-2</v>
      </c>
      <c r="H94" s="11">
        <v>0.1</v>
      </c>
      <c r="I94" s="9">
        <f t="shared" si="18"/>
        <v>-0.13383332880724211</v>
      </c>
      <c r="J94" s="11">
        <v>-2</v>
      </c>
      <c r="K94" s="66">
        <f t="shared" si="16"/>
        <v>44067.5</v>
      </c>
      <c r="L94" s="11">
        <v>25</v>
      </c>
      <c r="M94" s="9">
        <f t="shared" si="19"/>
        <v>4.6392629659036705E-2</v>
      </c>
      <c r="N94" s="11">
        <v>0.1</v>
      </c>
      <c r="O94" s="9">
        <f t="shared" si="20"/>
        <v>-0.13370640977723072</v>
      </c>
      <c r="P94" s="9">
        <v>83</v>
      </c>
      <c r="Q94" s="9">
        <f t="shared" si="23"/>
        <v>-0.32892800343039252</v>
      </c>
      <c r="R94" s="12">
        <v>83.7</v>
      </c>
      <c r="S94" s="9">
        <f t="shared" si="21"/>
        <v>0.34715373750490891</v>
      </c>
      <c r="T94" s="11">
        <v>16.100000000000001</v>
      </c>
      <c r="U94" s="11">
        <f t="shared" si="22"/>
        <v>-7.7343557070348498E-2</v>
      </c>
      <c r="V94" s="11">
        <v>41.9</v>
      </c>
      <c r="W94" s="11">
        <f>(V94-(AVERAGE($V$2:$V$121)))/STDEV($V$2:$V213)</f>
        <v>-1.8823838973799384E-2</v>
      </c>
      <c r="X94" s="11">
        <v>31.4</v>
      </c>
      <c r="Y94" s="11">
        <f>(X94-(AVERAGE($X$2:$X$121)))/STDEV($X$2:$X213)</f>
        <v>-0.56459919065339126</v>
      </c>
      <c r="Z94" s="13"/>
      <c r="AA94" s="13">
        <v>61</v>
      </c>
      <c r="AB94" s="13">
        <v>-1.0403</v>
      </c>
      <c r="AC94" s="13">
        <v>0.58523000000000003</v>
      </c>
      <c r="AD94" s="13">
        <v>-1.1879999999999999</v>
      </c>
      <c r="AE94" s="13">
        <v>-1.5711999999999999</v>
      </c>
      <c r="AF94" s="13">
        <v>-0.99770999999999999</v>
      </c>
      <c r="AG94" s="13">
        <v>-0.20524000000000001</v>
      </c>
      <c r="AH94" s="13">
        <v>-0.32335000000000003</v>
      </c>
      <c r="AI94" s="13">
        <v>5.0584999999999998E-2</v>
      </c>
      <c r="AJ94">
        <v>-0.19578999999999999</v>
      </c>
    </row>
    <row r="95" spans="1:36" x14ac:dyDescent="0.35">
      <c r="A95" s="3">
        <v>94</v>
      </c>
      <c r="B95" s="9" t="s">
        <v>49</v>
      </c>
      <c r="C95" s="10">
        <v>44042</v>
      </c>
      <c r="D95" s="10">
        <v>44100</v>
      </c>
      <c r="E95" s="10">
        <v>44071</v>
      </c>
      <c r="F95" s="11">
        <v>26</v>
      </c>
      <c r="G95" s="9">
        <f t="shared" si="17"/>
        <v>1.033071540147477</v>
      </c>
      <c r="H95" s="11">
        <v>0</v>
      </c>
      <c r="I95" s="9">
        <f t="shared" si="18"/>
        <v>-0.18639493319028441</v>
      </c>
      <c r="J95" s="11">
        <v>-2</v>
      </c>
      <c r="K95" s="66">
        <f t="shared" si="16"/>
        <v>44069</v>
      </c>
      <c r="L95" s="11">
        <v>25</v>
      </c>
      <c r="M95" s="9">
        <f t="shared" si="19"/>
        <v>4.6392629659036705E-2</v>
      </c>
      <c r="N95" s="11">
        <v>0.1</v>
      </c>
      <c r="O95" s="9">
        <f t="shared" si="20"/>
        <v>-0.13370640977723072</v>
      </c>
      <c r="P95" s="9">
        <v>83</v>
      </c>
      <c r="Q95" s="9">
        <f t="shared" si="23"/>
        <v>-0.32892800343039252</v>
      </c>
      <c r="R95" s="12">
        <v>62</v>
      </c>
      <c r="S95" s="9">
        <f t="shared" si="21"/>
        <v>-0.56615342396130863</v>
      </c>
      <c r="T95" s="11">
        <v>16.183</v>
      </c>
      <c r="U95" s="11">
        <f t="shared" si="22"/>
        <v>-2.7244837600671361E-2</v>
      </c>
      <c r="V95" s="11">
        <v>41.92</v>
      </c>
      <c r="W95" s="11">
        <f>(V95-(AVERAGE($V$2:$V$121)))/STDEV($V$2:$V214)</f>
        <v>-5.1448350313325463E-3</v>
      </c>
      <c r="X95" s="11">
        <v>31.86</v>
      </c>
      <c r="Y95" s="11">
        <f>(X95-(AVERAGE($X$2:$X$121)))/STDEV($X$2:$X214)</f>
        <v>-0.17535213103970401</v>
      </c>
      <c r="Z95" s="13"/>
      <c r="AA95" s="13">
        <v>91</v>
      </c>
      <c r="AB95" s="13">
        <v>0.52449999999999997</v>
      </c>
      <c r="AC95" s="13">
        <v>-5.0376999999999998E-2</v>
      </c>
      <c r="AD95" s="13">
        <v>1.4246000000000001</v>
      </c>
      <c r="AE95" s="13">
        <v>-7.1469999999999997E-3</v>
      </c>
      <c r="AF95" s="13">
        <v>0.49736000000000002</v>
      </c>
      <c r="AG95" s="13">
        <v>-0.68942000000000003</v>
      </c>
      <c r="AH95" s="13">
        <v>0.89812000000000003</v>
      </c>
      <c r="AI95" s="13">
        <v>-0.31452999999999998</v>
      </c>
      <c r="AJ95">
        <v>-0.58396000000000003</v>
      </c>
    </row>
    <row r="96" spans="1:36" x14ac:dyDescent="0.35">
      <c r="A96" s="3">
        <v>95</v>
      </c>
      <c r="B96" s="9" t="s">
        <v>49</v>
      </c>
      <c r="C96" s="10">
        <v>44043</v>
      </c>
      <c r="D96" s="10">
        <v>44101</v>
      </c>
      <c r="E96" s="10">
        <v>44072</v>
      </c>
      <c r="F96" s="11">
        <v>25</v>
      </c>
      <c r="G96" s="9">
        <f t="shared" si="17"/>
        <v>-5.4853356114025122E-2</v>
      </c>
      <c r="H96" s="11">
        <v>0</v>
      </c>
      <c r="I96" s="9">
        <f t="shared" si="18"/>
        <v>-0.18639493319028441</v>
      </c>
      <c r="J96" s="11">
        <v>-2</v>
      </c>
      <c r="K96" s="66">
        <f t="shared" si="16"/>
        <v>44070</v>
      </c>
      <c r="L96" s="11">
        <v>25</v>
      </c>
      <c r="M96" s="9">
        <f t="shared" si="19"/>
        <v>4.6392629659036705E-2</v>
      </c>
      <c r="N96" s="11">
        <v>0</v>
      </c>
      <c r="O96" s="9">
        <f t="shared" si="20"/>
        <v>-0.21366149904100187</v>
      </c>
      <c r="P96" s="9">
        <v>91</v>
      </c>
      <c r="Q96" s="9">
        <f t="shared" si="23"/>
        <v>0.23115490883273429</v>
      </c>
      <c r="R96" s="12">
        <v>54.8</v>
      </c>
      <c r="S96" s="9">
        <f t="shared" si="21"/>
        <v>-0.86918621486254211</v>
      </c>
      <c r="T96" s="11">
        <v>16.04</v>
      </c>
      <c r="U96" s="11">
        <f t="shared" si="22"/>
        <v>-0.11355949885565934</v>
      </c>
      <c r="V96" s="11">
        <v>41.2</v>
      </c>
      <c r="W96" s="11">
        <f>(V96-(AVERAGE($V$2:$V$121)))/STDEV($V$2:$V215)</f>
        <v>-0.49758897696006094</v>
      </c>
      <c r="X96" s="11">
        <v>32.75</v>
      </c>
      <c r="Y96" s="11">
        <f>(X96-(AVERAGE($X$2:$X$121)))/STDEV($X$2:$X215)</f>
        <v>0.57775631038677699</v>
      </c>
      <c r="Z96" s="13"/>
      <c r="AA96" s="13">
        <v>101</v>
      </c>
      <c r="AB96" s="13">
        <v>2.1548000000000001E-3</v>
      </c>
      <c r="AC96" s="13">
        <v>0.15387000000000001</v>
      </c>
      <c r="AD96" s="13">
        <v>1.1225000000000001</v>
      </c>
      <c r="AE96" s="13">
        <v>-0.19195000000000001</v>
      </c>
      <c r="AF96" s="13">
        <v>2.8178000000000002E-2</v>
      </c>
      <c r="AG96" s="13">
        <v>-1.0479000000000001</v>
      </c>
      <c r="AH96" s="13">
        <v>0.48663000000000001</v>
      </c>
      <c r="AI96" s="13">
        <v>-0.44144</v>
      </c>
      <c r="AJ96">
        <v>0.10271</v>
      </c>
    </row>
    <row r="97" spans="1:36" x14ac:dyDescent="0.35">
      <c r="A97" s="3">
        <v>96</v>
      </c>
      <c r="B97" s="9" t="s">
        <v>49</v>
      </c>
      <c r="C97" s="10">
        <v>44042</v>
      </c>
      <c r="D97" s="10">
        <v>44095</v>
      </c>
      <c r="E97" s="10">
        <v>44068.5</v>
      </c>
      <c r="F97" s="11">
        <v>25</v>
      </c>
      <c r="G97" s="9">
        <f t="shared" si="17"/>
        <v>-5.4853356114025122E-2</v>
      </c>
      <c r="H97" s="11">
        <v>0</v>
      </c>
      <c r="I97" s="9">
        <f t="shared" si="18"/>
        <v>-0.18639493319028441</v>
      </c>
      <c r="J97" s="11">
        <v>-2</v>
      </c>
      <c r="K97" s="66">
        <f t="shared" si="16"/>
        <v>44066.5</v>
      </c>
      <c r="L97" s="11">
        <v>26</v>
      </c>
      <c r="M97" s="9">
        <f t="shared" si="19"/>
        <v>1.1505372155441143</v>
      </c>
      <c r="N97" s="11">
        <v>0</v>
      </c>
      <c r="O97" s="9">
        <f t="shared" si="20"/>
        <v>-0.21366149904100187</v>
      </c>
      <c r="P97" s="9">
        <v>87</v>
      </c>
      <c r="Q97" s="9">
        <f t="shared" si="23"/>
        <v>-4.8886547298829131E-2</v>
      </c>
      <c r="R97" s="12">
        <v>98.2</v>
      </c>
      <c r="S97" s="9">
        <f t="shared" si="21"/>
        <v>0.95742810806989287</v>
      </c>
      <c r="T97" s="11">
        <v>15.3</v>
      </c>
      <c r="U97" s="11">
        <f t="shared" si="22"/>
        <v>-0.56022278087447519</v>
      </c>
      <c r="V97" s="11">
        <v>41.388888888888893</v>
      </c>
      <c r="W97" s="11">
        <f>(V97-(AVERAGE($V$2:$V$121)))/STDEV($V$2:$V216)</f>
        <v>-0.36839838417011578</v>
      </c>
      <c r="X97" s="11">
        <v>30.7</v>
      </c>
      <c r="Y97" s="11">
        <f>(X97-(AVERAGE($X$2:$X$121)))/STDEV($X$2:$X216)</f>
        <v>-1.156931672674218</v>
      </c>
      <c r="Z97" s="13"/>
      <c r="AA97" s="13">
        <v>7</v>
      </c>
      <c r="AB97" s="13">
        <v>-0.35561999999999999</v>
      </c>
      <c r="AC97" s="13">
        <v>-0.75792000000000004</v>
      </c>
      <c r="AD97" s="13">
        <v>-1.9592000000000001</v>
      </c>
      <c r="AE97" s="13">
        <v>1.5007999999999999</v>
      </c>
      <c r="AF97" s="13">
        <v>-0.16855999999999999</v>
      </c>
      <c r="AG97" s="13">
        <v>1.8225</v>
      </c>
      <c r="AH97" s="13">
        <v>-0.13349</v>
      </c>
      <c r="AI97" s="13">
        <v>-0.42038999999999999</v>
      </c>
      <c r="AJ97">
        <v>-2.2759999999999999E-2</v>
      </c>
    </row>
    <row r="98" spans="1:36" x14ac:dyDescent="0.35">
      <c r="A98" s="3">
        <v>97</v>
      </c>
      <c r="B98" s="9" t="s">
        <v>53</v>
      </c>
      <c r="C98" s="10">
        <v>44042</v>
      </c>
      <c r="D98" s="10">
        <v>44094</v>
      </c>
      <c r="E98" s="10">
        <v>44068</v>
      </c>
      <c r="F98" s="11">
        <v>25</v>
      </c>
      <c r="G98" s="9">
        <f t="shared" ref="G98:G103" si="24">(F98-(AVERAGE($F$2:$F$121)))/STDEV($F$2:$F$121)</f>
        <v>-5.4853356114025122E-2</v>
      </c>
      <c r="H98" s="11">
        <v>0</v>
      </c>
      <c r="I98" s="9">
        <f t="shared" ref="I98:I103" si="25">(H98-(AVERAGE($H$2:$H$121)))/STDEV($H$2:$H$121)</f>
        <v>-0.18639493319028441</v>
      </c>
      <c r="J98" s="11">
        <v>-2</v>
      </c>
      <c r="K98" s="66">
        <f t="shared" si="16"/>
        <v>44066</v>
      </c>
      <c r="L98" s="11">
        <v>26</v>
      </c>
      <c r="M98" s="9">
        <f t="shared" ref="M98:M103" si="26">(L98-(AVERAGE($L$2:$L$121)))/STDEV($L$2:$L$121)</f>
        <v>1.1505372155441143</v>
      </c>
      <c r="N98" s="11">
        <v>0</v>
      </c>
      <c r="O98" s="9">
        <f t="shared" ref="O98:O103" si="27">(N98-(AVERAGE($N$2:$N$121)))/STDEV($N$2:$N$121)</f>
        <v>-0.21366149904100187</v>
      </c>
      <c r="P98" s="9">
        <v>110</v>
      </c>
      <c r="Q98" s="9">
        <f t="shared" si="23"/>
        <v>1.5613518254576606</v>
      </c>
      <c r="R98" s="12">
        <v>100</v>
      </c>
      <c r="S98" s="9">
        <f t="shared" si="21"/>
        <v>1.0331863057952011</v>
      </c>
      <c r="T98" s="11">
        <v>14.9</v>
      </c>
      <c r="U98" s="11">
        <f t="shared" si="22"/>
        <v>-0.80166239277653861</v>
      </c>
      <c r="V98" s="11">
        <v>39.888888888888886</v>
      </c>
      <c r="W98" s="11">
        <f>(V98-(AVERAGE($V$2:$V$121)))/STDEV($V$2:$V217)</f>
        <v>-1.3943236798549732</v>
      </c>
      <c r="X98" s="11"/>
      <c r="Y98" s="11"/>
      <c r="Z98" s="13"/>
      <c r="AA98" s="13">
        <v>19</v>
      </c>
      <c r="AB98" s="13">
        <v>-0.88002999999999998</v>
      </c>
      <c r="AC98" s="13">
        <v>-0.35215999999999997</v>
      </c>
      <c r="AD98" s="13">
        <v>-0.67076000000000002</v>
      </c>
      <c r="AE98" s="13">
        <v>2.4367000000000001</v>
      </c>
      <c r="AF98" s="13">
        <v>-0.91818999999999995</v>
      </c>
      <c r="AG98" s="13">
        <v>-0.26608999999999999</v>
      </c>
      <c r="AH98" s="13">
        <v>-0.28971999999999998</v>
      </c>
      <c r="AI98" s="13">
        <v>6.4243999999999996E-2</v>
      </c>
      <c r="AJ98">
        <v>0.29260999999999998</v>
      </c>
    </row>
    <row r="99" spans="1:36" x14ac:dyDescent="0.35">
      <c r="A99" s="3">
        <v>98</v>
      </c>
      <c r="B99" s="9" t="s">
        <v>49</v>
      </c>
      <c r="C99" s="10">
        <v>44043</v>
      </c>
      <c r="D99" s="10">
        <v>44099</v>
      </c>
      <c r="E99" s="10">
        <v>44071</v>
      </c>
      <c r="F99" s="11">
        <v>26</v>
      </c>
      <c r="G99" s="9">
        <f t="shared" si="24"/>
        <v>1.033071540147477</v>
      </c>
      <c r="H99" s="11">
        <v>0</v>
      </c>
      <c r="I99" s="9">
        <f t="shared" si="25"/>
        <v>-0.18639493319028441</v>
      </c>
      <c r="J99" s="11">
        <v>-2</v>
      </c>
      <c r="K99" s="66">
        <f t="shared" si="16"/>
        <v>44069</v>
      </c>
      <c r="L99" s="11">
        <v>25</v>
      </c>
      <c r="M99" s="9">
        <f t="shared" si="26"/>
        <v>4.6392629659036705E-2</v>
      </c>
      <c r="N99" s="11">
        <v>0.1</v>
      </c>
      <c r="O99" s="9">
        <f t="shared" si="27"/>
        <v>-0.13370640977723072</v>
      </c>
      <c r="P99" s="9">
        <v>79</v>
      </c>
      <c r="Q99" s="9">
        <f t="shared" si="23"/>
        <v>-0.60896945956195592</v>
      </c>
      <c r="R99" s="12">
        <v>76.5</v>
      </c>
      <c r="S99" s="9">
        <f t="shared" si="21"/>
        <v>4.4120946603675375E-2</v>
      </c>
      <c r="T99" s="11">
        <v>15.4</v>
      </c>
      <c r="U99" s="11">
        <f t="shared" si="22"/>
        <v>-0.49986287789895967</v>
      </c>
      <c r="V99" s="11">
        <v>42.8</v>
      </c>
      <c r="W99" s="11">
        <f>(V99-(AVERAGE($V$2:$V$121)))/STDEV($V$2:$V218)</f>
        <v>0.59673133843711113</v>
      </c>
      <c r="X99" s="11">
        <v>31.66</v>
      </c>
      <c r="Y99" s="11">
        <f>(X99-(AVERAGE($X$2:$X$121)))/STDEV($X$2:$X218)</f>
        <v>-0.34458998304565408</v>
      </c>
      <c r="Z99" s="13"/>
      <c r="AA99" s="13">
        <v>32</v>
      </c>
      <c r="AB99" s="13">
        <v>1.8597999999999999</v>
      </c>
      <c r="AC99" s="13">
        <v>-1.2069000000000001</v>
      </c>
      <c r="AD99" s="13">
        <v>-0.20824999999999999</v>
      </c>
      <c r="AE99" s="13">
        <v>1.5672999999999999</v>
      </c>
      <c r="AF99" s="13">
        <v>0.82959000000000005</v>
      </c>
      <c r="AG99" s="13">
        <v>0.39417000000000002</v>
      </c>
      <c r="AH99" s="13">
        <v>-8.7015999999999996E-2</v>
      </c>
      <c r="AI99" s="13">
        <v>-1.6031</v>
      </c>
      <c r="AJ99">
        <v>0.20760999999999999</v>
      </c>
    </row>
    <row r="100" spans="1:36" x14ac:dyDescent="0.35">
      <c r="A100" s="3">
        <v>99</v>
      </c>
      <c r="B100" s="9" t="s">
        <v>57</v>
      </c>
      <c r="C100" s="10">
        <v>44043</v>
      </c>
      <c r="D100" s="10">
        <v>44097</v>
      </c>
      <c r="E100" s="10">
        <v>44070</v>
      </c>
      <c r="F100" s="11">
        <v>25</v>
      </c>
      <c r="G100" s="9">
        <f t="shared" si="24"/>
        <v>-5.4853356114025122E-2</v>
      </c>
      <c r="H100" s="11">
        <v>0</v>
      </c>
      <c r="I100" s="9">
        <f t="shared" si="25"/>
        <v>-0.18639493319028441</v>
      </c>
      <c r="J100" s="11">
        <v>-2</v>
      </c>
      <c r="K100" s="66">
        <f t="shared" si="16"/>
        <v>44068</v>
      </c>
      <c r="L100" s="11">
        <v>25</v>
      </c>
      <c r="M100" s="9">
        <f t="shared" si="26"/>
        <v>4.6392629659036705E-2</v>
      </c>
      <c r="N100" s="11">
        <v>0.1</v>
      </c>
      <c r="O100" s="9">
        <f t="shared" si="27"/>
        <v>-0.13370640977723072</v>
      </c>
      <c r="P100" s="9">
        <v>64</v>
      </c>
      <c r="Q100" s="9">
        <f t="shared" si="23"/>
        <v>-1.6591249200553189</v>
      </c>
      <c r="R100" s="12">
        <v>91</v>
      </c>
      <c r="S100" s="9">
        <f t="shared" ref="S100:S121" si="28">(R100-(AVERAGE($R$2:$R$121)))/STDEV($R$2:$R$121)</f>
        <v>0.6543953171686594</v>
      </c>
      <c r="T100" s="11">
        <v>15.52</v>
      </c>
      <c r="U100" s="11">
        <f t="shared" si="22"/>
        <v>-0.4274309943283412</v>
      </c>
      <c r="V100" s="11">
        <v>41.3</v>
      </c>
      <c r="W100" s="11">
        <f>(V100-(AVERAGE($V$2:$V$121)))/STDEV($V$2:$V219)</f>
        <v>-0.42919395724774134</v>
      </c>
      <c r="X100" s="11">
        <v>31.76</v>
      </c>
      <c r="Y100" s="11">
        <f>(X100-(AVERAGE($X$2:$X$121)))/STDEV($X$2:$X219)</f>
        <v>-0.25997105704267753</v>
      </c>
      <c r="Z100" s="13"/>
      <c r="AA100" s="13">
        <v>64</v>
      </c>
      <c r="AB100" s="13">
        <v>2.4186999999999999</v>
      </c>
      <c r="AC100" s="13">
        <v>0.52705000000000002</v>
      </c>
      <c r="AD100" s="13">
        <v>-1.0085</v>
      </c>
      <c r="AE100" s="13">
        <v>-0.87960000000000005</v>
      </c>
      <c r="AF100" s="13">
        <v>-2.2485999999999999E-2</v>
      </c>
      <c r="AG100" s="13">
        <v>0.20383999999999999</v>
      </c>
      <c r="AH100" s="13">
        <v>0.47533999999999998</v>
      </c>
      <c r="AI100" s="13">
        <v>3.7108000000000002E-2</v>
      </c>
      <c r="AJ100">
        <v>-0.71323000000000003</v>
      </c>
    </row>
    <row r="101" spans="1:36" x14ac:dyDescent="0.35">
      <c r="A101" s="3">
        <v>100</v>
      </c>
      <c r="B101" s="9" t="s">
        <v>57</v>
      </c>
      <c r="C101" s="10">
        <v>44043</v>
      </c>
      <c r="D101" s="10">
        <v>44096</v>
      </c>
      <c r="E101" s="10">
        <v>44069.5</v>
      </c>
      <c r="F101" s="11">
        <v>25</v>
      </c>
      <c r="G101" s="9">
        <f t="shared" si="24"/>
        <v>-5.4853356114025122E-2</v>
      </c>
      <c r="H101" s="11">
        <v>0.1</v>
      </c>
      <c r="I101" s="9">
        <f t="shared" si="25"/>
        <v>-0.13383332880724211</v>
      </c>
      <c r="J101" s="11">
        <v>-2</v>
      </c>
      <c r="K101" s="66">
        <f t="shared" si="16"/>
        <v>44067.5</v>
      </c>
      <c r="L101" s="11">
        <v>25</v>
      </c>
      <c r="M101" s="9">
        <f t="shared" si="26"/>
        <v>4.6392629659036705E-2</v>
      </c>
      <c r="N101" s="11">
        <v>0.1</v>
      </c>
      <c r="O101" s="9">
        <f t="shared" si="27"/>
        <v>-0.13370640977723072</v>
      </c>
      <c r="P101" s="9">
        <v>73</v>
      </c>
      <c r="Q101" s="9">
        <f t="shared" si="23"/>
        <v>-1.029031643759301</v>
      </c>
      <c r="R101" s="12">
        <v>98.2</v>
      </c>
      <c r="S101" s="9">
        <f t="shared" si="28"/>
        <v>0.95742810806989287</v>
      </c>
      <c r="T101" s="11">
        <v>16.38</v>
      </c>
      <c r="U101" s="11">
        <f t="shared" si="22"/>
        <v>9.1664171261094232E-2</v>
      </c>
      <c r="V101" s="11">
        <v>42.25</v>
      </c>
      <c r="W101" s="11">
        <f>(V101-(AVERAGE($V$2:$V$121)))/STDEV($V$2:$V220)</f>
        <v>0.22055873001933382</v>
      </c>
      <c r="X101" s="11">
        <v>30.97</v>
      </c>
      <c r="Y101" s="11">
        <f>(X101-(AVERAGE($X$2:$X$121)))/STDEV($X$2:$X220)</f>
        <v>-0.92846057246618507</v>
      </c>
      <c r="Z101" s="13"/>
      <c r="AA101" s="13">
        <v>68</v>
      </c>
      <c r="AB101" s="13">
        <v>2.5525000000000002</v>
      </c>
      <c r="AC101" s="13">
        <v>0.20391000000000001</v>
      </c>
      <c r="AD101" s="13">
        <v>-0.79466000000000003</v>
      </c>
      <c r="AE101" s="13">
        <v>-0.76692000000000005</v>
      </c>
      <c r="AF101" s="13">
        <v>0.61387000000000003</v>
      </c>
      <c r="AG101" s="13">
        <v>0.60718000000000005</v>
      </c>
      <c r="AH101" s="13">
        <v>0.55127999999999999</v>
      </c>
      <c r="AI101" s="13">
        <v>-0.89824999999999999</v>
      </c>
      <c r="AJ101">
        <v>0.25896000000000002</v>
      </c>
    </row>
    <row r="102" spans="1:36" x14ac:dyDescent="0.35">
      <c r="A102" s="3">
        <v>101</v>
      </c>
      <c r="B102" s="9" t="s">
        <v>49</v>
      </c>
      <c r="C102" s="10">
        <v>44043</v>
      </c>
      <c r="D102" s="10">
        <v>44093</v>
      </c>
      <c r="E102" s="10">
        <v>44068</v>
      </c>
      <c r="F102" s="11">
        <v>25</v>
      </c>
      <c r="G102" s="9">
        <f t="shared" si="24"/>
        <v>-5.4853356114025122E-2</v>
      </c>
      <c r="H102" s="11">
        <v>0</v>
      </c>
      <c r="I102" s="9">
        <f t="shared" si="25"/>
        <v>-0.18639493319028441</v>
      </c>
      <c r="J102" s="11">
        <v>-2</v>
      </c>
      <c r="K102" s="66">
        <f t="shared" si="16"/>
        <v>44066</v>
      </c>
      <c r="L102" s="11">
        <v>26</v>
      </c>
      <c r="M102" s="9">
        <f t="shared" si="26"/>
        <v>1.1505372155441143</v>
      </c>
      <c r="N102" s="11">
        <v>0</v>
      </c>
      <c r="O102" s="9">
        <f t="shared" si="27"/>
        <v>-0.21366149904100187</v>
      </c>
      <c r="P102" s="9">
        <v>90</v>
      </c>
      <c r="Q102" s="9">
        <f t="shared" si="23"/>
        <v>0.16114454479984344</v>
      </c>
      <c r="R102" s="12">
        <v>100</v>
      </c>
      <c r="S102" s="9">
        <f t="shared" si="28"/>
        <v>1.0331863057952011</v>
      </c>
      <c r="T102" s="11">
        <v>16.71</v>
      </c>
      <c r="U102" s="11">
        <f t="shared" si="22"/>
        <v>0.29085185108029743</v>
      </c>
      <c r="V102" s="11">
        <v>42.12</v>
      </c>
      <c r="W102" s="11">
        <f>(V102-(AVERAGE($V$2:$V$121)))/STDEV($V$2:$V221)</f>
        <v>0.13164520439331154</v>
      </c>
      <c r="X102" s="11">
        <v>31.46</v>
      </c>
      <c r="Y102" s="11">
        <f>(X102-(AVERAGE($X$2:$X$121)))/STDEV($X$2:$X221)</f>
        <v>-0.51382783505160423</v>
      </c>
      <c r="Z102" s="13"/>
      <c r="AA102" s="13">
        <v>69</v>
      </c>
      <c r="AB102" s="13">
        <v>0.24854000000000001</v>
      </c>
      <c r="AC102" s="13">
        <v>0.47675000000000001</v>
      </c>
      <c r="AD102" s="13">
        <v>-1.1335</v>
      </c>
      <c r="AE102" s="13">
        <v>-1.1315</v>
      </c>
      <c r="AF102" s="13">
        <v>-0.38490000000000002</v>
      </c>
      <c r="AG102" s="13">
        <v>0.25263999999999998</v>
      </c>
      <c r="AH102" s="13">
        <v>-0.11468</v>
      </c>
      <c r="AI102" s="13">
        <v>-0.29777999999999999</v>
      </c>
      <c r="AJ102">
        <v>0.81642999999999999</v>
      </c>
    </row>
    <row r="103" spans="1:36" x14ac:dyDescent="0.35">
      <c r="A103" s="3">
        <v>102</v>
      </c>
      <c r="B103" s="9" t="s">
        <v>53</v>
      </c>
      <c r="C103" s="10">
        <v>44043</v>
      </c>
      <c r="D103" s="10">
        <v>44099</v>
      </c>
      <c r="E103" s="10">
        <v>44071</v>
      </c>
      <c r="F103" s="11">
        <v>26</v>
      </c>
      <c r="G103" s="9">
        <f t="shared" si="24"/>
        <v>1.033071540147477</v>
      </c>
      <c r="H103" s="11">
        <v>0</v>
      </c>
      <c r="I103" s="9">
        <f t="shared" si="25"/>
        <v>-0.18639493319028441</v>
      </c>
      <c r="J103" s="11">
        <v>-2</v>
      </c>
      <c r="K103" s="66">
        <f t="shared" si="16"/>
        <v>44069</v>
      </c>
      <c r="L103" s="11">
        <v>25</v>
      </c>
      <c r="M103" s="9">
        <f t="shared" si="26"/>
        <v>4.6392629659036705E-2</v>
      </c>
      <c r="N103" s="11">
        <v>0.1</v>
      </c>
      <c r="O103" s="9">
        <f t="shared" si="27"/>
        <v>-0.13370640977723072</v>
      </c>
      <c r="P103" s="9">
        <v>86</v>
      </c>
      <c r="Q103" s="9">
        <f t="shared" si="23"/>
        <v>-0.11889691133171998</v>
      </c>
      <c r="R103" s="12">
        <v>76.5</v>
      </c>
      <c r="S103" s="9">
        <f t="shared" si="28"/>
        <v>4.4120946603675375E-2</v>
      </c>
      <c r="T103" s="11">
        <v>17.96</v>
      </c>
      <c r="U103" s="11">
        <f t="shared" ref="U103" si="29">(T103-(AVERAGE($T$2:$T$121)))/STDEV($T$2:$T$121)</f>
        <v>1.0453506382742448</v>
      </c>
      <c r="V103" s="11">
        <v>44.5</v>
      </c>
      <c r="W103" s="11">
        <f>(V103-(AVERAGE($V$2:$V$121)))/STDEV($V$2:$V222)</f>
        <v>1.7594466735466125</v>
      </c>
      <c r="X103" s="11">
        <v>33.65</v>
      </c>
      <c r="Y103" s="11">
        <f>(X103-(AVERAGE($X$2:$X$121)))/STDEV($X$2:$X222)</f>
        <v>1.3393266444135539</v>
      </c>
      <c r="Z103" s="13"/>
      <c r="AA103" s="13">
        <v>72</v>
      </c>
      <c r="AB103" s="13">
        <v>0.48171999999999998</v>
      </c>
      <c r="AC103" s="13">
        <v>-2.3935999999999999E-2</v>
      </c>
      <c r="AD103" s="13">
        <v>-0.28167999999999999</v>
      </c>
      <c r="AE103" s="13">
        <v>-0.79793000000000003</v>
      </c>
      <c r="AF103" s="13">
        <v>0.25844</v>
      </c>
      <c r="AG103" s="13">
        <v>1.2337</v>
      </c>
      <c r="AH103" s="13">
        <v>0.97646999999999995</v>
      </c>
      <c r="AI103" s="13">
        <v>1.5175000000000001</v>
      </c>
      <c r="AJ103">
        <v>-0.76924999999999999</v>
      </c>
    </row>
    <row r="104" spans="1:36" x14ac:dyDescent="0.35">
      <c r="A104" s="3">
        <v>103</v>
      </c>
      <c r="B104" s="15" t="s">
        <v>49</v>
      </c>
      <c r="C104" s="10">
        <v>44044</v>
      </c>
      <c r="D104" s="18"/>
      <c r="E104" s="18"/>
      <c r="F104" s="18"/>
      <c r="G104" s="18"/>
      <c r="H104" s="18"/>
      <c r="J104" s="18"/>
      <c r="K104" s="18"/>
      <c r="L104" s="18"/>
      <c r="M104" s="18"/>
      <c r="N104" s="18"/>
      <c r="O104" s="18"/>
      <c r="P104" s="15">
        <v>71</v>
      </c>
      <c r="Q104" s="9">
        <f t="shared" ref="Q104:Q121" si="30">(P104-(AVERAGE($P$2:$P$121)))/STDEV($P$2:$P$121)</f>
        <v>-1.1690523718250827</v>
      </c>
      <c r="R104" s="12">
        <v>33.1</v>
      </c>
      <c r="S104" s="9">
        <f t="shared" si="28"/>
        <v>-1.7824933763287594</v>
      </c>
      <c r="T104" s="16"/>
      <c r="U104" s="11"/>
      <c r="V104" s="16"/>
      <c r="W104" s="11"/>
      <c r="X104" s="16"/>
      <c r="Y104" s="11"/>
      <c r="Z104" s="13"/>
      <c r="AA104" s="14">
        <v>73</v>
      </c>
      <c r="AB104" s="14">
        <v>0.10929</v>
      </c>
      <c r="AC104" s="14">
        <v>0.28638999999999998</v>
      </c>
      <c r="AD104" s="14">
        <v>-0.64315</v>
      </c>
      <c r="AE104" s="14">
        <v>-1.3658999999999999</v>
      </c>
      <c r="AF104" s="14">
        <v>-0.15198999999999999</v>
      </c>
      <c r="AG104" s="14">
        <v>0.36152000000000001</v>
      </c>
      <c r="AH104" s="14">
        <v>0.12177</v>
      </c>
      <c r="AI104" s="14">
        <v>-0.39887</v>
      </c>
      <c r="AJ104">
        <v>-0.34898000000000001</v>
      </c>
    </row>
    <row r="105" spans="1:36" x14ac:dyDescent="0.35">
      <c r="A105" s="3">
        <v>104</v>
      </c>
      <c r="B105" s="9" t="s">
        <v>49</v>
      </c>
      <c r="C105" s="10">
        <v>44044</v>
      </c>
      <c r="D105" s="10">
        <v>44097</v>
      </c>
      <c r="E105" s="10">
        <v>44070.5</v>
      </c>
      <c r="F105" s="11">
        <v>25</v>
      </c>
      <c r="G105" s="9">
        <f t="shared" ref="G105:G121" si="31">(F105-(AVERAGE($F$2:$F$121)))/STDEV($F$2:$F$121)</f>
        <v>-5.4853356114025122E-2</v>
      </c>
      <c r="H105" s="11">
        <v>0</v>
      </c>
      <c r="I105" s="9">
        <f t="shared" ref="I105:I121" si="32">(H105-(AVERAGE($H$2:$H$121)))/STDEV($H$2:$H$121)</f>
        <v>-0.18639493319028441</v>
      </c>
      <c r="J105" s="11">
        <v>-2</v>
      </c>
      <c r="K105" s="66">
        <f t="shared" ref="K105:K121" si="33">E105+J105</f>
        <v>44068.5</v>
      </c>
      <c r="L105" s="11">
        <v>25</v>
      </c>
      <c r="M105" s="9">
        <f t="shared" ref="M105:M121" si="34">(L105-(AVERAGE($L$2:$L$121)))/STDEV($L$2:$L$121)</f>
        <v>4.6392629659036705E-2</v>
      </c>
      <c r="N105" s="11">
        <v>0</v>
      </c>
      <c r="O105" s="9">
        <f t="shared" ref="O105:O121" si="35">(N105-(AVERAGE($N$2:$N$121)))/STDEV($N$2:$N$121)</f>
        <v>-0.21366149904100187</v>
      </c>
      <c r="P105" s="9">
        <v>96</v>
      </c>
      <c r="Q105" s="9">
        <f t="shared" si="30"/>
        <v>0.5812067289971885</v>
      </c>
      <c r="R105" s="12">
        <v>98.2</v>
      </c>
      <c r="S105" s="9">
        <f t="shared" si="28"/>
        <v>0.95742810806989287</v>
      </c>
      <c r="T105" s="11">
        <v>15.48</v>
      </c>
      <c r="U105" s="11">
        <f t="shared" ref="U105:U121" si="36">(T105-(AVERAGE($T$2:$T$121)))/STDEV($T$2:$T$121)</f>
        <v>-0.45157495551854698</v>
      </c>
      <c r="V105" s="11">
        <v>40.5</v>
      </c>
      <c r="W105" s="11">
        <f>(V105-(AVERAGE($V$2:$V$121)))/STDEV($V$2:$V224)</f>
        <v>-0.97635411494632729</v>
      </c>
      <c r="X105" s="11">
        <v>30.61</v>
      </c>
      <c r="Y105" s="11">
        <f>(X105-(AVERAGE($X$2:$X$121)))/STDEV($X$2:$X224)</f>
        <v>-1.2330887060768958</v>
      </c>
      <c r="Z105" s="13"/>
      <c r="AA105" s="13">
        <v>81</v>
      </c>
      <c r="AB105" s="13">
        <v>2.7852999999999999</v>
      </c>
      <c r="AC105" s="13">
        <v>1.319</v>
      </c>
      <c r="AD105" s="13">
        <v>-0.6925</v>
      </c>
      <c r="AE105" s="13">
        <v>0.48081000000000002</v>
      </c>
      <c r="AF105" s="13">
        <v>-1.1116999999999999</v>
      </c>
      <c r="AG105" s="13">
        <v>-2.3304</v>
      </c>
      <c r="AH105" s="13">
        <v>-4.6862000000000001E-2</v>
      </c>
      <c r="AI105" s="13">
        <v>-3.8409E-3</v>
      </c>
      <c r="AJ105">
        <v>0.41905999999999999</v>
      </c>
    </row>
    <row r="106" spans="1:36" x14ac:dyDescent="0.35">
      <c r="A106" s="3">
        <v>105</v>
      </c>
      <c r="B106" s="9" t="s">
        <v>53</v>
      </c>
      <c r="C106" s="10">
        <v>44044</v>
      </c>
      <c r="D106" s="10">
        <v>44096</v>
      </c>
      <c r="E106" s="10">
        <v>44070</v>
      </c>
      <c r="F106" s="11">
        <v>25</v>
      </c>
      <c r="G106" s="9">
        <f t="shared" si="31"/>
        <v>-5.4853356114025122E-2</v>
      </c>
      <c r="H106" s="11">
        <v>0</v>
      </c>
      <c r="I106" s="9">
        <f t="shared" si="32"/>
        <v>-0.18639493319028441</v>
      </c>
      <c r="J106" s="11">
        <v>-2</v>
      </c>
      <c r="K106" s="66">
        <f t="shared" si="33"/>
        <v>44068</v>
      </c>
      <c r="L106" s="11">
        <v>25</v>
      </c>
      <c r="M106" s="9">
        <f t="shared" si="34"/>
        <v>4.6392629659036705E-2</v>
      </c>
      <c r="N106" s="11">
        <v>0</v>
      </c>
      <c r="O106" s="9">
        <f t="shared" si="35"/>
        <v>-0.21366149904100187</v>
      </c>
      <c r="P106" s="9">
        <v>90</v>
      </c>
      <c r="Q106" s="9">
        <f t="shared" si="30"/>
        <v>0.16114454479984344</v>
      </c>
      <c r="R106" s="12">
        <v>100</v>
      </c>
      <c r="S106" s="9">
        <f t="shared" si="28"/>
        <v>1.0331863057952011</v>
      </c>
      <c r="T106" s="11">
        <v>14.47</v>
      </c>
      <c r="U106" s="11">
        <f t="shared" si="36"/>
        <v>-1.0612099755712563</v>
      </c>
      <c r="V106" s="11">
        <v>40.75</v>
      </c>
      <c r="W106" s="11">
        <f>(V106-(AVERAGE($V$2:$V$121)))/STDEV($V$2:$V225)</f>
        <v>-0.80536656566551856</v>
      </c>
      <c r="X106" s="11">
        <v>30.3</v>
      </c>
      <c r="Y106" s="11">
        <f>(X106-(AVERAGE($X$2:$X$121)))/STDEV($X$2:$X225)</f>
        <v>-1.4954073766861182</v>
      </c>
      <c r="Z106" s="13"/>
      <c r="AA106" s="13">
        <v>88</v>
      </c>
      <c r="AB106" s="13">
        <v>2.3200999999999999E-2</v>
      </c>
      <c r="AC106" s="13">
        <v>-0.51549999999999996</v>
      </c>
      <c r="AD106" s="13">
        <v>1.9307000000000001</v>
      </c>
      <c r="AE106" s="13">
        <v>6.5465999999999996E-2</v>
      </c>
      <c r="AF106" s="13">
        <v>1.1879999999999999</v>
      </c>
      <c r="AG106" s="13">
        <v>1.7646999999999999E-2</v>
      </c>
      <c r="AH106" s="13">
        <v>1.1687000000000001</v>
      </c>
      <c r="AI106" s="13">
        <v>-0.25753999999999999</v>
      </c>
      <c r="AJ106">
        <v>0.71431999999999995</v>
      </c>
    </row>
    <row r="107" spans="1:36" x14ac:dyDescent="0.35">
      <c r="A107" s="3">
        <v>106</v>
      </c>
      <c r="B107" s="9" t="s">
        <v>53</v>
      </c>
      <c r="C107" s="10">
        <v>44044</v>
      </c>
      <c r="D107" s="10">
        <v>44098</v>
      </c>
      <c r="E107" s="10">
        <v>44071</v>
      </c>
      <c r="F107" s="11">
        <v>26</v>
      </c>
      <c r="G107" s="9">
        <f t="shared" si="31"/>
        <v>1.033071540147477</v>
      </c>
      <c r="H107" s="11">
        <v>0</v>
      </c>
      <c r="I107" s="9">
        <f t="shared" si="32"/>
        <v>-0.18639493319028441</v>
      </c>
      <c r="J107" s="11">
        <v>-2</v>
      </c>
      <c r="K107" s="66">
        <f t="shared" si="33"/>
        <v>44069</v>
      </c>
      <c r="L107" s="11">
        <v>25</v>
      </c>
      <c r="M107" s="9">
        <f t="shared" si="34"/>
        <v>4.6392629659036705E-2</v>
      </c>
      <c r="N107" s="11">
        <v>0.1</v>
      </c>
      <c r="O107" s="9">
        <f t="shared" si="35"/>
        <v>-0.13370640977723072</v>
      </c>
      <c r="P107" s="9">
        <v>90</v>
      </c>
      <c r="Q107" s="9">
        <f t="shared" si="30"/>
        <v>0.16114454479984344</v>
      </c>
      <c r="R107" s="12">
        <v>91</v>
      </c>
      <c r="S107" s="9">
        <f t="shared" si="28"/>
        <v>0.6543953171686594</v>
      </c>
      <c r="T107" s="11">
        <v>15.21</v>
      </c>
      <c r="U107" s="11">
        <f t="shared" si="36"/>
        <v>-0.61454669355243929</v>
      </c>
      <c r="V107" s="11">
        <v>40.5</v>
      </c>
      <c r="W107" s="11">
        <f>(V107-(AVERAGE($V$2:$V$121)))/STDEV($V$2:$V226)</f>
        <v>-0.97635411494632729</v>
      </c>
      <c r="X107" s="11">
        <v>31.1</v>
      </c>
      <c r="Y107" s="11">
        <f>(X107-(AVERAGE($X$2:$X$121)))/STDEV($X$2:$X226)</f>
        <v>-0.81845596866231496</v>
      </c>
      <c r="Z107" s="13"/>
      <c r="AA107" s="13">
        <v>90</v>
      </c>
      <c r="AB107" s="13">
        <v>0.81384000000000001</v>
      </c>
      <c r="AC107" s="13">
        <v>0.77803999999999995</v>
      </c>
      <c r="AD107" s="13">
        <v>-0.32722000000000001</v>
      </c>
      <c r="AE107" s="13">
        <v>0.80564000000000002</v>
      </c>
      <c r="AF107" s="13">
        <v>-0.97555999999999998</v>
      </c>
      <c r="AG107" s="13">
        <v>-1.2847</v>
      </c>
      <c r="AH107" s="13">
        <v>0.28162999999999999</v>
      </c>
      <c r="AI107" s="13">
        <v>0.59606000000000003</v>
      </c>
      <c r="AJ107">
        <v>0.18559999999999999</v>
      </c>
    </row>
    <row r="108" spans="1:36" x14ac:dyDescent="0.35">
      <c r="A108" s="3">
        <v>107</v>
      </c>
      <c r="B108" s="9" t="s">
        <v>49</v>
      </c>
      <c r="C108" s="10">
        <v>44044</v>
      </c>
      <c r="D108" s="10">
        <v>44105</v>
      </c>
      <c r="E108" s="10">
        <v>44074.5</v>
      </c>
      <c r="F108" s="11">
        <v>25</v>
      </c>
      <c r="G108" s="9">
        <f t="shared" si="31"/>
        <v>-5.4853356114025122E-2</v>
      </c>
      <c r="H108" s="11">
        <v>0.2</v>
      </c>
      <c r="I108" s="9">
        <f t="shared" si="32"/>
        <v>-8.1271724424199845E-2</v>
      </c>
      <c r="J108" s="11">
        <v>-2</v>
      </c>
      <c r="K108" s="66">
        <f t="shared" si="33"/>
        <v>44072.5</v>
      </c>
      <c r="L108" s="11">
        <v>25</v>
      </c>
      <c r="M108" s="9">
        <f t="shared" si="34"/>
        <v>4.6392629659036705E-2</v>
      </c>
      <c r="N108" s="11">
        <v>0</v>
      </c>
      <c r="O108" s="9">
        <f t="shared" si="35"/>
        <v>-0.21366149904100187</v>
      </c>
      <c r="P108" s="9">
        <v>104</v>
      </c>
      <c r="Q108" s="9">
        <f t="shared" si="30"/>
        <v>1.1412896412603153</v>
      </c>
      <c r="R108" s="12">
        <v>40.299999999999997</v>
      </c>
      <c r="S108" s="9">
        <f t="shared" si="28"/>
        <v>-1.4794605854275262</v>
      </c>
      <c r="T108" s="11">
        <v>13.5</v>
      </c>
      <c r="U108" s="11">
        <f t="shared" si="36"/>
        <v>-1.6467010344337598</v>
      </c>
      <c r="V108" s="11">
        <v>39.666666666666664</v>
      </c>
      <c r="W108" s="11">
        <f>(V108-(AVERAGE($V$2:$V$121)))/STDEV($V$2:$V227)</f>
        <v>-1.5463126125490247</v>
      </c>
      <c r="X108" s="11">
        <v>32</v>
      </c>
      <c r="Y108" s="11">
        <f>(X108-(AVERAGE($X$2:$X$121)))/STDEV($X$2:$X227)</f>
        <v>-5.6885634635538043E-2</v>
      </c>
      <c r="Z108" s="13"/>
      <c r="AA108" s="13">
        <v>92</v>
      </c>
      <c r="AB108" s="13">
        <v>-0.71870999999999996</v>
      </c>
      <c r="AC108" s="13">
        <v>0.32252999999999998</v>
      </c>
      <c r="AD108" s="13">
        <v>0.51171</v>
      </c>
      <c r="AE108" s="13">
        <v>9.6263000000000001E-2</v>
      </c>
      <c r="AF108" s="13">
        <v>-0.48573</v>
      </c>
      <c r="AG108" s="13">
        <v>-1.0935999999999999</v>
      </c>
      <c r="AH108" s="13">
        <v>0.12654000000000001</v>
      </c>
      <c r="AI108" s="13">
        <v>-0.68633999999999995</v>
      </c>
      <c r="AJ108">
        <v>0.30989</v>
      </c>
    </row>
    <row r="109" spans="1:36" x14ac:dyDescent="0.35">
      <c r="A109" s="3">
        <v>108</v>
      </c>
      <c r="B109" s="9" t="s">
        <v>49</v>
      </c>
      <c r="C109" s="10">
        <v>44044</v>
      </c>
      <c r="D109" s="10">
        <v>44102</v>
      </c>
      <c r="E109" s="10">
        <v>44073</v>
      </c>
      <c r="F109" s="11">
        <v>25</v>
      </c>
      <c r="G109" s="9">
        <f t="shared" si="31"/>
        <v>-5.4853356114025122E-2</v>
      </c>
      <c r="H109" s="11">
        <v>0</v>
      </c>
      <c r="I109" s="9">
        <f t="shared" si="32"/>
        <v>-0.18639493319028441</v>
      </c>
      <c r="J109" s="11">
        <v>-2</v>
      </c>
      <c r="K109" s="66">
        <f t="shared" si="33"/>
        <v>44071</v>
      </c>
      <c r="L109" s="11">
        <v>26</v>
      </c>
      <c r="M109" s="9">
        <f t="shared" si="34"/>
        <v>1.1505372155441143</v>
      </c>
      <c r="N109" s="11">
        <v>0</v>
      </c>
      <c r="O109" s="9">
        <f t="shared" si="35"/>
        <v>-0.21366149904100187</v>
      </c>
      <c r="P109" s="9">
        <v>88</v>
      </c>
      <c r="Q109" s="9">
        <f t="shared" si="30"/>
        <v>2.1123816734061725E-2</v>
      </c>
      <c r="R109" s="12">
        <v>40.299999999999997</v>
      </c>
      <c r="S109" s="9">
        <f t="shared" si="28"/>
        <v>-1.4794605854275262</v>
      </c>
      <c r="T109" s="11">
        <v>14.7</v>
      </c>
      <c r="U109" s="11">
        <f t="shared" si="36"/>
        <v>-0.92238219872757077</v>
      </c>
      <c r="V109" s="11">
        <v>40.277777777777779</v>
      </c>
      <c r="W109" s="11">
        <f>(V109-(AVERAGE($V$2:$V$121)))/STDEV($V$2:$V228)</f>
        <v>-1.1283430476403791</v>
      </c>
      <c r="X109" s="11">
        <v>32.06</v>
      </c>
      <c r="Y109" s="11">
        <f>(X109-(AVERAGE($X$2:$X$121)))/STDEV($X$2:$X228)</f>
        <v>-6.1142790337509103E-3</v>
      </c>
      <c r="Z109" s="13"/>
      <c r="AA109" s="13">
        <v>97</v>
      </c>
      <c r="AB109" s="13">
        <v>-1.0948</v>
      </c>
      <c r="AC109" s="13">
        <v>-0.46002999999999999</v>
      </c>
      <c r="AD109" s="13">
        <v>1.9329000000000001</v>
      </c>
      <c r="AE109" s="13">
        <v>-9.1941000000000002E-3</v>
      </c>
      <c r="AF109" s="13">
        <v>0.61668000000000001</v>
      </c>
      <c r="AG109" s="13">
        <v>3.4200000000000001E-2</v>
      </c>
      <c r="AH109" s="13">
        <v>1.1777</v>
      </c>
      <c r="AI109" s="13">
        <v>0.71236999999999995</v>
      </c>
      <c r="AJ109">
        <v>-0.24756</v>
      </c>
    </row>
    <row r="110" spans="1:36" x14ac:dyDescent="0.35">
      <c r="A110" s="3">
        <v>109</v>
      </c>
      <c r="B110" s="9" t="s">
        <v>49</v>
      </c>
      <c r="C110" s="10">
        <v>44049</v>
      </c>
      <c r="D110" s="10">
        <v>44101</v>
      </c>
      <c r="E110" s="10">
        <v>44075</v>
      </c>
      <c r="F110" s="11">
        <v>24</v>
      </c>
      <c r="G110" s="9">
        <f t="shared" si="31"/>
        <v>-1.1427782523755272</v>
      </c>
      <c r="H110" s="11">
        <v>0.2</v>
      </c>
      <c r="I110" s="9">
        <f t="shared" si="32"/>
        <v>-8.1271724424199845E-2</v>
      </c>
      <c r="J110" s="11">
        <v>-2</v>
      </c>
      <c r="K110" s="66">
        <f t="shared" si="33"/>
        <v>44073</v>
      </c>
      <c r="L110" s="11">
        <v>25</v>
      </c>
      <c r="M110" s="9">
        <f t="shared" si="34"/>
        <v>4.6392629659036705E-2</v>
      </c>
      <c r="N110" s="11">
        <v>0</v>
      </c>
      <c r="O110" s="9">
        <f t="shared" si="35"/>
        <v>-0.21366149904100187</v>
      </c>
      <c r="P110" s="9">
        <v>96</v>
      </c>
      <c r="Q110" s="9">
        <f t="shared" si="30"/>
        <v>0.5812067289971885</v>
      </c>
      <c r="R110" s="12">
        <v>100</v>
      </c>
      <c r="S110" s="9">
        <f t="shared" si="28"/>
        <v>1.0331863057952011</v>
      </c>
      <c r="T110" s="11">
        <v>15.29</v>
      </c>
      <c r="U110" s="11">
        <f t="shared" si="36"/>
        <v>-0.56625877117202772</v>
      </c>
      <c r="V110" s="11">
        <v>41.68</v>
      </c>
      <c r="W110" s="11">
        <f>(V110-(AVERAGE($V$2:$V$121)))/STDEV($V$2:$V229)</f>
        <v>-0.16929288234091031</v>
      </c>
      <c r="X110" s="11">
        <v>30.74</v>
      </c>
      <c r="Y110" s="11">
        <f>(X110-(AVERAGE($X$2:$X$121)))/STDEV($X$2:$X229)</f>
        <v>-1.1230841022730287</v>
      </c>
      <c r="Z110" s="13"/>
      <c r="AA110" s="13">
        <v>16</v>
      </c>
      <c r="AB110" s="13">
        <v>-5.2093999999999996</v>
      </c>
      <c r="AC110" s="13">
        <v>-1.0807</v>
      </c>
      <c r="AD110" s="13">
        <v>3.5948000000000001E-2</v>
      </c>
      <c r="AE110" s="13">
        <v>2.2993000000000001</v>
      </c>
      <c r="AF110" s="13">
        <v>-0.98012999999999995</v>
      </c>
      <c r="AG110" s="13">
        <v>0.90632999999999997</v>
      </c>
      <c r="AH110" s="13">
        <v>-0.29032000000000002</v>
      </c>
      <c r="AI110" s="13">
        <v>0.37254999999999999</v>
      </c>
      <c r="AJ110">
        <v>-0.13483999999999999</v>
      </c>
    </row>
    <row r="111" spans="1:36" x14ac:dyDescent="0.35">
      <c r="A111" s="3">
        <v>110</v>
      </c>
      <c r="B111" s="9" t="s">
        <v>53</v>
      </c>
      <c r="C111" s="10">
        <v>44053</v>
      </c>
      <c r="D111" s="10">
        <v>44111</v>
      </c>
      <c r="E111" s="10">
        <v>44082</v>
      </c>
      <c r="F111" s="11">
        <v>27</v>
      </c>
      <c r="G111" s="9">
        <f t="shared" si="31"/>
        <v>2.1209964364089791</v>
      </c>
      <c r="H111" s="11">
        <v>11.6</v>
      </c>
      <c r="I111" s="9">
        <f t="shared" si="32"/>
        <v>5.9107511752426207</v>
      </c>
      <c r="J111" s="11">
        <v>-2</v>
      </c>
      <c r="K111" s="66">
        <f t="shared" si="33"/>
        <v>44080</v>
      </c>
      <c r="L111" s="11">
        <v>25</v>
      </c>
      <c r="M111" s="9">
        <f t="shared" si="34"/>
        <v>4.6392629659036705E-2</v>
      </c>
      <c r="N111" s="11">
        <v>0.4</v>
      </c>
      <c r="O111" s="9">
        <f t="shared" si="35"/>
        <v>0.10615885801408272</v>
      </c>
      <c r="P111" s="9">
        <v>77</v>
      </c>
      <c r="Q111" s="9">
        <f t="shared" si="30"/>
        <v>-0.74899018762773761</v>
      </c>
      <c r="R111" s="12">
        <v>62</v>
      </c>
      <c r="S111" s="9">
        <f t="shared" si="28"/>
        <v>-0.56615342396130863</v>
      </c>
      <c r="T111" s="11">
        <v>15.81</v>
      </c>
      <c r="U111" s="11">
        <f t="shared" si="36"/>
        <v>-0.25238727569934483</v>
      </c>
      <c r="V111" s="11">
        <v>43.69</v>
      </c>
      <c r="W111" s="11">
        <f>(V111-(AVERAGE($V$2:$V$121)))/STDEV($V$2:$V230)</f>
        <v>1.2054470138767905</v>
      </c>
      <c r="X111" s="11">
        <v>33.07</v>
      </c>
      <c r="Y111" s="11">
        <f>(X111-(AVERAGE($X$2:$X$121)))/STDEV($X$2:$X230)</f>
        <v>0.84853687359629837</v>
      </c>
      <c r="Z111" s="13"/>
      <c r="AA111" s="13">
        <v>31</v>
      </c>
      <c r="AB111" s="13">
        <v>-2.8456999999999999</v>
      </c>
      <c r="AC111" s="13">
        <v>-0.75212999999999997</v>
      </c>
      <c r="AD111" s="13">
        <v>-0.87480999999999998</v>
      </c>
      <c r="AE111" s="13">
        <v>1.3013999999999999</v>
      </c>
      <c r="AF111" s="13">
        <v>-1.0882000000000001</v>
      </c>
      <c r="AG111" s="13">
        <v>0.16885</v>
      </c>
      <c r="AH111" s="13">
        <v>-1.0112000000000001</v>
      </c>
      <c r="AI111" s="13">
        <v>0.53086</v>
      </c>
      <c r="AJ111">
        <v>0.19375000000000001</v>
      </c>
    </row>
    <row r="112" spans="1:36" x14ac:dyDescent="0.35">
      <c r="A112" s="3">
        <v>111</v>
      </c>
      <c r="B112" s="9" t="s">
        <v>53</v>
      </c>
      <c r="C112" s="10">
        <v>44054</v>
      </c>
      <c r="D112" s="10">
        <v>44106</v>
      </c>
      <c r="E112" s="10">
        <v>44080</v>
      </c>
      <c r="F112" s="11">
        <v>26</v>
      </c>
      <c r="G112" s="9">
        <f t="shared" si="31"/>
        <v>1.033071540147477</v>
      </c>
      <c r="H112" s="11">
        <v>0.4</v>
      </c>
      <c r="I112" s="9">
        <f t="shared" si="32"/>
        <v>2.3851484341884738E-2</v>
      </c>
      <c r="J112" s="11">
        <v>-2</v>
      </c>
      <c r="K112" s="66">
        <f t="shared" si="33"/>
        <v>44078</v>
      </c>
      <c r="L112" s="11">
        <v>26</v>
      </c>
      <c r="M112" s="9">
        <f t="shared" si="34"/>
        <v>1.1505372155441143</v>
      </c>
      <c r="N112" s="11">
        <v>3.2</v>
      </c>
      <c r="O112" s="9">
        <f t="shared" si="35"/>
        <v>2.3449013573996749</v>
      </c>
      <c r="P112" s="9">
        <v>86</v>
      </c>
      <c r="Q112" s="9">
        <f t="shared" si="30"/>
        <v>-0.11889691133171998</v>
      </c>
      <c r="R112" s="12">
        <v>100</v>
      </c>
      <c r="S112" s="9">
        <f t="shared" si="28"/>
        <v>1.0331863057952011</v>
      </c>
      <c r="T112" s="11">
        <v>15.17</v>
      </c>
      <c r="U112" s="11">
        <f t="shared" si="36"/>
        <v>-0.63869065474264619</v>
      </c>
      <c r="V112" s="11">
        <v>39.799999999999997</v>
      </c>
      <c r="W112" s="11">
        <f>(V112-(AVERAGE($V$2:$V$121)))/STDEV($V$2:$V231)</f>
        <v>-1.4551192529325938</v>
      </c>
      <c r="X112" s="11">
        <v>30.36</v>
      </c>
      <c r="Y112" s="11">
        <f>(X112-(AVERAGE($X$2:$X$121)))/STDEV($X$2:$X231)</f>
        <v>-1.4446360210843341</v>
      </c>
      <c r="Z112" s="13"/>
      <c r="AA112" s="13">
        <v>57</v>
      </c>
      <c r="AB112" s="13">
        <v>-0.22159000000000001</v>
      </c>
      <c r="AC112" s="13">
        <v>0.42376999999999998</v>
      </c>
      <c r="AD112" s="13">
        <v>-1.7214</v>
      </c>
      <c r="AE112" s="13">
        <v>-0.53105999999999998</v>
      </c>
      <c r="AF112" s="13">
        <v>-0.69142999999999999</v>
      </c>
      <c r="AG112" s="13">
        <v>0.49256</v>
      </c>
      <c r="AH112" s="13">
        <v>-1.7728000000000001E-2</v>
      </c>
      <c r="AI112" s="13">
        <v>-0.25131999999999999</v>
      </c>
      <c r="AJ112">
        <v>-2.1281999999999999E-2</v>
      </c>
    </row>
    <row r="113" spans="1:36" x14ac:dyDescent="0.35">
      <c r="A113" s="3">
        <v>112</v>
      </c>
      <c r="B113" s="9" t="s">
        <v>53</v>
      </c>
      <c r="C113" s="10">
        <v>44054</v>
      </c>
      <c r="D113" s="10">
        <v>44110</v>
      </c>
      <c r="E113" s="10">
        <v>44082</v>
      </c>
      <c r="F113" s="11">
        <v>27</v>
      </c>
      <c r="G113" s="9">
        <f t="shared" si="31"/>
        <v>2.1209964364089791</v>
      </c>
      <c r="H113" s="11">
        <v>11.6</v>
      </c>
      <c r="I113" s="9">
        <f t="shared" si="32"/>
        <v>5.9107511752426207</v>
      </c>
      <c r="J113" s="11">
        <v>-2</v>
      </c>
      <c r="K113" s="66">
        <f t="shared" si="33"/>
        <v>44080</v>
      </c>
      <c r="L113" s="11">
        <v>25</v>
      </c>
      <c r="M113" s="9">
        <f t="shared" si="34"/>
        <v>4.6392629659036705E-2</v>
      </c>
      <c r="N113" s="11">
        <v>0.4</v>
      </c>
      <c r="O113" s="9">
        <f t="shared" si="35"/>
        <v>0.10615885801408272</v>
      </c>
      <c r="P113" s="9">
        <v>98</v>
      </c>
      <c r="Q113" s="9">
        <f t="shared" si="30"/>
        <v>0.72122745706297031</v>
      </c>
      <c r="R113" s="12">
        <v>76.5</v>
      </c>
      <c r="S113" s="9">
        <f t="shared" si="28"/>
        <v>4.4120946603675375E-2</v>
      </c>
      <c r="T113" s="11">
        <v>14.45</v>
      </c>
      <c r="U113" s="11">
        <f t="shared" si="36"/>
        <v>-1.0732819561663602</v>
      </c>
      <c r="V113" s="11">
        <v>40.369999999999997</v>
      </c>
      <c r="W113" s="11">
        <f>(V113-(AVERAGE($V$2:$V$121)))/STDEV($V$2:$V232)</f>
        <v>-1.0652676405723496</v>
      </c>
      <c r="X113" s="11">
        <v>30.2</v>
      </c>
      <c r="Y113" s="11">
        <f>(X113-(AVERAGE($X$2:$X$121)))/STDEV($X$2:$X232)</f>
        <v>-1.5800263026890948</v>
      </c>
      <c r="Z113" s="13"/>
      <c r="AA113" s="13">
        <v>63</v>
      </c>
      <c r="AB113" s="13">
        <v>0.39504</v>
      </c>
      <c r="AC113" s="13">
        <v>-0.44159999999999999</v>
      </c>
      <c r="AD113" s="13">
        <v>-5.7049000000000002E-2</v>
      </c>
      <c r="AE113" s="13">
        <v>-0.70557000000000003</v>
      </c>
      <c r="AF113" s="13">
        <v>0.96606999999999998</v>
      </c>
      <c r="AG113" s="13">
        <v>1.6571</v>
      </c>
      <c r="AH113" s="13">
        <v>0.95691000000000004</v>
      </c>
      <c r="AI113" s="13">
        <v>-0.43837999999999999</v>
      </c>
      <c r="AJ113">
        <v>-0.49669999999999997</v>
      </c>
    </row>
    <row r="114" spans="1:36" x14ac:dyDescent="0.35">
      <c r="A114" s="3">
        <v>113</v>
      </c>
      <c r="B114" s="9" t="s">
        <v>53</v>
      </c>
      <c r="C114" s="10">
        <v>44057</v>
      </c>
      <c r="D114" s="10">
        <v>44113</v>
      </c>
      <c r="E114" s="10">
        <v>44085</v>
      </c>
      <c r="F114" s="11">
        <v>27</v>
      </c>
      <c r="G114" s="9">
        <f t="shared" si="31"/>
        <v>2.1209964364089791</v>
      </c>
      <c r="H114" s="11">
        <v>0</v>
      </c>
      <c r="I114" s="9">
        <f t="shared" si="32"/>
        <v>-0.18639493319028441</v>
      </c>
      <c r="J114" s="11">
        <v>-2</v>
      </c>
      <c r="K114" s="66">
        <f t="shared" si="33"/>
        <v>44083</v>
      </c>
      <c r="L114" s="11">
        <v>27</v>
      </c>
      <c r="M114" s="9">
        <f t="shared" si="34"/>
        <v>2.2546818014291916</v>
      </c>
      <c r="N114" s="11">
        <v>0.1</v>
      </c>
      <c r="O114" s="9">
        <f t="shared" si="35"/>
        <v>-0.13370640977723072</v>
      </c>
      <c r="P114" s="9">
        <v>83</v>
      </c>
      <c r="Q114" s="9">
        <f t="shared" si="30"/>
        <v>-0.32892800343039252</v>
      </c>
      <c r="R114" s="12">
        <v>76.5</v>
      </c>
      <c r="S114" s="9">
        <f t="shared" si="28"/>
        <v>4.4120946603675375E-2</v>
      </c>
      <c r="T114" s="11">
        <v>14.88</v>
      </c>
      <c r="U114" s="11">
        <f t="shared" si="36"/>
        <v>-0.81373437337164145</v>
      </c>
      <c r="V114" s="11">
        <v>41.55</v>
      </c>
      <c r="W114" s="11">
        <f>(V114-(AVERAGE($V$2:$V$121)))/STDEV($V$2:$V233)</f>
        <v>-0.25820640796693262</v>
      </c>
      <c r="X114" s="11">
        <v>31.65</v>
      </c>
      <c r="Y114" s="11">
        <f>(X114-(AVERAGE($X$2:$X$121)))/STDEV($X$2:$X233)</f>
        <v>-0.35305187564595297</v>
      </c>
      <c r="Z114" s="13"/>
      <c r="AA114" s="13">
        <v>78</v>
      </c>
      <c r="AB114" s="13">
        <v>1.2813000000000001</v>
      </c>
      <c r="AC114" s="13">
        <v>0.25861000000000001</v>
      </c>
      <c r="AD114" s="13">
        <v>0.60643000000000002</v>
      </c>
      <c r="AE114" s="13">
        <v>0.5484</v>
      </c>
      <c r="AF114" s="13">
        <v>9.8572000000000007E-2</v>
      </c>
      <c r="AG114" s="13">
        <v>-0.86241999999999996</v>
      </c>
      <c r="AH114" s="13">
        <v>0.73750000000000004</v>
      </c>
      <c r="AI114" s="13">
        <v>-0.48987000000000003</v>
      </c>
      <c r="AJ114">
        <v>-0.67035999999999996</v>
      </c>
    </row>
    <row r="115" spans="1:36" x14ac:dyDescent="0.35">
      <c r="A115" s="3">
        <v>114</v>
      </c>
      <c r="B115" s="9" t="s">
        <v>49</v>
      </c>
      <c r="C115" s="10">
        <v>44057</v>
      </c>
      <c r="D115" s="10">
        <v>44115</v>
      </c>
      <c r="E115" s="10">
        <v>44086</v>
      </c>
      <c r="F115" s="11">
        <v>26</v>
      </c>
      <c r="G115" s="9">
        <f t="shared" si="31"/>
        <v>1.033071540147477</v>
      </c>
      <c r="H115" s="11">
        <v>0</v>
      </c>
      <c r="I115" s="9">
        <f t="shared" si="32"/>
        <v>-0.18639493319028441</v>
      </c>
      <c r="J115" s="11">
        <v>-2</v>
      </c>
      <c r="K115" s="66">
        <f t="shared" si="33"/>
        <v>44084</v>
      </c>
      <c r="L115" s="11">
        <v>26</v>
      </c>
      <c r="M115" s="9">
        <f t="shared" si="34"/>
        <v>1.1505372155441143</v>
      </c>
      <c r="N115" s="11">
        <v>0</v>
      </c>
      <c r="O115" s="9">
        <f t="shared" si="35"/>
        <v>-0.21366149904100187</v>
      </c>
      <c r="P115" s="9">
        <v>91</v>
      </c>
      <c r="Q115" s="9">
        <f t="shared" si="30"/>
        <v>0.23115490883273429</v>
      </c>
      <c r="R115" s="12">
        <v>62</v>
      </c>
      <c r="S115" s="9">
        <f t="shared" si="28"/>
        <v>-0.56615342396130863</v>
      </c>
      <c r="T115" s="11">
        <v>14.54</v>
      </c>
      <c r="U115" s="11">
        <f t="shared" si="36"/>
        <v>-1.018958043488396</v>
      </c>
      <c r="V115" s="11">
        <v>41.58</v>
      </c>
      <c r="W115" s="11">
        <f>(V115-(AVERAGE($V$2:$V$121)))/STDEV($V$2:$V234)</f>
        <v>-0.23768790205323476</v>
      </c>
      <c r="X115" s="11">
        <v>32.700000000000003</v>
      </c>
      <c r="Y115" s="11">
        <f>(X115-(AVERAGE($X$2:$X$121)))/STDEV($X$2:$X234)</f>
        <v>0.5354468473852918</v>
      </c>
      <c r="Z115" s="13"/>
      <c r="AA115" s="13">
        <v>79</v>
      </c>
      <c r="AB115" s="13">
        <v>1.6373</v>
      </c>
      <c r="AC115" s="13">
        <v>0.49424000000000001</v>
      </c>
      <c r="AD115" s="13">
        <v>0.29720999999999997</v>
      </c>
      <c r="AE115" s="13">
        <v>0.50134000000000001</v>
      </c>
      <c r="AF115" s="13">
        <v>-0.16147</v>
      </c>
      <c r="AG115" s="13">
        <v>-1.2475000000000001</v>
      </c>
      <c r="AH115" s="13">
        <v>0.50214000000000003</v>
      </c>
      <c r="AI115" s="13">
        <v>-0.77498999999999996</v>
      </c>
      <c r="AJ115">
        <v>-0.62656999999999996</v>
      </c>
    </row>
    <row r="116" spans="1:36" x14ac:dyDescent="0.35">
      <c r="A116" s="3">
        <v>115</v>
      </c>
      <c r="B116" s="9" t="s">
        <v>49</v>
      </c>
      <c r="C116" s="10">
        <v>44057</v>
      </c>
      <c r="D116" s="10">
        <v>44114</v>
      </c>
      <c r="E116" s="10">
        <v>44085.5</v>
      </c>
      <c r="F116" s="11">
        <v>27</v>
      </c>
      <c r="G116" s="9">
        <f t="shared" si="31"/>
        <v>2.1209964364089791</v>
      </c>
      <c r="H116" s="11">
        <v>0</v>
      </c>
      <c r="I116" s="9">
        <f t="shared" si="32"/>
        <v>-0.18639493319028441</v>
      </c>
      <c r="J116" s="11">
        <v>-2</v>
      </c>
      <c r="K116" s="66">
        <f t="shared" si="33"/>
        <v>44083.5</v>
      </c>
      <c r="L116" s="11">
        <v>27</v>
      </c>
      <c r="M116" s="9">
        <f t="shared" si="34"/>
        <v>2.2546818014291916</v>
      </c>
      <c r="N116" s="11">
        <v>0.1</v>
      </c>
      <c r="O116" s="9">
        <f t="shared" si="35"/>
        <v>-0.13370640977723072</v>
      </c>
      <c r="P116" s="9">
        <v>62</v>
      </c>
      <c r="Q116" s="9">
        <f t="shared" si="30"/>
        <v>-1.7991456481211006</v>
      </c>
      <c r="R116" s="12">
        <v>69.3</v>
      </c>
      <c r="S116" s="9">
        <f t="shared" si="28"/>
        <v>-0.25891184429755815</v>
      </c>
      <c r="T116" s="11">
        <v>12.828571428571431</v>
      </c>
      <c r="U116" s="11">
        <f t="shared" si="36"/>
        <v>-2.0519746686979357</v>
      </c>
      <c r="V116" s="11">
        <v>39.5</v>
      </c>
      <c r="W116" s="11">
        <f>(V116-(AVERAGE($V$2:$V$121)))/STDEV($V$2:$V235)</f>
        <v>-1.6603043120695622</v>
      </c>
      <c r="X116" s="11">
        <v>30.5</v>
      </c>
      <c r="Y116" s="11">
        <f>(X116-(AVERAGE($X$2:$X$121)))/STDEV($X$2:$X235)</f>
        <v>-1.3261695246801681</v>
      </c>
      <c r="Z116" s="13"/>
      <c r="AA116" s="13">
        <v>82</v>
      </c>
      <c r="AB116" s="13">
        <v>-0.18351999999999999</v>
      </c>
      <c r="AC116" s="13">
        <v>0.47001999999999999</v>
      </c>
      <c r="AD116" s="13">
        <v>0.34595999999999999</v>
      </c>
      <c r="AE116" s="13">
        <v>0.32800000000000001</v>
      </c>
      <c r="AF116" s="13">
        <v>-0.61238999999999999</v>
      </c>
      <c r="AG116" s="13">
        <v>-1.1254</v>
      </c>
      <c r="AH116" s="13">
        <v>0.30663000000000001</v>
      </c>
      <c r="AI116" s="13">
        <v>-2.1538000000000002E-2</v>
      </c>
      <c r="AJ116">
        <v>-0.4491</v>
      </c>
    </row>
    <row r="117" spans="1:36" x14ac:dyDescent="0.35">
      <c r="A117" s="3">
        <v>116</v>
      </c>
      <c r="B117" s="9" t="s">
        <v>53</v>
      </c>
      <c r="C117" s="10">
        <v>44057</v>
      </c>
      <c r="D117" s="10">
        <v>44109</v>
      </c>
      <c r="E117" s="10">
        <v>44083</v>
      </c>
      <c r="F117" s="11">
        <v>27</v>
      </c>
      <c r="G117" s="9">
        <f t="shared" si="31"/>
        <v>2.1209964364089791</v>
      </c>
      <c r="H117" s="11">
        <v>0.1</v>
      </c>
      <c r="I117" s="9">
        <f t="shared" si="32"/>
        <v>-0.13383332880724211</v>
      </c>
      <c r="J117" s="11">
        <v>-2</v>
      </c>
      <c r="K117" s="66">
        <f t="shared" si="33"/>
        <v>44081</v>
      </c>
      <c r="L117" s="11">
        <v>26</v>
      </c>
      <c r="M117" s="9">
        <f t="shared" si="34"/>
        <v>1.1505372155441143</v>
      </c>
      <c r="N117" s="11">
        <v>6.7</v>
      </c>
      <c r="O117" s="9">
        <f t="shared" si="35"/>
        <v>5.1433294816316648</v>
      </c>
      <c r="P117" s="9">
        <v>83</v>
      </c>
      <c r="Q117" s="9">
        <f t="shared" si="30"/>
        <v>-0.32892800343039252</v>
      </c>
      <c r="R117" s="12">
        <v>100</v>
      </c>
      <c r="S117" s="9">
        <f t="shared" si="28"/>
        <v>1.0331863057952011</v>
      </c>
      <c r="T117" s="11">
        <v>17.899999999999999</v>
      </c>
      <c r="U117" s="11">
        <f t="shared" si="36"/>
        <v>1.0091346964889338</v>
      </c>
      <c r="V117" s="11">
        <v>43.1</v>
      </c>
      <c r="W117" s="11">
        <f>(V117-(AVERAGE($V$2:$V$121)))/STDEV($V$2:$V236)</f>
        <v>0.80191639757408451</v>
      </c>
      <c r="X117" s="11">
        <v>33</v>
      </c>
      <c r="Y117" s="11">
        <f>(X117-(AVERAGE($X$2:$X$121)))/STDEV($X$2:$X236)</f>
        <v>0.78930362539421539</v>
      </c>
      <c r="Z117" s="13"/>
      <c r="AA117" s="13">
        <v>85</v>
      </c>
      <c r="AB117" s="13">
        <v>-0.81557999999999997</v>
      </c>
      <c r="AC117" s="13">
        <v>0.36908999999999997</v>
      </c>
      <c r="AD117" s="13">
        <v>0.63507000000000002</v>
      </c>
      <c r="AE117" s="13">
        <v>-2.7462E-2</v>
      </c>
      <c r="AF117" s="13">
        <v>-0.60401000000000005</v>
      </c>
      <c r="AG117" s="13">
        <v>-1.1619999999999999</v>
      </c>
      <c r="AH117" s="13">
        <v>0.20807999999999999</v>
      </c>
      <c r="AI117" s="13">
        <v>-7.9447000000000004E-2</v>
      </c>
      <c r="AJ117">
        <v>-7.8917999999999992E-3</v>
      </c>
    </row>
    <row r="118" spans="1:36" x14ac:dyDescent="0.35">
      <c r="A118" s="3">
        <v>117</v>
      </c>
      <c r="B118" s="9" t="s">
        <v>53</v>
      </c>
      <c r="C118" s="10">
        <v>44058</v>
      </c>
      <c r="D118" s="10">
        <v>44111</v>
      </c>
      <c r="E118" s="10">
        <v>44084.5</v>
      </c>
      <c r="F118" s="11">
        <v>26</v>
      </c>
      <c r="G118" s="9">
        <f t="shared" si="31"/>
        <v>1.033071540147477</v>
      </c>
      <c r="H118" s="11">
        <v>0</v>
      </c>
      <c r="I118" s="9">
        <f t="shared" si="32"/>
        <v>-0.18639493319028441</v>
      </c>
      <c r="J118" s="11">
        <v>-2</v>
      </c>
      <c r="K118" s="66">
        <f t="shared" si="33"/>
        <v>44082.5</v>
      </c>
      <c r="L118" s="11">
        <v>27</v>
      </c>
      <c r="M118" s="9">
        <f t="shared" si="34"/>
        <v>2.2546818014291916</v>
      </c>
      <c r="N118" s="11">
        <v>11.6</v>
      </c>
      <c r="O118" s="9">
        <f t="shared" si="35"/>
        <v>9.0611288555564489</v>
      </c>
      <c r="P118" s="9">
        <v>98</v>
      </c>
      <c r="Q118" s="9">
        <f t="shared" si="30"/>
        <v>0.72122745706297031</v>
      </c>
      <c r="R118" s="12">
        <v>98.2</v>
      </c>
      <c r="S118" s="9">
        <f t="shared" si="28"/>
        <v>0.95742810806989287</v>
      </c>
      <c r="T118" s="11">
        <v>18.46</v>
      </c>
      <c r="U118" s="11">
        <f t="shared" si="36"/>
        <v>1.3471501531518237</v>
      </c>
      <c r="V118" s="11">
        <v>43.79</v>
      </c>
      <c r="W118" s="11">
        <f>(V118-(AVERAGE($V$2:$V$121)))/STDEV($V$2:$V237)</f>
        <v>1.273842033589115</v>
      </c>
      <c r="X118" s="11">
        <v>34.31</v>
      </c>
      <c r="Y118" s="11">
        <f>(X118-(AVERAGE($X$2:$X$121)))/STDEV($X$2:$X237)</f>
        <v>1.8978115560331943</v>
      </c>
      <c r="Z118" s="13"/>
      <c r="AA118" s="13">
        <v>87</v>
      </c>
      <c r="AB118" s="13">
        <v>0.46564</v>
      </c>
      <c r="AC118" s="13">
        <v>0.32884000000000002</v>
      </c>
      <c r="AD118" s="13">
        <v>0.64068000000000003</v>
      </c>
      <c r="AE118" s="13">
        <v>0.36891000000000002</v>
      </c>
      <c r="AF118" s="13">
        <v>-0.27767999999999998</v>
      </c>
      <c r="AG118" s="13">
        <v>-0.91152999999999995</v>
      </c>
      <c r="AH118" s="13">
        <v>0.65810999999999997</v>
      </c>
      <c r="AI118" s="13">
        <v>0.56084000000000001</v>
      </c>
      <c r="AJ118">
        <v>-8.2031000000000007E-2</v>
      </c>
    </row>
    <row r="119" spans="1:36" x14ac:dyDescent="0.35">
      <c r="A119" s="3">
        <v>118</v>
      </c>
      <c r="B119" s="9" t="s">
        <v>53</v>
      </c>
      <c r="C119" s="10">
        <v>44058</v>
      </c>
      <c r="D119" s="10">
        <v>44113</v>
      </c>
      <c r="E119" s="10">
        <v>44085.5</v>
      </c>
      <c r="F119" s="11">
        <v>27</v>
      </c>
      <c r="G119" s="9">
        <f t="shared" si="31"/>
        <v>2.1209964364089791</v>
      </c>
      <c r="H119" s="11">
        <v>0</v>
      </c>
      <c r="I119" s="9">
        <f t="shared" si="32"/>
        <v>-0.18639493319028441</v>
      </c>
      <c r="J119" s="11">
        <v>-2</v>
      </c>
      <c r="K119" s="66">
        <f t="shared" si="33"/>
        <v>44083.5</v>
      </c>
      <c r="L119" s="11">
        <v>27</v>
      </c>
      <c r="M119" s="9">
        <f t="shared" si="34"/>
        <v>2.2546818014291916</v>
      </c>
      <c r="N119" s="11">
        <v>0.1</v>
      </c>
      <c r="O119" s="9">
        <f t="shared" si="35"/>
        <v>-0.13370640977723072</v>
      </c>
      <c r="P119" s="9">
        <v>60</v>
      </c>
      <c r="Q119" s="9">
        <f t="shared" si="30"/>
        <v>-1.9391663761868823</v>
      </c>
      <c r="R119" s="12">
        <v>83.7</v>
      </c>
      <c r="S119" s="9">
        <f t="shared" si="28"/>
        <v>0.34715373750490891</v>
      </c>
      <c r="T119" s="11">
        <v>15.28</v>
      </c>
      <c r="U119" s="11">
        <f t="shared" si="36"/>
        <v>-0.57229476146957914</v>
      </c>
      <c r="V119" s="11">
        <v>40.9</v>
      </c>
      <c r="W119" s="11">
        <f>(V119-(AVERAGE($V$2:$V$121)))/STDEV($V$2:$V238)</f>
        <v>-0.70277403609703437</v>
      </c>
      <c r="X119" s="11">
        <v>31.9</v>
      </c>
      <c r="Y119" s="11">
        <f>(X119-(AVERAGE($X$2:$X$121)))/STDEV($X$2:$X238)</f>
        <v>-0.14150456063851458</v>
      </c>
      <c r="Z119" s="13"/>
      <c r="AA119" s="13">
        <v>96</v>
      </c>
      <c r="AB119" s="13">
        <v>-1.1318999999999999</v>
      </c>
      <c r="AC119" s="13">
        <v>0.10041</v>
      </c>
      <c r="AD119" s="13">
        <v>1.1636</v>
      </c>
      <c r="AE119" s="13">
        <v>-0.33402999999999999</v>
      </c>
      <c r="AF119" s="13">
        <v>-0.16189999999999999</v>
      </c>
      <c r="AG119" s="13">
        <v>-0.98019000000000001</v>
      </c>
      <c r="AH119" s="13">
        <v>0.29787999999999998</v>
      </c>
      <c r="AI119" s="13">
        <v>-0.41570000000000001</v>
      </c>
      <c r="AJ119">
        <v>0.34172000000000002</v>
      </c>
    </row>
    <row r="120" spans="1:36" x14ac:dyDescent="0.35">
      <c r="A120" s="3">
        <v>119</v>
      </c>
      <c r="B120" s="9" t="s">
        <v>53</v>
      </c>
      <c r="C120" s="10">
        <v>44058</v>
      </c>
      <c r="D120" s="10">
        <v>44117</v>
      </c>
      <c r="E120" s="10">
        <v>44087.5</v>
      </c>
      <c r="F120" s="11">
        <v>26</v>
      </c>
      <c r="G120" s="9">
        <f t="shared" si="31"/>
        <v>1.033071540147477</v>
      </c>
      <c r="H120" s="11">
        <v>13.1</v>
      </c>
      <c r="I120" s="9">
        <f t="shared" si="32"/>
        <v>6.6991752409882546</v>
      </c>
      <c r="J120" s="11">
        <v>-2</v>
      </c>
      <c r="K120" s="66">
        <f t="shared" si="33"/>
        <v>44085.5</v>
      </c>
      <c r="L120" s="11">
        <v>27</v>
      </c>
      <c r="M120" s="9">
        <f t="shared" si="34"/>
        <v>2.2546818014291916</v>
      </c>
      <c r="N120" s="11">
        <v>0</v>
      </c>
      <c r="O120" s="9">
        <f t="shared" si="35"/>
        <v>-0.21366149904100187</v>
      </c>
      <c r="P120" s="9">
        <v>71</v>
      </c>
      <c r="Q120" s="9">
        <f t="shared" si="30"/>
        <v>-1.1690523718250827</v>
      </c>
      <c r="R120" s="12">
        <v>54.8</v>
      </c>
      <c r="S120" s="9">
        <f t="shared" si="28"/>
        <v>-0.86918621486254211</v>
      </c>
      <c r="T120" s="11">
        <v>14.49</v>
      </c>
      <c r="U120" s="11">
        <f t="shared" si="36"/>
        <v>-1.0491379949761535</v>
      </c>
      <c r="V120" s="11">
        <v>40.549999999999997</v>
      </c>
      <c r="W120" s="11">
        <f>(V120-(AVERAGE($V$2:$V$121)))/STDEV($V$2:$V239)</f>
        <v>-0.94215660509016752</v>
      </c>
      <c r="X120" s="11">
        <v>30.3</v>
      </c>
      <c r="Y120" s="11">
        <f>(X120-(AVERAGE($X$2:$X$121)))/STDEV($X$2:$X239)</f>
        <v>-1.4954073766861182</v>
      </c>
      <c r="Z120" s="13"/>
      <c r="AA120" s="13">
        <v>37</v>
      </c>
      <c r="AB120" s="13">
        <v>-1.8001</v>
      </c>
      <c r="AC120" s="13">
        <v>-0.41060999999999998</v>
      </c>
      <c r="AD120" s="13">
        <v>-1.1712</v>
      </c>
      <c r="AE120" s="13">
        <v>0.21451999999999999</v>
      </c>
      <c r="AF120" s="13">
        <v>5.4335000000000001E-2</v>
      </c>
      <c r="AG120" s="13">
        <v>2.1705000000000001</v>
      </c>
      <c r="AH120" s="13">
        <v>0.71392</v>
      </c>
      <c r="AI120" s="13">
        <v>0.54176000000000002</v>
      </c>
      <c r="AJ120">
        <v>0.17152000000000001</v>
      </c>
    </row>
    <row r="121" spans="1:36" x14ac:dyDescent="0.35">
      <c r="A121" s="3">
        <v>120</v>
      </c>
      <c r="B121" s="9" t="s">
        <v>49</v>
      </c>
      <c r="C121" s="10">
        <v>44058</v>
      </c>
      <c r="D121" s="10">
        <v>44115</v>
      </c>
      <c r="E121" s="10">
        <v>44086.5</v>
      </c>
      <c r="F121" s="11">
        <v>26</v>
      </c>
      <c r="G121" s="9">
        <f t="shared" si="31"/>
        <v>1.033071540147477</v>
      </c>
      <c r="H121" s="11">
        <v>0</v>
      </c>
      <c r="I121" s="9">
        <f t="shared" si="32"/>
        <v>-0.18639493319028441</v>
      </c>
      <c r="J121" s="11">
        <v>-2</v>
      </c>
      <c r="K121" s="66">
        <f t="shared" si="33"/>
        <v>44084.5</v>
      </c>
      <c r="L121" s="11">
        <v>26</v>
      </c>
      <c r="M121" s="9">
        <f t="shared" si="34"/>
        <v>1.1505372155441143</v>
      </c>
      <c r="N121" s="11">
        <v>0</v>
      </c>
      <c r="O121" s="9">
        <f t="shared" si="35"/>
        <v>-0.21366149904100187</v>
      </c>
      <c r="P121" s="9">
        <v>80</v>
      </c>
      <c r="Q121" s="9">
        <f t="shared" si="30"/>
        <v>-0.53895909552906507</v>
      </c>
      <c r="R121" s="12">
        <v>69.3</v>
      </c>
      <c r="S121" s="9">
        <f t="shared" si="28"/>
        <v>-0.25891184429755815</v>
      </c>
      <c r="T121" s="11">
        <v>17.079999999999998</v>
      </c>
      <c r="U121" s="11">
        <f t="shared" si="36"/>
        <v>0.51418349208970426</v>
      </c>
      <c r="V121" s="11">
        <v>44.08</v>
      </c>
      <c r="W121" s="11">
        <f>(V121-(AVERAGE($V$2:$V$121)))/STDEV($V$2:$V240)</f>
        <v>1.4721875907548527</v>
      </c>
      <c r="X121" s="11">
        <v>32.9</v>
      </c>
      <c r="Y121" s="11">
        <f>(X121-(AVERAGE($X$2:$X$121)))/STDEV($X$2:$X240)</f>
        <v>0.7046846993912389</v>
      </c>
      <c r="Z121" s="14"/>
      <c r="AA121" s="13">
        <v>43</v>
      </c>
      <c r="AB121" s="13">
        <v>-0.79290000000000005</v>
      </c>
      <c r="AC121" s="13">
        <v>-8.4657999999999997E-2</v>
      </c>
      <c r="AD121" s="13">
        <v>-1.5938000000000001</v>
      </c>
      <c r="AE121" s="13">
        <v>4.2050999999999998E-2</v>
      </c>
      <c r="AF121" s="13">
        <v>-0.10213999999999999</v>
      </c>
      <c r="AG121" s="13">
        <v>1.4633</v>
      </c>
      <c r="AH121" s="13">
        <v>0.27805999999999997</v>
      </c>
      <c r="AI121" s="13">
        <v>-0.76910999999999996</v>
      </c>
      <c r="AJ121">
        <v>0.36929000000000001</v>
      </c>
    </row>
    <row r="122" spans="1:36" x14ac:dyDescent="0.35">
      <c r="G122" t="s">
        <v>313</v>
      </c>
      <c r="H122" s="35">
        <f>SUM(H2:H121)</f>
        <v>42.2</v>
      </c>
      <c r="M122" t="s">
        <v>313</v>
      </c>
      <c r="N122" s="35">
        <f>SUM(N2:N121)</f>
        <v>31.799999999999997</v>
      </c>
      <c r="AA122">
        <v>100</v>
      </c>
      <c r="AB122">
        <v>-0.26116</v>
      </c>
      <c r="AC122">
        <v>0.2208</v>
      </c>
      <c r="AD122">
        <v>0.11360000000000001</v>
      </c>
      <c r="AE122">
        <v>-0.93057999999999996</v>
      </c>
      <c r="AF122">
        <v>-0.51275999999999999</v>
      </c>
      <c r="AG122">
        <v>-1.0942000000000001</v>
      </c>
      <c r="AH122">
        <v>-0.48229</v>
      </c>
      <c r="AI122">
        <v>-0.47345999999999999</v>
      </c>
      <c r="AJ122">
        <v>0.15869</v>
      </c>
    </row>
    <row r="123" spans="1:36" x14ac:dyDescent="0.35">
      <c r="A123">
        <f>COUNTIF(B2:B121,"Ponta Cosme")</f>
        <v>61</v>
      </c>
      <c r="B123" s="15" t="s">
        <v>49</v>
      </c>
      <c r="G123" t="s">
        <v>314</v>
      </c>
      <c r="H123" s="35">
        <f>STDEV(H2:H121)</f>
        <v>1.9025294447112149</v>
      </c>
      <c r="M123" t="s">
        <v>314</v>
      </c>
      <c r="N123" s="35">
        <f>STDEV(N2:N121)</f>
        <v>1.2507021244151311</v>
      </c>
      <c r="AA123">
        <v>105</v>
      </c>
      <c r="AB123">
        <v>-1.6714</v>
      </c>
      <c r="AC123">
        <v>-0.41025</v>
      </c>
      <c r="AD123">
        <v>0.89463999999999999</v>
      </c>
      <c r="AE123">
        <v>-1.0842000000000001</v>
      </c>
      <c r="AF123">
        <v>2.6079999999999999E-2</v>
      </c>
      <c r="AG123">
        <v>-0.33479999999999999</v>
      </c>
      <c r="AH123">
        <v>-8.6462999999999998E-2</v>
      </c>
      <c r="AI123">
        <v>-0.21251</v>
      </c>
      <c r="AJ123">
        <v>0.32366</v>
      </c>
    </row>
    <row r="124" spans="1:36" x14ac:dyDescent="0.35">
      <c r="A124">
        <f>COUNTIF(B3:B122,"Ervatao")</f>
        <v>49</v>
      </c>
      <c r="B124" s="15" t="s">
        <v>53</v>
      </c>
      <c r="G124" t="s">
        <v>315</v>
      </c>
      <c r="H124" s="35">
        <f>AVERAGE(H2:H121)</f>
        <v>0.35462184873949582</v>
      </c>
      <c r="M124" t="s">
        <v>315</v>
      </c>
      <c r="N124" s="35">
        <f>AVERAGE(N2:N121)</f>
        <v>0.26722689075630252</v>
      </c>
      <c r="AA124">
        <v>74</v>
      </c>
      <c r="AB124">
        <v>-0.82218000000000002</v>
      </c>
      <c r="AC124">
        <v>0.28073999999999999</v>
      </c>
      <c r="AD124">
        <v>0.18536</v>
      </c>
      <c r="AE124">
        <v>0.68257000000000001</v>
      </c>
      <c r="AF124">
        <v>-0.57267999999999997</v>
      </c>
      <c r="AG124">
        <v>-0.65473000000000003</v>
      </c>
      <c r="AH124">
        <v>0.30248000000000003</v>
      </c>
      <c r="AI124">
        <v>-6.0017000000000001E-2</v>
      </c>
      <c r="AJ124">
        <v>0.4446</v>
      </c>
    </row>
    <row r="125" spans="1:36" x14ac:dyDescent="0.35">
      <c r="A125">
        <f>COUNTIF(B4:B123,"Benguinho")</f>
        <v>6</v>
      </c>
      <c r="B125" s="15" t="s">
        <v>50</v>
      </c>
      <c r="AA125">
        <v>80</v>
      </c>
      <c r="AB125">
        <v>5.0784000000000003E-3</v>
      </c>
      <c r="AC125">
        <v>-0.23158999999999999</v>
      </c>
      <c r="AD125">
        <v>-7.8708E-2</v>
      </c>
      <c r="AE125">
        <v>2.0609999999999999</v>
      </c>
      <c r="AF125">
        <v>0.23291000000000001</v>
      </c>
      <c r="AG125">
        <v>0.70120000000000005</v>
      </c>
      <c r="AH125">
        <v>1.0114000000000001</v>
      </c>
      <c r="AI125">
        <v>-0.23221</v>
      </c>
      <c r="AJ125">
        <v>0.61929999999999996</v>
      </c>
    </row>
    <row r="126" spans="1:36" x14ac:dyDescent="0.35">
      <c r="AA126">
        <v>83</v>
      </c>
      <c r="AB126">
        <v>0.61965000000000003</v>
      </c>
      <c r="AC126">
        <v>-0.43234</v>
      </c>
      <c r="AD126">
        <v>0.37752000000000002</v>
      </c>
      <c r="AE126">
        <v>0.28949000000000003</v>
      </c>
      <c r="AF126">
        <v>0.51119000000000003</v>
      </c>
      <c r="AG126">
        <v>0.46681</v>
      </c>
      <c r="AH126">
        <v>0.64053000000000004</v>
      </c>
      <c r="AI126">
        <v>0.51797000000000004</v>
      </c>
      <c r="AJ126">
        <v>-5.1670000000000004E-4</v>
      </c>
    </row>
    <row r="127" spans="1:36" x14ac:dyDescent="0.35">
      <c r="AA127">
        <v>84</v>
      </c>
      <c r="AB127">
        <v>-1.0013000000000001</v>
      </c>
      <c r="AC127">
        <v>-0.39474999999999999</v>
      </c>
      <c r="AD127">
        <v>0.36065000000000003</v>
      </c>
      <c r="AE127">
        <v>2.2904000000000001E-2</v>
      </c>
      <c r="AF127">
        <v>4.2326999999999997E-2</v>
      </c>
      <c r="AG127">
        <v>0.39305000000000001</v>
      </c>
      <c r="AH127">
        <v>0.31581999999999999</v>
      </c>
      <c r="AI127">
        <v>0.74378999999999995</v>
      </c>
      <c r="AJ127">
        <v>6.9414000000000003E-2</v>
      </c>
    </row>
    <row r="128" spans="1:36" x14ac:dyDescent="0.35">
      <c r="AA128">
        <v>89</v>
      </c>
      <c r="AB128">
        <v>4.5805999999999996</v>
      </c>
      <c r="AC128">
        <v>0.32841999999999999</v>
      </c>
      <c r="AD128">
        <v>-0.86970000000000003</v>
      </c>
      <c r="AE128">
        <v>1.1213</v>
      </c>
      <c r="AF128">
        <v>0.20139000000000001</v>
      </c>
      <c r="AG128">
        <v>-0.32954</v>
      </c>
      <c r="AH128">
        <v>0.73717999999999995</v>
      </c>
      <c r="AI128">
        <v>0.57257999999999998</v>
      </c>
      <c r="AJ128">
        <v>-0.45945000000000003</v>
      </c>
    </row>
    <row r="129" spans="27:36" x14ac:dyDescent="0.35">
      <c r="AA129">
        <v>93</v>
      </c>
      <c r="AB129">
        <v>-0.32529999999999998</v>
      </c>
      <c r="AC129">
        <v>-0.05</v>
      </c>
      <c r="AD129">
        <v>0.1023</v>
      </c>
      <c r="AE129">
        <v>-0.38018000000000002</v>
      </c>
      <c r="AF129">
        <v>-0.21285999999999999</v>
      </c>
      <c r="AG129">
        <v>-0.41797000000000001</v>
      </c>
      <c r="AH129">
        <v>-0.14130000000000001</v>
      </c>
      <c r="AI129">
        <v>-0.27798</v>
      </c>
      <c r="AJ129">
        <v>9.6849000000000005E-2</v>
      </c>
    </row>
    <row r="130" spans="27:36" x14ac:dyDescent="0.35">
      <c r="AA130">
        <v>99</v>
      </c>
      <c r="AB130">
        <v>-0.69213999999999998</v>
      </c>
      <c r="AC130">
        <v>0.36416999999999999</v>
      </c>
      <c r="AD130">
        <v>-0.27232000000000001</v>
      </c>
      <c r="AE130">
        <v>-0.62468999999999997</v>
      </c>
      <c r="AF130">
        <v>-1.0552999999999999</v>
      </c>
      <c r="AG130">
        <v>-1.0278</v>
      </c>
      <c r="AH130">
        <v>-0.48388999999999999</v>
      </c>
      <c r="AI130">
        <v>0.42620000000000002</v>
      </c>
      <c r="AJ130">
        <v>-0.11774999999999999</v>
      </c>
    </row>
    <row r="131" spans="27:36" x14ac:dyDescent="0.35">
      <c r="AA131">
        <v>104</v>
      </c>
      <c r="AB131">
        <v>-1.2497</v>
      </c>
      <c r="AC131">
        <v>-0.52742999999999995</v>
      </c>
      <c r="AD131">
        <v>1.0189999999999999</v>
      </c>
      <c r="AE131">
        <v>-0.94194</v>
      </c>
      <c r="AF131">
        <v>0.27168999999999999</v>
      </c>
      <c r="AG131">
        <v>-0.14449999999999999</v>
      </c>
      <c r="AH131">
        <v>0.14877000000000001</v>
      </c>
      <c r="AI131">
        <v>-0.30863000000000002</v>
      </c>
      <c r="AJ131">
        <v>-0.19370000000000001</v>
      </c>
    </row>
    <row r="132" spans="27:36" x14ac:dyDescent="0.35">
      <c r="AA132">
        <v>75</v>
      </c>
      <c r="AB132">
        <v>-3.2263000000000002</v>
      </c>
      <c r="AC132">
        <v>0.22603999999999999</v>
      </c>
      <c r="AD132">
        <v>4.3215000000000003E-2</v>
      </c>
      <c r="AE132">
        <v>0.61602999999999997</v>
      </c>
      <c r="AF132">
        <v>-1.2591000000000001</v>
      </c>
      <c r="AG132">
        <v>-0.53105000000000002</v>
      </c>
      <c r="AH132">
        <v>-4.0485E-2</v>
      </c>
      <c r="AI132">
        <v>-0.43181000000000003</v>
      </c>
      <c r="AJ132">
        <v>-1.1271</v>
      </c>
    </row>
    <row r="133" spans="27:36" x14ac:dyDescent="0.35">
      <c r="AA133">
        <v>106</v>
      </c>
      <c r="AB133">
        <v>-1.2777000000000001</v>
      </c>
      <c r="AC133">
        <v>0.31540000000000001</v>
      </c>
      <c r="AD133">
        <v>0.42027999999999999</v>
      </c>
      <c r="AE133">
        <v>-1.0625</v>
      </c>
      <c r="AF133">
        <v>-5.4997999999999998E-2</v>
      </c>
      <c r="AG133">
        <v>0.19303000000000001</v>
      </c>
      <c r="AH133">
        <v>0.69021999999999994</v>
      </c>
      <c r="AI133">
        <v>-8.2533999999999996E-2</v>
      </c>
      <c r="AJ133">
        <v>-0.13985</v>
      </c>
    </row>
    <row r="134" spans="27:36" x14ac:dyDescent="0.35">
      <c r="AA134">
        <v>98</v>
      </c>
      <c r="AB134">
        <v>-0.23452999999999999</v>
      </c>
      <c r="AC134">
        <v>0.71516999999999997</v>
      </c>
      <c r="AD134">
        <v>-0.52947</v>
      </c>
      <c r="AE134">
        <v>-0.52988000000000002</v>
      </c>
      <c r="AF134">
        <v>-0.43824999999999997</v>
      </c>
      <c r="AG134">
        <v>-0.11523</v>
      </c>
      <c r="AH134">
        <v>0.3972</v>
      </c>
      <c r="AI134">
        <v>-0.25289</v>
      </c>
      <c r="AJ134">
        <v>0.81620000000000004</v>
      </c>
    </row>
    <row r="135" spans="27:36" x14ac:dyDescent="0.35">
      <c r="AA135">
        <v>102</v>
      </c>
      <c r="AB135">
        <v>2.2155999999999998</v>
      </c>
      <c r="AC135">
        <v>0.82325999999999999</v>
      </c>
      <c r="AD135">
        <v>-0.72358999999999996</v>
      </c>
      <c r="AE135">
        <v>-3.5680999999999997E-2</v>
      </c>
      <c r="AF135">
        <v>-4.5310000000000003E-2</v>
      </c>
      <c r="AG135">
        <v>-0.12125</v>
      </c>
      <c r="AH135">
        <v>0.86255000000000004</v>
      </c>
      <c r="AI135">
        <v>-2.9048999999999998E-2</v>
      </c>
      <c r="AJ135">
        <v>0.51171999999999995</v>
      </c>
    </row>
    <row r="136" spans="27:36" x14ac:dyDescent="0.35">
      <c r="AA136">
        <v>94</v>
      </c>
      <c r="AB136">
        <v>-0.28935</v>
      </c>
      <c r="AC136">
        <v>0.56801999999999997</v>
      </c>
      <c r="AD136">
        <v>-0.65815000000000001</v>
      </c>
      <c r="AE136">
        <v>-7.6358999999999996E-2</v>
      </c>
      <c r="AF136">
        <v>-0.35904000000000003</v>
      </c>
      <c r="AG136">
        <v>0.30407000000000001</v>
      </c>
      <c r="AH136">
        <v>0.60560000000000003</v>
      </c>
      <c r="AI136">
        <v>-0.38421</v>
      </c>
      <c r="AJ136">
        <v>5.4754999999999998E-2</v>
      </c>
    </row>
    <row r="137" spans="27:36" x14ac:dyDescent="0.35">
      <c r="AA137">
        <v>95</v>
      </c>
      <c r="AB137">
        <v>-0.16075999999999999</v>
      </c>
      <c r="AC137">
        <v>-0.32645000000000002</v>
      </c>
      <c r="AD137">
        <v>-0.36398999999999998</v>
      </c>
      <c r="AE137">
        <v>0.74794000000000005</v>
      </c>
      <c r="AF137">
        <v>-0.1135</v>
      </c>
      <c r="AG137">
        <v>0.49546000000000001</v>
      </c>
      <c r="AH137">
        <v>0.40997</v>
      </c>
      <c r="AI137">
        <v>0.35363</v>
      </c>
      <c r="AJ137">
        <v>-0.34197</v>
      </c>
    </row>
    <row r="138" spans="27:36" x14ac:dyDescent="0.35">
      <c r="AA138">
        <v>109</v>
      </c>
      <c r="AB138">
        <v>-0.73687999999999998</v>
      </c>
      <c r="AC138">
        <v>-1.0662</v>
      </c>
      <c r="AD138">
        <v>1.1584000000000001</v>
      </c>
      <c r="AE138">
        <v>-0.51946999999999999</v>
      </c>
      <c r="AF138">
        <v>0.42283999999999999</v>
      </c>
      <c r="AG138">
        <v>-0.59013000000000004</v>
      </c>
      <c r="AH138">
        <v>-0.57794000000000001</v>
      </c>
      <c r="AI138">
        <v>-0.21598999999999999</v>
      </c>
      <c r="AJ138">
        <v>0.41761999999999999</v>
      </c>
    </row>
    <row r="139" spans="27:36" x14ac:dyDescent="0.35">
      <c r="AA139">
        <v>108</v>
      </c>
      <c r="AB139">
        <v>-1.53</v>
      </c>
      <c r="AC139">
        <v>-4.9520000000000002E-2</v>
      </c>
      <c r="AD139">
        <v>-6.8590999999999999E-2</v>
      </c>
      <c r="AE139">
        <v>1.5941000000000001</v>
      </c>
      <c r="AF139">
        <v>-0.47345999999999999</v>
      </c>
      <c r="AG139">
        <v>0.32983000000000001</v>
      </c>
      <c r="AH139">
        <v>0.66154000000000002</v>
      </c>
      <c r="AI139">
        <v>0.17909</v>
      </c>
      <c r="AJ139">
        <v>-0.16521</v>
      </c>
    </row>
    <row r="140" spans="27:36" x14ac:dyDescent="0.35">
      <c r="AA140">
        <v>107</v>
      </c>
      <c r="AB140">
        <v>-1.9786999999999999</v>
      </c>
      <c r="AC140">
        <v>-0.81525999999999998</v>
      </c>
      <c r="AD140">
        <v>-2.9437000000000001E-2</v>
      </c>
      <c r="AE140">
        <v>1.0477000000000001</v>
      </c>
      <c r="AF140">
        <v>0.28309000000000001</v>
      </c>
      <c r="AG140">
        <v>1.4755</v>
      </c>
      <c r="AH140">
        <v>0.60392000000000001</v>
      </c>
      <c r="AI140">
        <v>0.61314000000000002</v>
      </c>
      <c r="AJ140">
        <v>1.4644000000000001E-2</v>
      </c>
    </row>
    <row r="141" spans="27:36" x14ac:dyDescent="0.35">
      <c r="AA141">
        <v>111</v>
      </c>
      <c r="AB141">
        <v>-1.6836</v>
      </c>
      <c r="AC141">
        <v>1.9265000000000001</v>
      </c>
      <c r="AD141">
        <v>2.2381000000000002</v>
      </c>
      <c r="AE141">
        <v>-0.72084999999999999</v>
      </c>
      <c r="AF141">
        <v>-0.73865000000000003</v>
      </c>
      <c r="AG141">
        <v>0.68620000000000003</v>
      </c>
      <c r="AH141">
        <v>-0.38847999999999999</v>
      </c>
      <c r="AI141">
        <v>-0.43839</v>
      </c>
      <c r="AJ141">
        <v>-0.38830999999999999</v>
      </c>
    </row>
    <row r="142" spans="27:36" x14ac:dyDescent="0.35">
      <c r="AA142">
        <v>116</v>
      </c>
      <c r="AB142">
        <v>1.9976</v>
      </c>
      <c r="AC142">
        <v>4.2672999999999996</v>
      </c>
      <c r="AD142">
        <v>2.5423</v>
      </c>
      <c r="AE142">
        <v>-0.35705999999999999</v>
      </c>
      <c r="AF142">
        <v>-1.4798</v>
      </c>
      <c r="AG142">
        <v>2.0007999999999999</v>
      </c>
      <c r="AH142">
        <v>-0.83994000000000002</v>
      </c>
      <c r="AI142">
        <v>-0.25103999999999999</v>
      </c>
      <c r="AJ142">
        <v>-4.8719999999999999E-2</v>
      </c>
    </row>
    <row r="143" spans="27:36" x14ac:dyDescent="0.35">
      <c r="AA143">
        <v>112</v>
      </c>
      <c r="AB143">
        <v>-2.9106000000000001</v>
      </c>
      <c r="AC143">
        <v>3.4302000000000001</v>
      </c>
      <c r="AD143">
        <v>-0.74472000000000005</v>
      </c>
      <c r="AE143">
        <v>-0.42948999999999998</v>
      </c>
      <c r="AF143">
        <v>4.8028000000000004</v>
      </c>
      <c r="AG143">
        <v>0.14877000000000001</v>
      </c>
      <c r="AH143">
        <v>-0.76998999999999995</v>
      </c>
      <c r="AI143">
        <v>2.3642E-2</v>
      </c>
      <c r="AJ143">
        <v>-0.31091999999999997</v>
      </c>
    </row>
    <row r="144" spans="27:36" x14ac:dyDescent="0.35">
      <c r="AA144">
        <v>110</v>
      </c>
      <c r="AB144">
        <v>-0.14666000000000001</v>
      </c>
      <c r="AC144">
        <v>4.2854999999999999</v>
      </c>
      <c r="AD144">
        <v>-2.3469000000000002</v>
      </c>
      <c r="AE144">
        <v>0.57006000000000001</v>
      </c>
      <c r="AF144">
        <v>4.0301</v>
      </c>
      <c r="AG144">
        <v>-0.51510999999999996</v>
      </c>
      <c r="AH144">
        <v>-0.92298999999999998</v>
      </c>
      <c r="AI144">
        <v>0.91249999999999998</v>
      </c>
      <c r="AJ144">
        <v>0.41121000000000002</v>
      </c>
    </row>
    <row r="145" spans="27:36" x14ac:dyDescent="0.35">
      <c r="AA145">
        <v>117</v>
      </c>
      <c r="AB145">
        <v>3.5920999999999998</v>
      </c>
      <c r="AC145">
        <v>5.4964000000000004</v>
      </c>
      <c r="AD145">
        <v>5.2996999999999996</v>
      </c>
      <c r="AE145">
        <v>1.3167</v>
      </c>
      <c r="AF145">
        <v>-1.9564999999999999</v>
      </c>
      <c r="AG145">
        <v>3.7528999999999999</v>
      </c>
      <c r="AH145">
        <v>-2.4314</v>
      </c>
      <c r="AI145">
        <v>0.11963</v>
      </c>
      <c r="AJ145">
        <v>3.2071000000000002E-2</v>
      </c>
    </row>
    <row r="146" spans="27:36" x14ac:dyDescent="0.35">
      <c r="AA146">
        <v>113</v>
      </c>
      <c r="AB146">
        <v>-1.2269000000000001</v>
      </c>
      <c r="AC146">
        <v>1.9188000000000001</v>
      </c>
      <c r="AD146">
        <v>0.51590000000000003</v>
      </c>
      <c r="AE146">
        <v>0.28326000000000001</v>
      </c>
      <c r="AF146">
        <v>-0.60106999999999999</v>
      </c>
      <c r="AG146">
        <v>-0.45469999999999999</v>
      </c>
      <c r="AH146">
        <v>2.0097999999999998</v>
      </c>
      <c r="AI146">
        <v>-0.28566000000000003</v>
      </c>
      <c r="AJ146">
        <v>0.60729999999999995</v>
      </c>
    </row>
    <row r="147" spans="27:36" x14ac:dyDescent="0.35">
      <c r="AA147">
        <v>118</v>
      </c>
      <c r="AB147">
        <v>-1.3528</v>
      </c>
      <c r="AC147">
        <v>2.4664000000000001</v>
      </c>
      <c r="AD147">
        <v>8.8205000000000002E-3</v>
      </c>
      <c r="AE147">
        <v>2.8043999999999999E-3</v>
      </c>
      <c r="AF147">
        <v>-1.5256000000000001</v>
      </c>
      <c r="AG147">
        <v>-1.2927999999999999</v>
      </c>
      <c r="AH147">
        <v>1.5569999999999999</v>
      </c>
      <c r="AI147">
        <v>0.1132</v>
      </c>
      <c r="AJ147">
        <v>-3.0865E-2</v>
      </c>
    </row>
    <row r="148" spans="27:36" x14ac:dyDescent="0.35">
      <c r="AA148">
        <v>115</v>
      </c>
      <c r="AB148">
        <v>-3.4238</v>
      </c>
      <c r="AC148">
        <v>2.1665000000000001</v>
      </c>
      <c r="AD148">
        <v>7.6364000000000001E-2</v>
      </c>
      <c r="AE148">
        <v>9.5130999999999993E-2</v>
      </c>
      <c r="AF148">
        <v>-1.6136999999999999</v>
      </c>
      <c r="AG148">
        <v>-0.73207</v>
      </c>
      <c r="AH148">
        <v>1.4008</v>
      </c>
      <c r="AI148">
        <v>-3.9287999999999997E-2</v>
      </c>
      <c r="AJ148">
        <v>0.36018</v>
      </c>
    </row>
    <row r="149" spans="27:36" x14ac:dyDescent="0.35">
      <c r="AA149">
        <v>114</v>
      </c>
      <c r="AB149">
        <v>-0.72118000000000004</v>
      </c>
      <c r="AC149">
        <v>0.69221999999999995</v>
      </c>
      <c r="AD149">
        <v>4.3908999999999997E-2</v>
      </c>
      <c r="AE149">
        <v>0.75149999999999995</v>
      </c>
      <c r="AF149">
        <v>-0.24403</v>
      </c>
      <c r="AG149">
        <v>0.29533999999999999</v>
      </c>
      <c r="AH149">
        <v>1.3874</v>
      </c>
      <c r="AI149">
        <v>0.52110999999999996</v>
      </c>
      <c r="AJ149">
        <v>0.57081000000000004</v>
      </c>
    </row>
    <row r="150" spans="27:36" x14ac:dyDescent="0.35">
      <c r="AA150">
        <v>120</v>
      </c>
      <c r="AB150">
        <v>1.1818</v>
      </c>
      <c r="AC150">
        <v>1.1872</v>
      </c>
      <c r="AD150">
        <v>-0.45019999999999999</v>
      </c>
      <c r="AE150">
        <v>0.57965</v>
      </c>
      <c r="AF150">
        <v>-0.43279000000000001</v>
      </c>
      <c r="AG150">
        <v>-0.64683999999999997</v>
      </c>
      <c r="AH150">
        <v>1.0445</v>
      </c>
      <c r="AI150">
        <v>-0.35158</v>
      </c>
      <c r="AJ150">
        <v>0.75887000000000004</v>
      </c>
    </row>
    <row r="151" spans="27:36" x14ac:dyDescent="0.35">
      <c r="AA151">
        <v>119</v>
      </c>
      <c r="AB151">
        <v>-3.4687000000000001</v>
      </c>
      <c r="AC151">
        <v>4.3047000000000004</v>
      </c>
      <c r="AD151">
        <v>-1.0612999999999999</v>
      </c>
      <c r="AE151">
        <v>1.7967</v>
      </c>
      <c r="AF151">
        <v>4.1155999999999997</v>
      </c>
      <c r="AG151">
        <v>-1.9275</v>
      </c>
      <c r="AH151">
        <v>-1.3113999999999999</v>
      </c>
      <c r="AI151">
        <v>-1.9095999999999998E-2</v>
      </c>
      <c r="AJ151">
        <v>-0.37770999999999999</v>
      </c>
    </row>
    <row r="152" spans="27:36" x14ac:dyDescent="0.35">
      <c r="AA152">
        <v>103</v>
      </c>
      <c r="AB152">
        <v>-0.36908000000000002</v>
      </c>
      <c r="AC152">
        <v>0.30553000000000002</v>
      </c>
      <c r="AD152">
        <v>-1.4277</v>
      </c>
      <c r="AE152">
        <v>1.1275999999999999</v>
      </c>
      <c r="AF152">
        <v>-0.82689000000000001</v>
      </c>
      <c r="AG152">
        <v>0.18840000000000001</v>
      </c>
      <c r="AH152">
        <v>-0.37053999999999998</v>
      </c>
      <c r="AI152">
        <v>-0.35844999999999999</v>
      </c>
      <c r="AJ152">
        <v>-0.14011999999999999</v>
      </c>
    </row>
  </sheetData>
  <sortState xmlns:xlrd2="http://schemas.microsoft.com/office/spreadsheetml/2017/richdata2" ref="A2:Y121">
    <sortCondition ref="A2:A121"/>
  </sortState>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1 6 " ? > < V i s u a l i z a t i o n   x m l n s : x s d = " h t t p : / / w w w . w 3 . o r g / 2 0 0 1 / X M L S c h e m a "   x m l n s : x s i = " h t t p : / / w w w . w 3 . o r g / 2 0 0 1 / X M L S c h e m a - i n s t a n c e "   x m l n s = " h t t p : / / m i c r o s o f t . d a t a . v i s u a l i z a t i o n . C l i e n t . E x c e l / 1 . 0 " > < T o u r s > < T o u r   N a m e = " T o u r   1 "   I d = " { 6 3 7 9 F 2 3 1 - 6 9 0 1 - 4 4 A 9 - 9 B 0 A - 1 D 2 B 0 B B 4 A A B 6 } "   T o u r I d = " 9 1 5 8 f b d 5 - 7 0 b b - 4 d a 8 - a 3 8 4 - e 8 4 7 8 5 4 e e 8 0 6 "   X m l V e r = " 6 "   M i n X m l V e r = " 3 " > < D e s c r i p t i o n > S o m e   d e s c r i p t i o n   f o r   t h e   t o u r   g o e s   h e r e < / D e s c r i p t i o n > < I m a g e > i V B O R w 0 K G g o A A A A N S U h E U g A A A N Q A A A B 1 C A Y A A A A 2 n s 9 T A A A A A X N S R 0 I A r s 4 c 6 Q A A A A R n Q U 1 B A A C x j w v 8 Y Q U A A A A J c E h Z c w A A B K o A A A S q A f V M / I A A A C 5 y S U R B V H h e 7 Z 3 X U 5 x r t t 5 X Q 0 O T o w g C k V F G A U U k b c W t v W f P n D l h 5 s K + O H e 2 q 1 z H v n b Z v n F t 2 / + A X b 5 3 l V 1 1 y l X j K c + p m T 2 z g 3 J C O S F A i J x F z p k G / P 4 W 3 V K r 1 U A n 2 N D 0 U / U V 0 H R / 3 f 1 9 7 / O u v J Z l Z K h v S X x E d U 2 N 5 O b k S G p q q u O R w F H 5 4 K E U l x R L d n a W 4 5 H g Y W h 4 W G q q a + X 8 + X O O R / x D 1 e s 3 s i s v V 9 L S 0 h y P r D / s i x a 5 3 7 A o o x M z E p / 4 + f U + W z g r c d G + 3 c K x s T F 5 9 P C x 8 K q 9 + 3 Z L a k q q R E V F f T g W F h b k 1 c v X k l + Q J x k Z G c s v 8 o B 3 f V H S M R L p + O v n Q 2 6 y X f Z n 2 R 1 / B R e d o 5 F S 1 x v l + G t t R D h + + o Q 0 c w M m J y c d f w U H 0 b Z o c z O t j r / C A E t m x S / a Z y V l u k p / e s L r 7 m j H b + a 5 i 0 t K h u V j 0 f y 9 a M 6 x p I c T 0 9 P T c u f u f T l 2 / J h c v X p F C g s K J T k 5 W e L i 4 p R M I D I y U k p K i 8 3 G W S t 2 + 4 I + 5 o q J W Y u 0 G y J t B j K B r l G r z N o t j r + C h 8 Y B q 0 9 k A n 4 R y h o d J c N D I 5 / c q E A x O + N 5 w Q Q D S 2 Z h x c b G O v 7 a G p i a m p b W 1 l a 5 e e O 2 E u T r w / G O / 3 y K y T m L N J g b D 9 7 3 v J f 7 9 x / I n T v 3 z H F X H h i p / + z Z M 3 l d V S V 1 d X X S 0 d G p x 6 G y A 5 K e n q b E W Q m J i Y l i i 4 6 W k e E h x y P L g E y P 2 m x S b 6 T T Z s J M E A k 1 t 2 C R V 1 3 R 0 j r k + w b v F 6 G i r F E y O j b q + C t w s J P O 2 + d X v c H + A t J P T E x K X H y c 4 5 H N D z 5 z Y 2 O T z M z M y B f n z 0 p 5 + V G J j 1 1 5 A b e Z G 9 8 3 b p H 3 3 T 2 y d + 8 e O X n y u J w 6 d U K O H j 0 s p a W 7 J W / X L s n I z D C k e i f N z a 1 G I q W I x b L 6 A u R e 7 N + / T x q b m o 2 U s s v z j m i 5 X h + j Z N q M m J l 3 / B I E 3 G 2 y y c C k X 9 T w j 1 D R R k I N D Q 2 r + h A M z M z O y o J R L V A 7 g o 2 B g U G p e 1 c v R Y U F j k c 2 P 5 B I 7 9 + / l 1 2 G C A k J C R I R s X y b D m b P S 1 T k k k S b w x 2 P 3 o 1 K d 3 e 3 u T f R K l 1 4 H T 9 T U 1 O M N E q X 9 L R 0 + e K L s 3 L l y k V 9 b C 3 w D m N L R r W 3 l c i d p h g Z n v Z v g W 0 U + i Y C 3 4 z 5 z t 3 G Z g o E e p X c 9 W x u 6 O j o q D F e x 8 3 u P q H 2 E u S Z N Q t / f t 5 I E n O D I y M R h 8 E R s 2 P m v Z K M H o / k C y b 4 7 M + f v 5 C K 0 y c D U v m Q o K h g G 4 W 5 u T m J M B I i J u Z T a Z C Z s C D z R h 1 B J X F H V H S 8 X L o E W V Z 2 m H A N I J w 3 u N 0 Y Y 1 T J G F m K 3 y V L l s 1 v 2 / Y b Q s 1 / b u 5 5 h X G j x t 4 x U u m G k c C 1 P t p M 7 r A M 9 r 9 f e l N V b R Z 0 k i Q m J c r U 5 J Q M D g 5 J W 1 u 7 Z B o 1 Y d b c 3 A U j 8 h H 7 q A n 8 H W l + J i Y l y b l z Z 8 R q X f 1 i u 9 t Z k B P C s k j H x 8 d l f m 5 e m l t a 5 f j x 8 q B 6 z y A / d s S x Y + W y Y 8 c O x 6 O + g 8 9 6 + / Z d Q 6 g p S U 1 J k c N H D k u S u U 7 r i c 7 O T i X w n j 2 7 H Y 8 s Y 2 F R 5 J Z Z 6 O 6 w W Z f U G 3 i 5 d M b x S G D A D 3 H b S K W t h k M 7 5 y Q r 0 V w k H z A z b 5 H K V p s s f i 7 0 / Y K l 4 V 3 N U k 1 N r S 7 m j o 4 O c x P 3 q K q A W p d i F p B T e j m P R X 4 a M k C u m B j P F 5 3 n s a B H R k b k 7 d t 3 + h g e q M j I C J V 0 n D s + P l 4 S E h M k P i 5 e 3 y 8 t L f W D a h M o I G t z c 4 t + B u y A Q M 4 7 O j o m t 2 7 d k a + + + t L s 8 D F B + 4 y r A V u H 6 4 H L e m R k V K 8 b 6 j B 2 D c Z 3 0 0 C U q j i u i w D X e X n u n M R G + b 4 y z O 0 S l m H 7 s F V a B q 1 B W 1 w b j R i z s Z w r m j V r 0 / G A F 8 A 2 D K Y 6 a / k f / / 2 / L f 3 y V 7 + Q t N R U 3 R U T E j x 7 k 7 w B C 5 k Y R 0 9 P r z Q Z Y x Y J x y 4 L w W 7 f u i t X v r w k N l u M E s q J t Y x j f z A 4 O C h P n j y T y 5 c v r k h 6 b 4 B U f v C g U g 4 c O G A W t / 9 S z l e 0 t b U Z S T 6 l t s + T J 0 / F Z l S / C E u E x v 3 i 4 + N k h / k s 8 f F J 8 q w 7 4 R N 3 8 f F d c 5 I a 5 9 s O j c 1 Q 1 x e l p N q i P P o E e S l 2 2 Z v p f U y q b y J C q l x C D 4 E i A v d p l F H b 2 H k D J d P 7 n h 5 5 W P l I a m v f y o U L X x g 1 7 p j G O G J j 4 8 Q a x U 1 b M o S K V h I 5 D y d Q r W Z m Z o 0 a O C H j x v Z B u v B 8 f z A 4 M C j 7 9 u 0 N i E y A R c 3 n s W 5 w f A w 1 G i m F 5 l B W d k A u X 7 o k F R W n p L i 4 U C V 7 Q 3 2 D 3 L l 9 S 3 I t 9 W K N + E i g w S n v d l o u K w v p X r N N y Y R E C g U y A W w p X z A 0 F V z P s u X e 3 Z t L O 8 x O m J 2 d 7 b e 0 Q L J N T 0 / J r Z t 3 V A o l G f s K 9 c T 1 f H 1 9 f S o 1 L l w 4 / 5 k N A h l r a + u k v q F B J a V R K m X U q D q 4 f 3 N y c l b 8 X J A Q K b I c x F z 2 E k J E v F 2 4 h y G 1 z e a f m x c y s 6 h j 4 2 I l b 1 e e q l 0 b A b 7 P m z c 1 k p u b o 7 E i c 4 s + e 2 + u l w Z o b 9 + T E 6 c r V H J h V C f H L M r J / D n H s z 5 H v y F R m 1 H r R j a 5 x y 5 Q n C + e M X a l 4 4 8 1 M D Y T I S 8 6 o 9 Q G D Q Y s n e 3 N S z e u 3 5 J T p 0 / K z p 3 Z j o e 9 R 3 f 3 e / W k s a j P n D m l D g B P 8 S R 2 x c b G R r W r D h 8 + p N 4 m J 1 G Q T N e v 3 5 A r V y 5 / U A d n Z + f k 7 p 1 7 k r M r R y I j L D J i b J m s z E y z e 0 f q e 0 B A p / e R 9 4 N c f P 7 e 3 j 6 z k x f p O b q 6 u p W U 2 G i + g k V b X V 2 j 7 m f n + T Y C p E n h J D p 7 t u J D 5 s J K w L 6 6 d u 2 6 Z j y 0 T m b K x F y E f F F s b A j H / 0 G X U e m a j V 2 E Z 9 B P g b / l c C B r X n K S v X P 5 I Z 0 f t N i C l m k R + W / + 4 V 9 / y 2 7 Y 3 t 5 p p M F O d T o s m s U 5 b G 4 s u / R q b l Z 2 0 4 b G J s k x C / n I k c P q x P B E J g B 3 I A s L / s X L V 2 I 1 z 4 u K i j Y L l y B m o 5 E u s R p 3 g T C o n z y X z 8 O i 4 r x Z W Z n q F M C V / + j R Y z l 4 8 I A U F R V J a W m J H o W F B S q h + M n 3 4 f W t L a 3 S 0 d 4 h W d l Z P k s q J N 2 j R 0 + V U B B 4 I 5 w R q J e v X r w y 6 u o e V Z X X A i r t r l 2 5 c u / u f d m T l y T N n U M y u 2 Q T W 7 R V m g a s 8 m / / V 4 0 U Z O f K Q o C 7 L 7 G v x a X g L L i N A L f K W 2 / f 1 L z F r 4 y I l W D 5 7 o 9 / W J q e n t E b i G e p 3 S x A d n T c x H Z D r A v n z 3 n c K S E b s S r S W 8 6 c O e 2 1 y x t J g l R B K k Y Y 8 q Q k J 6 n K i A P B m x g J 7 4 v 0 Y I G v p q L y + e / e e y D m W X L s + F G / X O d k K t w 1 i 5 X w A L Z L o E B C E C q Y m 5 t V C Y w 9 6 f x c E J j 3 O n S o T J 0 5 F k u E S h V c 4 q u B T e 3 x 4 6 e 6 k W V k Z k v T b L F E a I x w e + N K 6 Y w S a y 2 g 7 g X T j o r 4 4 o t z c u r U S W M r x O h C P 2 F U p N 2 7 S 4 z E O W S M + w F d A J 4 w M D g o l Z W P V K V C g n g D F h T q H Y s n x k i b U 6 q O J c m E 2 Z l X k m z u g E Q 8 d z U y A a T V W U N 0 J C 1 x N X + A R z L T q J m o V v 4 6 S F y x t I Q a W S 0 v X 7 5 W S T 0 8 P O L 4 D 5 6 9 d s 3 m w J v I Z o F O X 9 W 9 7 H 1 b D T 0 9 P W a T s s u B Q + U y E Z 1 v p J F v X j 4 n u J o 7 4 s 1 G t X U E 0 a p 4 1 R 2 t c b v V M G / + H 2 y n h H I 4 2 U i J s o M H p a z s o C Q Z 6 Q R B k F g 4 E F 4 a 9 Y z s C F f w d 0 t T i 9 p C L D i n O k S E H 7 K 4 H u z y O C R I p R k c H N B g a / 2 7 B v N a d u J M J S 9 u Y S R X M I F q + N K o T + X H j q p E 8 w 9 L R q X K k e c v X u r 3 C B R c J 6 4 Z 1 w W H g z N 7 g + / O 9 c k 0 a q 1 z Y 0 H N O p Y 3 p 6 r y a m h t b T f 3 r U y i I h b E O l Y n U 2 M D j v + s j U h z 7 v S 4 R d m X O S 8 X z Y 5 + V O N Y / l 6 r z Y W h q Q h 5 0 b W 6 x r M e S v y H c 7 L j u + 7 6 / E 5 M i S x w b j g H i 4 q 6 I q Q W C a f Y N a 5 o 7 + i Q m z f v y E 8 / X v 9 w X L 9 2 U 2 p q 6 u T N m 2 o N k J a X H 5 H T F a d k 5 8 6 d + h 5 I A c g b j A X r B O d 6 b O y s v f v 2 q h p L C Y K v p E I N r q 9 v k B e G l G N G Q k 2 7 f T 7 O h 7 r l i + R y S u i s r C y 1 B / v 7 B 3 Q T a m 1 t U / v J X e V l w a 8 F N s M H 9 y v l j 3 / 8 z q j r 7 V J e n O D 4 z + c g B z A j Y U E O 7 5 y T C y W z c n n 3 j J T v m p N d K Y a M j p U w t 7 A e y 2 z 9 s J r z d X 6 N c N R 6 O G 4 j / 8 O / / 3 f f s j A m j c 0 R b W w l V 1 L h / u 7 q 7 N L d s 6 6 u X l V C F s C r V 1 W 6 a P P y d 3 0 S 6 8 E W w q l w 7 o u z s n t P 6 f K x u 9 R I v G S j 4 v S r L Y b j g Z 3 Z + T 6 c h 7 h V S U m J O h I C B Q s c z 2 N 8 Q p y m C v E + T 5 8 + U w 8 g n 9 X 1 + 6 0 E y N L c 3 K z S 4 t C h g + r 8 e G G k V E F B v k q Z E W M 7 c j 2 e v 3 g h h B w 8 J f X y O d i Q 2 H j Y j H C K j I 2 N q p 1 0 4 s Q x t V M J 4 P K / l u Z W O X 3 6 p D p A v P l 8 r s A G K z X X e G J i X P a b D S Q / O 0 V y k h Z k b D Z C g 7 w 5 i Q t y I N s u J e l 2 K U p f k G x j r M f b l j w u J g j f N L j F 7 K 9 V 9 r N 5 o z Z z D V b L H s E D G k x E X r p 4 4 V t 2 4 m q N f e R + Q h A W F A m m x K g o C 0 h M T F B C 7 M r b J Y W F + Z r j x k 5 b W 1 M r g 0 N D 5 v k R h l Q z 6 m V j 4 T k P Z 6 C S R U N l b o F 5 r d P R 0 W Z 2 Z z y L R U W F P i 8 m T 0 A d x Y 2 P q / v h w 8 d q 6 + E w w Y 4 i l W e t 3 E M W O F 7 H A S M 9 D h z Y r 9 c D M k B S N p 0 U I 0 1 v 3 b 4 j B / b v l 4 L 8 f L O 5 v N b s b d 6 X N K W n z 1 6 o 1 I W Q D x 8 + k W S z m b w 0 Z O Q 6 v n 7 9 R j O + k Z p c W 5 w P T 5 8 8 N 8 9 J U k 8 l 1 8 p X R B i j h 9 d B 0 K d P n 6 v k j 4 u N U r d x Z s K i J M c u q f T x x j Y a m Y k I O N t 6 s y H O k M l T 9 k j / Z K Q 8 b L W Z a x N c D 2 b k f / 0 v 3 3 6 L q x n 3 K 7 E d J x m c m D J S C R u I / 3 P T W J B I G H b l / P w 8 I 7 1 6 1 F X N I k F t Q e J w D l d w P q Q g p i 9 O A o j L I i W O 9 P z 5 K z l z p s I r D 9 9 a Q C q 0 d 3 T K y M i w u t w 7 O j v V a Y K U z D O b w E p k g g z Y N U j Y T i O R + / o G 5 O S p E / o Z A U R H u p B J Q j o Q n x 9 V i / 8 j V d 6 / 7 z Y k b J a 3 b + v 0 u Y U q y S x q H / J c N i E S j 9 l I l o O 1 y 4 B U k B Q p F 2 h i M J 8 F j e L 1 6 y o j t d J 1 w / J 1 g + o d j 1 T b I 5 R A f C k v 9 X P 7 H D I B C M f m E 6 x g d + R / / v Y / f c t i 5 m g x 0 o I b z s 1 x 3 g x + N j Q 0 K n n c 3 e e 8 h l 0 W l z I k i z T q 3 n u z k y P B n K + f M 9 / F a h Y X i b c Q E t U L i Y j 9 R Z 4 c 8 S Q W Q D B A q l B l 5 U N 1 w S c l J e t 7 P D M S g 8 8 W H + 9 Z n Y L U N 2 / c k s 6 u b i U 7 u X L k 7 j n J 5 A Q S l u 8 L C Z D U b B I c n J f 3 Y V M h E b e 0 p F j P g W M H s v E c X s d n 4 H A F n 0 f t M P O 7 t 5 7 S l c C 5 S P F C Y 6 h 8 + E h m p 5 e T R H l v P o O n 7 + 6 O 1 9 2 k I a 3 9 v K 0 E 1 L 4 d 8 U b l d u y l B H L v t d g 0 N s c 3 L T a q c G H a g p b F k D U R K D 6 c Q R e I + Y m a x C 6 H t A F 2 s 3 t H m 8 W F P e A J r j e L k m k k m r M P A b l l s / O O / 8 X E q z r F I k M i I E 2 G h k a U k M E A k p E 8 w l M n T + j C 5 S N h u 5 F x g A o I c d z h d L R A E t K U i K c h z Y g P u e P w 4 c N q H 9 6 9 + 0 D t I q c z g v f h + 3 M d O A + H N 0 A F Z a O q N V L N k w 3 m D 1 C 5 U c + / u v q l Z J u N q 6 m p R X 7 6 6 Z r R P G p 1 s 3 D a w J 4 c N M S 8 A g 0 A b 1 b U 9 n x 0 o T / r i J Y 5 R 1 Y E d 5 B Q A d i b O S / x 0 b 4 5 r j z h E 0 r G G U M + 0 S x 4 1 B n U G D x S b a 3 t U l x U I H F e B D Z Z t L r j L i 1 / M F y y l B K 3 D 5 u F F p e 2 I i m D A Y h B m X u O U T d d d 2 O k 5 9 G j R 6 S r q 0 s 3 C W J K w y M j R m J 2 y e P H z + T R o y f a s A R b C T K s t J N j J + X l 5 c u e v a X q W C A R 2 E k q f 9 D f 3 6 + v P 1 Z + N K i Z 7 H x + v g t S k w 2 C d C 5 y / d A K s H l / u n Z d M 0 2 4 X k 6 Q n r Q s n R w P h B g m 5 i x a R 0 Y J v 6 s U I j T h i m O 7 A q + j 1 7 O z Y 2 E 7 j A 6 P y v E T x / Q G 4 M W 6 d + + + N B g D P d m o I x B t N b D b Y 3 S T V e B U l 5 B O S T F L k m h b U p G 6 X t D P b 1 Q 2 H B G e C M E C I y Z F A x P y 8 2 p r 3 h r J O 2 d U t L 1 a 5 + S t y o k 6 t X / f P i P N z s l z o 0 r i W v c X O E g G B g b U o T O / l n / X T 3 A t k H 4 k G J 8 0 k p u c P y R 4 g V F P X V V a a q B G Q z x h 1 h P I Q n F t J 8 D v 7 i T z F R G 3 G m K k v a t f 6 t / V y 1 l D B h Y f t s 7 h Q 2 V q y H P j E 7 y Q T h j 1 S C h X O 8 F q P l w a H h b H G q d v R D D A z s 5 i p I i Q 2 i d U s M a G J t 0 I 3 I H E r D E k u n L 1 s n z 5 5 R U l P G p g k S E f U g c b Y y W p 5 A k 8 l + u D Z L l x 4 6 b 0 9 v T 6 J a m w V S s q T q t U 5 T u g i q 0 n U E m R x t h q 9 F R 0 f u d R s 2 M H s 2 P Q V s L E b I T a W E 5 w S e w B b v w R C 2 Y t 1 A y l S c b e C x L r 0 O V R f f L y 8 1 R t U A / Y 3 N o t v l A h i o u L P 3 F c E O v g Z r 3 t i Z K M 5 C g Z G h 7 R / E A y z l l A E e Y b o N t y e K t u Q J C W l j Y t c S B u 9 b r q j f z 4 4 0 + a 6 e 7 e g 4 G F T i l H a l q a p J u D 5 7 O Q f C G Q J / B 6 V M v L l y / J 7 T t 3 9 f v 4 A x Y 5 D p D e 3 l 6 5 f v 2 W R z s v W M C b i A r I B u K K t 7 3 B i 8 M Q i I 6 M C G y H 3 0 g g k a Y d N j 5 g X w z 0 0 0 f + s 3 / 1 H 7 + 1 R t l k y m 6 T n r F I D f x B B G 4 2 5 E D i P H v y X H t O x B v C r b Q Y W e i 4 j Y k n 8 V o n o o y N n h a / J K m J 0 b r A 6 7 p m Z W A + T f r s W b K U V C B j 9 g T p n Y i S z p F I 6 R u P l J 3 J C 0 6 B 9 h l Q j W r f v t V a q R M n j u s u j z s f V Q + v H q 5 q V 2 C z P X r 4 R P M T 3 c k W K L g O u O F x p e M y 5 7 O 4 L 1 Z v A M k z M 7 M c 0 j 1 G b b 5 g g z x B 7 o l 7 A S m 5 b A 3 9 n 3 p u A w G L c W n J X B d D q m j D 0 2 D V G K 0 X F s x n Z c P H H O k x a 4 / 8 v 0 D x i e I M W 3 E p D j p 6 k r F g W L C o g i x M V 0 P W H Z C P A C 3 J m u 6 I s S 7 K 8 0 6 b t N h 3 y 1 R 0 n m Q X l o k t J k 4 S k 9 J l Z i F K x o 3 o n Z y L 0 N r + x v 6 V d 8 y Z m W l p c z R 0 Y f E B 3 p d F u F I B Y J S N T S G w y l 1 P Y A P B b i T O V F p a b K T k N b 8 l D B s B y c L Y Z H j i g o k b N 2 5 p y M M 1 / u V E M M n k C o h E 8 x P 2 t 8 0 u s Y i 7 1 Z s 1 F 6 w u u C q h H L 9 / A G z F O 5 e V u G A u i L k 4 Z i G j 1 h B r Q R 1 E N F J H g v t x Z I Z g Y K T R R w 0 B F 6 f M g p i T b K M q A r q M 1 v Z G a 2 s m 1 d M t E W K N W t 1 m Q a f n f a M 9 f D 8 W G 2 p j S U m x 4 5 H V Q Q k H m w C L f q X 3 R G p i w 7 C L z 8 / P K U H d v X 3 E t 9 h / y X b o a O 9 U F Q 1 3 N x k V j Q 2 N G t w e G B x S 4 5 8 Y F N K A 8 + I s 4 T y r f V 8 A M Z F u Z I 2 Q 1 0 e K 0 1 q v W Q k Q n d d C 7 q G h I Q 0 q U 2 v m D h w R N G V Z T 3 y U W G b T M F 8 n V L 2 I r r D 8 / t H Y q l + z d I d d I i d J 3 h y T n K I D 0 j o U 5 b G r J o t n c m x Q Y h O S J S c l U o n h b x U k H X x o g g 8 4 B 1 1 B 5 + y L 8 q i y U o 4 e O S h 5 2 d 4 F Q S E A Z f n n L 5 x b M X D K R k H r 4 t O n T 2 l G C I W W e P / S d 6 R r b i M F k E i f m F i b q r + 7 S 0 t 1 8 R O T c s 2 9 g 7 j k J D q d O m O j Y 9 J r z n f i + D F t q r I S K O H 4 8 1 9 + 0 C z / p O R E a W 3 r l p P H D 6 t m g I f O 1 S b 1 B l V v q j W N a W 5 2 T k m 9 U l N L X M g b D W d t V 7 C q Y z c j 1 i Q U m J 4 c k + H e V i n c X b Y h 2 c g E 2 F A B 3 T E z P S n 7 c 6 O k Z M d y n M s b s E v j z i d w 6 x 5 0 x e E C W f C 2 4 T p n A S K N C I L S G w / v I d 5 L s j n I E G e Y w W o L n P M h 7 b D 1 k F L Y b S + e v 5 Q L F 8 8 7 p N a y e o c U o c A Q y f T 9 9 z / K 1 a u X t Z Q F V H X M S / z i s L S 3 v N U t n r 6 C S D 3 n + / J 5 s A 2 R l I l J x A y T z d M s m r m O h C 0 / e k S f t x p o p 4 z 2 8 H M B i U V z m R n 7 + q + l j Y Z X h N p s Y K c 7 X + z d c A E W 7 p 3 b d 6 T c L E z s C C Q C C 2 + 5 s c y 0 1 N b U y d / 9 5 q 8 9 E g V P J M 8 h p c e f T H g I 2 t T U p I s f S U a W O h I M r 2 l B Q a H 0 9 / X K v n 3 7 5 N 2 7 e i U 1 T g M i + X n J d s l I s K v 0 p B o X o l J H h T C s q X 4 r O z J 3 S G F B g U r F p s Y m o U y F 3 E V v g K q 3 W T L K M X v Z Z E J J F d w y h H I a t 7 h m S Z P Z n T E v B R 6 S H j 2 B + q 1 H Z m G W F B d p u g / t u C A Q K h t Z D w Q 8 S S x d D y C F K H + p r 2 9 U Z 0 p E x L J 9 h l 3 D / 1 C V r 1 + / q S o n U n J g c r m l 8 M 6 k 5 e + m Y Q t H j A / 7 k X S q z I w M l X i E B F B R y e L n 7 7 V A x k r 9 O j k i A g E a C f d 0 P Y P / G 4 U t I 3 P J M + P g w r M I x y a X i / s 4 U K G c e W r 8 7 n z c e W D T n D 1 T I V V V 1 e o 4 K D V 2 U G F h o V n Q i 2 Y R 7 1 D b a L 2 A m g m J 8 v N 3 q X p G Y i 2 S C A J A a j I W k D 7 9 / X 3 6 W U n k J A f S m I w K J / F R O a l 3 2 p m d r e d E N U W V p f J 5 L T K x F T X 0 W z c l m Q D q f S i Q C W x J l W 9 y Y l T m u x 9 K V r J V n Q Z I I A a 2 0 V 0 V V 7 9 z s f I 7 d g Y T + s h I o I 9 d R c V J J R E E x K W M b b V e 0 s k J s j p Q 3 f a W X 5 T S n M 8 T Y S H H z Z u 3 5 K u v r q r d x Q 0 h q Y Q Y 3 k r A j i K 4 T d a H 0 z H i C R C T d s O E J r Y C + C a k / + B 6 3 4 q q 4 J a 4 y j F u F Z d x 8 U l y / s x x d R b Q c o u U p g v n z 2 v x H h W 2 O A U o g C w o y J M 4 Y / + 0 t L R q m X h K a v I H 8 q B u Q T x 2 / / W E E T q G H E v S N m C X F A e X x m Y s W n v U M 7 Z 8 + b H P U A F x 8 4 P l R a W / B g S 8 s d T 9 b B U y A e 4 0 W g j X j V q l C M v W Y t W W u N L u + 6 / F P q F l z U g g j H x U I D x w / M 5 B M e C z p 8 9 1 h h W Z 3 A w f I w m 2 w t g p z m w G U q D w n q 2 2 u w c D w 8 N D 8 u f r T + T c h S u y w 8 E o y P L m f Z S m X r F w 6 I C U Y N R S s v y D A c 4 J k d 6 8 j 9 6 y L m p o R K y T + q x 1 v k V B x Z Y g F F F 3 V 4 w b w j y 4 / 1 A P 1 J 6 M z I 9 x H r I m v v n m a 7 l w 8 Y I M j y z X A C G J I B 0 E d I I 6 r / W W T p T E 0 6 T m m 6 8 v y p G i j 2 k / b A a X S m d k R 8 K C q m 7 Y Q m V G 2 r q 7 9 f 3 B u J F + j K J h V K i z B m i r g w 0 C k H u 3 2 c m 1 6 Q l F h N 1 d 6 J 8 t y x Q m h n C g 5 u E h c 1 2 M O B l Y q L Z o g r G e i / c Y a M Z z 1 h O 4 5 w 8 d L p P c j E + J i x e P L J M F Y y S 0 d X S r 9 y 8 u L v A c P m y O Z 5 1 U o z o e C D E 4 V c H N j E 1 L K D a i + G g a a C z / 7 Q q y M N Y C D R 9 x Q 3 u q v s V L S M I v h Y f r q f K 1 t P d K f M K n f d U f t k b r i E 2 G f N 1 u s M m j 6 h 6 Z W E z Q I j i f 4 f L Z I e n N h p i Q J d N W w a Y l F D x C b X F H p D F S 9 2 S s X Z B H y g 2 T E f G w u Q M 1 c H J q 0 t h T w c 1 A d 8 X Y 9 J I 0 9 s x K c l K i 2 V W X 1 A k y N 2 + X q Z l 5 I 7 l m Z W 5 2 R g + q m 7 G l E s z m 4 T P M x g B 4 J S T d r t h M a u C W s K F c Q W 8 5 b 5 C c l C T F R U W a K e E K 2 p 0 x / I 1 u S O u R h e 5 E T K R d l k Y b Z M a Q 5 t m z 5 x p A x j X e X P N Y W q r u m O O m t N X e 0 w 2 i t 6 1 a 6 K s H 8 b w F z p V R o 7 K i t j I P d z t j M 6 m B m z I O l Z u 8 o H 0 O P I F M C T q e e o I z q O t 0 P l R V v d G K Y 2 d a D q k 6 L O q K C m Y q p U j f J K 5 r q x z J C W 6 1 L N K o p r Z e h g f 7 1 V Z b H g q Q L j s y s + V + C w 1 k l h v b 4 C w 5 U z C j S c U 0 0 i S L n i p p b E B v V N G W 1 g 6 5 V z 0 k O X t O O x 4 J 4 + f G p p R Q K 5 E J U G F M C o 0 r S G I l 7 4 3 2 W f / 3 d / 9 P a 7 J I i i W H z p k F A d G I R + 3 e v U f J x I J d X L R 8 U r E Z L E D c y u p e O V V x W g 6 W H d D M c e y 2 y O h 4 i b b F S p R R N S l j 2 Z U q k h h n l e z s L L l y 5 Z J m U d y 6 d X u 5 J H 5 + 9 Y Y h 7 I I t c y W S l P X p Y O s w f l 5 s O Z U P t B l C 9 b u U k F C f h A u d 1 s u / + q t v t D 6 J T q / k 7 D l j O x C K 1 l 0 0 5 H T u / q l x C 3 I o O / i 9 H E i B y o i Z l P a 2 N g 0 o 0 7 q a b H L e N T t x Q Q p T 7 d q Y f 1 f y R w 8 C 8 T O 6 v l 6 8 e F F H C t E H n k 0 B a e c J b + h S Z G 5 f Q n J g D T L D C C 6 2 J K F m 7 c u D h u c c v g l y 4 1 h 4 t I s m e Z S S B + Y s H T h 4 4 L M 8 N w L A T l B G Q J / v Y I M 6 p p h o m m D G a 1 A Z O 2 5 6 a l r r v K g v K 8 2 w q 1 c u K f Z T l x x E 5 7 u U l x + V 0 + Z 1 q K x k o i P d X E H Q l i n w Y W w + b E l C A Q z R x + 0 2 6 R 6 y S 2 / f g F G R K K h z / N M D y N a m F 4 U r w Z w T J 4 I N E l 6 X 4 v N 1 P i + p T h Q 3 W h z v S x o V n 3 N n 0 s r + b Y j F a x j 6 z V h T V E g n + I p b M c d t u 2 D L E g q Q V l P d O S f d I x a 1 Q S j e g z h O b x k 9 L v i d W V G o h P Q c X I 8 m K J 4 w Z j g w b 8 R Q d X W t 5 O X l q l P C C S / 8 D Q r s P 5 r e 3 D d q I + 5 / p D C N d H 7 O d C I 3 g R + G G 7 Z k t r k r m P 4 e a 1 2 Q I 7 m L M t D d L E + e P t d G l H j S K O 5 D D X z 2 9 I U c L T 8 c 0 K R 7 X 3 G v q l f q X z + Q U 0 f 3 y L 7 9 + y T K J e 3 J F 7 A h U J j 4 6 i V T P l K l 3 3 Z U L J G B d + f x F y l G T Q 3 1 K f K B Y M s T y o n J 0 Q G J 7 n 8 g C 4 Z g 9 I O g z z q t p G l E S d e m 5 b m 1 G 7 e z / 9 O d Z k l N T 5 P z B 5 I + s + P 8 A U W G j x u m Z c r C M I c o 8 z 1 / P i k V x s o I G U L N z k x J X n S X p C d G a J c j p 9 r n C R t B r J 6 B C f n d d 3 f k H / 7 + a 6 3 N C g Z + j s Y q g K s V E o t k A x A y h J q Z m p D F w S o p y q Q j k V V L x 3 F f c + B l Q z V E D U x K S t R B a s G a e L E S e g Y n 5 B 9 / f 0 3 + 5 d / / W l I S A i c U T e 5 f d E Z / q O T d S O C d n H K k g c V Y l 7 Z t 6 2 Z v E D L K c E x c g k S l 7 d Y S c c r F 8 / L y d D Q N Z R G M 4 C Q j n Z 9 M v a D K d 7 0 R b 4 s Q a y R l I t 4 1 k 1 k L l C 5 k J n q X d h V s O M k E w m R a H S F l X U b F Z 0 j n 3 E 4 N 3 p I N Q Q + H J O 3 j k K i 1 T x x p a e m f e A I B c R 7 i P U 8 e P 9 X h 2 t Q x I d l W C q p 6 g 8 S E O C m v u C x / u l M n 4 1 O B j 0 n B 3 b 7 R S 9 n Z R y 8 M 7 x F y 7 p r V X M o 4 B / b t 2 y t P n z 3 X j H M n y A F k f l J R c a G O 9 b l z 5 6 7 8 8 P 1 P 0 t r S u q o t t h a + O G j I n J Q i T 9 / 2 O x 4 J D H R 6 2 k i s d i 1 R A 7 2 Z U r / d E H q E W r C s a m e Q L 3 e o 7 K C O P 6 W 5 C 9 1 i U Q N t M T Y N p t J S 7 J e / / F r O n K 2 Q 7 v c 9 W l f l L y j L + P J 4 j t S / q 5 H J q R m N I d 1 t t n 1 W g e w t N t P 6 R Q 0 k r z K M T x F y h K I S t r 5 v Z S c A U o p k V D u T P G r r h J 7 m j H o 5 f q x c n R l 4 5 K K i m K X L R P s p v z y C v I 5 c w s b G J u l o a z L n s s q t 1 4 O S H j s j p e l 2 e d B q k 5 F p / + m x g d 7 / M H x E y H j 5 X E G x X o W j N 7 q / Q C W k 5 z k S y 7 U X x V p A R b z 3 p k + W p v q k I D t J k 3 O n Z + 1 y 8 / 5 L S Y 1 d k I q K U 2 r b + X J O J 6 j G Z b R l G J s X I S e h 6 O l 2 I j 8 4 n j W k k 3 t i 6 l r o G x i S m q p X U n 6 g U K e V k N 2 Q k 5 0 h / / x v L y u Z q t / U y I 8 / X N O p i m S T u 9 p y a 4 H + G v 6 i t u P z y m V 3 h C V f 4 A g 5 Q u E R f 2 9 s l U B h t U Z p Y i u 1 S b 4 g y l j q e W n L v f Z c g S q Z n p 4 u X 5 w / J 5 c u X 5 D m 5 l a d u f W / / / H 3 8 q 6 1 z / G s 1 e H v g q e N 9 e T s 2 g 6 N A P w v Y T g Q c o Q i J a d 5 0 B p w R j Z l H t R T Y W P 5 I q V I a I 1 Y J a + A 7 k w k 6 E I q J O D l b 3 4 j 9 e / n v X 6 P v J Q F i V q c 0 I k o 3 o J r c r L 0 4 z C B / 3 n j t e O 3 M I K N k C M U o E 9 2 V x A m 0 h G / 6 u 9 n P M 1 y w 3 6 q g l 1 L K T z B m b e 3 F k E g F Z 1 s 0 2 L n Z c F i U z t r N W C b 8 d 6 J 9 n Y Z r f 9 B Z q b G H f / x H f / i y 7 V H 3 o T h H 0 K S U K h G E x 7 m S / k K F j A l I T d u 3 J a f f r o h D x 8 + l q d P n k t P b 6 + q g o z w d A f E i z N S a i 2 n w + j o q I 7 U S U y M l 9 Q d O Y Y x n g m o d V z m u V Q h / / m 7 7 3 U c z 8 V L F y Q 1 w 7 w m j E 2 H k P T y A R q 9 7 M 8 K L B C K + x u n A W 5 0 V M C R k V F 5 8 f K V Z G V m S F N j s 5 w 5 e 1 q l G F M 8 G O V Z V n Z A u r r f 6 + R D + k i A l d z u A w O D G j g + f u K 4 / N O j A W l 7 9 g c 5 s L f I 8 d 9 l 8 F p I H W 3 e v 6 i k U H J 2 L o 8 c H Z + N l C f t P 1 8 J R x g r I y Q J R e / w v B S 7 F K e v 3 b / P F 1 R X 1 2 g M i + k d j B u l d 3 p D Y 5 N Y j V 0 E y S K t k e r V q z S S j O A x I A X K 0 z h S J B w z o w r 3 l s s f v q + U K x d O S G 7 K 5 7 c C F d J T U e T P l X k e x u o I O Z U P j x Z T 5 2 m E E g x g u 2 A P Y U d N j E 8 Y 0 i y r c u Q F 0 v L r 0 s X l q R 9 F x U U y O T G p g 9 3 K D u 5 X e 6 u 9 o 1 P m 5 j 6 X k p y P E T b 0 1 I u S W S V i V o p V p Z 3 7 s V K F 8 Q p D 7 3 0 C 5 8 D J E U b w E F K E I k 5 D U P d U w Z z Z 2 R 0 P B o B l K d K g P f O e P H 2 m H j / S i Z x A J c N r x 6 G D 0 4 4 c l v O G X G R g U L o e G + N Z i p B 4 i z 0 G E V O S Y l V F H B j x P n Y W r P m 4 N N n c m z k v y T G + x d r C W B k h J 6 E O 5 c w H J e c N y d R h J A z d Z Y u N 9 E G F + / V f / 0 o l 0 0 p A P U O q M K P q 9 u 1 7 U l d X p 3 O f 3 N H X 1 y 9 7 9 p R q 6 z C c F / m F x V L / 9 o 0 S z R s k 2 J Y 0 a y J Q p M Q t n + R I 7 s Y m 3 Y Y y Q o p Q C b Z F L Y A L F i j f Y N G n p a V p k B f 1 a 6 2 R M 5 C K W i x S l n 7 7 2 7 / 7 T G X j n I s 0 W + n p l a 6 u L i V u a X 6 6 T E T m a u 4 f m e / e I C l A q Y L D 5 v D O Z S J R a 7 V e H a C 2 G 0 L q M j K t I 9 j w p 3 w d U t F f D 2 n m T F 8 a N / Y X w 6 u / / / 4 n e V 3 1 R j 2 C N M D E O 9 h c X S l f n 8 y S / q F x 6 e 9 f O 0 U I R A c Q Z k M 1 x g v q i k A J G s Y y Q o Z Q 1 O Z k J G y + R U F 9 1 e 3 b d + X + / f s y N j o m F y 9 + I b / 6 1 T c q x U 6 c O C 5 L h m x z s 7 N i W Z y T 4 0 c P S G X l I 4 0 9 r Y W c Z P + c L n h A z 3 p I H M 5 x T J 0 P I z C E D K F o q 5 x m j s 0 C V D e C v C T A l h g b 7 O r V L 2 X v v r 1 q Y z m l H k M M 8 A 5 G O j w o i 0 t G Z Y 1 h S N z a U + l r e 3 y P Q + 2 I X 5 R 9 m f O f z S w G W W F C B Q U h Q S j 0 / 6 G p y K D b A a h r u M t 9 B d k M N 2 7 e 0 n G g z S 1 t 8 v T V W 2 0 B 9 q L V r h P Z e 8 Y / Z v s N D w / L 7 N y s k m x 2 Z k 5 i Y 2 J V Z V w N g 5 M R X j d r w U F D B v 4 h Y y / R T 9 1 T X 4 r 7 z T Z p H V q 7 n O T 7 F 0 2 O 3 8 J Y C S F B K B Z X 7 j r E U 2 y 2 G I 9 x p N W A Z G p r a 5 P D h w 7 J L 7 7 5 S r 6 6 e l k O H y y R J H u b 9 L 2 9 K V m W F k m 2 T n 1 I 7 c b L N 2 / e g z S m x 4 + f S H n 5 6 n l 2 v K q 2 d 2 2 7 j o a U q e Y 4 V z w r F 0 t m J c t B J E 8 e U K s h X M v g 2 o Q q y U 5 1 / B b G S g g J Q h E a Y s 9 H m p C q Q 8 o Q 3 r N A g H T a u T N b m 7 Y Q p P U G L V 2 j 8 r v v K q W y Z l D i E 5 K U L H j 5 9 u z e r c M L z h v 7 i V S m + / f u a 2 4 e z g p U w N M V p + Q v f / 5 B S k t L J D V t 5 U V L x 9 a 7 j T a v W j G X 7 L D L 8 b w 5 r 7 y e B H i 9 y c 7 f k x O e 9 L E W Q i L 1 a G p 8 V B b 7 n k u M Z V z z 6 g i + F h T m a / 3 R W q A / H 4 c n d z i k R H 0 j C H v y 5 L F P U o g g i 6 t q N j o + K f / n T w / l 3 N k K 2 b 3 T J j G 2 l a X I + M S E / O U v P 8 j f / s 2 v 1 S 3 P + z C 7 i l 7 s p S X F j m d 9 x K g h E j 3 5 v O 3 h Y I 1 g y r x 3 g W L m F T 8 N 5 w U G D S F B q I W F e S n P H J b 4 G H p C W H W B I l U Y E r A 6 l q T u 7 T t J S U 2 R / P w 8 I 0 0 S N B A L W V D B Z m d n d J g b E z C 6 O r u U e M S R 7 O Y o M M / f r w 0 z Y 1 U q / n j z o Z w 6 f l B y j V R D u q 0 G J N O L F 6 + k p K R I c / 8 A n 5 n D l a R D U x E 6 B 2 r e h 7 b L P D M 3 x S 7 7 M r 3 z A o Y J F V y E B K E I T K b H L c p B R 6 D S e y x p V 1 n U M E o k B g e G p L e v T + 0 U F i b q G t n d M T a b T h 2 M j r Z K X V 2 9 x p c 6 u 7 o k J T n Z k G C Z I P v K D k t R X v a a D g W A 9 + + H H 6 / J L 7 6 + q h L K E 0 Z n L G a h + z d U O z N + Q Q 5 7 m f 1 A d X N N j + + x t j A 8 I 6 S y z S s K Z j U t x 1 8 g I b D D r l + 7 o Q M H m N b B c O i Z m W k l D q l B l G V A g o Y G u h m R F b H L X E W L k m 4 t y e Q E N t 5 3 f / p e f v P b v / E Y O O a 9 7 j b Z f J J M r k i 0 L c r p A u / S m B 6 1 2 Y K W G x h G C M W h w H N j Z w Q C C G G 1 R m o v P p w I q I E 4 J o q K i j T Z l d E 4 S C d U w k J j o 5 H l M G O k D U m w 3 p I J 8 J r c X T k e 7 b b 2 Y a v c D o B M w L V 1 8 m p g 6 5 k M k y m o C C l C U f r e M O B 7 e y 5 3 I K U g i C t J 3 P 8 m + H r 0 6 B F 5 / u y F l m H 4 A t z k E N f 1 f E g l b J n 6 f q v 2 g A g E C 0 s W G f Z i h h M D C P y X 5 2 F 4 Q k g R C r Q N W X V + 7 U a A q Y R H j h x S L y A B W l R G b 0 C e 3 7 t 3 D d q 5 1 o n 7 L T Z 1 E A Q L Q y 5 D v V f C a t P 2 w / A P I U c o 0 D C w M U Y 2 D o i M j A w 5 c + a 0 P H r 0 R J q b W 9 Q L u B r m 5 + 3 y p q p a T p 4 8 o V 7 D 9 U K 8 s a N W A 9 z v D h K h D m b 7 n k 0 S q g h J Q m 3 0 y E p K O y 5 e P C 9 V h i h r E W p 6 Z l q m p q e 1 H g p b z I n E I E 6 j J 9 E 1 O 3 F 1 Q k 3 N B + 8 a h b 2 E H x G S h M I o D 9 b u 6 y 3 w B u J G b 2 / r U G + g J / W P x 4 Y G h z Q p 1 t 0 h U Z I e n F 2 e f E Z v e m l 0 + N l m j f O X 7 g h O e 4 F Q R E g S C p D v N u e D L c V i p / E K v R 4 i L L 5 f F q R N x Z l T M j x C Y u z t D 8 W D r s B m e v 2 6 S g n l j s S Y 4 E i o I k N M T 9 n k 7 u j 0 k 1 D k T T Y G w f E T q g j J r k c A P x k 7 d Z G X n Y + o Q b p + / a Z 6 7 5 A 2 p 0 + f 9 K q M w h 1 k T X C u m z f v 6 O A 3 0 p U o o 6 c V W X 1 9 v Z w 6 d d L Y X T s c z / 4 I b g K Z 6 N 6 o q 0 6 e u j g J F R Q O f l E 0 K 9 F r 5 O + R t 3 e z I d w 1 a T 0 Q s h K K J d X k R Q a 1 K w j Y U r q O P e Q P m V D 1 X j x / K U + e P J N T p 0 / I s e P l G s d K T 0 9 T k n F O f v c E u O F t 0 W B 1 e 7 + 8 7 f y 8 s j c u a t G Q b H U y g X Y v S j X C 8 A 8 h S y h A C Y M v I I X I P d 7 k L U g n e v b s h W a L f / X V l 1 K Q n y + p R j q h 3 j H z d + / e 3 e q M W K 1 n R J a X F c e H C j L k Q N 7 n U o 5 u u b 3 j a 6 t y v R M b a 1 9 u J 4 Q 0 o Q j 0 b g S W J d M r b W r J o G x X 7 5 0 T P E a 7 s N W 8 g P X 9 g X v L v C k U n N 2 g O N 1 2 R E g T y h e n R C B g W m G M s Z P 2 7 N n t k U y A x 5 F a j C B d C W S X B 4 q 1 6 p r m j R B k y m M Y 6 4 O Q l 1 D j Q c w + c A f q G 2 U i e O 6 I K 6 3 W Y g w 1 c l d e r r x 9 + 0 4 d F + 6 A B 9 4 U D g a K k a m w u r e e C G l C A X L j v A W t v n C d e w N c 4 p R y 3 L 9 f K e f O n f m s / 5 4 n k F m + Z E S I u x A h b l b Z Y v O q a n Y t z J l N Z C W X O N 7 B N + / D Q d j 1 R M g T a s a H X Z / i R D q + U l 7 h B I 4 K J m V Q s j 4 6 N v b B B q K G q q O j Q y 5 d u q j D A 7 w B 1 c R k s j u 7 H G H v 3 G i I k c p W m 0 z 7 O R n e E + r 6 o q T K h T h I 6 V d d U e o q D w Z p w 1 g Z I U 8 o X 4 D b / M i R s k / G g E K u W 7 f u y P z 8 n D y s f K y e P M o 2 b t 6 8 L f v 2 7 t G K X W 9 A A S N Z 6 b F x M W K J i N T p G Q R I 3 W K / Q U P f + P J 7 c D x u j 5 a B y c h w Z v k G I O Q J F R d F a b n j D y 9 A r G h o a L k p C 9 I I y X T 0 6 G H J z 8 + X r 7 6 6 I q W l x Z o U e / n y R S k s K v S q Q p c Y F B P l I e r o 6 J h 0 D y 9 6 7 D 4 U x t Z H y B M K F 3 H / h P d f k 7 Z h D J w m T a i u 7 p 0 S y j k 8 D a c D j V + W + 0 / E e x 2 v o r c F H Y 3 w A t J 3 L z F y Q q a n j K 2 2 X u I p j J 8 N I U 8 o + 6 J F x n 0 Y D 8 o I 0 N 6 e P m 2 i A o E q K k 7 5 l T X h i i h D U I h J 3 3 K c H q 9 e v p a B z v o 1 M 9 P D 2 H o I 2 V w + V z B E 4 I y H f t 6 u Q C 2 7 e / e + f P 3 1 1 Q + S x 9 + s C X f g 2 C D + h B e R G q i s r E y 5 1 R h n b K m Q 3 8 + 2 H b b F H c W D N u 7 o n c D i x o 7 x V F 4 B s I m c R z D I B D g X D V / I o s j N z Z G e C R w T Y T K F I r b F X c V V / L Y 3 y h B L 1 C 6 6 d u 2 G D L i N j Y F o g a p 2 A K L i U u d 8 K y H s u g 5 d b J t t k o Y k P 1 X N S G t b p 1 y 5 c l E D s j 0 9 P X o w t 4 n Z u H Q y C g T U U j U 0 N K q b f a U U I 7 s x m 3 w J N o e x t b A t b C g n 7 P N z k m y b l 4 q S C B 0 z M z g 4 p I + j 2 a W n 7 9 D k V n / V P O 0 e + 8 M 1 K T 9 2 V J K T k 7 T H x J k z F Z K U l O h 4 x n J L Z V q d h S V U 6 G J b E c o J p l E w 4 i V Y G K M S 9 9 V r Q 6 R k K S s 7 q K R s b m 7 W 1 s 7 Z 2 V n 6 H C p d 7 z f H e D 2 G J o y t i W 1 p G b / u D m 4 + G / Y S 9 V D E m U i Y Z S g 1 S b C u W R R P 2 m 1 h M m 0 D b E t C j c 8 G 9 2 v H x c Z K T E y s e g + r 3 l R L r 7 H L q P q l G x K Y t X v f z T W M r Y 1 t S a g F I y m C 2 Y K Y H h S H D 5 f J g w e V M j U 5 J f v 2 7 9 O 5 T 0 6 g 6 o W x P b A t b S h g M z b U e W N L B R P O F s 6 u R Y Z k e p O c G s b 2 w L a U U G B 2 w S L v + o J r S 1 H v 5 E q m 5 k F r m E z b D N u W U G B g I m L d 8 l M p z Y B Q Y W w v b G t C U X y 4 H o 4 3 e k N 4 0 y w l j N D D t i Y U T T B p D h l M I J W Y h x v G 9 s S 2 J l R G / E J Q C / 3 C a l 4 Y 2 5 p Q T z o C b 4 z C y 5 l H R a l 5 W M 0 L Y 9 u 6 z Z 2 g T o p 6 q Z V A t W + f o 9 N q W v y i S r X u U a t 2 a K U k J J y X F 4 Y r t j 2 h w N 6 M e c l L d X Q z m r d I 2 3 C k I Y p F x m Y s M h H k r I o w Q h t h Q h l E G s 7 s T L K L z Q g i X w c M h B H G R 4 j 8 f / S S o c d i N S y s A A A A A E l F T k S u Q m C C < / I m a g e > < / T o u r > < / T o u r s > < / V i s u a l i z a t i o n > 
</file>

<file path=customXml/item2.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c b b 7 e 8 2 0 - d 1 6 f - 4 e 5 9 - a 1 e 9 - 6 6 7 f a a 4 b a 7 c d " > < T r a n s i t i o n > M o v e T o < / T r a n s i t i o n > < E f f e c t > S t a t i o n < / E f f e c t > < T h e m e > B i n g R o a d < / T h e m e > < T h e m e W i t h L a b e l > f a l s e < / T h e m e W i t h L a b e l > < F l a t M o d e E n a b l e d > t r u e < / F l a t M o d e E n a b l e d > < D u r a t i o n > 1 0 0 0 0 0 0 0 0 < / D u r a t i o n > < T r a n s i t i o n D u r a t i o n > 3 0 0 0 0 0 0 0 < / T r a n s i t i o n D u r a t i o n > < S p e e d > 0 . 5 < / S p e e d > < F r a m e > < C a m e r a > < L a t i t u d e > - 9 . 2 6 8 7 1 3 2 1 5 5 0 7 9 4 3 9 < / L a t i t u d e > < L o n g i t u d e > 3 8 . 5 2 1 5 2 1 5 5 8 4 6 8 3 5 1 < / L o n g i t u d e > < R o t a t i o n > 0 < / R o t a t i o n > < P i v o t A n g l e > 0 < / P i v o t A n g l e > < D i s t a n c e > 1 . 5 7 2 8 6 4 0 0 0 0 0 0 0 0 0 3 < / D i s t a n c e > < / C a m e r a > < I m a g e > i V B O R w 0 K G g o A A A A N S U h E U g A A A N Q A A A B 1 C A Y A A A A 2 n s 9 T A A A A A X N S R 0 I A r s 4 c 6 Q A A A A R n Q U 1 B A A C x j w v 8 Y Q U A A A A J c E h Z c w A A B K o A A A S q A f V M / I A A A C 5 y S U R B V H h e 7 Z 3 X U 5 x r t t 5 X Q 0 O T o w g C k V F G A U U k b c W t v W f P n D l h 5 s K + O H e 2 q 1 z H v n b Z v n F t 2 / + A X b 5 3 l V 1 1 y l X j K c + p m T 2 z g 3 J C O S F A i J x F z p k G / P 4 W 3 V K r 1 U A n 2 N D 0 U / U V 0 H R / 3 f 1 9 7 / O u v J Z l Z K h v S X x E d U 2 N 5 O b k S G p q q u O R w F H 5 4 K E U l x R L d n a W 4 5 H g Y W h 4 W G q q a + X 8 + X O O R / x D 1 e s 3 s i s v V 9 L S 0 h y P r D / s i x a 5 3 7 A o o x M z E p / 4 + f U + W z g r c d G + 3 c K x s T F 5 9 P C x 8 K q 9 + 3 Z L a k q q R E V F f T g W F h b k 1 c v X k l + Q J x k Z G c s v 8 o B 3 f V H S M R L p + O v n Q 2 6 y X f Z n 2 R 1 / B R e d o 5 F S 1 x v l + G t t R D h + + o Q 0 c w M m J y c d f w U H 0 b Z o c z O t j r / C A E t m x S / a Z y V l u k p / e s L r 7 m j H b + a 5 i 0 t K h u V j 0 f y 9 a M 6 x p I c T 0 9 P T c u f u f T l 2 / J h c v X p F C g s K J T k 5 W e L i 4 p R M I D I y U k p K i 8 3 G W S t 2 + 4 I + 5 o q J W Y u 0 G y J t B j K B r l G r z N o t j r + C h 8 Y B q 0 9 k A n 4 R y h o d J c N D I 5 / c q E A x O + N 5 w Q Q D S 2 Z h x c b G O v 7 a G p i a m p b W 1 l a 5 e e O 2 E u T r w / G O / 3 y K y T m L N J g b D 9 7 3 v J f 7 9 x / I n T v 3 z H F X H h i p / + z Z M 3 l d V S V 1 d X X S 0 d G p x 6 G y A 5 K e n q b E W Q m J i Y l i i 4 6 W k e E h x y P L g E y P 2 m x S b 6 T T Z s J M E A k 1 t 2 C R V 1 3 R 0 j r k + w b v F 6 G i r F E y O j b q + C t w s J P O 2 + d X v c H + A t J P T E x K X H y c 4 5 H N D z 5 z Y 2 O T z M z M y B f n z 0 p 5 + V G J j 1 1 5 A b e Z G 9 8 3 b p H 3 3 T 2 y d + 8 e O X n y u J w 6 d U K O H j 0 s p a W 7 J W / X L s n I z D C k e i f N z a 1 G I q W I x b L 6 A u R e 7 N + / T x q b m o 2 U s s v z j m i 5 X h + j Z N q M m J l 3 / B I E 3 G 2 y y c C k X 9 T w j 1 D R R k I N D Q 2 r + h A M z M z O y o J R L V A 7 g o 2 B g U G p e 1 c v R Y U F j k c 2 P 5 B I 7 9 + / l 1 2 G C A k J C R I R s X y b D m b P S 1 T k k k S b w x 2 P 3 o 1 K d 3 e 3 u T f R K l 1 4 H T 9 T U 1 O M N E q X 9 L R 0 + e K L s 3 L l y k V 9 b C 3 w D m N L R r W 3 l c i d p h g Z n v Z v g W 0 U + i Y C 3 4 z 5 z t 3 G Z g o E e p X c 9 W x u 6 O j o q D F e x 8 3 u P q H 2 E u S Z N Q t / f t 5 I E n O D I y M R h 8 E R s 2 P m v Z K M H o / k C y b 4 7 M + f v 5 C K 0 y c D U v m Q o K h g G 4 W 5 u T m J M B I i J u Z T a Z C Z s C D z R h 1 B J X F H V H S 8 X L o E W V Z 2 m H A N I J w 3 u N 0 Y Y 1 T J G F m K 3 y V L l s 1 v 2 / Y b Q s 1 / b u 5 5 h X G j x t 4 x U u m G k c C 1 P t p M 7 r A M 9 r 9 f e l N V b R Z 0 k i Q m J c r U 5 J Q M D g 5 J W 1 u 7 Z B o 1 Y d b c 3 A U j 8 h H 7 q A n 8 H W l + J i Y l y b l z Z 8 R q X f 1 i u 9 t Z k B P C s k j H x 8 d l f m 5 e m l t a 5 f j x 8 q B 6 z y A / d s S x Y + W y Y 8 c O x 6 O + g 8 9 6 + / Z d Q 6 g p S U 1 J k c N H D k u S u U 7 r i c 7 O T i X w n j 2 7 H Y 8 s Y 2 F R 5 J Z Z 6 O 6 w W Z f U G 3 i 5 d M b x S G D A D 3 H b S K W t h k M 7 5 y Q r 0 V w k H z A z b 5 H K V p s s f i 7 0 / Y K l 4 V 3 N U k 1 N r S 7 m j o 4 O c x P 3 q K q A W p d i F p B T e j m P R X 4 a M k C u m B j P F 5 3 n s a B H R k b k 7 d t 3 + h g e q M j I C J V 0 n D s + P l 4 S E h M k P i 5 e 3 y 8 t L f W D a h M o I G t z c 4 t + B u y A Q M 4 7 O j o m t 2 7 d k a + + + t L s 8 D F B + 4 y r A V u H 6 4 H L e m R k V K 8 b 6 j B 2 D c Z 3 0 0 C U q j i u i w D X e X n u n M R G + b 4 y z O 0 S l m H 7 s F V a B q 1 B W 1 w b j R i z s Z w r m j V r 0 / G A F 8 A 2 D K Y 6 a / k f / / 2 / L f 3 y V 7 + Q t N R U 3 R U T E j x 7 k 7 w B C 5 k Y R 0 9 P r z Q Z Y x Y J x y 4 L w W 7 f u i t X v r w k N l u M E s q J t Y x j f z A 4 O C h P n j y T y 5 c v r k h 6 b 4 B U f v C g U g 4 c O G A W t / 9 S z l e 0 t b U Z S T 6 l t s + T J 0 / F Z l S / C E u E x v 3 i 4 + N k h / k s 8 f F J 8 q w 7 4 R N 3 8 f F d c 5 I a 5 9 s O j c 1 Q 1 x e l p N q i P P o E e S l 2 2 Z v p f U y q b y J C q l x C D 4 E i A v d p l F H b 2 H k D J d P 7 n h 5 5 W P l I a m v f y o U L X x g 1 7 p j G O G J j 4 8 Q a x U 1 b M o S K V h I 5 D y d Q r W Z m Z o 0 a O C H j x v Z B u v B 8 f z A 4 M C j 7 9 u 0 N i E y A R c 3 n s W 5 w f A w 1 G i m F 5 l B W d k A u X 7 o k F R W n p L i 4 U C V 7 Q 3 2 D 3 L l 9 S 3 I t 9 W K N + E i g w S n v d l o u K w v p X r N N y Y R E C g U y A W w p X z A 0 F V z P s u X e 3 Z t L O 8 x O m J 2 d 7 b e 0 Q L J N T 0 / J r Z t 3 V A o l G f s K 9 c T 1 f H 1 9 f S o 1 L l w 4 / 5 k N A h l r a + u k v q F B J a V R K m X U q D q 4 f 3 N y c l b 8 X J A Q K b I c x F z 2 E k J E v F 2 4 h y G 1 z e a f m x c y s 6 h j 4 2 I l b 1 e e q l 0 b A b 7 P m z c 1 k p u b o 7 E i c 4 s + e 2 + u l w Z o b 9 + T E 6 c r V H J h V C f H L M r J / D n H s z 5 H v y F R m 1 H r R j a 5 x y 5 Q n C + e M X a l 4 4 8 1 M D Y T I S 8 6 o 9 Q G D Q Y s n e 3 N S z e u 3 5 J T p 0 / K z p 3 Z j o e 9 R 3 f 3 e / W k s a j P n D m l D g B P 8 S R 2 x c b G R r W r D h 8 + p N 4 m J 1 G Q T N e v 3 5 A r V y 5 / U A d n Z + f k 7 p 1 7 k r M r R y I j L D J i b J m s z E y z e 0 f q e 0 B A p / e R 9 4 N c f P 7 e 3 j 6 z k x f p O b q 6 u p W U 2 G i + g k V b X V 2 j 7 m f n + T Y C p E n h J D p 7 t u J D 5 s J K w L 6 6 d u 2 6 Z j y 0 T m b K x F y E f F F s b A j H / 0 G X U e m a j V 2 E Z 9 B P g b / l c C B r X n K S v X P 5 I Z 0 f t N i C l m k R + W / + 4 V 9 / y 2 7 Y 3 t 5 p p M F O d T o s m s U 5 b G 4 s u / R q b l Z 2 0 4 b G J s k x C / n I k c P q x P B E J g B 3 I A s L / s X L V 2 I 1 z 4 u K i j Y L l y B m o 5 E u s R p 3 g T C o n z y X z 8 O i 4 r x Z W Z n q F M C V / + j R Y z l 4 8 I A U F R V J a W m J H o W F B S q h + M n 3 4 f W t L a 3 S 0 d 4 h W d l Z P k s q J N 2 j R 0 + V U B B 4 I 5 w R q J e v X r w y 6 u o e V Z X X A i r t r l 2 5 c u / u f d m T l y T N n U M y u 2 Q T W 7 R V m g a s 8 m / / V 4 0 U Z O f K Q o C 7 L 7 G v x a X g L L i N A L f K W 2 / f 1 L z F r 4 y I l W D 5 7 o 9 / W J q e n t E b i G e p 3 S x A d n T c x H Z D r A v n z 3 n c K S E b s S r S W 8 6 c O e 2 1 y x t J g l R B K k Y Y 8 q Q k J 6 n K i A P B m x g J 7 4 v 0 Y I G v p q L y + e / e e y D m W X L s + F G / X O d k K t w 1 i 5 X w A L Z L o E B C E C q Y m 5 t V C Y w 9 6 f x c E J j 3 O n S o T J 0 5 F k u E S h V c 4 q u B T e 3 x 4 6 e 6 k W V k Z k v T b L F E a I x w e + N K 6 Y w S a y 2 g 7 g X T j o r 4 4 o t z c u r U S W M r x O h C P 2 F U p N 2 7 S 4 z E O W S M + w F d A J 4 w M D g o l Z W P V K V C g n g D F h T q H Y s n x k i b U 6 q O J c m E 2 Z l X k m z u g E Q 8 d z U y A a T V W U N 0 J C 1 x N X + A R z L T q J m o V v 4 6 S F y x t I Q a W S 0 v X 7 5 W S T 0 8 P O L 4 D 5 6 9 d s 3 m w J v I Z o F O X 9 W 9 7 H 1 b D T 0 9 P W a T s s u B Q + U y E Z 1 v p J F v X j 4 n u J o 7 4 s 1 G t X U E 0 a p 4 1 R 2 t c b v V M G / + H 2 y n h H I 4 2 U i J s o M H p a z s o C Q Z 6 Q R B k F g 4 E F 4 a 9 Y z s C F f w d 0 t T i 9 p C L D i n O k S E H 7 K 4 H u z y O C R I p R k c H N B g a / 2 7 B v N a d u J M J S 9 u Y S R X M I F q + N K o T + X H j q p E 8 w 9 L R q X K k e c v X u r 3 C B R c J 6 4 Z 1 w W H g z N 7 g + / O 9 c k 0 a q 1 z Y 0 H N O p Y 3 p 6 r y a m h t b T f 3 r U y i I h b E O l Y n U 2 M D j v + s j U h z 7 v S 4 R d m X O S 8 X z Y 5 + V O N Y / l 6 r z Y W h q Q h 5 0 b W 6 x r M e S v y H c 7 L j u + 7 6 / E 5 M i S x w b j g H i 4 q 6 I q Q W C a f Y N a 5 o 7 + i Q m z f v y E 8 / X v 9 w X L 9 2 U 2 p q 6 u T N m 2 o N k J a X H 5 H T F a d k 5 8 6 d + h 5 I A c g b j A X r B O d 6 b O y s v f v 2 q h p L C Y K v p E I N r q 9 v k B e G l G N G Q k 2 7 f T 7 O h 7 r l i + R y S u i s r C y 1 B / v 7 B 3 Q T a m 1 t U / v J X e V l w a 8 F N s M H 9 y v l j 3 / 8 z q j r 7 V J e n O D 4 z + c g B z A j Y U E O 7 5 y T C y W z c n n 3 j J T v m p N d K Y a M j p U w t 7 A e y 2 z 9 s J r z d X 6 N c N R 6 O G 4 j / 8 O / / 3 f f s j A m j c 0 R b W w l V 1 L h / u 7 q 7 N L d s 6 6 u X l V C F s C r V 1 W 6 a P P y d 3 0 S 6 8 E W w q l w 7 o u z s n t P 6 f K x u 9 R I v G S j 4 v S r L Y b j g Z 3 Z + T 6 c h 7 h V S U m J O h I C B Q s c z 2 N 8 Q p y m C v E + T 5 8 + U w 8 g n 9 X 1 + 6 0 E y N L c 3 K z S 4 t C h g + r 8 e G G k V E F B v k q Z E W M 7 c j 2 e v 3 g h h B w 8 J f X y O d i Q 2 H j Y j H C K j I 2 N q p 1 0 4 s Q x t V M J 4 P K / l u Z W O X 3 6 p D p A v P l 8 r s A G K z X X e G J i X P a b D S Q / O 0 V y k h Z k b D Z C g 7 w 5 i Q t y I N s u J e l 2 K U p f k G x j r M f b l j w u J g j f N L j F 7 K 9 V 9 r N 5 o z Z z D V b L H s E D G k x E X r p 4 4 V t 2 4 m q N f e R + Q h A W F A m m x K g o C 0 h M T F B C 7 M r b J Y W F + Z r j x k 5 b W 1 M r g 0 N D 5 v k R h l Q z 6 m V j 4 T k P Z 6 C S R U N l b o F 5 r d P R 0 W Z 2 Z z y L R U W F P i 8 m T 0 A d x Y 2 P q / v h w 8 d q 6 + E w w Y 4 i l W e t 3 E M W O F 7 H A S M 9 D h z Y r 9 c D M k B S N p 0 U I 0 1 v 3 b 4 j B / b v l 4 L 8 f L O 5 v N b s b d 6 X N K W n z 1 6 o 1 I W Q D x 8 + k W S z m b w 0 Z O Q 6 v n 7 9 R j O + k Z p c W 5 w P T 5 8 8 N 8 9 J U k 8 l 1 8 p X R B i j h 9 d B 0 K d P n 6 v k j 4 u N U r d x Z s K i J M c u q f T x x j Y a m Y k I O N t 6 s y H O k M l T 9 k j / Z K Q 8 b L W Z a x N c D 2 b k f / 0 v 3 3 6 L q x n 3 K 7 E d J x m c m D J S C R u I / 3 P T W J B I G H b l / P w 8 I 7 1 6 1 F X N I k F t Q e J w D l d w P q Q g p i 9 O A o j L I i W O 9 P z 5 K z l z p s I r D 9 9 a Q C q 0 d 3 T K y M i w u t w 7 O j v V a Y K U z D O b w E p k g g z Y N U j Y T i O R + / o G 5 O S p E / o Z A U R H u p B J Q j o Q n x 9 V i / 8 j V d 6 / 7 z Y k b J a 3 b + v 0 u Y U q y S x q H / J c N i E S j 9 l I l o O 1 y 4 B U k B Q p F 2 h i M J 8 F j e L 1 6 y o j t d J 1 w / J 1 g + o d j 1 T b I 5 R A f C k v 9 X P 7 H D I B C M f m E 6 x g d + R / / v Y / f c t i 5 m g x 0 o I b z s 1 x 3 g x + N j Q 0 K n n c 3 e e 8 h l 0 W l z I k i z T q 3 n u z k y P B n K + f M 9 / F a h Y X i b c Q E t U L i Y j 9 R Z 4 c 8 S Q W Q D B A q l B l 5 U N 1 w S c l J e t 7 P D M S g 8 8 W H + 9 Z n Y L U N 2 / c k s 6 u b i U 7 u X L k 7 j n J 5 A Q S l u 8 L C Z D U b B I c n J f 3 Y V M h E b e 0 p F j P g W M H s v E c X s d n 4 H A F n 0 f t M P O 7 t 5 7 S l c C 5 S P F C Y 6 h 8 + E h m p 5 e T R H l v P o O n 7 + 6 O 1 9 2 k I a 3 9 v K 0 E 1 L 4 d 8 U b l d u y l B H L v t d g 0 N s c 3 L T a q c G H a g p b F k D U R K D 6 c Q R e I + Y m a x C 6 H t A F 2 s 3 t H m 8 W F P e A J r j e L k m k k m r M P A b l l s / O O / 8 X E q z r F I k M i I E 2 G h k a U k M E A k p E 8 w l M n T + j C 5 S N h u 5 F x g A o I c d z h d L R A E t K U i K c h z Y g P u e P w 4 c N q H 9 6 9 + 0 D t I q c z g v f h + 3 M d O A + H N 0 A F Z a O q N V L N k w 3 m D 1 C 5 U c + / u v q l Z J u N q 6 m p R X 7 6 6 Z r R P G p 1 s 3 D a w J 4 c N M S 8 A g 0 A b 1 b U 9 n x 0 o T / r i J Y 5 R 1 Y E d 5 B Q A d i b O S / x 0 b 4 5 r j z h E 0 r G G U M + 0 S x 4 1 B n U G D x S b a 3 t U l x U I H F e B D Z Z t L r j L i 1 / M F y y l B K 3 D 5 u F F p e 2 I i m D A Y h B m X u O U T d d d 2 O k 5 9 G j R 6 S r q 0 s 3 C W J K w y M j R m J 2 y e P H z + T R o y f a s A R b C T K s t J N j J + X l 5 c u e v a X q W C A R 2 E k q f 9 D f 3 6 + v P 1 Z + N K i Z 7 H x + v g t S k w 2 C d C 5 y / d A K s H l / u n Z d M 0 2 4 X k 6 Q n r Q s n R w P h B g m 5 i x a R 0 Y J v 6 s U I j T h i m O 7 A q + j 1 7 O z Y 2 E 7 j A 6 P y v E T x / Q G 4 M W 6 d + + + N B g D P d m o I x B t N b D b Y 3 S T V e B U l 5 B O S T F L k m h b U p G 6 X t D P b 1 Q 2 H B G e C M E C I y Z F A x P y 8 2 p r 3 h r J O 2 d U t L 1 a 5 + S t y o k 6 t X / f P i P N z s l z o 0 r i W v c X O E g G B g b U o T O / l n / X T 3 A t k H 4 k G J 8 0 k p u c P y R 4 g V F P X V V a a q B G Q z x h 1 h P I Q n F t J 8 D v 7 i T z F R G 3 G m K k v a t f 6 t / V y 1 l D B h Y f t s 7 h Q 2 V q y H P j E 7 y Q T h j 1 S C h X O 8 F q P l w a H h b H G q d v R D D A z s 5 i p I i Q 2 i d U s M a G J t 0 I 3 I H E r D E k u n L 1 s n z 5 5 R U l P G p g k S E f U g c b Y y W p 5 A k 8 l + u D Z L l x 4 6 b 0 9 v T 6 J a m w V S s q T q t U 5 T u g i q 0 n U E m R x t h q 9 F R 0 f u d R s 2 M H s 2 P Q V s L E b I T a W E 5 w S e w B b v w R C 2 Y t 1 A y l S c b e C x L r 0 O V R f f L y 8 1 R t U A / Y 3 N o t v l A h i o u L P 3 F c E O v g Z r 3 t i Z K M 5 C g Z G h 7 R / E A y z l l A E e Y b o N t y e K t u Q J C W l j Y t c S B u 9 b r q j f z 4 4 0 + a 6 e 7 e g 4 G F T i l H a l q a p J u D 5 7 O Q f C G Q J / B 6 V M v L l y / J 7 T t 3 9 f v 4 A x Y 5 D p D e 3 l 6 5 f v 2 W R z s v W M C b i A r I B u K K t 7 3 B i 8 M Q i I 6 M C G y H 3 0 g g k a Y d N j 5 g X w z 0 0 0 f + s 3 / 1 H 7 + 1 R t l k y m 6 T n r F I D f x B B G 4 2 5 E D i P H v y X H t O x B v C r b Q Y W e i 4 j Y k n 8 V o n o o y N n h a / J K m J 0 b r A 6 7 p m Z W A + T f r s W b K U V C B j 9 g T p n Y i S z p F I 6 R u P l J 3 J C 0 6 B 9 h l Q j W r f v t V a q R M n j u s u j z s f V Q + v H q 5 q V 2 C z P X r 4 R P M T 3 c k W K L g O u O F x p e M y 5 7 O 4 L 1 Z v A M k z M 7 M c 0 j 1 G b b 5 g g z x B 7 o l 7 A S m 5 b A 3 9 n 3 p u A w G L c W n J X B d D q m j D 0 2 D V G K 0 X F s x n Z c P H H O k x a 4 / 8 v 0 D x i e I M W 3 E p D j p 6 k r F g W L C o g i x M V 0 P W H Z C P A C 3 J m u 6 I s S 7 K 8 0 6 b t N h 3 y 1 R 0 n m Q X l o k t J k 4 S k 9 J l Z i F K x o 3 o n Z y L 0 N r + x v 6 V d 8 y Z m W l p c z R 0 Y f E B 3 p d F u F I B Y J S N T S G w y l 1 P Y A P B b i T O V F p a b K T k N b 8 l D B s B y c L Y Z H j i g o k b N 2 5 p y M M 1 / u V E M M n k C o h E 8 x P 2 t 8 0 u s Y i 7 1 Z s 1 F 6 w u u C q h H L 9 / A G z F O 5 e V u G A u i L k 4 Z i G j 1 h B r Q R 1 E N F J H g v t x Z I Z g Y K T R R w 0 B F 6 f M g p i T b K M q A r q M 1 v Z G a 2 s m 1 d M t E W K N W t 1 m Q a f n f a M 9 f D 8 W G 2 p j S U m x 4 5 H V Q Q k H m w C L f q X 3 R G p i w 7 C L z 8 / P K U H d v X 3 E t 9 h / y X b o a O 9 U F Q 1 3 N x k V j Q 2 N G t w e G B x S 4 5 8 Y F N K A 8 + I s 4 T y r f V 8 A M Z F u Z I 2 Q 1 0 e K 0 1 q v W Q k Q n d d C 7 q G h I Q 0 q U 2 v m D h w R N G V Z T 3 y U W G b T M F 8 n V L 2 I r r D 8 / t H Y q l + z d I d d I i d J 3 h y T n K I D 0 j o U 5 b G r J o t n c m x Q Y h O S J S c l U o n h b x U k H X x o g g 8 4 B 1 1 B 5 + y L 8 q i y U o 4 e O S h 5 2 d 4 F Q S E A Z f n n L 5 x b M X D K R k H r 4 t O n T 2 l G C I W W e P / S d 6 R r b i M F k E i f m F i b q r + 7 S 0 t 1 8 R O T c s 2 9 g 7 j k J D q d O m O j Y 9 J r z n f i + D F t q r I S K O H 4 8 1 9 + 0 C z / p O R E a W 3 r l p P H D 6 t m g I f O 1 S b 1 B l V v q j W N a W 5 2 T k m 9 U l N L X M g b D W d t V 7 C q Y z c j 1 i Q U m J 4 c k + H e V i n c X b Y h 2 c g E 2 F A B 3 T E z P S n 7 c 6 O k Z M d y n M s b s E v j z i d w 6 x 5 0 x e E C W f C 2 4 T p n A S K N C I L S G w / v I d 5 L s j n I E G e Y w W o L n P M h 7 b D 1 k F L Y b S + e v 5 Q L F 8 8 7 p N a y e o c U o c A Q y f T 9 9 z / K 1 a u X t Z Q F V H X M S / z i s L S 3 v N U t n r 6 C S D 3 n + / J 5 s A 2 R l I l J x A y T z d M s m r m O h C 0 / e k S f t x p o p 4 z 2 8 H M B i U V z m R n 7 + q + l j Y Z X h N p s Y K c 7 X + z d c A E W 7 p 3 b d 6 T c L E z s C C Q C C 2 + 5 s c y 0 1 N b U y d / 9 5 q 8 9 E g V P J M 8 h p c e f T H g I 2 t T U p I s f S U a W O h I M r 2 l B Q a H 0 9 / X K v n 3 7 5 N 2 7 e i U 1 T g M i + X n J d s l I s K v 0 p B o X o l J H h T C s q X 4 r O z J 3 S G F B g U r F p s Y m o U y F 3 E V v g K q 3 W T L K M X v Z Z E J J F d w y h H I a t 7 h m S Z P Z n T E v B R 6 S H j 2 B + q 1 H Z m G W F B d p u g / t u C A Q K h t Z D w Q 8 S S x d D y C F K H + p r 2 9 U Z 0 p E x L J 9 h l 3 D / 1 C V r 1 + / q S o n U n J g c r m l 8 M 6 k 5 e + m Y Q t H j A / 7 k X S q z I w M l X i E B F B R y e L n 7 7 V A x k r 9 O j k i A g E a C f d 0 P Y P / G 4 U t I 3 P J M + P g w r M I x y a X i / s 4 U K G c e W r 8 7 n z c e W D T n D 1 T I V V V 1 e o 4 K D V 2 U G F h o V n Q i 2 Y R 7 1 D b a L 2 A m g m J 8 v N 3 q X p G Y i 2 S C A J A a j I W k D 7 9 / X 3 6 W U n k J A f S m I w K J / F R O a l 3 2 p m d r e d E N U W V p f J 5 L T K x F T X 0 W z c l m Q D q f S i Q C W x J l W 9 y Y l T m u x 9 K V r J V n Q Z I I A a 2 0 V 0 V V 7 9 z s f I 7 d g Y T + s h I o I 9 d R c V J J R E E x K W M b b V e 0 s k J s j p Q 3 f a W X 5 T S n M 8 T Y S H H z Z u 3 5 K u v r q r d x Q 0 h q Y Q Y 3 k r A j i K 4 T d a H 0 z H i C R C T d s O E J r Y C + C a k / + B 6 3 4 q q 4 J a 4 y j F u F Z d x 8 U l y / s x x d R b Q c o u U p g v n z 2 v x H h W 2 O A U o g C w o y J M 4 Y / + 0 t L R q m X h K a v I H 8 q B u Q T x 2 / / W E E T q G H E v S N m C X F A e X x m Y s W n v U M 7 Z 8 + b H P U A F x 8 4 P l R a W / B g S 8 s d T 9 b B U y A e 4 0 W g j X j V q l C M v W Y t W W u N L u + 6 / F P q F l z U g g j H x U I D x w / M 5 B M e C z p 8 9 1 h h W Z 3 A w f I w m 2 w t g p z m w G U q D w n q 2 2 u w c D w 8 N D 8 u f r T + T c h S u y w 8 E o y P L m f Z S m X r F w 6 I C U Y N R S s v y D A c 4 J k d 6 8 j 9 6 y L m p o R K y T + q x 1 v k V B x Z Y g F F F 3 V 4 w b w j y 4 / 1 A P 1 J 6 M z I 9 x H r I m v v n m a 7 l w 8 Y I M j y z X A C G J I B 0 E d I I 6 r / W W T p T E 0 6 T m m 6 8 v y p G i j 2 k / b A a X S m d k R 8 K C q m 7 Y Q m V G 2 r q 7 9 f 3 B u J F + j K J h V K i z B m i r g w 0 C k H u 3 2 c m 1 6 Q l F h N 1 d 6 J 8 t y x Q m h n C g 5 u E h c 1 2 M O B l Y q L Z o g r G e i / c Y a M Z z 1 h O 4 5 w 8 d L p P c j E + J i x e P L J M F Y y S 0 d X S r 9 y 8 u L v A c P m y O Z 5 1 U o z o e C D E 4 V c H N j E 1 L K D a i + G g a a C z / 7 Q q y M N Y C D R 9 x Q 3 u q v s V L S M I v h Y f r q f K 1 t P d K f M K n f d U f t k b r i E 2 G f N 1 u s M m j 6 h 6 Z W E z Q I j i f 4 f L Z I e n N h p i Q J d N W w a Y l F D x C b X F H p D F S 9 2 S s X Z B H y g 2 T E f G w u Q M 1 c H J q 0 t h T w c 1 A d 8 X Y 9 J I 0 9 s x K c l K i 2 V W X 1 A k y N 2 + X q Z l 5 I 7 l m Z W 5 2 R g + q m 7 G l E s z m 4 T P M x g B 4 J S T d r t h M a u C W s K F c Q W 8 5 b 5 C c l C T F R U W a K e E K 2 p 0 x / I 1 u S O u R h e 5 E T K R d l k Y b Z M a Q 5 t m z 5 x p A x j X e X P N Y W q r u m O O m t N X e 0 w 2 i t 6 1 a 6 K s H 8 b w F z p V R o 7 K i t j I P d z t j M 6 m B m z I O l Z u 8 o H 0 O P I F M C T q e e o I z q O t 0 P l R V v d G K Y 2 d a D q k 6 L O q K C m Y q p U j f J K 5 r q x z J C W 6 1 L N K o p r Z e h g f 7 1 V Z b H g q Q L j s y s + V + C w 1 k l h v b 4 C w 5 U z C j S c U 0 0 i S L n i p p b E B v V N G W 1 g 6 5 V z 0 k O X t O O x 4 J 4 + f G p p R Q K 5 E J U G F M C o 0 r S G I l 7 4 3 2 W f / 3 d / 9 P a 7 J I i i W H z p k F A d G I R + 3 e v U f J x I J d X L R 8 U r E Z L E D c y u p e O V V x W g 6 W H d D M c e y 2 y O h 4 i b b F S p R R N S l j 2 Z U q k h h n l e z s L L l y 5 Z J m U d y 6 d X u 5 J H 5 + 9 Y Y h 7 I I t c y W S l P X p Y O s w f l 5 s O Z U P t B l C 9 b u U k F C f h A u d 1 s u / + q t v t D 6 J T q / k 7 D l j O x C K 1 l 0 0 5 H T u / q l x C 3 I o O / i 9 H E i B y o i Z l P a 2 N g 0 o 0 7 q a b H L e N T t x Q Q p T 7 d q Y f 1 f y R w 8 C 8 T O 6 v l 6 8 e F F H C t E H n k 0 B a e c J b + h S Z G 5 f Q n J g D T L D C C 6 2 J K F m 7 c u D h u c c v g l y 4 1 h 4 t I s m e Z S S B + Y s H T h 4 4 L M 8 N w L A T l B G Q J / v Y I M 6 p p h o m m D G a 1 A Z O 2 5 6 a l r r v K g v K 8 2 w q 1 c u K f Z T l x x E 5 7 u U l x + V 0 + Z 1 q K x k o i P d X E H Q l i n w Y W w + b E l C A Q z R x + 0 2 6 R 6 y S 2 / f g F G R K K h z / N M D y N a m F 4 U r w Z w T J 4 I N E l 6 X 4 v N 1 P i + p T h Q 3 W h z v S x o V n 3 N n 0 s r + b Y j F a x j 6 z V h T V E g n + I p b M c d t u 2 D L E g q Q V l P d O S f d I x a 1 Q S j e g z h O b x k 9 L v i d W V G o h P Q c X I 8 m K J 4 w Z j g w b 8 R Q d X W t 5 O X l q l P C C S / 8 D Q r s P 5 r e 3 D d q I + 5 / p D C N d H 7 O d C I 3 g R + G G 7 Z k t r k r m P 4 e a 1 2 Q I 7 m L M t D d L E + e P t d G l H j S K O 5 D D X z 2 9 I U c L T 8 c 0 K R 7 X 3 G v q l f q X z + Q U 0 f 3 y L 7 9 + y T K J e 3 J F 7 A h U J j 4 6 i V T P l K l 3 3 Z U L J G B d + f x F y l G T Q 3 1 K f K B Y M s T y o n J 0 Q G J 7 n 8 g C 4 Z g 9 I O g z z q t p G l E S d e m 5 b m 1 G 7 e z / 9 O d Z k l N T 5 P z B 5 I + s + P 8 A U W G j x u m Z c r C M I c o 8 z 1 / P i k V x s o I G U L N z k x J X n S X p C d G a J c j p 9 r n C R t B r J 6 B C f n d d 3 f k H / 7 + a 6 3 N C g Z + j s Y q g K s V E o t k A x A y h J q Z m p D F w S o p y q Q j k V V L x 3 F f c + B l Q z V E D U x K S t R B a s G a e L E S e g Y n 5 B 9 / f 0 3 + 5 d / / W l I S A i c U T e 5 f d E Z / q O T d S O C d n H K k g c V Y l 7 Z t 6 2 Z v E D L K c E x c g k S l 7 d Y S c c r F 8 / L y d D Q N Z R G M 4 C Q j n Z 9 M v a D K d 7 0 R b 4 s Q a y R l I t 4 1 k 1 k L l C 5 k J n q X d h V s O M k E w m R a H S F l X U b F Z 0 j n 3 E 4 N 3 p I N Q Q + H J O 3 j k K i 1 T x x p a e m f e A I B c R 7 i P U 8 e P 9 X h 2 t Q x I d l W C q p 6 g 8 S E O C m v u C x / u l M n 4 1 O B j 0 n B 3 b 7 R S 9 n Z R y 8 M 7 x F y 7 p r V X M o 4 B / b t 2 y t P n z 3 X j H M n y A F k f l J R c a G O 9 b l z 5 6 7 8 8 P 1 P 0 t r S u q o t t h a + O G j I n J Q i T 9 / 2 O x 4 J D H R 6 2 k i s d i 1 R A 7 2 Z U r / d E H q E W r C s a m e Q L 3 e o 7 K C O P 6 W 5 C 9 1 i U Q N t M T Y N p t J S 7 J e / / F r O n K 2 Q 7 v c 9 W l f l L y j L + P J 4 j t S / q 5 H J q R m N I d 1 t t n 1 W g e w t N t P 6 R Q 0 k r z K M T x F y h K I S t r 5 v Z S c A U o p k V D u T P G r r h J 7 m j H o 5 f q x c n R l 4 5 K K i m K X L R P s p v z y C v I 5 c w s b G J u l o a z L n s s q t 1 4 O S H j s j p e l 2 e d B q k 5 F p / + m x g d 7 / M H x E y H j 5 X E G x X o W j N 7 q / Q C W k 5 z k S y 7 U X x V p A R b z 3 p k + W p v q k I D t J k 3 O n Z + 1 y 8 / 5 L S Y 1 d k I q K U 2 r b + X J O J 6 j G Z b R l G J s X I S e h 6 O l 2 I j 8 4 n j W k k 3 t i 6 l r o G x i S m q p X U n 6 g U K e V k N 2 Q k 5 0 h / / x v L y u Z q t / U y I 8 / X N O p i m S T u 9 p y a 4 H + G v 6 i t u P z y m V 3 h C V f 4 A g 5 Q u E R f 2 9 s l U B h t U Z p Y i u 1 S b 4 g y l j q e W n L v f Z c g S q Z n p 4 u X 5 w / J 5 c u X 5 D m 5 l a d u f W / / / H 3 8 q 6 1 z / G s 1 e H v g q e N 9 e T s 2 g 6 N A P w v Y T g Q c o Q i J a d 5 0 B p w R j Z l H t R T Y W P 5 I q V I a I 1 Y J a + A 7 k w k 6 E I q J O D l b 3 4 j 9 e / n v X 6 P v J Q F i V q c 0 I k o 3 o J r c r L 0 4 z C B / 3 n j t e O 3 M I K N k C M U o E 9 2 V x A m 0 h G / 6 u 9 n P M 1 y w 3 6 q g l 1 L K T z B m b e 3 F k E g F Z 1 s 0 2 L n Z c F i U z t r N W C b 8 d 6 J 9 n Y Z r f 9 B Z q b G H f / x H f / i y 7 V H 3 o T h H 0 K S U K h G E x 7 m S / k K F j A l I T d u 3 J a f f r o h D x 8 + l q d P n k t P b 6 + q g o z w d A f E i z N S a i 2 n w + j o q I 7 U S U y M l 9 Q d O Y Y x n g m o d V z m u V Q h / / m 7 7 3 U c z 8 V L F y Q 1 w 7 w m j E 2 H k P T y A R q 9 7 M 8 K L B C K + x u n A W 5 0 V M C R k V F 5 8 f K V Z G V m S F N j s 5 w 5 e 1 q l G F M 8 G O V Z V n Z A u r r f 6 + R D + k i A l d z u A w O D G j g + f u K 4 / N O j A W l 7 9 g c 5 s L f I 8 d 9 l 8 F p I H W 3 e v 6 i k U H J 2 L o 8 c H Z + N l C f t P 1 8 J R x g r I y Q J R e / w v B S 7 F K e v 3 b / P F 1 R X 1 2 g M i + k d j B u l d 3 p D Y 5 N Y j V 0 E y S K t k e r V q z S S j O A x I A X K 0 z h S J B w z o w r 3 l s s f v q + U K x d O S G 7 K 5 7 c C F d J T U e T P l X k e x u o I O Z U P j x Z T 5 2 m E E g x g u 2 A P Y U d N j E 8 Y 0 i y r c u Q F 0 v L r 0 s X l q R 9 F x U U y O T G p g 9 3 K D u 5 X e 6 u 9 o 1 P m 5 j 6 X k p y P E T b 0 1 I u S W S V i V o p V p Z 3 7 s V K F 8 Q p D 7 3 0 C 5 8 D J E U b w E F K E I k 5 D U P d U w Z z Z 2 R 0 P B o B l K d K g P f O e P H 2 m H j / S i Z x A J c N r x 6 G D 0 4 4 c l v O G X G R g U L o e G + N Z i p B 4 i z 0 G E V O S Y l V F H B j x P n Y W r P m 4 N N n c m z k v y T G + x d r C W B k h J 6 E O 5 c w H J e c N y d R h J A z d Z Y u N 9 E G F + / V f / 0 o l 0 0 p A P U O q M K P q 9 u 1 7 U l d X p 3 O f 3 N H X 1 y 9 7 9 p R q 6 z C c F / m F x V L / 9 o 0 S z R s k 2 J Y 0 a y J Q p M Q t n + R I 7 s Y m 3 Y Y y Q o p Q C b Z F L Y A L F i j f Y N G n p a V p k B f 1 a 6 2 R M 5 C K W i x S l n 7 7 2 7 / 7 T G X j n I s 0 W + n p l a 6 u L i V u a X 6 6 T E T m a u 4 f m e / e I C l A q Y L D 5 v D O Z S J R a 7 V e H a C 2 G 0 L q M j K t I 9 j w p 3 w d U t F f D 2 n m T F 8 a N / Y X w 6 u / / / 4 n e V 3 1 R j 2 C N M D E O 9 h c X S l f n 8 y S / q F x 6 e 9 f O 0 U I R A c Q Z k M 1 x g v q i k A J G s Y y Q o Z Q 1 O Z k J G y + R U F 9 1 e 3 b d + X + / f s y N j o m F y 9 + I b / 6 1 T c q x U 6 c O C 5 L h m x z s 7 N i W Z y T 4 0 c P S G X l I 4 0 9 r Y W c Z P + c L n h A z 3 p I H M 5 x T J 0 P I z C E D K F o q 5 x m j s 0 C V D e C v C T A l h g b 7 O r V L 2 X v v r 1 q Y z m l H k M M 8 A 5 G O j w o i 0 t G Z Y 1 h S N z a U + l r e 3 y P Q + 2 I X 5 R 9 m f O f z S w G W W F C B Q U h Q S j 0 / 6 G p y K D b A a h r u M t 9 B d k M N 2 7 e 0 n G g z S 1 t 8 v T V W 2 0 B 9 q L V r h P Z e 8 Y / Z v s N D w / L 7 N y s k m x 2 Z k 5 i Y 2 J V Z V w N g 5 M R X j d r w U F D B v 4 h Y y / R T 9 1 T X 4 r 7 z T Z p H V q 7 n O T 7 F 0 2 O 3 8 J Y C S F B K B Z X 7 j r E U 2 y 2 G I 9 x p N W A Z G p r a 5 P D h w 7 J L 7 7 5 S r 6 6 e l k O H y y R J H u b 9 L 2 9 K V m W F k m 2 T n 1 I 7 c b L N 2 / e g z S m x 4 + f S H n 5 6 n l 2 v K q 2 d 2 2 7 j o a U q e Y 4 V z w r F 0 t m J c t B J E 8 e U K s h X M v g 2 o Q q y U 5 1 / B b G S g g J Q h E a Y s 9 H m p C q Q 8 o Q 3 r N A g H T a u T N b m 7 Y Q p P U G L V 2 j 8 r v v K q W y Z l D i E 5 K U L H j 5 9 u z e r c M L z h v 7 i V S m + / f u a 2 4 e z g p U w N M V p + Q v f / 5 B S k t L J D V t 5 U V L x 9 a 7 j T a v W j G X 7 L D L 8 b w 5 r 7 y e B H i 9 y c 7 f k x O e 9 L E W Q i L 1 a G p 8 V B b 7 n k u M Z V z z 6 g i + F h T m a / 3 R W q A / H 4 c n d z i k R H 0 j C H v y 5 L F P U o g g i 6 t q N j o + K f / n T w / l 3 N k K 2 b 3 T J j G 2 l a X I + M S E / O U v P 8 j f / s 2 v 1 S 3 P + z C 7 i l 7 s p S X F j m d 9 x K g h E j 3 5 v O 3 h Y I 1 g y r x 3 g W L m F T 8 N 5 w U G D S F B q I W F e S n P H J b 4 G H p C W H W B I l U Y E r A 6 l q T u 7 T t J S U 2 R / P w 8 I 0 0 S N B A L W V D B Z m d n d J g b E z C 6 O r u U e M S R 7 O Y o M M / f r w 0 z Y 1 U q / n j z o Z w 6 f l B y j V R D u q 0 G J N O L F 6 + k p K R I c / 8 A n 5 n D l a R D U x E 6 B 2 r e h 7 b L P D M 3 x S 7 7 M r 3 z A o Y J F V y E B K E I T K b H L c p B R 6 D S e y x p V 1 n U M E o k B g e G p L e v T + 0 U F i b q G t n d M T a b T h 2 M j r Z K X V 2 9 x p c 6 u 7 o k J T n Z k G C Z I P v K D k t R X v a a D g W A 9 + + H H 6 / J L 7 6 + q h L K E 0 Z n L G a h + z d U O z N + Q Q 5 7 m f 1 A d X N N j + + x t j A 8 I 6 S y z S s K Z j U t x 1 8 g I b D D r l + 7 o Q M H m N b B c O i Z m W k l D q l B l G V A g o Y G u h m R F b H L X E W L k m 4 t y e Q E N t 5 3 f / p e f v P b v / E Y O O a 9 7 j b Z f J J M r k i 0 L c r p A u / S m B 6 1 2 Y K W G x h G C M W h w H N j Z w Q C C G G 1 R m o v P p w I q I E 4 J o q K i j T Z l d E 4 S C d U w k J j o 5 H l M G O k D U m w 3 p I J 8 J r c X T k e 7 b b 2 Y a v c D o B M w L V 1 8 m p g 6 5 k M k y m o C C l C U f r e M O B 7 e y 5 3 I K U g i C t J 3 P 8 m + H r 0 6 B F 5 / u y F l m H 4 A t z k E N f 1 f E g l b J n 6 f q v 2 g A g E C 0 s W G f Z i h h M D C P y X 5 2 F 4 Q k g R C r Q N W X V + 7 U a A q Y R H j h x S L y A B W l R G b 0 C e 3 7 t 3 D d q 5 1 o n 7 L T Z 1 E A Q L Q y 5 D v V f C a t P 2 w / A P I U c o 0 D C w M U Y 2 D o i M j A w 5 c + a 0 P H r 0 R J q b W 9 Q L u B r m 5 + 3 y p q p a T p 4 8 o V 7 D 9 U K 8 s a N W A 9 z v D h K h D m b 7 n k 0 S q g h J Q m 3 0 y E p K O y 5 e P C 9 V h i h r E W p 6 Z l q m p q e 1 H g p b z I n E I E 6 j J 9 E 1 O 3 F 1 Q k 3 N B + 8 a h b 2 E H x G S h M I o D 9 b u 6 y 3 w B u J G b 2 / r U G + g J / W P x 4 Y G h z Q p 1 t 0 h U Z I e n F 2 e f E Z v e m l 0 + N l m j f O X 7 g h O e 4 F Q R E g S C p D v N u e D L c V i p / E K v R 4 i L L 5 f F q R N x Z l T M j x C Y u z t D 8 W D r s B m e v 2 6 S g n l j s S Y 4 E i o I k N M T 9 n k 7 u j 0 k 1 D k T T Y G w f E T q g j J r k c A P x k 7 d Z G X n Y + o Q b p + / a Z 6 7 5 A 2 p 0 + f 9 K q M w h 1 k T X C u m z f v 6 O A 3 0 p U o o 6 c V W X 1 9 v Z w 6 d d L Y X T s c z / 4 I b g K Z 6 N 6 o q 0 6 e u j g J F R Q O f l E 0 K 9 F r 5 O + R t 3 e z I d w 1 a T 0 Q s h K K J d X k R Q a 1 K w j Y U r q O P e Q P m V D 1 X j x / K U + e P J N T p 0 / I s e P l G s d K T 0 9 T k n F O f v c E u O F t 0 W B 1 e 7 + 8 7 f y 8 s j c u a t G Q b H U y g X Y v S j X C 8 A 8 h S y h A C Y M v I I X I P d 7 k L U g n e v b s h W a L f / X V l 1 K Q n y + p R j q h 3 j H z d + / e 3 e q M W K 1 n R J a X F c e H C j L k Q N 7 n U o 5 u u b 3 j a 6 t y v R M b a 1 9 u J 4 Q 0 o Q j 0 b g S W J d M r b W r J o G x X 7 5 0 T P E a 7 s N W 8 g P X 9 g X v L v C k U n N 2 g O N 1 2 R E g T y h e n R C B g W m G M s Z P 2 7 N n t k U y A x 5 F a j C B d C W S X B 4 q 1 6 p r m j R B k y m M Y 6 4 O Q l 1 D j Q c w + c A f q G 2 U i e O 6 I K 6 3 W Y g w 1 c l d e r r x 9 + 0 4 d F + 6 A B 9 4 U D g a K k a m w u r e e C G l C A X L j v A W t v n C d e w N c 4 p R y 3 L 9 f K e f O n f m s / 5 4 n k F m + Z E S I u x A h b l b Z Y v O q a n Y t z J l N Z C W X O N 7 B N + / D Q d j 1 R M g T a s a H X Z / i R D q + U l 7 h B I 4 K J m V Q s j 4 6 N v b B B q K G q q O j Q y 5 d u q j D A 7 w B 1 c R k s j u 7 H G H v 3 G i I k c p W m 0 z 7 O R n e E + r 6 o q T K h T h I 6 V d d U e o q D w Z p w 1 g Z I U 8 o X 4 D b / M i R s k / G g E K u W 7 f u y P z 8 n D y s f K y e P M o 2 b t 6 8 L f v 2 7 t G K X W 9 A A S N Z 6 b F x M W K J i N T p G Q R I 3 W K / Q U P f + P J 7 c D x u j 5 a B y c h w Z v k G I O Q J F R d F a b n j D y 9 A r G h o a L k p C 9 I I y X T 0 6 G H J z 8 + X r 7 6 6 I q W l x Z o U e / n y R S k s K v S q Q p c Y F B P l I e r o 6 J h 0 D y 9 6 7 D 4 U x t Z H y B M K F 3 H / h P d f k 7 Z h D J w m T a i u 7 p 0 S y j k 8 D a c D j V + W + 0 / E e x 2 v o r c F H Y 3 w A t J 3 L z F y Q q a n j K 2 2 X u I p j J 8 N I U 8 o + 6 J F x n 0 Y D 8 o I 0 N 6 e P m 2 i A o E q K k 7 5 l T X h i i h D U I h J 3 3 K c H q 9 e v p a B z v o 1 M 9 P D 2 H o I 2 V w + V z B E 4 I y H f t 6 u Q C 2 7 e / e + f P 3 1 1 Q + S x 9 + s C X f g 2 C D + h B e R G q i s r E y 5 1 R h n b K m Q 3 8 + 2 H b b F H c W D N u 7 o n c D i x o 7 x V F 4 B s I m c R z D I B D g X D V / I o s j N z Z G e C R w T Y T K F I r b F X c V V / L Y 3 y h B L 1 C 6 6 d u 2 G D L i N j Y F o g a p 2 A K L i U u d 8 K y H s u g 5 d b J t t k o Y k P 1 X N S G t b p 1 y 5 c l E D s j 0 9 P X o w t 4 n Z u H Q y C g T U U j U 0 N K q b f a U U I 7 s x m 3 w J N o e x t b A t b C g n 7 P N z k m y b l 4 q S C B 0 z M z g 4 p I + j 2 a W n 7 9 D k V n / V P O 0 e + 8 M 1 K T 9 2 V J K T k 7 T H x J k z F Z K U l O h 4 x n J L Z V q d h S V U 6 G J b E c o J p l E w 4 i V Y G K M S 9 9 V r Q 6 R k K S s 7 q K R s b m 7 W 1 s 7 Z 2 V n 6 H C p d 7 z f H e D 2 G J o y t i W 1 p G b / u D m 4 + G / Y S 9 V D E m U i Y Z S g 1 S b C u W R R P 2 m 1 h M m 0 D b E t C j c 8 G 9 2 v H x c Z K T E y s e g + r 3 l R L r 7 H L q P q l G x K Y t X v f z T W M r Y 1 t S a g F I y m C 2 Y K Y H h S H D 5 f J g w e V M j U 5 J f v 2 7 9 O 5 T 0 6 g 6 o W x P b A t b S h g M z b U e W N L B R P O F s 6 u R Y Z k e p O c G s b 2 w L a U U G B 2 w S L v + o J r S 1 H v 5 E q m 5 k F r m E z b D N u W U G B g I m L d 8 l M p z Y B Q Y W w v b G t C U X y 4 H o 4 3 e k N 4 0 y w l j N D D t i Y U T T B p D h l M I J W Y h x v G 9 s S 2 J l R G / E J Q C / 3 C a l 4 Y 2 5 p Q T z o C b 4 z C y 5 l H R a l 5 W M 0 L Y 9 u 6 z Z 2 g T o p 6 q Z V A t W + f o 9 N q W v y i S r X u U a t 2 a K U k J J y X F 4 Y r t j 2 h w N 6 M e c l L d X Q z m r d I 2 3 C k I Y p F x m Y s M h H k r I o w Q h t h Q h l E G s 7 s T L K L z Q g i X w c M h B H G R 4 j 8 f / S S o c d i N S y s A A A A A E l F T k S u Q m C C < / 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 G u i d = " 1 d 4 f 8 b c 9 - 9 4 2 3 - 4 c 8 f - 8 e 0 6 - 2 2 d 8 8 f 6 6 e c c 4 "   R e v = " 4 "   R e v G u i d = " 6 8 0 9 c d e f - 5 1 6 d - 4 7 0 1 - a 7 b a - 0 8 d 4 b a f 6 a 7 9 1 " 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 C h o o s i n g G e o F i e l d s = " f a l s e " & g t ; & l t ; L a t L o n g   N a m e = " L a t L o n "   V i s i b l e = " f a l s e " & g t ; & l t ; G e o C o l u m n s & g t ; & l t ; G e o C o l u m n   N a m e = " L a t i t u d e "   V i s i b l e = " t r u e "   D a t a T y p e = " D o u b l e "   M o d e l Q u e r y N a m e = " ' R a n g e ' [ L a t i t u d e ] " & g t ; & l t ; T a b l e   M o d e l N a m e = " R a n g e "   N a m e I n S o u r c e = " R a n g e "   V i s i b l e = " t r u e "   L a s t R e f r e s h = " 0 0 0 1 - 0 1 - 0 1 T 0 0 : 0 0 : 0 0 "   / & g t ; & l t ; / G e o C o l u m n & g t ; & l t ; G e o C o l u m n   N a m e = " L o n g i t u d e "   V i s i b l e = " t r u e "   D a t a T y p e = " D o u b l e "   M o d e l Q u e r y N a m e = " ' R a n g e ' [ L o n g i t u d e ] " & g t ; & l t ; T a b l e   M o d e l N a m e = " R a n g e "   N a m e I n S o u r c e = " R a n g e "   V i s i b l e = " t r u e "   L a s t R e f r e s h = " 0 0 0 1 - 0 1 - 0 1 T 0 0 : 0 0 : 0 0 "   / & g t ; & l t ; / G e o C o l u m n & g t ; & l t ; / G e o C o l u m n s & g t ; & l t ; A d d r e s s L i n e N o t U s e d F o r G e o c o d i n g   N a m e = " L o c a t i o n "   V i s i b l e = " t r u e "   D a t a T y p e = " S t r i n g "   M o d e l Q u e r y N a m e = " ' R a n g e ' [ L o c a t i o n ] " & g t ; & l t ; T a b l e   M o d e l N a m e = " R a n g e "   N a m e I n S o u r c e = " R a n g e "   V i s i b l e = " t r u e "   L a s t R e f r e s h = " 0 0 0 1 - 0 1 - 0 1 T 0 0 : 0 0 : 0 0 "   / & g t ; & l t ; / A d d r e s s L i n e N o t U s e d F o r G e o c o d i n g & g t ; & l t ; O C o u n t r y   N a m e = " C o u n t r y "   V i s i b l e = " t r u e "   D a t a T y p e = " S t r i n g "   M o d e l Q u e r y N a m e = " ' R a n g e ' [ C o u n t r y ] " & g t ; & l t ; T a b l e   M o d e l N a m e = " R a n g e "   N a m e I n S o u r c e = " R a n g e "   V i s i b l e = " t r u e "   L a s t R e f r e s h = " 0 0 0 1 - 0 1 - 0 1 T 0 0 : 0 0 : 0 0 "   / & g t ; & l t ; / O C o u n t r y & g t ; & l t ; L a t i t u d e   N a m e = " L a t i t u d e "   V i s i b l e = " t r u e "   D a t a T y p e = " D o u b l e "   M o d e l Q u e r y N a m e = " ' R a n g e ' [ L a t i t u d e ] " & g t ; & l t ; T a b l e   M o d e l N a m e = " R a n g e "   N a m e I n S o u r c e = " R a n g e "   V i s i b l e = " t r u e "   L a s t R e f r e s h = " 0 0 0 1 - 0 1 - 0 1 T 0 0 : 0 0 : 0 0 "   / & g t ; & l t ; / L a t i t u d e & g t ; & l t ; L o n g i t u d e   N a m e = " L o n g i t u d e "   V i s i b l e = " t r u e "   D a t a T y p e = " D o u b l e "   M o d e l Q u e r y N a m e = " ' R a n g e ' [ L o n g i t u d e ] " & g t ; & l t ; T a b l e   M o d e l N a m e = " R a n g e "   N a m e I n S o u r c e = " R a n g e "   V i s i b l e = " t r u e "   L a s t R e f r e s h = " 0 0 0 1 - 0 1 - 0 1 T 0 0 : 0 0 : 0 0 "   / & g t ; & l t ; / L o n g i t u d e & g t ; & l t ; I s X Y C o o r d s & g t ; f a l s e & l t ; / I s X Y C o o r d s & g t ; & l t ; / L a t L o n g & g t ; & l t ; M e a s u r e s   / & g t ; & l t ; M e a s u r e A F s   / & g t ; & l t ; C o l o r A F & g t ; N o n e & l t ; / C o l o r A F & g t ; & l t ; C h o s e n F i e l d s   / & g t ; & l t ; C h u n k B y & g t ; N o n e & l t ; / C h u n k B y & g t ; & l t ; C h o s e n G e o M a p p i n g s & g t ; & l t ; G e o M a p p i n g T y p e & g t ; S t r e e t & l t ; / G e o M a p p i n g T y p e & g t ; & l t ; G e o M a p p i n g T y p e & g t ; L o n g i t u d e & l t ; / G e o M a p p i n g T y p e & g t ; & l t ; G e o M a p p i n g T y p e & g t ; C o u n t r y & l t ; / G e o M a p p i n g T y p e & g t ; & l t ; G e o M a p p i n g T y p e & g t ; L a t i t u d 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 G u i d = " 0 5 1 4 b c 7 e - 0 a 2 a - 4 8 6 3 - a 0 9 8 - b 4 9 f 5 5 2 d d f 1 f "   R e v = " 9 "   R e v G u i d = " 7 1 5 0 0 9 f c - 7 2 0 8 - 4 5 b e - b 9 7 9 - 4 0 b b 4 f 4 6 c 7 9 f "   V i s i b l e = " t r u e "   I n s t O n l y = " f a l s e " & g t ; & l t ; G e o V i s   V i s i b l e = " f a l s e "   L a y e r C o l o r S e t = " f a l s e "   R e g i o n S h a d i n g M o d e S e t = " f a l s e "   R e g i o n S h a d i n g M o d e = " G l o b a l "   T T T e m p l a t e = " B a s i c "   V i s u a l T y p e = " H e a t M a p C h a r t "   N u l l s = " f a l s e "   Z e r o s = " t r u e "   N e g a t i v e s = " t r u e "   H e a t M a p B l e n d M o d e = " A d d "   V i s u a l S h a p e = " S q u a r e " 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 C h o o s i n g G e o F i e l d s = " f a l s e " & g t ; & l t ; L a t L o n g   N a m e = " L a t L o n "   V i s i b l e = " f a l s e " & g t ; & l t ; G e o C o l u m n s & g t ; & l t ; G e o C o l u m n   N a m e = " L a t i t u d e "   V i s i b l e = " t r u e "   D a t a T y p e = " D o u b l e "   M o d e l Q u e r y N a m e = " ' R a n g e ' [ L a t i t u d e ] " & g t ; & l t ; T a b l e   M o d e l N a m e = " R a n g e "   N a m e I n S o u r c e = " R a n g e "   V i s i b l e = " t r u e "   L a s t R e f r e s h = " 0 0 0 1 - 0 1 - 0 1 T 0 0 : 0 0 : 0 0 "   / & g t ; & l t ; / G e o C o l u m n & g t ; & l t ; G e o C o l u m n   N a m e = " L o n g i t u d e "   V i s i b l e = " t r u e "   D a t a T y p e = " D o u b l e "   M o d e l Q u e r y N a m e = " ' R a n g e ' [ L o n g i t u d e ] " & g t ; & l t ; T a b l e   M o d e l N a m e = " R a n g e "   N a m e I n S o u r c e = " R a n g e "   V i s i b l e = " t r u e "   L a s t R e f r e s h = " 0 0 0 1 - 0 1 - 0 1 T 0 0 : 0 0 : 0 0 "   / & g t ; & l t ; / G e o C o l u m n & g t ; & l t ; / G e o C o l u m n s & g t ; & l t ; A d d r e s s L i n e N o t U s e d F o r G e o c o d i n g   N a m e = " L o c a t i o n "   V i s i b l e = " t r u e "   D a t a T y p e = " S t r i n g "   M o d e l Q u e r y N a m e = " ' R a n g e ' [ L o c a t i o n ] " & g t ; & l t ; T a b l e   M o d e l N a m e = " R a n g e "   N a m e I n S o u r c e = " R a n g e "   V i s i b l e = " t r u e "   L a s t R e f r e s h = " 0 0 0 1 - 0 1 - 0 1 T 0 0 : 0 0 : 0 0 "   / & g t ; & l t ; / A d d r e s s L i n e N o t U s e d F o r G e o c o d i n g & g t ; & l t ; O C o u n t r y   N a m e = " C o u n t r y "   V i s i b l e = " t r u e "   D a t a T y p e = " S t r i n g "   M o d e l Q u e r y N a m e = " ' R a n g e ' [ C o u n t r y ] " & g t ; & l t ; T a b l e   M o d e l N a m e = " R a n g e "   N a m e I n S o u r c e = " R a n g e "   V i s i b l e = " t r u e "   L a s t R e f r e s h = " 0 0 0 1 - 0 1 - 0 1 T 0 0 : 0 0 : 0 0 "   / & g t ; & l t ; / O C o u n t r y & g t ; & l t ; L a t i t u d e   N a m e = " L a t i t u d e "   V i s i b l e = " t r u e "   D a t a T y p e = " D o u b l e "   M o d e l Q u e r y N a m e = " ' R a n g e ' [ L a t i t u d e ] " & g t ; & l t ; T a b l e   M o d e l N a m e = " R a n g e "   N a m e I n S o u r c e = " R a n g e "   V i s i b l e = " t r u e "   L a s t R e f r e s h = " 0 0 0 1 - 0 1 - 0 1 T 0 0 : 0 0 : 0 0 "   / & g t ; & l t ; / L a t i t u d e & g t ; & l t ; L o n g i t u d e   N a m e = " L o n g i t u d e "   V i s i b l e = " t r u e "   D a t a T y p e = " D o u b l e "   M o d e l Q u e r y N a m e = " ' R a n g e ' [ L o n g i t u d e ] " & g t ; & l t ; T a b l e   M o d e l N a m e = " R a n g e "   N a m e I n S o u r c e = " R a n g e "   V i s i b l e = " t r u e "   L a s t R e f r e s h = " 0 0 0 1 - 0 1 - 0 1 T 0 0 : 0 0 : 0 0 "   / & g t ; & l t ; / L o n g i t u d e & g t ; & l t ; I s X Y C o o r d s & g t ; f a l s e & l t ; / I s X Y C o o r d s & g t ; & l t ; / L a t L o n g & g t ; & l t ; M e a s u r e s & g t ; & l t ; M e a s u r e   N a m e = " S t r a i g h t   c a r a p a c e   l e n g t h   [ m m ] "   V i s i b l e = " t r u e "   D a t a T y p e = " D o u b l e "   M o d e l Q u e r y N a m e = " ' R a n g e ' [ S t r a i g h t   c a r a p a c e   l e n g t h   [ m m ] ] ] " & g t ; & l t ; T a b l e   M o d e l N a m e = " R a n g e "   N a m e I n S o u r c e = " R a n g e "   V i s i b l e = " t r u e "   L a s t R e f r e s h = " 0 0 0 1 - 0 1 - 0 1 T 0 0 : 0 0 : 0 0 "   / & g t ; & l t ; / M e a s u r e & g t ; & l t ; / M e a s u r e s & g t ; & l t ; M e a s u r e A F s & g t ; & l t ; A g g r e g a t i o n F u n c t i o n & g t ; S u m & l t ; / A g g r e g a t i o n F u n c t i o n & g t ; & l t ; / M e a s u r e A F s & g t ; & l t ; C o l o r A F & g t ; N o n e & l t ; / C o l o r A F & g t ; & l t ; C h o s e n F i e l d s   / & g t ; & l t ; C h u n k B y & g t ; N o n e & l t ; / C h u n k B y & g t ; & l t ; C h o s e n G e o M a p p i n g s & g t ; & l t ; G e o M a p p i n g T y p e & g t ; S t r e e t & l t ; / G e o M a p p i n g T y p e & g t ; & l t ; G e o M a p p i n g T y p e & g t ; L o n g i t u d e & l t ; / G e o M a p p i n g T y p e & g t ; & l t ; G e o M a p p i n g T y p e & g t ; C o u n t r y & l t ; / G e o M a p p i n g T y p e & g t ; & l t ; G e o M a p p i n g T y p e & g t ; L a t i t u d 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g t ; & l t ; D e c o r a t o r & g t ; & l t ; X & g t ; 6 0 & l t ; / X & g t ; & l t ; Y & g t ; 2 9 7 . 6 6 6 6 6 6 6 6 6 6 6 6 6 3 & l t ; / Y & g t ; & l t ; D i s t a n c e T o N e a r e s t C o r n e r X & g t ; 6 0 & l t ; / D i s t a n c e T o N e a r e s t C o r n e r X & g t ; & l t ; D i s t a n c e T o N e a r e s t C o r n e r Y & g t ; 6 & l t ; / D i s t a n c e T o N e a r e s t C o r n e r Y & g t ; & l t ; Z O r d e r & g t ; 0 & l t ; / Z O r d e r & g t ; & l t ; W i d t h & g t ; 3 5 6 & l t ; / W i d t h & g t ; & l t ; H e i g h t & g t ; 1 8 8 & l t ; / H e i g h t & g t ; & l t ; A c t u a l W i d t h & g t ; 3 5 6 & l t ; / A c t u a l W i d t h & g t ; & l t ; A c t u a l H e i g h t & g t ; 1 8 8 & l t ; / A c t u a l H e i g h t & g t ; & l t ; I s V i s i b l e & g t ; f a l s e & l t ; / I s V i s i b l e & g t ; & l t ; S e t F o c u s O n L o a d V i e w & g t ; f a l s e & l t ; / S e t F o c u s O n L o a d V i e w & g t ; & l t ; L e g e n d   D i s p l a y L e g e n d T i t l e = " t r u e " & g t ; & l t ; B a c k g r o u n d C o l o r & g t ; & l t ; R & g t ; 1 & l t ; / R & g t ; & l t ; G & g t ; 1 & l t ; / G & g t ; & l t ; B & g t ; 1 & l t ; / B & g t ; & l t ; A & g t ; 0 . 9 0 1 9 6 0 8 & l t ; / A & g t ; & l t ; / B a c k g r o u n d C o l o r & g t ; & l t ; L a y e r F o r m a t & g t ; & l t ; F o r m a t T y p e & g t ; S t a t i c & l t ; / F o r m a t T y p e & g t ; & l t ; F o n t S i z e & g t ; 1 8 & 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L a y e r F o r m a t & g t ; & l t ; C a t e g o r y F o r m a t & g t ; & l t ; F o r m a t T y p e & g t ; S t a t i c & l t ; / F o r m a t T y p e & g t ; & l t ; F o n t S i z e & g t ; 1 6 & l t ; / F o n t S i z e & g t ; & l t ; F o n t F a m i l y & g t ; S e g o e   U I & l t ; / F o n t F a m i l y & g t ; & l t ; F o n t S t y l e & g t ; N o r m a l & l t ; / F o n t S t y l e & g t ; & l t ; F o n t W e i g h t & g t ; N o r m a l & l t ; / F o n t W e i g h t & g t ; & l t ; I s A u t o m a t i c C o l o r & g t ; f a l s e & l t ; / I s A u t o m a t i c C o l o r & g t ; & l t ; A u t o m a t i c C o l o r & g t ; & l t ; A & g t ; 2 5 5 & l t ; / A & g t ; & l t ; R & g t ; 0 & l t ; / R & g t ; & l t ; G & g t ; 0 & l t ; / G & g t ; & l t ; B & g t ; 0 & l t ; / B & g t ; & l t ; S c A & g t ; 1 & l t ; / S c A & g t ; & l t ; S c R & g t ; 0 & l t ; / S c R & g t ; & l t ; S c G & g t ; 0 & l t ; / S c G & g t ; & l t ; S c B & g t ; 0 & l t ; / S c B & g t ; & l t ; / A u t o m a t i c C o l o r & g t ; & l t ; C o l o r & g t ; & l t ; A & g t ; 2 5 5 & l t ; / A & g t ; & l t ; R & g t ; 0 & l t ; / R & g t ; & l t ; G & g t ; 0 & l t ; / G & g t ; & l t ; B & g t ; 0 & l t ; / B & g t ; & l t ; S c A & g t ; 1 & l t ; / S c A & g t ; & l t ; S c R & g t ; 0 & l t ; / S c R & g t ; & l t ; S c G & g t ; 0 & l t ; / S c G & g t ; & l t ; S c B & g t ; 0 & l t ; / S c B & g t ; & l t ; / C o l o r & g t ; & l t ; / C a t e g o r y F o r m a t & g t ; & l t ; M i n M a x F o n t S i z e & g t ; 1 2 & l t ; / M i n M a x F o n t S i z e & g t ; & l t ; S w a t c h S i z e & g t ; 1 6 & l t ; / S w a t c h S i z e & g t ; & l t ; G r a d i e n t S w a t c h S i z e & g t ; 1 2 & l t ; / G r a d i e n t S w a t c h S i z e & g t ; & l t ; L a y e r I d & g t ; 0 5 1 4 b c 7 e - 0 a 2 a - 4 8 6 3 - a 0 9 8 - b 4 9 f 5 5 2 d d f 1 f & l t ; / L a y e r I d & g t ; & l t ; R a w H e a t M a p M i n & g t ; 3 9 . 0 9 0 6 7 0 1 7 0 8 2 7 8 5 6 & l t ; / R a w H e a t M a p M i n & g t ; & l t ; R a w H e a t M a p M a x & g t ; 3 5 0 . 1 4 & l t ; / R a w H e a t M a p M a x & g t ; & l t ; M i n i m u m & g t ; 3 9 . 0 9 0 6 7 1 5 3 9 3 0 6 6 4 1 & l t ; / M i n i m u m & g t ; & l t ; M a x i m u m & g t ; 3 5 0 . 1 4 0 0 1 4 6 4 8 4 3 7 5 & l t ; / M a x i m u m & g t ; & l t ; / L e g e n d & g t ; & l t ; D o c k & g t ; B o t t o m L e f t & l t ; / D o c k & g t ; & l t ; / D e c o r a t o r & g t ; & l t ; / D e c o r a t o r s & g t ; & l t ; / S e r i a l i z e d L a y e r M a n a g e r & g t ; < / L a y e r s C o n t e n t > < / S c e n e > < / S c e n e s > < / T o u r > 
</file>

<file path=customXml/item3.xml>��< ? x m l   v e r s i o n = " 1 . 0 "   e n c o d i n g = " u t f - 1 6 " ? > < V i s u a l i z a t i o n L S t a t e   x m l n s : x s d = " h t t p : / / w w w . w 3 . o r g / 2 0 0 1 / X M L S c h e m a "   x m l n s : x s i = " h t t p : / / w w w . w 3 . o r g / 2 0 0 1 / X M L S c h e m a - i n s t a n c e "   x m l n s = " h t t p : / / m i c r o s o f t . d a t a . v i s u a l i z a t i o n . C l i e n t . E x c e l . L S t a t e / 1 . 0 " > < c g > H 4 s I A A A A A A A E A N 1 Y 3 V L r N h B + F U 1 m T q e d C b L 8 b 9 M k T E g J c E 5 C m a T Q c i l s k a h H s X J k O w T e p p e 9 7 m U v e s E D 9 R W 6 t p N A s F s C u L 3 o T C a 2 1 9 L u p 9 V q 9 1 v / + f s f r Y P l T K A F U z G X U b u h Y 9 J A L A p k y K N J u 5 E m N 3 t e 4 6 D T O o T H A U 0 G M u r R Y M o Q T I r i / W U c t h v T J J n v a 9 r t 7 S 2 + N b F U E 8 0 g R N d + G g 7 G M H J G G 5 v B / O X B e z y K E x o F r N F p n c b F z M 2 s G Q + U j O V N g k O a U L z g c U o F v 6 c J Q M c T J s 1 Q y / D D T P S 5 3 T i g Y a h Y H A 9 4 x N q G g Q 3 3 K z q b f x v I N E r U 3 Y h N s g X r L g y / p C J l a B q 0 G z d U x J n p Y y Z H L J Y i z V T H S O u 0 t H w Q X E + r 1 J v Y N y u 0 m 7 U o 7 y 5 Y / M E g p 7 G g U f j B 6 M H 9 J Y v Y f c o E r T B 6 e X S 2 g 9 l n a 0 Q i a T c M g h 3 H M l z i 6 A 0 k I B r 2 d G J i 0 7 E s o p s Q F j B k J G l 4 K G T w G U z 0 p Z r R J G F h t 3 B 0 p 0 e F Y G i D r Y m G M m Q q o k 1 k W b p P 0 H F K Q y r o z 1 S B 6 C N s X R x I G M S W P J A t r a S u t d L b 5 0 y E c a c V J w q i 8 L m V l r a S r 9 8 / s f K q d y t A p T k 5 9 p J 0 j X p t X H s G V t s K o U p v O 9 g 3 H I P 4 1 s b Z N n Z s 1 y C O 8 x Z n f 2 J R x M K 7 J j J N z y P o h I O v J x K F T K B z q h Q V T d S b 8 m l K 4 V e / 1 8 v m S i 7 b Y c g G Y G l y v q i S t K Z d M H x f d + y t b f B M 3 f D f v Q 3 W / 3 E b r H 9 j G y D 0 f d 3 w b P 1 x G w g 2 b d c k D g H R 6 3 P P J Y d C g k 6 Y m s k Y 4 t 2 x 4 K h B Q o o S p h S D U 3 K W s o V E A / b w W 1 T / a d j Y K b t q j a D 0 5 g m g 0 r s c f U n 6 / u j X X U x c 3 f U t C P U 8 4 f s O d i E j 6 c a b f N 6 d P f y q e E D R m V Q J A 6 d 7 x C b o e 7 q k A W z B + r q G X V f C L / S W v F O I I f + h j + n D L 4 r d / 8 2 I k j h H X Z K u U e + a 8 L c L A J S v f 2 Y Q u q n v U L V f Z i J 9 B e x t C h S h r / i E J g z u x l M J t K a C K f R H 3 V p s d q 9 T A X Z + p C G H y z U D h l j Q l G 7 I o u L u i s 1 Y V A H h 6 m i 4 B S F R a Z l / V V V P 3 c A e 8 b 0 i b C 0 b E 9 O 2 3 C J P n M t 5 K m D p 4 b m g O Z E s B V q G q 4 m y / 5 1 p B 1 r G f D / i o t 3 I I W Y b s Y q E Q s 0 6 L I p r X a N z t z 2 G 4 k s k 4 5 U x Z 3 j Y s b b c / 1 b + q 9 v Y N S q 2 V z f q U e 9 h 0 6 p S X w / 6 3 p R O q I L Q P U m h 9 5 g U E T t i Y X 6 / x b t / Y H C 8 J h M a p R / M L k w 4 W s 6 Z 4 h D a C T x w i H U S 8 y S t Q D q 8 G t f j C W z q F e r r y R 2 m j y u 7 m K y l e n + P 1 I 0 T u Y B 8 l P U v Y 3 Y H v S F 0 C 1 V p a X z V q 8 l g w K K s r Q W D T 5 u n i 0 8 V H j w + H N V i F M 6 U V 3 U S j H p O Q l e E 9 F p R W F E 3 k Q K y 7 n / m z W M p 8 m x O D h / z e 1 b m p 9 D h A Z z e 3 V y l V b v Z u z r f w b F V K d 6 w o U H y H d t f k x O P Y N 0 0 o T + y d 2 E n Z 2 j I 6 Y y j H C 8 6 F I u w i Y p F F K I m 6 g + g V 9 I d s n M R 6 J R 1 P i b n V Q V 4 a q L 0 M k e 0 9 x 0 F U t L L v k P c l U b 0 B y X R C u N 2 h e l c R B x K H B o n U O n i x z k 1 l 4 h D G W T B N q J J d o y y Y O s L q a C 1 L B 4 u x h V H 6 W J c D 6 0 4 S p W c Z 9 a f H t 6 + y r 4 O g f D r o b y n s 2 v + J W X f V I C o i 9 v o 2 H K B W R i G V 0 + t 6 Q q o N R l P y n x Z 3 / l 5 T g y 1 0 4 x x P v t q 1 / k L 7 H 9 7 P f A 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Props1.xml><?xml version="1.0" encoding="utf-8"?>
<ds:datastoreItem xmlns:ds="http://schemas.openxmlformats.org/officeDocument/2006/customXml" ds:itemID="{52E4D92B-1F17-4768-BB2C-F280049BFC93}">
  <ds:schemaRefs>
    <ds:schemaRef ds:uri="http://www.w3.org/2001/XMLSchema"/>
    <ds:schemaRef ds:uri="http://microsoft.data.visualization.Client.Excel/1.0"/>
  </ds:schemaRefs>
</ds:datastoreItem>
</file>

<file path=customXml/itemProps2.xml><?xml version="1.0" encoding="utf-8"?>
<ds:datastoreItem xmlns:ds="http://schemas.openxmlformats.org/officeDocument/2006/customXml" ds:itemID="{6379F231-6901-44A9-9B0A-1D2B0BB4AAB6}">
  <ds:schemaRefs>
    <ds:schemaRef ds:uri="http://www.w3.org/2001/XMLSchema"/>
    <ds:schemaRef ds:uri="http://microsoft.data.visualization.engine.tours/1.0"/>
  </ds:schemaRefs>
</ds:datastoreItem>
</file>

<file path=customXml/itemProps3.xml><?xml version="1.0" encoding="utf-8"?>
<ds:datastoreItem xmlns:ds="http://schemas.openxmlformats.org/officeDocument/2006/customXml" ds:itemID="{8AFE3EDA-FA54-4920-B58D-874B7DC4E070}">
  <ds:schemaRefs>
    <ds:schemaRef ds:uri="http://www.w3.org/2001/XMLSchema"/>
    <ds:schemaRef ds:uri="http://microsoft.data.visualization.Client.Excel.LState/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Florida experiment</vt:lpstr>
      <vt:lpstr>Meta-analysis (Ch mydas)</vt:lpstr>
      <vt:lpstr>Meta-analysis Ca caretta PCA</vt:lpstr>
      <vt:lpstr>Meta-analysis (Ca caretta)</vt:lpstr>
      <vt:lpstr>Meta-analysis Ch mydas PCA</vt:lpstr>
      <vt:lpstr>Cape Verde 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Rafael Regalado Fernández</dc:creator>
  <cp:lastModifiedBy>Omar Rafael Regalado Fernández</cp:lastModifiedBy>
  <dcterms:created xsi:type="dcterms:W3CDTF">2022-02-11T15:58:12Z</dcterms:created>
  <dcterms:modified xsi:type="dcterms:W3CDTF">2024-02-14T10:46:56Z</dcterms:modified>
</cp:coreProperties>
</file>