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1305" windowWidth="27690" windowHeight="10095"/>
  </bookViews>
  <sheets>
    <sheet name="Note" sheetId="20" r:id="rId1"/>
    <sheet name="A. GO-Fg-Positive" sheetId="18" r:id="rId2"/>
    <sheet name="B. GO-Fg-Negtive" sheetId="19" r:id="rId3"/>
    <sheet name="C. GO-FHB_resistant" sheetId="24" r:id="rId4"/>
    <sheet name="D. GO-susceptible_2d" sheetId="21" r:id="rId5"/>
    <sheet name="E. GO-susceptible_4d" sheetId="23" r:id="rId6"/>
    <sheet name="F. GO-susceptible-both2&amp;4d" sheetId="22" r:id="rId7"/>
    <sheet name="G. GO_FgDEGs_FRS020202&amp;FT2000" sheetId="27" r:id="rId8"/>
  </sheets>
  <definedNames>
    <definedName name="list">#REF!</definedName>
    <definedName name="list1">#REF!</definedName>
    <definedName name="NewList">#REF!</definedName>
    <definedName name="Tair">#REF!</definedName>
  </definedNames>
  <calcPr calcId="145621"/>
</workbook>
</file>

<file path=xl/calcChain.xml><?xml version="1.0" encoding="utf-8"?>
<calcChain xmlns="http://schemas.openxmlformats.org/spreadsheetml/2006/main">
  <c r="A11" i="27" l="1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A25" i="27"/>
  <c r="A26" i="27"/>
  <c r="A27" i="27"/>
  <c r="A28" i="27"/>
  <c r="A29" i="27"/>
  <c r="A30" i="27"/>
  <c r="A31" i="27"/>
  <c r="A32" i="27"/>
  <c r="A33" i="27"/>
  <c r="A34" i="27"/>
  <c r="A35" i="27"/>
  <c r="A36" i="27"/>
  <c r="A37" i="27"/>
  <c r="A38" i="27"/>
  <c r="A39" i="27"/>
  <c r="A40" i="27"/>
  <c r="A41" i="27"/>
  <c r="A42" i="27"/>
  <c r="A43" i="27"/>
  <c r="A44" i="27"/>
  <c r="A45" i="27"/>
  <c r="A46" i="27"/>
  <c r="A47" i="27"/>
  <c r="A48" i="27"/>
  <c r="A49" i="27"/>
  <c r="A50" i="27"/>
  <c r="A51" i="27"/>
  <c r="A52" i="27"/>
  <c r="A53" i="27"/>
  <c r="A54" i="27"/>
  <c r="A55" i="27"/>
  <c r="A56" i="27"/>
  <c r="A57" i="27"/>
  <c r="A58" i="27"/>
  <c r="A59" i="27"/>
  <c r="A60" i="27"/>
  <c r="A61" i="27"/>
  <c r="A62" i="27"/>
  <c r="A63" i="27"/>
  <c r="A64" i="27"/>
  <c r="A65" i="27"/>
  <c r="A66" i="27"/>
  <c r="A67" i="27"/>
  <c r="A68" i="27"/>
  <c r="A69" i="27"/>
  <c r="A70" i="27"/>
  <c r="A71" i="27"/>
  <c r="A72" i="27"/>
  <c r="A73" i="27"/>
  <c r="A74" i="27"/>
  <c r="A75" i="27"/>
  <c r="A76" i="27"/>
  <c r="A77" i="27"/>
  <c r="A78" i="27"/>
  <c r="A79" i="27"/>
  <c r="A80" i="27"/>
  <c r="A81" i="27"/>
  <c r="A82" i="27"/>
  <c r="A83" i="27"/>
  <c r="A84" i="27"/>
  <c r="A85" i="27"/>
  <c r="A86" i="27"/>
  <c r="A87" i="27"/>
  <c r="A88" i="27"/>
  <c r="A89" i="27"/>
  <c r="A90" i="27"/>
  <c r="A91" i="27"/>
  <c r="A92" i="27"/>
  <c r="A93" i="27"/>
  <c r="A94" i="27"/>
  <c r="A95" i="27"/>
  <c r="A96" i="27"/>
  <c r="A97" i="27"/>
  <c r="A98" i="27"/>
  <c r="A99" i="27"/>
  <c r="A100" i="27"/>
  <c r="A101" i="27"/>
  <c r="A102" i="27"/>
  <c r="A103" i="27"/>
  <c r="A104" i="27"/>
  <c r="A105" i="27"/>
  <c r="A106" i="27"/>
  <c r="A107" i="27"/>
  <c r="A108" i="27"/>
  <c r="A109" i="27"/>
  <c r="A110" i="27"/>
  <c r="A111" i="27"/>
  <c r="A112" i="27"/>
  <c r="A113" i="27"/>
  <c r="A114" i="27"/>
  <c r="A115" i="27"/>
  <c r="A116" i="27"/>
  <c r="A117" i="27"/>
  <c r="A118" i="27"/>
  <c r="A119" i="27"/>
  <c r="A120" i="27"/>
  <c r="A121" i="27"/>
  <c r="A122" i="27"/>
  <c r="A123" i="27"/>
  <c r="A124" i="27"/>
  <c r="A125" i="27"/>
  <c r="A126" i="27"/>
  <c r="A127" i="27"/>
  <c r="A128" i="27"/>
  <c r="A129" i="27"/>
  <c r="A130" i="27"/>
  <c r="A131" i="27"/>
  <c r="A132" i="27"/>
  <c r="A133" i="27"/>
  <c r="A134" i="27"/>
  <c r="A135" i="27"/>
  <c r="A136" i="27"/>
  <c r="A137" i="27"/>
  <c r="A138" i="27"/>
  <c r="A139" i="27"/>
  <c r="A140" i="27"/>
  <c r="A141" i="27"/>
  <c r="A142" i="27"/>
  <c r="A143" i="27"/>
  <c r="A144" i="27"/>
  <c r="A145" i="27"/>
  <c r="A146" i="27"/>
  <c r="A147" i="27"/>
  <c r="A148" i="27"/>
  <c r="A149" i="27"/>
  <c r="A150" i="27"/>
  <c r="A151" i="27"/>
  <c r="A152" i="27"/>
  <c r="A153" i="27"/>
  <c r="A154" i="27"/>
  <c r="A155" i="27"/>
  <c r="A156" i="27"/>
  <c r="A157" i="27"/>
  <c r="A158" i="27"/>
  <c r="A159" i="27"/>
  <c r="A160" i="27"/>
  <c r="A161" i="27"/>
  <c r="A162" i="27"/>
  <c r="A163" i="27"/>
  <c r="A164" i="27"/>
  <c r="A165" i="27"/>
  <c r="A166" i="27"/>
  <c r="A167" i="27"/>
  <c r="A168" i="27"/>
  <c r="A169" i="27"/>
  <c r="A170" i="27"/>
  <c r="A171" i="27"/>
  <c r="A172" i="27"/>
  <c r="A173" i="27"/>
  <c r="A174" i="27"/>
  <c r="A175" i="27"/>
  <c r="A176" i="27"/>
  <c r="A177" i="27"/>
  <c r="A178" i="27"/>
  <c r="A179" i="27"/>
  <c r="A180" i="27"/>
  <c r="A181" i="27"/>
  <c r="K2" i="24" l="1"/>
  <c r="G6" i="24"/>
  <c r="G7" i="24"/>
  <c r="G8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292" i="23" l="1"/>
  <c r="A291" i="23"/>
  <c r="A290" i="23"/>
  <c r="A289" i="23"/>
  <c r="A288" i="23"/>
  <c r="A287" i="23"/>
  <c r="A286" i="23"/>
  <c r="A285" i="23"/>
  <c r="A284" i="23"/>
  <c r="A283" i="23"/>
  <c r="A282" i="23"/>
  <c r="A281" i="23"/>
  <c r="A280" i="23"/>
  <c r="A279" i="23"/>
  <c r="A278" i="23"/>
  <c r="A277" i="23"/>
  <c r="A276" i="23"/>
  <c r="A275" i="23"/>
  <c r="A274" i="23"/>
  <c r="A273" i="23"/>
  <c r="A272" i="23"/>
  <c r="A271" i="23"/>
  <c r="A270" i="23"/>
  <c r="A269" i="23"/>
  <c r="A268" i="23"/>
  <c r="A267" i="23"/>
  <c r="A266" i="23"/>
  <c r="A265" i="23"/>
  <c r="A264" i="23"/>
  <c r="A263" i="23"/>
  <c r="A262" i="23"/>
  <c r="A261" i="23"/>
  <c r="A260" i="23"/>
  <c r="A259" i="23"/>
  <c r="A258" i="23"/>
  <c r="A257" i="23"/>
  <c r="A256" i="23"/>
  <c r="A255" i="23"/>
  <c r="A254" i="23"/>
  <c r="A253" i="23"/>
  <c r="A252" i="23"/>
  <c r="A251" i="23"/>
  <c r="A250" i="23"/>
  <c r="A249" i="23"/>
  <c r="A248" i="23"/>
  <c r="A247" i="23"/>
  <c r="A246" i="23"/>
  <c r="A245" i="23"/>
  <c r="A244" i="23"/>
  <c r="A243" i="23"/>
  <c r="A242" i="23"/>
  <c r="A241" i="23"/>
  <c r="A240" i="23"/>
  <c r="A239" i="23"/>
  <c r="A238" i="23"/>
  <c r="A237" i="23"/>
  <c r="A236" i="23"/>
  <c r="A235" i="23"/>
  <c r="A234" i="23"/>
  <c r="A233" i="23"/>
  <c r="A232" i="23"/>
  <c r="A231" i="23"/>
  <c r="A230" i="23"/>
  <c r="A229" i="23"/>
  <c r="A228" i="23"/>
  <c r="A227" i="23"/>
  <c r="A226" i="23"/>
  <c r="A225" i="23"/>
  <c r="A224" i="23"/>
  <c r="A223" i="23"/>
  <c r="A222" i="23"/>
  <c r="A221" i="23"/>
  <c r="A220" i="23"/>
  <c r="A219" i="23"/>
  <c r="A218" i="23"/>
  <c r="A217" i="23"/>
  <c r="A216" i="23"/>
  <c r="A215" i="23"/>
  <c r="A214" i="23"/>
  <c r="A213" i="23"/>
  <c r="A212" i="23"/>
  <c r="A211" i="23"/>
  <c r="A210" i="23"/>
  <c r="A209" i="23"/>
  <c r="A208" i="23"/>
  <c r="A207" i="23"/>
  <c r="A206" i="23"/>
  <c r="A205" i="23"/>
  <c r="A204" i="23"/>
  <c r="A203" i="23"/>
  <c r="A202" i="23"/>
  <c r="A201" i="23"/>
  <c r="A200" i="23"/>
  <c r="A199" i="23"/>
  <c r="A198" i="23"/>
  <c r="A197" i="23"/>
  <c r="A196" i="23"/>
  <c r="A195" i="23"/>
  <c r="A194" i="23"/>
  <c r="A193" i="23"/>
  <c r="A192" i="23"/>
  <c r="A191" i="23"/>
  <c r="A190" i="23"/>
  <c r="A189" i="23"/>
  <c r="A188" i="23"/>
  <c r="A187" i="23"/>
  <c r="A186" i="23"/>
  <c r="A185" i="23"/>
  <c r="A184" i="23"/>
  <c r="A183" i="23"/>
  <c r="A182" i="23"/>
  <c r="A181" i="23"/>
  <c r="A180" i="23"/>
  <c r="A179" i="23"/>
  <c r="A178" i="23"/>
  <c r="A177" i="23"/>
  <c r="A176" i="23"/>
  <c r="A175" i="23"/>
  <c r="A174" i="23"/>
  <c r="A173" i="23"/>
  <c r="A172" i="23"/>
  <c r="A171" i="23"/>
  <c r="A170" i="23"/>
  <c r="A169" i="23"/>
  <c r="A168" i="23"/>
  <c r="A167" i="23"/>
  <c r="A166" i="23"/>
  <c r="A165" i="23"/>
  <c r="A164" i="23"/>
  <c r="A163" i="23"/>
  <c r="A162" i="23"/>
  <c r="A161" i="23"/>
  <c r="A160" i="23"/>
  <c r="A159" i="23"/>
  <c r="A158" i="23"/>
  <c r="A157" i="23"/>
  <c r="A156" i="23"/>
  <c r="A155" i="23"/>
  <c r="A154" i="23"/>
  <c r="A153" i="23"/>
  <c r="A152" i="23"/>
  <c r="A151" i="23"/>
  <c r="A150" i="23"/>
  <c r="A149" i="23"/>
  <c r="A148" i="23"/>
  <c r="A147" i="23"/>
  <c r="A146" i="23"/>
  <c r="A145" i="23"/>
  <c r="A144" i="23"/>
  <c r="A143" i="23"/>
  <c r="A142" i="23"/>
  <c r="A141" i="23"/>
  <c r="A140" i="23"/>
  <c r="A139" i="23"/>
  <c r="A138" i="23"/>
  <c r="A137" i="23"/>
  <c r="A136" i="23"/>
  <c r="A135" i="23"/>
  <c r="A134" i="23"/>
  <c r="A133" i="23"/>
  <c r="A132" i="23"/>
  <c r="A131" i="23"/>
  <c r="A130" i="23"/>
  <c r="A129" i="23"/>
  <c r="A128" i="23"/>
  <c r="A127" i="23"/>
  <c r="A126" i="23"/>
  <c r="A125" i="23"/>
  <c r="A124" i="23"/>
  <c r="A123" i="23"/>
  <c r="A122" i="23"/>
  <c r="A121" i="23"/>
  <c r="A120" i="23"/>
  <c r="A119" i="23"/>
  <c r="A118" i="23"/>
  <c r="A117" i="23"/>
  <c r="A116" i="23"/>
  <c r="A115" i="23"/>
  <c r="A114" i="23"/>
  <c r="A113" i="23"/>
  <c r="A112" i="23"/>
  <c r="A111" i="23"/>
  <c r="A110" i="23"/>
  <c r="A109" i="23"/>
  <c r="A108" i="23"/>
  <c r="A107" i="23"/>
  <c r="A106" i="23"/>
  <c r="A105" i="23"/>
  <c r="A104" i="23"/>
  <c r="A103" i="23"/>
  <c r="A102" i="23"/>
  <c r="A101" i="23"/>
  <c r="A100" i="23"/>
  <c r="A99" i="23"/>
  <c r="A98" i="23"/>
  <c r="A97" i="23"/>
  <c r="A96" i="23"/>
  <c r="A95" i="23"/>
  <c r="A94" i="23"/>
  <c r="A93" i="23"/>
  <c r="A92" i="23"/>
  <c r="A91" i="23"/>
  <c r="A90" i="23"/>
  <c r="A89" i="23"/>
  <c r="A88" i="23"/>
  <c r="A87" i="23"/>
  <c r="A86" i="23"/>
  <c r="A85" i="23"/>
  <c r="A84" i="23"/>
  <c r="A83" i="23"/>
  <c r="A82" i="23"/>
  <c r="A81" i="23"/>
  <c r="A80" i="23"/>
  <c r="A79" i="23"/>
  <c r="A78" i="23"/>
  <c r="A77" i="23"/>
  <c r="A76" i="23"/>
  <c r="A75" i="23"/>
  <c r="A74" i="23"/>
  <c r="A73" i="23"/>
  <c r="A72" i="23"/>
  <c r="A71" i="23"/>
  <c r="A70" i="23"/>
  <c r="A69" i="23"/>
  <c r="A68" i="23"/>
  <c r="A67" i="23"/>
  <c r="A66" i="23"/>
  <c r="A65" i="23"/>
  <c r="A64" i="23"/>
  <c r="A63" i="23"/>
  <c r="A62" i="23"/>
  <c r="A61" i="23"/>
  <c r="A60" i="23"/>
  <c r="A59" i="23"/>
  <c r="A58" i="23"/>
  <c r="A57" i="23"/>
  <c r="A56" i="23"/>
  <c r="A55" i="23"/>
  <c r="A54" i="23"/>
  <c r="A53" i="23"/>
  <c r="A52" i="23"/>
  <c r="A51" i="23"/>
  <c r="A50" i="23"/>
  <c r="A49" i="23"/>
  <c r="A48" i="23"/>
  <c r="A47" i="23"/>
  <c r="A46" i="23"/>
  <c r="A45" i="23"/>
  <c r="A44" i="23"/>
  <c r="A43" i="23"/>
  <c r="A42" i="23"/>
  <c r="A41" i="23"/>
  <c r="A40" i="23"/>
  <c r="A39" i="23"/>
  <c r="A38" i="23"/>
  <c r="A37" i="23"/>
  <c r="A36" i="23"/>
  <c r="A35" i="23"/>
  <c r="A34" i="23"/>
  <c r="A33" i="23"/>
  <c r="A32" i="23"/>
  <c r="A31" i="23"/>
  <c r="A30" i="23"/>
  <c r="A29" i="23"/>
  <c r="A28" i="23"/>
  <c r="A27" i="23"/>
  <c r="A26" i="23"/>
  <c r="A25" i="23"/>
  <c r="A24" i="23"/>
  <c r="A23" i="23"/>
  <c r="A22" i="23"/>
  <c r="A21" i="23"/>
  <c r="A20" i="23"/>
  <c r="A19" i="23"/>
  <c r="A18" i="23"/>
  <c r="A17" i="23"/>
  <c r="A16" i="23"/>
  <c r="A15" i="23"/>
  <c r="A14" i="23"/>
  <c r="A13" i="23"/>
  <c r="A12" i="23"/>
  <c r="A11" i="23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79" i="21"/>
  <c r="A78" i="21"/>
  <c r="A77" i="21"/>
  <c r="A76" i="21"/>
  <c r="A75" i="21"/>
  <c r="A74" i="21"/>
  <c r="A73" i="21"/>
  <c r="A72" i="21"/>
  <c r="A71" i="21"/>
  <c r="A70" i="21"/>
  <c r="A69" i="21"/>
  <c r="A68" i="21"/>
  <c r="A67" i="21"/>
  <c r="A66" i="21"/>
  <c r="A65" i="21"/>
  <c r="A64" i="21"/>
  <c r="A63" i="21"/>
  <c r="A62" i="21"/>
  <c r="A61" i="21"/>
  <c r="A60" i="21"/>
  <c r="A59" i="21"/>
  <c r="A58" i="21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1" i="19" l="1"/>
  <c r="A12" i="19"/>
  <c r="A13" i="19"/>
  <c r="A14" i="19"/>
  <c r="A15" i="19"/>
  <c r="A16" i="19"/>
  <c r="A17" i="19"/>
  <c r="A18" i="19"/>
  <c r="A19" i="19"/>
  <c r="A20" i="19"/>
  <c r="A21" i="19"/>
  <c r="A22" i="19"/>
  <c r="A23" i="19"/>
  <c r="A24" i="19"/>
  <c r="A25" i="19"/>
  <c r="A26" i="19"/>
  <c r="A27" i="19"/>
  <c r="A28" i="19"/>
  <c r="A29" i="19"/>
  <c r="A30" i="19"/>
  <c r="A31" i="19"/>
  <c r="A32" i="19"/>
  <c r="A33" i="19"/>
  <c r="A34" i="19"/>
  <c r="A35" i="19"/>
  <c r="A36" i="19"/>
  <c r="A37" i="19"/>
  <c r="A38" i="19"/>
  <c r="A39" i="19"/>
  <c r="A40" i="19"/>
  <c r="A41" i="19"/>
  <c r="A42" i="19"/>
  <c r="A43" i="19"/>
  <c r="A44" i="19"/>
  <c r="A45" i="19"/>
  <c r="A46" i="19"/>
  <c r="A47" i="19"/>
  <c r="A48" i="19"/>
  <c r="A49" i="19"/>
  <c r="A50" i="19"/>
  <c r="A51" i="19"/>
  <c r="A52" i="19"/>
  <c r="A53" i="19"/>
  <c r="A54" i="19"/>
  <c r="A55" i="19"/>
  <c r="A56" i="19"/>
  <c r="A57" i="19"/>
  <c r="A58" i="19"/>
  <c r="A59" i="19"/>
  <c r="A60" i="19"/>
  <c r="A61" i="19"/>
  <c r="A62" i="19"/>
  <c r="A63" i="19"/>
  <c r="A64" i="19"/>
  <c r="A65" i="19"/>
  <c r="A66" i="19"/>
  <c r="A67" i="19"/>
  <c r="A68" i="19"/>
  <c r="A69" i="19"/>
  <c r="A70" i="19"/>
  <c r="A71" i="19"/>
  <c r="A72" i="19"/>
  <c r="A73" i="19"/>
  <c r="A74" i="19"/>
  <c r="A75" i="19"/>
  <c r="A76" i="19"/>
  <c r="A77" i="19"/>
  <c r="A78" i="19"/>
  <c r="A79" i="19"/>
  <c r="A80" i="19"/>
  <c r="A81" i="19"/>
  <c r="A82" i="19"/>
  <c r="A83" i="19"/>
  <c r="A84" i="19"/>
  <c r="A85" i="19"/>
  <c r="A86" i="19"/>
  <c r="A87" i="19"/>
  <c r="A88" i="19"/>
  <c r="A89" i="19"/>
  <c r="A90" i="19"/>
  <c r="A91" i="19"/>
  <c r="A92" i="19"/>
  <c r="A93" i="19"/>
  <c r="A94" i="19"/>
  <c r="A95" i="19"/>
  <c r="A96" i="19"/>
  <c r="A97" i="19"/>
  <c r="A98" i="19"/>
  <c r="A99" i="19"/>
  <c r="A100" i="19"/>
  <c r="A101" i="19"/>
  <c r="A102" i="19"/>
  <c r="A103" i="19"/>
  <c r="A104" i="19"/>
  <c r="A105" i="19"/>
  <c r="A106" i="19"/>
  <c r="A107" i="19"/>
  <c r="A108" i="19"/>
  <c r="A109" i="19"/>
  <c r="A110" i="19"/>
  <c r="A111" i="19"/>
  <c r="A112" i="19"/>
  <c r="A113" i="19"/>
  <c r="A114" i="19"/>
  <c r="A115" i="19"/>
  <c r="A116" i="19"/>
  <c r="A117" i="19"/>
  <c r="A118" i="19"/>
  <c r="A119" i="19"/>
  <c r="A120" i="19"/>
  <c r="A121" i="19"/>
  <c r="A122" i="19"/>
  <c r="A123" i="19"/>
  <c r="A124" i="19"/>
  <c r="A125" i="19"/>
  <c r="A126" i="19"/>
  <c r="A127" i="19"/>
  <c r="A128" i="19"/>
  <c r="A129" i="19"/>
  <c r="A130" i="19"/>
  <c r="A131" i="19"/>
  <c r="A132" i="19"/>
  <c r="A133" i="19"/>
  <c r="A134" i="19"/>
  <c r="A135" i="19"/>
  <c r="A136" i="19"/>
  <c r="A137" i="19"/>
  <c r="A138" i="19"/>
  <c r="A139" i="19"/>
  <c r="A140" i="19"/>
  <c r="A141" i="19"/>
  <c r="A142" i="19"/>
  <c r="A143" i="19"/>
  <c r="A144" i="19"/>
  <c r="A145" i="19"/>
  <c r="A146" i="19"/>
  <c r="A147" i="19"/>
  <c r="A148" i="19"/>
  <c r="A149" i="19"/>
  <c r="A150" i="19"/>
  <c r="A151" i="19"/>
  <c r="A152" i="19"/>
  <c r="A153" i="19"/>
  <c r="A154" i="19"/>
  <c r="A155" i="19"/>
  <c r="A156" i="19"/>
  <c r="A157" i="19"/>
  <c r="A158" i="19"/>
  <c r="A159" i="19"/>
  <c r="A160" i="19"/>
  <c r="A161" i="19"/>
  <c r="A162" i="19"/>
  <c r="A163" i="19"/>
  <c r="A164" i="19"/>
  <c r="A165" i="19"/>
  <c r="A166" i="19"/>
  <c r="A167" i="19"/>
  <c r="A168" i="19"/>
  <c r="A169" i="19"/>
  <c r="A170" i="19"/>
  <c r="A171" i="19"/>
  <c r="A172" i="19"/>
  <c r="A173" i="19"/>
  <c r="A174" i="19"/>
  <c r="A175" i="19"/>
  <c r="A176" i="19"/>
  <c r="A177" i="19"/>
  <c r="A178" i="19"/>
  <c r="A179" i="19"/>
  <c r="A180" i="19"/>
  <c r="A181" i="19"/>
  <c r="A182" i="19"/>
  <c r="A183" i="19"/>
  <c r="A184" i="19"/>
  <c r="A185" i="19"/>
  <c r="A186" i="19"/>
  <c r="A187" i="19"/>
  <c r="A188" i="19"/>
  <c r="A189" i="19"/>
  <c r="A190" i="19"/>
  <c r="A191" i="19"/>
  <c r="A192" i="19"/>
  <c r="A193" i="19"/>
  <c r="A194" i="19"/>
  <c r="A195" i="19"/>
  <c r="A196" i="19"/>
  <c r="A197" i="19"/>
  <c r="A198" i="19"/>
  <c r="A199" i="19"/>
  <c r="A200" i="19"/>
  <c r="A201" i="19"/>
  <c r="A202" i="19"/>
  <c r="A203" i="19"/>
  <c r="A204" i="19"/>
  <c r="A205" i="19"/>
  <c r="A206" i="19"/>
  <c r="A207" i="19"/>
  <c r="A208" i="19"/>
  <c r="A209" i="19"/>
  <c r="A210" i="19"/>
  <c r="A211" i="19"/>
  <c r="A212" i="19"/>
  <c r="A213" i="19"/>
  <c r="A214" i="19"/>
  <c r="A215" i="19"/>
  <c r="A216" i="19"/>
  <c r="A217" i="19"/>
  <c r="A218" i="19"/>
  <c r="A219" i="19"/>
  <c r="A220" i="19"/>
  <c r="A221" i="19"/>
  <c r="A222" i="19"/>
  <c r="A223" i="19"/>
  <c r="A224" i="19"/>
  <c r="A225" i="19"/>
  <c r="A226" i="19"/>
  <c r="A227" i="19"/>
  <c r="A228" i="19"/>
  <c r="A229" i="19"/>
  <c r="A230" i="19"/>
  <c r="A231" i="19"/>
  <c r="A232" i="19"/>
  <c r="A233" i="19"/>
  <c r="A234" i="19"/>
  <c r="A235" i="19"/>
  <c r="A236" i="19"/>
  <c r="A237" i="19"/>
  <c r="A238" i="19"/>
  <c r="A239" i="19"/>
  <c r="A240" i="19"/>
  <c r="A241" i="19"/>
  <c r="A242" i="19"/>
  <c r="A243" i="19"/>
  <c r="A244" i="19"/>
  <c r="A245" i="19"/>
  <c r="A246" i="19"/>
  <c r="A247" i="19"/>
  <c r="A248" i="19"/>
  <c r="A249" i="19"/>
  <c r="A250" i="19"/>
  <c r="A251" i="19"/>
  <c r="A252" i="19"/>
  <c r="A253" i="19"/>
  <c r="A254" i="19"/>
  <c r="A255" i="19"/>
  <c r="A256" i="19"/>
  <c r="A257" i="19"/>
  <c r="A258" i="19"/>
  <c r="A259" i="19"/>
  <c r="A260" i="19"/>
  <c r="A261" i="19"/>
  <c r="A262" i="19"/>
  <c r="A263" i="19"/>
  <c r="A264" i="19"/>
  <c r="A265" i="19"/>
  <c r="A266" i="19"/>
  <c r="A267" i="19"/>
  <c r="A268" i="19"/>
  <c r="A269" i="19"/>
  <c r="A270" i="19"/>
  <c r="A271" i="19"/>
  <c r="A272" i="19"/>
  <c r="A273" i="19"/>
  <c r="A274" i="19"/>
  <c r="A275" i="19"/>
  <c r="A276" i="19"/>
  <c r="A277" i="19"/>
  <c r="A278" i="19"/>
  <c r="A279" i="19"/>
  <c r="A280" i="19"/>
  <c r="A281" i="19"/>
  <c r="A282" i="19"/>
  <c r="A283" i="19"/>
  <c r="A284" i="19"/>
  <c r="A285" i="19"/>
  <c r="A286" i="19"/>
  <c r="A287" i="19"/>
  <c r="A288" i="19"/>
  <c r="A289" i="19"/>
  <c r="A290" i="19"/>
  <c r="A291" i="19"/>
  <c r="A292" i="19"/>
  <c r="A293" i="19"/>
  <c r="A294" i="19"/>
  <c r="A295" i="19"/>
  <c r="A296" i="19"/>
  <c r="A297" i="19"/>
  <c r="A298" i="19"/>
  <c r="A299" i="19"/>
  <c r="A300" i="19"/>
  <c r="A301" i="19"/>
  <c r="A302" i="19"/>
  <c r="A303" i="19"/>
  <c r="A304" i="19"/>
  <c r="A305" i="19"/>
  <c r="A306" i="19"/>
  <c r="A307" i="19"/>
  <c r="A308" i="19"/>
  <c r="A309" i="19"/>
  <c r="A310" i="19"/>
  <c r="A311" i="19"/>
  <c r="A312" i="19"/>
  <c r="A313" i="19"/>
  <c r="A314" i="19"/>
  <c r="A315" i="19"/>
  <c r="A316" i="19"/>
  <c r="A317" i="19"/>
  <c r="A318" i="19"/>
  <c r="A319" i="19"/>
  <c r="A320" i="19"/>
  <c r="A321" i="19"/>
  <c r="A322" i="19"/>
  <c r="A323" i="19"/>
  <c r="A324" i="19"/>
  <c r="A325" i="19"/>
  <c r="A326" i="19"/>
  <c r="A327" i="19"/>
  <c r="A328" i="19"/>
  <c r="A329" i="19"/>
  <c r="A330" i="19"/>
  <c r="A331" i="19"/>
  <c r="A332" i="19"/>
  <c r="A333" i="19"/>
  <c r="A334" i="19"/>
  <c r="A335" i="19"/>
  <c r="A336" i="19"/>
  <c r="A337" i="19"/>
  <c r="A338" i="19"/>
  <c r="A339" i="19"/>
  <c r="A340" i="19"/>
  <c r="A341" i="19"/>
  <c r="A342" i="19"/>
  <c r="A343" i="19"/>
  <c r="A344" i="19"/>
  <c r="A345" i="19"/>
  <c r="A346" i="19"/>
  <c r="A347" i="19"/>
  <c r="A348" i="19"/>
  <c r="A349" i="19"/>
  <c r="A350" i="19"/>
  <c r="A351" i="19"/>
  <c r="A352" i="19"/>
  <c r="A353" i="19"/>
  <c r="A354" i="19"/>
  <c r="A355" i="19"/>
  <c r="A356" i="19"/>
  <c r="A357" i="19"/>
  <c r="A358" i="19"/>
  <c r="A359" i="19"/>
  <c r="A360" i="19"/>
  <c r="A361" i="19"/>
  <c r="A362" i="19"/>
  <c r="A363" i="19"/>
  <c r="A364" i="19"/>
  <c r="A365" i="19"/>
  <c r="A366" i="19"/>
  <c r="A367" i="19"/>
  <c r="A368" i="19"/>
  <c r="A369" i="19"/>
  <c r="A370" i="19"/>
  <c r="A371" i="19"/>
  <c r="A372" i="19"/>
  <c r="A373" i="19"/>
  <c r="A374" i="19"/>
  <c r="A375" i="19"/>
  <c r="A376" i="19"/>
  <c r="A377" i="19"/>
  <c r="A378" i="19"/>
  <c r="A379" i="19"/>
  <c r="A380" i="19"/>
  <c r="A381" i="19"/>
  <c r="A382" i="19"/>
  <c r="A383" i="19"/>
  <c r="A384" i="19"/>
  <c r="A385" i="19"/>
  <c r="A386" i="19"/>
  <c r="A387" i="19"/>
  <c r="A388" i="19"/>
  <c r="A389" i="19"/>
  <c r="A390" i="19"/>
  <c r="A391" i="19"/>
  <c r="A392" i="19"/>
  <c r="A393" i="19"/>
  <c r="A394" i="19"/>
  <c r="A395" i="19"/>
  <c r="A396" i="19"/>
  <c r="A397" i="19"/>
  <c r="A398" i="19"/>
  <c r="A399" i="19"/>
  <c r="A400" i="19"/>
  <c r="A401" i="19"/>
  <c r="A402" i="19"/>
  <c r="A403" i="19"/>
  <c r="A404" i="19"/>
  <c r="A405" i="19"/>
  <c r="A406" i="19"/>
  <c r="A407" i="19"/>
  <c r="A408" i="19"/>
  <c r="A409" i="19"/>
  <c r="A410" i="19"/>
  <c r="A411" i="19"/>
  <c r="A412" i="19"/>
  <c r="A413" i="19"/>
  <c r="A414" i="19"/>
  <c r="A415" i="19"/>
  <c r="A416" i="19"/>
  <c r="A417" i="19"/>
  <c r="A418" i="19"/>
  <c r="A419" i="19"/>
  <c r="A420" i="19"/>
  <c r="A421" i="19"/>
  <c r="A422" i="19"/>
  <c r="A423" i="19"/>
  <c r="A424" i="19"/>
  <c r="A425" i="19"/>
  <c r="A426" i="19"/>
  <c r="A427" i="19"/>
  <c r="A428" i="19"/>
  <c r="A429" i="19"/>
  <c r="A430" i="19"/>
  <c r="A431" i="19"/>
  <c r="A432" i="19"/>
  <c r="A433" i="19"/>
  <c r="A434" i="19"/>
  <c r="A435" i="19"/>
  <c r="A436" i="19"/>
  <c r="A437" i="19"/>
  <c r="A438" i="19"/>
  <c r="A439" i="19"/>
  <c r="A440" i="19"/>
  <c r="A441" i="19"/>
  <c r="A442" i="19"/>
  <c r="A443" i="19"/>
  <c r="A444" i="19"/>
  <c r="A445" i="19"/>
  <c r="A446" i="19"/>
  <c r="A447" i="19"/>
  <c r="A448" i="19"/>
  <c r="A449" i="19"/>
  <c r="A450" i="19"/>
  <c r="A451" i="19"/>
  <c r="A452" i="19"/>
  <c r="A453" i="19"/>
  <c r="A454" i="19"/>
  <c r="A455" i="19"/>
  <c r="A456" i="19"/>
  <c r="A457" i="19"/>
  <c r="A458" i="19"/>
  <c r="A459" i="19"/>
  <c r="A460" i="19"/>
  <c r="A461" i="19"/>
  <c r="A462" i="19"/>
  <c r="A463" i="19"/>
  <c r="A464" i="19"/>
  <c r="A465" i="19"/>
  <c r="A466" i="19"/>
  <c r="A467" i="19"/>
  <c r="A468" i="19"/>
  <c r="A469" i="19"/>
  <c r="A470" i="19"/>
  <c r="A471" i="19"/>
  <c r="A472" i="19"/>
  <c r="A473" i="19"/>
  <c r="A474" i="19"/>
  <c r="A475" i="19"/>
  <c r="A476" i="19"/>
  <c r="A477" i="19"/>
  <c r="A478" i="19"/>
  <c r="A479" i="19"/>
  <c r="A480" i="19"/>
  <c r="A481" i="19"/>
  <c r="A482" i="19"/>
  <c r="A483" i="19"/>
  <c r="A484" i="19"/>
  <c r="A485" i="19"/>
  <c r="A486" i="19"/>
  <c r="A487" i="19"/>
  <c r="A488" i="19"/>
  <c r="A489" i="19"/>
  <c r="A490" i="19"/>
  <c r="A491" i="19"/>
  <c r="A492" i="19"/>
  <c r="A493" i="19"/>
  <c r="A494" i="19"/>
  <c r="A495" i="19"/>
  <c r="A496" i="19"/>
  <c r="A497" i="19"/>
  <c r="A498" i="19"/>
  <c r="A499" i="19"/>
  <c r="A500" i="19"/>
  <c r="A501" i="19"/>
  <c r="A502" i="19"/>
  <c r="A503" i="19"/>
  <c r="A504" i="19"/>
  <c r="A505" i="19"/>
  <c r="A506" i="19"/>
  <c r="A507" i="19"/>
  <c r="A508" i="19"/>
  <c r="A509" i="19"/>
  <c r="A510" i="19"/>
  <c r="A511" i="19"/>
  <c r="A512" i="19"/>
  <c r="A513" i="19"/>
  <c r="A514" i="19"/>
  <c r="A515" i="19"/>
  <c r="A516" i="19"/>
  <c r="A517" i="19"/>
  <c r="A518" i="19"/>
  <c r="A519" i="19"/>
  <c r="A520" i="19"/>
  <c r="A521" i="19"/>
  <c r="A522" i="19"/>
  <c r="A523" i="19"/>
  <c r="A524" i="19"/>
  <c r="A525" i="19"/>
  <c r="A526" i="19"/>
  <c r="A527" i="19"/>
  <c r="A528" i="19"/>
  <c r="A529" i="19"/>
  <c r="A530" i="19"/>
  <c r="A531" i="19"/>
  <c r="A532" i="19"/>
  <c r="A533" i="19"/>
  <c r="A534" i="19"/>
  <c r="A535" i="19"/>
  <c r="A536" i="19"/>
  <c r="A537" i="19"/>
  <c r="A538" i="19"/>
  <c r="A539" i="19"/>
  <c r="A540" i="19"/>
  <c r="A541" i="19"/>
  <c r="A542" i="19"/>
  <c r="A543" i="19"/>
  <c r="A544" i="19"/>
  <c r="A545" i="19"/>
  <c r="A546" i="19"/>
  <c r="A547" i="19"/>
  <c r="A548" i="19"/>
  <c r="A549" i="19"/>
  <c r="A550" i="19"/>
  <c r="A551" i="19"/>
  <c r="A552" i="19"/>
  <c r="A553" i="19"/>
  <c r="A554" i="19"/>
  <c r="A555" i="19"/>
  <c r="A556" i="19"/>
  <c r="A557" i="19"/>
  <c r="A558" i="19"/>
  <c r="A559" i="19"/>
  <c r="A560" i="19"/>
  <c r="A561" i="19"/>
  <c r="A562" i="19"/>
  <c r="A563" i="19"/>
  <c r="A564" i="19"/>
  <c r="A565" i="19"/>
  <c r="A566" i="19"/>
  <c r="A567" i="19"/>
  <c r="A568" i="19"/>
  <c r="A569" i="19"/>
  <c r="A570" i="19"/>
  <c r="A571" i="19"/>
  <c r="A572" i="19"/>
  <c r="A573" i="19"/>
  <c r="A574" i="19"/>
  <c r="A575" i="19"/>
  <c r="A576" i="19"/>
  <c r="A577" i="19"/>
  <c r="A578" i="19"/>
  <c r="A579" i="19"/>
  <c r="A580" i="19"/>
  <c r="A581" i="19"/>
  <c r="A582" i="19"/>
  <c r="A583" i="19"/>
  <c r="A584" i="19"/>
  <c r="A585" i="19"/>
  <c r="A586" i="19"/>
  <c r="A587" i="19"/>
  <c r="A588" i="19"/>
  <c r="A589" i="19"/>
  <c r="A590" i="19"/>
  <c r="A591" i="19"/>
  <c r="A592" i="19"/>
  <c r="A593" i="19"/>
  <c r="A594" i="19"/>
  <c r="A595" i="19"/>
  <c r="A596" i="19"/>
  <c r="A597" i="19"/>
  <c r="A598" i="19"/>
  <c r="A599" i="19"/>
  <c r="A600" i="19"/>
  <c r="A601" i="19"/>
  <c r="A602" i="19"/>
  <c r="A603" i="19"/>
  <c r="A604" i="19"/>
  <c r="A605" i="19"/>
  <c r="A606" i="19"/>
  <c r="A607" i="19"/>
  <c r="A608" i="19"/>
  <c r="A609" i="19"/>
  <c r="A610" i="19"/>
  <c r="A611" i="19"/>
  <c r="A612" i="19"/>
  <c r="A613" i="19"/>
  <c r="A614" i="19"/>
  <c r="A615" i="19"/>
  <c r="A616" i="19"/>
  <c r="A617" i="19"/>
  <c r="A618" i="19"/>
  <c r="A619" i="19"/>
  <c r="A620" i="19"/>
  <c r="A621" i="19"/>
  <c r="A622" i="19"/>
  <c r="A623" i="19"/>
  <c r="A624" i="19"/>
  <c r="A625" i="19"/>
  <c r="A626" i="19"/>
  <c r="A627" i="19"/>
  <c r="A628" i="19"/>
  <c r="A629" i="19"/>
  <c r="A630" i="19"/>
  <c r="A631" i="19"/>
  <c r="A632" i="19"/>
  <c r="A633" i="19"/>
  <c r="A634" i="19"/>
  <c r="A635" i="19"/>
  <c r="A636" i="19"/>
  <c r="A637" i="19"/>
  <c r="A638" i="19"/>
  <c r="A639" i="19"/>
  <c r="A640" i="19"/>
  <c r="A641" i="19"/>
  <c r="A642" i="19"/>
  <c r="A643" i="19"/>
  <c r="A644" i="19"/>
  <c r="A645" i="19"/>
  <c r="A646" i="19"/>
  <c r="A647" i="19"/>
  <c r="A648" i="19"/>
  <c r="A649" i="19"/>
  <c r="A650" i="19"/>
  <c r="A651" i="19"/>
  <c r="A652" i="19"/>
  <c r="A653" i="19"/>
  <c r="A654" i="19"/>
  <c r="A655" i="19"/>
  <c r="A656" i="19"/>
  <c r="A657" i="19"/>
  <c r="A658" i="19"/>
  <c r="A659" i="19"/>
  <c r="A660" i="19"/>
  <c r="A661" i="19"/>
  <c r="A662" i="19"/>
  <c r="A663" i="19"/>
  <c r="A664" i="19"/>
  <c r="A665" i="19"/>
  <c r="A666" i="19"/>
  <c r="A667" i="19"/>
  <c r="A668" i="19"/>
  <c r="A669" i="19"/>
  <c r="A670" i="19"/>
  <c r="A671" i="19"/>
  <c r="A672" i="19"/>
  <c r="A673" i="19"/>
  <c r="A674" i="19"/>
  <c r="A675" i="19"/>
  <c r="A676" i="19"/>
  <c r="A677" i="19"/>
  <c r="A678" i="19"/>
  <c r="A679" i="19"/>
  <c r="A680" i="19"/>
  <c r="A681" i="19"/>
  <c r="A682" i="19"/>
  <c r="A683" i="19"/>
  <c r="A684" i="19"/>
  <c r="A685" i="19"/>
  <c r="A686" i="19"/>
  <c r="A687" i="19"/>
  <c r="A688" i="19"/>
  <c r="A689" i="19"/>
  <c r="A690" i="19"/>
  <c r="A691" i="19"/>
  <c r="A692" i="19"/>
  <c r="A693" i="19"/>
  <c r="A694" i="19"/>
  <c r="A695" i="19"/>
  <c r="A696" i="19"/>
  <c r="A697" i="19"/>
  <c r="A698" i="19"/>
  <c r="A699" i="19"/>
  <c r="A700" i="19"/>
  <c r="A701" i="19"/>
  <c r="A702" i="19"/>
  <c r="A703" i="19"/>
  <c r="A704" i="19"/>
  <c r="A705" i="19"/>
  <c r="A706" i="19"/>
  <c r="A707" i="19"/>
  <c r="A708" i="19"/>
  <c r="A709" i="19"/>
  <c r="A710" i="19"/>
  <c r="A711" i="19"/>
  <c r="A712" i="19"/>
  <c r="A713" i="19"/>
  <c r="A714" i="19"/>
  <c r="A715" i="19"/>
  <c r="A716" i="19"/>
  <c r="A717" i="19"/>
  <c r="A718" i="19"/>
  <c r="A719" i="19"/>
  <c r="A720" i="19"/>
  <c r="A721" i="19"/>
  <c r="A722" i="19"/>
  <c r="A723" i="19"/>
  <c r="A724" i="19"/>
  <c r="A725" i="19"/>
  <c r="A726" i="19"/>
  <c r="A727" i="19"/>
  <c r="A728" i="19"/>
  <c r="A729" i="19"/>
  <c r="A730" i="19"/>
  <c r="A731" i="19"/>
  <c r="A732" i="19"/>
  <c r="A733" i="19"/>
  <c r="A734" i="19"/>
  <c r="A735" i="19"/>
  <c r="A736" i="19"/>
  <c r="A737" i="19"/>
  <c r="A738" i="19"/>
  <c r="A739" i="19"/>
  <c r="A740" i="19"/>
  <c r="A741" i="19"/>
  <c r="A742" i="19"/>
  <c r="A743" i="19"/>
  <c r="A744" i="19"/>
  <c r="A745" i="19"/>
  <c r="A746" i="19"/>
  <c r="A747" i="19"/>
  <c r="A748" i="19"/>
  <c r="A749" i="19"/>
  <c r="A750" i="19"/>
  <c r="A751" i="19"/>
  <c r="A752" i="19"/>
  <c r="A753" i="19"/>
  <c r="A754" i="19"/>
  <c r="A755" i="19"/>
  <c r="A756" i="19"/>
  <c r="A757" i="19"/>
  <c r="A758" i="19"/>
  <c r="A759" i="19"/>
  <c r="A760" i="19"/>
  <c r="A761" i="19"/>
  <c r="A762" i="19"/>
  <c r="A763" i="19"/>
  <c r="A764" i="19"/>
  <c r="A765" i="19"/>
  <c r="A766" i="19"/>
  <c r="A767" i="19"/>
  <c r="A768" i="19"/>
  <c r="A769" i="19"/>
  <c r="A770" i="19"/>
  <c r="A771" i="19"/>
  <c r="A772" i="19"/>
  <c r="A773" i="19"/>
  <c r="A774" i="19"/>
  <c r="A775" i="19"/>
  <c r="A776" i="19"/>
  <c r="A777" i="19"/>
  <c r="A778" i="19"/>
  <c r="A779" i="19"/>
  <c r="A780" i="19"/>
  <c r="A781" i="19"/>
  <c r="A782" i="19"/>
  <c r="A783" i="19"/>
  <c r="A784" i="19"/>
  <c r="A785" i="19"/>
  <c r="A786" i="19"/>
  <c r="A787" i="19"/>
  <c r="A788" i="19"/>
  <c r="A789" i="19"/>
  <c r="A790" i="19"/>
  <c r="A791" i="19"/>
  <c r="A792" i="19"/>
  <c r="A793" i="19"/>
  <c r="A794" i="19"/>
  <c r="A795" i="19"/>
  <c r="A796" i="19"/>
  <c r="A797" i="19"/>
  <c r="A798" i="19"/>
  <c r="A799" i="19"/>
  <c r="A800" i="19"/>
  <c r="A801" i="19"/>
  <c r="A802" i="19"/>
  <c r="A803" i="19"/>
  <c r="A804" i="19"/>
  <c r="A805" i="19"/>
  <c r="A806" i="19"/>
  <c r="A807" i="19"/>
  <c r="A808" i="19"/>
  <c r="A809" i="19"/>
  <c r="A810" i="19"/>
  <c r="A811" i="19"/>
  <c r="A812" i="19"/>
  <c r="A813" i="19"/>
  <c r="A814" i="19"/>
  <c r="A815" i="19"/>
  <c r="A816" i="19"/>
  <c r="A817" i="19"/>
  <c r="A818" i="19"/>
  <c r="A819" i="19"/>
  <c r="A820" i="19"/>
  <c r="A821" i="19"/>
  <c r="A822" i="19"/>
  <c r="A823" i="19"/>
  <c r="A824" i="19"/>
  <c r="A825" i="19"/>
  <c r="A826" i="19"/>
  <c r="A827" i="19"/>
  <c r="A828" i="19"/>
  <c r="A829" i="19"/>
  <c r="A830" i="19"/>
  <c r="A831" i="19"/>
  <c r="A832" i="19"/>
  <c r="A833" i="19"/>
  <c r="A834" i="19"/>
  <c r="A835" i="19"/>
  <c r="A836" i="19"/>
  <c r="A837" i="19"/>
  <c r="A838" i="19"/>
  <c r="A839" i="19"/>
  <c r="A840" i="19"/>
  <c r="A841" i="19"/>
  <c r="A842" i="19"/>
  <c r="A843" i="19"/>
  <c r="A844" i="19"/>
  <c r="A845" i="19"/>
  <c r="A846" i="19"/>
  <c r="A847" i="19"/>
  <c r="A848" i="19"/>
  <c r="A849" i="19"/>
  <c r="A850" i="19"/>
  <c r="A851" i="19"/>
  <c r="A852" i="19"/>
  <c r="A853" i="19"/>
  <c r="A854" i="19"/>
  <c r="A855" i="19"/>
  <c r="A856" i="19"/>
  <c r="A857" i="19"/>
  <c r="A858" i="19"/>
  <c r="A859" i="19"/>
  <c r="A860" i="19"/>
  <c r="A861" i="19"/>
  <c r="A862" i="19"/>
  <c r="A863" i="19"/>
  <c r="A864" i="19"/>
  <c r="A865" i="19"/>
  <c r="A866" i="19"/>
  <c r="A867" i="19"/>
  <c r="A868" i="19"/>
  <c r="A869" i="19"/>
  <c r="A870" i="19"/>
  <c r="A871" i="19"/>
  <c r="A872" i="19"/>
  <c r="A873" i="19"/>
  <c r="A874" i="19"/>
  <c r="A875" i="19"/>
  <c r="A876" i="19"/>
  <c r="A877" i="19"/>
  <c r="A878" i="19"/>
  <c r="A879" i="19"/>
  <c r="A880" i="19"/>
  <c r="A881" i="19"/>
  <c r="A882" i="19"/>
  <c r="A883" i="19"/>
  <c r="A884" i="19"/>
  <c r="A885" i="19"/>
  <c r="A886" i="19"/>
  <c r="A887" i="19"/>
  <c r="A888" i="19"/>
  <c r="A889" i="19"/>
  <c r="A890" i="19"/>
  <c r="A891" i="19"/>
  <c r="A892" i="19"/>
  <c r="A893" i="19"/>
  <c r="A894" i="19"/>
  <c r="A895" i="19"/>
  <c r="A896" i="19"/>
  <c r="A897" i="19"/>
  <c r="A898" i="19"/>
  <c r="A899" i="19"/>
  <c r="A900" i="19"/>
  <c r="A901" i="19"/>
  <c r="A902" i="19"/>
  <c r="A903" i="19"/>
  <c r="A904" i="19"/>
  <c r="A905" i="19"/>
  <c r="A906" i="19"/>
  <c r="A907" i="19"/>
  <c r="A908" i="19"/>
  <c r="A909" i="19"/>
  <c r="A910" i="19"/>
  <c r="A911" i="19"/>
  <c r="A912" i="19"/>
  <c r="A913" i="19"/>
  <c r="A914" i="19"/>
  <c r="A915" i="19"/>
  <c r="A916" i="19"/>
  <c r="A917" i="19"/>
  <c r="A918" i="19"/>
  <c r="A919" i="19"/>
  <c r="A920" i="19"/>
  <c r="A921" i="19"/>
  <c r="A922" i="19"/>
  <c r="A923" i="19"/>
  <c r="A924" i="19"/>
  <c r="A925" i="19"/>
  <c r="A926" i="19"/>
  <c r="A927" i="19"/>
  <c r="A928" i="19"/>
  <c r="A929" i="19"/>
  <c r="A930" i="19"/>
  <c r="A931" i="19"/>
  <c r="A932" i="19"/>
  <c r="A933" i="19"/>
  <c r="A934" i="19"/>
  <c r="A935" i="19"/>
  <c r="A936" i="19"/>
  <c r="A937" i="19"/>
  <c r="A938" i="19"/>
  <c r="A939" i="19"/>
  <c r="A940" i="19"/>
  <c r="A941" i="19"/>
  <c r="A942" i="19"/>
  <c r="A943" i="19"/>
  <c r="A944" i="19"/>
  <c r="A945" i="19"/>
  <c r="A946" i="19"/>
  <c r="A947" i="19"/>
  <c r="A948" i="19"/>
  <c r="A949" i="19"/>
  <c r="A950" i="19"/>
  <c r="A951" i="19"/>
  <c r="A952" i="19"/>
  <c r="A953" i="19"/>
  <c r="A954" i="19"/>
  <c r="A955" i="19"/>
  <c r="A956" i="19"/>
  <c r="A957" i="19"/>
  <c r="A958" i="19"/>
  <c r="A959" i="19"/>
  <c r="A960" i="19"/>
  <c r="A961" i="19"/>
  <c r="A962" i="19"/>
  <c r="A963" i="19"/>
  <c r="A964" i="19"/>
  <c r="A965" i="19"/>
  <c r="A966" i="19"/>
  <c r="A967" i="19"/>
  <c r="A968" i="19"/>
  <c r="A969" i="19"/>
  <c r="A970" i="19"/>
  <c r="A971" i="19"/>
  <c r="A972" i="19"/>
  <c r="A973" i="19"/>
  <c r="A974" i="19"/>
  <c r="A975" i="19"/>
  <c r="A976" i="19"/>
  <c r="A977" i="19"/>
  <c r="A978" i="19"/>
  <c r="A979" i="19"/>
  <c r="A980" i="19"/>
  <c r="A981" i="19"/>
  <c r="A982" i="19"/>
  <c r="A983" i="19"/>
  <c r="A984" i="19"/>
  <c r="A985" i="19"/>
  <c r="A986" i="19"/>
  <c r="A987" i="19"/>
  <c r="A988" i="19"/>
  <c r="A989" i="19"/>
  <c r="A990" i="19"/>
  <c r="A991" i="19"/>
  <c r="A992" i="19"/>
  <c r="A993" i="19"/>
  <c r="A994" i="19"/>
  <c r="A995" i="19"/>
  <c r="A996" i="19"/>
  <c r="A997" i="19"/>
  <c r="A998" i="19"/>
  <c r="A999" i="19"/>
  <c r="A1000" i="19"/>
  <c r="A1001" i="19"/>
  <c r="A1002" i="19"/>
  <c r="A1003" i="19"/>
  <c r="A1004" i="19"/>
  <c r="A1005" i="19"/>
  <c r="A1006" i="19"/>
  <c r="A1007" i="19"/>
  <c r="A1008" i="19"/>
  <c r="A1009" i="19"/>
  <c r="A1010" i="19"/>
  <c r="A1011" i="19"/>
  <c r="A1012" i="19"/>
  <c r="A1013" i="19"/>
  <c r="A1014" i="19"/>
  <c r="A1015" i="19"/>
  <c r="A1016" i="19"/>
  <c r="A1017" i="19"/>
  <c r="A1018" i="19"/>
  <c r="A1019" i="19"/>
  <c r="A1020" i="19"/>
  <c r="A1021" i="19"/>
  <c r="A1022" i="19"/>
  <c r="A1023" i="19"/>
  <c r="A1024" i="19"/>
  <c r="A1025" i="19"/>
  <c r="A1026" i="19"/>
  <c r="A1027" i="19"/>
  <c r="A1028" i="19"/>
  <c r="A1029" i="19"/>
  <c r="A1030" i="19"/>
  <c r="A1031" i="19"/>
  <c r="A1032" i="19"/>
  <c r="A1033" i="19"/>
  <c r="A1034" i="19"/>
  <c r="A1035" i="19"/>
  <c r="A1036" i="19"/>
  <c r="A1037" i="19"/>
  <c r="A1038" i="19"/>
  <c r="A1039" i="19"/>
  <c r="A1040" i="19"/>
  <c r="A1041" i="19"/>
  <c r="A1042" i="19"/>
  <c r="A1043" i="19"/>
  <c r="A1044" i="19"/>
  <c r="A1045" i="19"/>
  <c r="A1046" i="19"/>
  <c r="A1047" i="19"/>
  <c r="A1048" i="19"/>
  <c r="A1049" i="19"/>
  <c r="A1050" i="19"/>
  <c r="A1051" i="19"/>
  <c r="A1052" i="19"/>
  <c r="A1053" i="19"/>
  <c r="A1054" i="19"/>
  <c r="A1055" i="19"/>
  <c r="A1056" i="19"/>
  <c r="A1057" i="19"/>
  <c r="A1058" i="19"/>
  <c r="A1059" i="19"/>
  <c r="A1060" i="19"/>
  <c r="A1061" i="19"/>
  <c r="A1062" i="19"/>
  <c r="A1063" i="19"/>
  <c r="A1064" i="19"/>
  <c r="A1065" i="19"/>
  <c r="A1066" i="19"/>
  <c r="A1067" i="19"/>
  <c r="A1068" i="19"/>
  <c r="A1069" i="19"/>
  <c r="A1070" i="19"/>
  <c r="A1071" i="19"/>
  <c r="A1072" i="19"/>
  <c r="A1073" i="19"/>
  <c r="A1074" i="19"/>
  <c r="A1075" i="19"/>
  <c r="A1076" i="19"/>
  <c r="A1077" i="19"/>
  <c r="A1078" i="19"/>
  <c r="A1079" i="19"/>
  <c r="A1080" i="19"/>
  <c r="A1081" i="19"/>
  <c r="A1082" i="19"/>
  <c r="A1083" i="19"/>
  <c r="A1084" i="19"/>
  <c r="A1085" i="19"/>
  <c r="A1086" i="19"/>
  <c r="A1087" i="19"/>
  <c r="A1088" i="19"/>
  <c r="A1089" i="19"/>
  <c r="A1090" i="19"/>
  <c r="A1091" i="19"/>
  <c r="A1092" i="19"/>
  <c r="A1093" i="19"/>
  <c r="A1094" i="19"/>
  <c r="A1095" i="19"/>
  <c r="A1096" i="19"/>
  <c r="A1097" i="19"/>
  <c r="A1098" i="19"/>
  <c r="A1099" i="19"/>
  <c r="A1100" i="19"/>
  <c r="A1101" i="19"/>
  <c r="A1102" i="19"/>
  <c r="A1103" i="19"/>
  <c r="A1104" i="19"/>
  <c r="A1105" i="19"/>
  <c r="A1106" i="19"/>
  <c r="A1107" i="19"/>
  <c r="A1108" i="19"/>
  <c r="A1109" i="19"/>
  <c r="A1110" i="19"/>
  <c r="A1111" i="19"/>
  <c r="A1112" i="19"/>
  <c r="A1113" i="19"/>
  <c r="A1114" i="19"/>
  <c r="A1115" i="19"/>
  <c r="A1116" i="19"/>
  <c r="A1117" i="19"/>
  <c r="A1118" i="19"/>
  <c r="A1119" i="19"/>
  <c r="A1120" i="19"/>
  <c r="A1121" i="19"/>
  <c r="A1122" i="19"/>
  <c r="A1123" i="19"/>
  <c r="A1124" i="19"/>
  <c r="A1125" i="19"/>
  <c r="A1126" i="19"/>
  <c r="A1127" i="19"/>
  <c r="A1128" i="19"/>
  <c r="A1129" i="19"/>
  <c r="A1130" i="19"/>
  <c r="A1131" i="19"/>
  <c r="A1132" i="19"/>
  <c r="A1133" i="19"/>
  <c r="A1134" i="19"/>
  <c r="A1135" i="19"/>
  <c r="A1136" i="19"/>
  <c r="A1137" i="19"/>
  <c r="A1138" i="19"/>
  <c r="A1139" i="19"/>
  <c r="A1140" i="19"/>
  <c r="A1141" i="19"/>
  <c r="A1142" i="19"/>
  <c r="A1143" i="19"/>
  <c r="A1144" i="19"/>
  <c r="A1145" i="19"/>
  <c r="A1146" i="19"/>
  <c r="A1147" i="19"/>
  <c r="A1148" i="19"/>
  <c r="A1149" i="19"/>
  <c r="A1150" i="19"/>
  <c r="A1151" i="19"/>
  <c r="A1152" i="19"/>
  <c r="A1153" i="19"/>
  <c r="A1154" i="19"/>
  <c r="A1155" i="19"/>
  <c r="A1156" i="19"/>
  <c r="A1157" i="19"/>
  <c r="A1158" i="19"/>
  <c r="A1159" i="19"/>
  <c r="A1160" i="19"/>
  <c r="A1161" i="19"/>
  <c r="A1162" i="19"/>
  <c r="A1163" i="19"/>
  <c r="A1164" i="19"/>
  <c r="A1165" i="19"/>
  <c r="A1166" i="19"/>
  <c r="A1167" i="19"/>
  <c r="A1168" i="19"/>
  <c r="A1169" i="19"/>
  <c r="A1170" i="19"/>
  <c r="A1171" i="19"/>
  <c r="A1172" i="19"/>
  <c r="A1173" i="19"/>
  <c r="A1174" i="19"/>
  <c r="A1175" i="19"/>
  <c r="A1176" i="19"/>
  <c r="A1177" i="19"/>
  <c r="A1178" i="19"/>
  <c r="A1179" i="19"/>
  <c r="A1180" i="19"/>
  <c r="A1181" i="19"/>
  <c r="A1182" i="19"/>
  <c r="A1183" i="19"/>
  <c r="A1184" i="19"/>
  <c r="A1185" i="19"/>
  <c r="A1186" i="19"/>
  <c r="A1187" i="19"/>
  <c r="A1188" i="19"/>
  <c r="A1189" i="19"/>
  <c r="A1190" i="19"/>
  <c r="A1191" i="19"/>
  <c r="A1192" i="19"/>
  <c r="A1193" i="19"/>
  <c r="A1194" i="19"/>
  <c r="A1195" i="19"/>
  <c r="A1196" i="19"/>
  <c r="A1197" i="19"/>
  <c r="A1198" i="19"/>
  <c r="A1199" i="19"/>
  <c r="A1200" i="19"/>
  <c r="A1201" i="19"/>
  <c r="A1202" i="19"/>
  <c r="A1203" i="19"/>
  <c r="A1204" i="19"/>
  <c r="A1205" i="19"/>
  <c r="A1206" i="19"/>
  <c r="A1207" i="19"/>
  <c r="A1208" i="19"/>
  <c r="A1209" i="19"/>
  <c r="A1210" i="19"/>
  <c r="A1211" i="19"/>
  <c r="A1212" i="19"/>
  <c r="A1213" i="19"/>
  <c r="A1214" i="19"/>
  <c r="A1215" i="19"/>
  <c r="A1216" i="19"/>
  <c r="A1217" i="19"/>
  <c r="A1218" i="19"/>
  <c r="A1219" i="19"/>
  <c r="A1220" i="19"/>
  <c r="A1221" i="19"/>
  <c r="A1222" i="19"/>
  <c r="A1223" i="19"/>
  <c r="A1224" i="19"/>
  <c r="A1225" i="19"/>
  <c r="A1226" i="19"/>
  <c r="A1227" i="19"/>
  <c r="A1228" i="19"/>
  <c r="A1229" i="19"/>
  <c r="A1230" i="19"/>
  <c r="A1231" i="19"/>
  <c r="A1232" i="19"/>
  <c r="A1233" i="19"/>
  <c r="A1234" i="19"/>
  <c r="A1235" i="19"/>
  <c r="A1236" i="19"/>
  <c r="A1237" i="19"/>
  <c r="A1238" i="19"/>
  <c r="A1239" i="19"/>
  <c r="A1240" i="19"/>
  <c r="A1241" i="19"/>
  <c r="A1242" i="19"/>
  <c r="A1243" i="19"/>
  <c r="A1244" i="19"/>
  <c r="A1245" i="19"/>
  <c r="A1246" i="19"/>
  <c r="A1247" i="19"/>
  <c r="A1248" i="19"/>
  <c r="A1249" i="19"/>
  <c r="A1250" i="19"/>
  <c r="A1251" i="19"/>
  <c r="A1252" i="19"/>
  <c r="A1253" i="19"/>
  <c r="A1254" i="19"/>
  <c r="A1255" i="19"/>
  <c r="A1256" i="19"/>
  <c r="A1257" i="19"/>
  <c r="A1258" i="19"/>
  <c r="A1259" i="19"/>
  <c r="A1260" i="19"/>
  <c r="A1261" i="19"/>
  <c r="A1262" i="19"/>
  <c r="A1263" i="19"/>
  <c r="A1264" i="19"/>
  <c r="A1265" i="19"/>
  <c r="A1266" i="19"/>
  <c r="A1267" i="19"/>
  <c r="A1268" i="19"/>
  <c r="A1269" i="19"/>
  <c r="A1270" i="19"/>
  <c r="A1271" i="19"/>
  <c r="A1272" i="19"/>
  <c r="A1273" i="19"/>
  <c r="A1274" i="19"/>
  <c r="A1275" i="19"/>
  <c r="A1276" i="19"/>
  <c r="A1277" i="19"/>
  <c r="A1278" i="19"/>
  <c r="A1279" i="19"/>
  <c r="A1280" i="19"/>
  <c r="A1281" i="19"/>
  <c r="A1282" i="19"/>
  <c r="A1283" i="19"/>
  <c r="A1284" i="19"/>
  <c r="A1285" i="19"/>
  <c r="A1286" i="19"/>
  <c r="A1287" i="19"/>
  <c r="A1288" i="19"/>
  <c r="A1289" i="19"/>
  <c r="A1290" i="19"/>
  <c r="A1291" i="19"/>
  <c r="A1292" i="19"/>
  <c r="A1293" i="19"/>
  <c r="A1294" i="19"/>
  <c r="A1295" i="19"/>
  <c r="A1296" i="19"/>
  <c r="A1297" i="19"/>
  <c r="A1298" i="19"/>
  <c r="A1299" i="19"/>
  <c r="A1300" i="19"/>
  <c r="A1301" i="19"/>
  <c r="A1302" i="19"/>
  <c r="A1303" i="19"/>
  <c r="A1304" i="19"/>
  <c r="A1305" i="19"/>
  <c r="A1306" i="19"/>
  <c r="A1307" i="19"/>
  <c r="A1308" i="19"/>
  <c r="A1309" i="19"/>
  <c r="A1310" i="19"/>
  <c r="A1311" i="19"/>
  <c r="A1312" i="19"/>
  <c r="A1313" i="19"/>
  <c r="A1314" i="19"/>
  <c r="A1315" i="19"/>
  <c r="A1316" i="19"/>
  <c r="A1317" i="19"/>
  <c r="A1318" i="19"/>
  <c r="A1319" i="19"/>
  <c r="A1320" i="19"/>
  <c r="A1321" i="19"/>
  <c r="A1322" i="19"/>
  <c r="A1323" i="19"/>
  <c r="A1324" i="19"/>
  <c r="A1325" i="19"/>
  <c r="A1326" i="19"/>
  <c r="A1327" i="19"/>
  <c r="A1328" i="19"/>
  <c r="A1329" i="19"/>
  <c r="A1330" i="19"/>
  <c r="A1331" i="19"/>
  <c r="A1332" i="19"/>
  <c r="A1333" i="19"/>
  <c r="A1334" i="19"/>
  <c r="A1335" i="19"/>
  <c r="A1336" i="19"/>
  <c r="A1337" i="19"/>
  <c r="A1338" i="19"/>
  <c r="A1339" i="19"/>
  <c r="A1340" i="19"/>
  <c r="A1341" i="19"/>
  <c r="A1342" i="19"/>
  <c r="A1343" i="19"/>
  <c r="A1344" i="19"/>
  <c r="A1345" i="19"/>
  <c r="A1346" i="19"/>
  <c r="A1347" i="19"/>
  <c r="A1348" i="19"/>
  <c r="A1349" i="19"/>
  <c r="A1350" i="19"/>
  <c r="A1351" i="19"/>
  <c r="A1352" i="19"/>
  <c r="A1353" i="19"/>
  <c r="A1354" i="19"/>
  <c r="A1355" i="19"/>
  <c r="A1356" i="19"/>
  <c r="A1357" i="19"/>
  <c r="A1358" i="19"/>
  <c r="A1359" i="19"/>
  <c r="A1360" i="19"/>
  <c r="A1361" i="19"/>
  <c r="A1362" i="19"/>
  <c r="A1363" i="19"/>
  <c r="A1364" i="19"/>
  <c r="A1365" i="19"/>
  <c r="A1366" i="19"/>
  <c r="A1367" i="19"/>
  <c r="A1368" i="19"/>
  <c r="A1369" i="19"/>
  <c r="A1370" i="19"/>
  <c r="A1371" i="19"/>
  <c r="A1372" i="19"/>
  <c r="A1373" i="19"/>
  <c r="A1374" i="19"/>
  <c r="A1375" i="19"/>
  <c r="A1376" i="19"/>
  <c r="A1377" i="19"/>
  <c r="A1378" i="19"/>
  <c r="A1379" i="19"/>
  <c r="A1380" i="19"/>
  <c r="A1381" i="19"/>
  <c r="A1382" i="19"/>
  <c r="A1383" i="19"/>
  <c r="A1384" i="19"/>
  <c r="A1385" i="19"/>
  <c r="A1386" i="19"/>
  <c r="A1387" i="19"/>
  <c r="A1388" i="19"/>
  <c r="A1389" i="19"/>
  <c r="A1390" i="19"/>
  <c r="A1391" i="19"/>
  <c r="A1392" i="19"/>
  <c r="A1393" i="19"/>
  <c r="A1394" i="19"/>
  <c r="A1395" i="19"/>
  <c r="A1396" i="19"/>
  <c r="A1397" i="19"/>
  <c r="A1398" i="19"/>
  <c r="A1399" i="19"/>
  <c r="A1400" i="19"/>
  <c r="A1401" i="19"/>
  <c r="A1402" i="19"/>
  <c r="A1403" i="19"/>
  <c r="A1404" i="19"/>
  <c r="A1405" i="19"/>
  <c r="A1406" i="19"/>
  <c r="A1407" i="19"/>
  <c r="A1408" i="19"/>
  <c r="A1409" i="19"/>
  <c r="A1410" i="19"/>
  <c r="A1411" i="19"/>
  <c r="A1412" i="19"/>
  <c r="A1413" i="19"/>
  <c r="A1414" i="19"/>
  <c r="A1415" i="19"/>
  <c r="A1416" i="19"/>
  <c r="A1417" i="19"/>
  <c r="A1418" i="19"/>
  <c r="A1419" i="19"/>
  <c r="A1420" i="19"/>
  <c r="A1421" i="19"/>
  <c r="A1422" i="19"/>
  <c r="A1423" i="19"/>
  <c r="A1424" i="19"/>
  <c r="A1425" i="19"/>
  <c r="A1426" i="19"/>
  <c r="A1427" i="19"/>
  <c r="A1428" i="19"/>
  <c r="A1429" i="19"/>
  <c r="A1430" i="19"/>
  <c r="A1431" i="19"/>
  <c r="A1432" i="19"/>
  <c r="A1433" i="19"/>
  <c r="A1434" i="19"/>
  <c r="A1435" i="19"/>
  <c r="A1436" i="19"/>
  <c r="A1437" i="19"/>
  <c r="A1438" i="19"/>
  <c r="A1439" i="19"/>
  <c r="A1440" i="19"/>
  <c r="A1441" i="19"/>
  <c r="A1442" i="19"/>
  <c r="A1443" i="19"/>
  <c r="A1444" i="19"/>
  <c r="A1445" i="19"/>
  <c r="A1446" i="19"/>
  <c r="A1447" i="19"/>
  <c r="A1448" i="19"/>
  <c r="A1449" i="19"/>
  <c r="A1450" i="19"/>
  <c r="A1451" i="19"/>
  <c r="A1452" i="19"/>
  <c r="A1453" i="19"/>
  <c r="A1454" i="19"/>
  <c r="A1455" i="19"/>
  <c r="A1456" i="19"/>
  <c r="A1457" i="19"/>
  <c r="A1458" i="19"/>
  <c r="A1459" i="19"/>
  <c r="A1460" i="19"/>
  <c r="A1461" i="19"/>
  <c r="A1462" i="19"/>
  <c r="A1463" i="19"/>
  <c r="A1464" i="19"/>
  <c r="A1465" i="19"/>
  <c r="A1466" i="19"/>
  <c r="A1467" i="19"/>
  <c r="A1468" i="19"/>
  <c r="A1469" i="19"/>
  <c r="A1470" i="19"/>
  <c r="A1471" i="19"/>
  <c r="A1472" i="19"/>
  <c r="A1473" i="19"/>
  <c r="A1474" i="19"/>
  <c r="A1475" i="19"/>
  <c r="A1476" i="19"/>
  <c r="A1477" i="19"/>
  <c r="A1478" i="19"/>
  <c r="A1479" i="19"/>
  <c r="A1480" i="19"/>
  <c r="A1481" i="19"/>
  <c r="A1482" i="19"/>
  <c r="A1483" i="19"/>
  <c r="A1484" i="19"/>
  <c r="A1485" i="19"/>
  <c r="A1486" i="19"/>
  <c r="A1487" i="19"/>
  <c r="A1488" i="19"/>
  <c r="A1489" i="19"/>
  <c r="A1490" i="19"/>
  <c r="A1491" i="19"/>
  <c r="A1492" i="19"/>
  <c r="A1493" i="19"/>
  <c r="A1494" i="19"/>
  <c r="A1495" i="19"/>
  <c r="A1496" i="19"/>
  <c r="A1497" i="19"/>
  <c r="A1498" i="19"/>
  <c r="A1499" i="19"/>
  <c r="A1500" i="19"/>
  <c r="A1501" i="19"/>
  <c r="A1502" i="19"/>
  <c r="A1503" i="19"/>
  <c r="A1504" i="19"/>
  <c r="A1505" i="19"/>
  <c r="A1506" i="19"/>
  <c r="A1507" i="19"/>
  <c r="A1508" i="19"/>
  <c r="A1509" i="19"/>
  <c r="A1510" i="19"/>
  <c r="A1511" i="19"/>
  <c r="A1512" i="19"/>
  <c r="A1513" i="19"/>
  <c r="A1514" i="19"/>
  <c r="A1515" i="19"/>
  <c r="A1516" i="19"/>
  <c r="A1517" i="19"/>
  <c r="A1518" i="19"/>
  <c r="A1519" i="19"/>
  <c r="A1520" i="19"/>
  <c r="A1521" i="19"/>
  <c r="A1522" i="19"/>
  <c r="A1523" i="19"/>
  <c r="A1524" i="19"/>
  <c r="A1525" i="19"/>
  <c r="A1526" i="19"/>
  <c r="A1527" i="19"/>
  <c r="A1528" i="19"/>
  <c r="A1529" i="19"/>
  <c r="A1530" i="19"/>
  <c r="A1531" i="19"/>
  <c r="A1532" i="19"/>
  <c r="A1533" i="19"/>
  <c r="A1534" i="19"/>
  <c r="A1535" i="19"/>
  <c r="A1536" i="19"/>
  <c r="A1537" i="19"/>
  <c r="A1538" i="19"/>
  <c r="A1539" i="19"/>
  <c r="A1540" i="19"/>
  <c r="A1541" i="19"/>
  <c r="A1542" i="19"/>
  <c r="A1543" i="19"/>
  <c r="A1544" i="19"/>
  <c r="A1545" i="19"/>
  <c r="A1546" i="19"/>
  <c r="A1547" i="19"/>
  <c r="A1548" i="19"/>
  <c r="A1549" i="19"/>
  <c r="A1550" i="19"/>
  <c r="A1551" i="19"/>
  <c r="A1552" i="19"/>
  <c r="A1553" i="19"/>
  <c r="A1554" i="19"/>
  <c r="A1555" i="19"/>
  <c r="A1556" i="19"/>
  <c r="A1557" i="19"/>
  <c r="A1558" i="19"/>
  <c r="A1559" i="19"/>
  <c r="A1560" i="19"/>
  <c r="A1561" i="19"/>
  <c r="A1562" i="19"/>
  <c r="A1563" i="19"/>
  <c r="A1564" i="19"/>
  <c r="A1565" i="19"/>
  <c r="A1566" i="19"/>
  <c r="A1567" i="19"/>
  <c r="A1568" i="19"/>
  <c r="A1569" i="19"/>
  <c r="A1570" i="19"/>
  <c r="A1571" i="19"/>
  <c r="A1572" i="19"/>
  <c r="A1573" i="19"/>
  <c r="A1574" i="19"/>
  <c r="A1575" i="19"/>
  <c r="A1576" i="19"/>
  <c r="A1577" i="19"/>
  <c r="A1578" i="19"/>
  <c r="A1579" i="19"/>
  <c r="A1580" i="19"/>
  <c r="A1581" i="19"/>
  <c r="A1582" i="19"/>
  <c r="A1583" i="19"/>
  <c r="A1584" i="19"/>
  <c r="A1585" i="19"/>
  <c r="A1586" i="19"/>
  <c r="A1587" i="19"/>
  <c r="A1588" i="19"/>
  <c r="A1589" i="19"/>
  <c r="A1590" i="19"/>
  <c r="A1591" i="19"/>
  <c r="A1592" i="19"/>
  <c r="A1593" i="19"/>
  <c r="A1594" i="19"/>
  <c r="A1595" i="19"/>
  <c r="A1596" i="19"/>
  <c r="A1597" i="19"/>
  <c r="A1598" i="19"/>
  <c r="A1599" i="19"/>
  <c r="A1600" i="19"/>
  <c r="A1601" i="19"/>
  <c r="A1602" i="19"/>
  <c r="A1603" i="19"/>
  <c r="A1604" i="19"/>
  <c r="A1605" i="19"/>
  <c r="A1606" i="19"/>
  <c r="A1607" i="19"/>
  <c r="A1608" i="19"/>
  <c r="A1609" i="19"/>
  <c r="A1610" i="19"/>
  <c r="A1611" i="19"/>
  <c r="A1612" i="19"/>
  <c r="A1613" i="19"/>
  <c r="A1614" i="19"/>
  <c r="A1615" i="19"/>
  <c r="A1616" i="19"/>
  <c r="A1617" i="19"/>
  <c r="A1618" i="19"/>
  <c r="A1619" i="19"/>
  <c r="A1620" i="19"/>
  <c r="A1621" i="19"/>
  <c r="A1622" i="19"/>
  <c r="A1623" i="19"/>
  <c r="A1624" i="19"/>
  <c r="A1625" i="19"/>
  <c r="A1626" i="19"/>
  <c r="A1627" i="19"/>
  <c r="A1628" i="19"/>
  <c r="A1629" i="19"/>
  <c r="A1630" i="19"/>
  <c r="A1631" i="19"/>
  <c r="A1632" i="19"/>
  <c r="A1633" i="19"/>
  <c r="A1634" i="19"/>
  <c r="A1635" i="19"/>
  <c r="A1636" i="19"/>
  <c r="A1637" i="19"/>
  <c r="A1638" i="19"/>
  <c r="A1639" i="19"/>
  <c r="A1640" i="19"/>
  <c r="A1641" i="19"/>
  <c r="A1642" i="19"/>
  <c r="A1643" i="19"/>
  <c r="A1644" i="19"/>
  <c r="A1645" i="19"/>
  <c r="A1646" i="19"/>
  <c r="A1647" i="19"/>
  <c r="A1648" i="19"/>
  <c r="A1649" i="19"/>
  <c r="A1650" i="19"/>
  <c r="A1651" i="19"/>
  <c r="A1652" i="19"/>
  <c r="A1653" i="19"/>
  <c r="A1654" i="19"/>
  <c r="A1655" i="19"/>
  <c r="A1656" i="19"/>
  <c r="A1657" i="19"/>
  <c r="A1658" i="19"/>
  <c r="A1659" i="19"/>
  <c r="A1660" i="19"/>
  <c r="A1661" i="19"/>
  <c r="A1662" i="19"/>
  <c r="A1663" i="19"/>
  <c r="A1664" i="19"/>
  <c r="A1665" i="19"/>
  <c r="A1666" i="19"/>
  <c r="A1667" i="19"/>
  <c r="A1668" i="19"/>
  <c r="A1669" i="19"/>
  <c r="A1670" i="19"/>
  <c r="A1671" i="19"/>
  <c r="A1672" i="19"/>
  <c r="A1673" i="19"/>
  <c r="A1674" i="19"/>
  <c r="A1675" i="19"/>
  <c r="A1676" i="19"/>
  <c r="A1677" i="19"/>
  <c r="A1678" i="19"/>
  <c r="A1679" i="19"/>
  <c r="A1680" i="19"/>
  <c r="A1681" i="19"/>
  <c r="A1682" i="19"/>
  <c r="A1683" i="19"/>
  <c r="A1684" i="19"/>
  <c r="A1685" i="19"/>
  <c r="A1686" i="19"/>
  <c r="A1687" i="19"/>
  <c r="A1688" i="19"/>
  <c r="A1689" i="19"/>
  <c r="A1690" i="19"/>
  <c r="A1691" i="19"/>
  <c r="A1692" i="19"/>
  <c r="A1693" i="19"/>
  <c r="A1694" i="19"/>
  <c r="A1695" i="19"/>
  <c r="A1696" i="19"/>
  <c r="A1697" i="19"/>
  <c r="A1698" i="19"/>
  <c r="A1699" i="19"/>
  <c r="A1700" i="19"/>
  <c r="A1701" i="19"/>
  <c r="A1702" i="19"/>
  <c r="A1703" i="19"/>
  <c r="A1704" i="19"/>
  <c r="A1705" i="19"/>
  <c r="A1706" i="19"/>
  <c r="A1707" i="19"/>
  <c r="A1708" i="19"/>
  <c r="A1709" i="19"/>
  <c r="A1710" i="19"/>
  <c r="A1711" i="19"/>
  <c r="A1712" i="19"/>
  <c r="A1713" i="19"/>
  <c r="A1714" i="19"/>
  <c r="A1715" i="19"/>
  <c r="A1716" i="19"/>
  <c r="A1717" i="19"/>
  <c r="A1718" i="19"/>
  <c r="A1719" i="19"/>
  <c r="A1720" i="19"/>
  <c r="A1721" i="19"/>
  <c r="A1722" i="19"/>
  <c r="A1723" i="19"/>
  <c r="A1724" i="19"/>
  <c r="A1725" i="19"/>
  <c r="A1726" i="19"/>
  <c r="A1727" i="19"/>
  <c r="A1728" i="19"/>
  <c r="A1729" i="19"/>
  <c r="A1730" i="19"/>
  <c r="A1731" i="19"/>
  <c r="A1732" i="19"/>
  <c r="A1733" i="19"/>
  <c r="A1734" i="19"/>
  <c r="A1735" i="19"/>
  <c r="A1736" i="19"/>
  <c r="A1737" i="19"/>
  <c r="A1738" i="19"/>
  <c r="A1739" i="19"/>
  <c r="A1740" i="19"/>
  <c r="A1741" i="19"/>
  <c r="A1742" i="19"/>
  <c r="A1743" i="19"/>
  <c r="A1744" i="19"/>
  <c r="A1745" i="19"/>
  <c r="A1746" i="19"/>
  <c r="A1747" i="19"/>
  <c r="A1748" i="19"/>
  <c r="A1749" i="19"/>
  <c r="A1750" i="19"/>
  <c r="A1751" i="19"/>
  <c r="A1752" i="19"/>
  <c r="A1753" i="19"/>
  <c r="A1754" i="19"/>
  <c r="A1755" i="19"/>
  <c r="A1756" i="19"/>
  <c r="A1757" i="19"/>
  <c r="A1758" i="19"/>
  <c r="A1759" i="19"/>
  <c r="A1760" i="19"/>
  <c r="A1761" i="19"/>
  <c r="A1762" i="19"/>
  <c r="A1763" i="19"/>
  <c r="A1764" i="19"/>
  <c r="A1765" i="19"/>
  <c r="A1766" i="19"/>
  <c r="A1767" i="19"/>
  <c r="A1768" i="19"/>
  <c r="A1769" i="19"/>
  <c r="A1770" i="19"/>
  <c r="A1771" i="19"/>
  <c r="A1772" i="19"/>
  <c r="A1773" i="19"/>
  <c r="A1774" i="19"/>
  <c r="A1775" i="19"/>
  <c r="A1776" i="19"/>
  <c r="A1777" i="19"/>
  <c r="A1778" i="19"/>
  <c r="A1779" i="19"/>
  <c r="A1780" i="19"/>
  <c r="A1781" i="19"/>
  <c r="A1782" i="19"/>
  <c r="A1783" i="19"/>
  <c r="A1784" i="19"/>
  <c r="A1785" i="19"/>
  <c r="A1786" i="19"/>
  <c r="A1787" i="19"/>
  <c r="A1788" i="19"/>
  <c r="A1789" i="19"/>
  <c r="A1790" i="19"/>
  <c r="A1791" i="19"/>
  <c r="A1792" i="19"/>
  <c r="A1793" i="19"/>
  <c r="A1794" i="19"/>
  <c r="A1795" i="19"/>
  <c r="A1796" i="19"/>
  <c r="A1797" i="19"/>
  <c r="A1798" i="19"/>
  <c r="A1799" i="19"/>
  <c r="A1800" i="19"/>
  <c r="A1801" i="19"/>
  <c r="A1802" i="19"/>
  <c r="A1803" i="19"/>
  <c r="A1804" i="19"/>
  <c r="A1805" i="19"/>
  <c r="A1806" i="19"/>
  <c r="A1807" i="19"/>
  <c r="A1808" i="19"/>
  <c r="A1809" i="19"/>
  <c r="A1810" i="19"/>
  <c r="A1811" i="19"/>
  <c r="A1812" i="19"/>
  <c r="A1813" i="19"/>
  <c r="A1814" i="19"/>
  <c r="A1815" i="19"/>
  <c r="A1816" i="19"/>
  <c r="A1817" i="19"/>
  <c r="A1818" i="19"/>
  <c r="A1819" i="19"/>
  <c r="A1820" i="19"/>
  <c r="A1821" i="19"/>
  <c r="A1822" i="19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303" i="18"/>
  <c r="A304" i="18"/>
  <c r="A305" i="18"/>
  <c r="A306" i="18"/>
  <c r="A307" i="18"/>
  <c r="A308" i="18"/>
  <c r="A309" i="18"/>
  <c r="A310" i="18"/>
  <c r="A311" i="18"/>
  <c r="A312" i="18"/>
  <c r="A313" i="18"/>
  <c r="A314" i="18"/>
  <c r="A315" i="18"/>
  <c r="A316" i="18"/>
  <c r="A317" i="18"/>
  <c r="A318" i="18"/>
  <c r="A319" i="18"/>
  <c r="A320" i="18"/>
  <c r="A321" i="18"/>
  <c r="A322" i="18"/>
  <c r="A323" i="18"/>
  <c r="A324" i="18"/>
  <c r="A325" i="18"/>
  <c r="A326" i="18"/>
  <c r="A327" i="18"/>
  <c r="A328" i="18"/>
  <c r="A329" i="18"/>
  <c r="A330" i="18"/>
  <c r="A331" i="18"/>
  <c r="A332" i="18"/>
  <c r="A333" i="18"/>
  <c r="A334" i="18"/>
  <c r="A335" i="18"/>
  <c r="A336" i="18"/>
  <c r="A337" i="18"/>
  <c r="A338" i="18"/>
  <c r="A339" i="18"/>
  <c r="A340" i="18"/>
  <c r="A341" i="18"/>
  <c r="A342" i="18"/>
  <c r="A343" i="18"/>
  <c r="A344" i="18"/>
  <c r="A345" i="18"/>
  <c r="A346" i="18"/>
  <c r="A347" i="18"/>
  <c r="A348" i="18"/>
  <c r="A349" i="18"/>
  <c r="A350" i="18"/>
  <c r="A351" i="18"/>
  <c r="A352" i="18"/>
  <c r="A353" i="18"/>
  <c r="A354" i="18"/>
  <c r="A355" i="18"/>
  <c r="A356" i="18"/>
  <c r="A357" i="18"/>
  <c r="A358" i="18"/>
  <c r="A359" i="18"/>
  <c r="A360" i="18"/>
  <c r="A361" i="18"/>
  <c r="A362" i="18"/>
  <c r="A363" i="18"/>
  <c r="A364" i="18"/>
  <c r="A365" i="18"/>
  <c r="A366" i="18"/>
  <c r="A367" i="18"/>
  <c r="A368" i="18"/>
  <c r="A369" i="18"/>
  <c r="A370" i="18"/>
  <c r="A371" i="18"/>
  <c r="A372" i="18"/>
  <c r="A373" i="18"/>
  <c r="A374" i="18"/>
  <c r="A375" i="18"/>
  <c r="A376" i="18"/>
  <c r="A377" i="18"/>
  <c r="A378" i="18"/>
  <c r="A379" i="18"/>
  <c r="A380" i="18"/>
  <c r="A381" i="18"/>
  <c r="A382" i="18"/>
  <c r="A383" i="18"/>
  <c r="A384" i="18"/>
  <c r="A385" i="18"/>
  <c r="A386" i="18"/>
  <c r="A387" i="18"/>
  <c r="A388" i="18"/>
  <c r="A389" i="18"/>
  <c r="A390" i="18"/>
  <c r="A391" i="18"/>
  <c r="A392" i="18"/>
  <c r="A393" i="18"/>
  <c r="A394" i="18"/>
  <c r="A395" i="18"/>
  <c r="A396" i="18"/>
  <c r="A397" i="18"/>
  <c r="A398" i="18"/>
  <c r="A399" i="18"/>
  <c r="A400" i="18"/>
  <c r="A401" i="18"/>
  <c r="A402" i="18"/>
  <c r="A403" i="18"/>
  <c r="A404" i="18"/>
  <c r="A405" i="18"/>
  <c r="A406" i="18"/>
  <c r="A407" i="18"/>
  <c r="A408" i="18"/>
  <c r="A409" i="18"/>
  <c r="A410" i="18"/>
  <c r="A411" i="18"/>
  <c r="A412" i="18"/>
  <c r="A413" i="18"/>
  <c r="A414" i="18"/>
  <c r="A415" i="18"/>
  <c r="A416" i="18"/>
  <c r="A417" i="18"/>
  <c r="A418" i="18"/>
  <c r="A419" i="18"/>
  <c r="A420" i="18"/>
  <c r="A421" i="18"/>
  <c r="A422" i="18"/>
  <c r="A423" i="18"/>
  <c r="A424" i="18"/>
  <c r="A425" i="18"/>
  <c r="A426" i="18"/>
  <c r="A427" i="18"/>
  <c r="A428" i="18"/>
  <c r="A429" i="18"/>
  <c r="A430" i="18"/>
  <c r="A431" i="18"/>
  <c r="A432" i="18"/>
  <c r="A433" i="18"/>
  <c r="A434" i="18"/>
  <c r="A435" i="18"/>
  <c r="A436" i="18"/>
  <c r="A437" i="18"/>
  <c r="A438" i="18"/>
  <c r="A439" i="18"/>
  <c r="A440" i="18"/>
  <c r="A441" i="18"/>
  <c r="A442" i="18"/>
  <c r="A443" i="18"/>
  <c r="A444" i="18"/>
  <c r="A445" i="18"/>
  <c r="A446" i="18"/>
  <c r="A447" i="18"/>
  <c r="A448" i="18"/>
  <c r="A449" i="18"/>
  <c r="A450" i="18"/>
  <c r="A451" i="18"/>
  <c r="A452" i="18"/>
  <c r="A453" i="18"/>
  <c r="A454" i="18"/>
  <c r="A455" i="18"/>
  <c r="A456" i="18"/>
  <c r="A457" i="18"/>
  <c r="A458" i="18"/>
  <c r="A459" i="18"/>
  <c r="A460" i="18"/>
  <c r="A461" i="18"/>
  <c r="A462" i="18"/>
  <c r="A463" i="18"/>
  <c r="A464" i="18"/>
  <c r="A465" i="18"/>
  <c r="A466" i="18"/>
  <c r="A467" i="18"/>
  <c r="A468" i="18"/>
  <c r="A469" i="18"/>
  <c r="A470" i="18"/>
  <c r="A471" i="18"/>
  <c r="A472" i="18"/>
  <c r="A473" i="18"/>
  <c r="A474" i="18"/>
  <c r="A475" i="18"/>
  <c r="A476" i="18"/>
  <c r="A477" i="18"/>
  <c r="A478" i="18"/>
  <c r="A479" i="18"/>
  <c r="A480" i="18"/>
  <c r="A481" i="18"/>
  <c r="A482" i="18"/>
  <c r="A483" i="18"/>
  <c r="A484" i="18"/>
  <c r="A485" i="18"/>
  <c r="A486" i="18"/>
  <c r="A487" i="18"/>
  <c r="A488" i="18"/>
  <c r="A489" i="18"/>
  <c r="A490" i="18"/>
  <c r="A491" i="18"/>
  <c r="A492" i="18"/>
  <c r="A493" i="18"/>
  <c r="A494" i="18"/>
  <c r="A495" i="18"/>
  <c r="A496" i="18"/>
  <c r="A497" i="18"/>
  <c r="A498" i="18"/>
  <c r="A499" i="18"/>
  <c r="A500" i="18"/>
  <c r="A501" i="18"/>
  <c r="A502" i="18"/>
  <c r="A503" i="18"/>
  <c r="A504" i="18"/>
  <c r="A505" i="18"/>
  <c r="A506" i="18"/>
  <c r="A507" i="18"/>
  <c r="A508" i="18"/>
  <c r="A509" i="18"/>
  <c r="A510" i="18"/>
  <c r="A511" i="18"/>
  <c r="A512" i="18"/>
  <c r="A513" i="18"/>
  <c r="A514" i="18"/>
  <c r="A515" i="18"/>
  <c r="A516" i="18"/>
  <c r="A517" i="18"/>
  <c r="A518" i="18"/>
  <c r="A519" i="18"/>
  <c r="A520" i="18"/>
  <c r="A521" i="18"/>
  <c r="A522" i="18"/>
  <c r="A523" i="18"/>
  <c r="A524" i="18"/>
  <c r="A525" i="18"/>
  <c r="A526" i="18"/>
  <c r="A527" i="18"/>
  <c r="A528" i="18"/>
  <c r="A529" i="18"/>
  <c r="A530" i="18"/>
  <c r="A531" i="18"/>
  <c r="A532" i="18"/>
  <c r="A533" i="18"/>
  <c r="A534" i="18"/>
  <c r="A535" i="18"/>
  <c r="A536" i="18"/>
  <c r="A537" i="18"/>
  <c r="A538" i="18"/>
  <c r="A539" i="18"/>
  <c r="A540" i="18"/>
  <c r="A541" i="18"/>
  <c r="A542" i="18"/>
  <c r="A543" i="18"/>
  <c r="A544" i="18"/>
  <c r="A545" i="18"/>
  <c r="A546" i="18"/>
  <c r="A547" i="18"/>
  <c r="A548" i="18"/>
  <c r="A549" i="18"/>
  <c r="A550" i="18"/>
  <c r="A551" i="18"/>
  <c r="A552" i="18"/>
  <c r="A553" i="18"/>
  <c r="A554" i="18"/>
  <c r="A555" i="18"/>
  <c r="A556" i="18"/>
  <c r="A557" i="18"/>
  <c r="A558" i="18"/>
  <c r="A559" i="18"/>
  <c r="A560" i="18"/>
  <c r="A561" i="18"/>
  <c r="A562" i="18"/>
  <c r="A563" i="18"/>
  <c r="A564" i="18"/>
  <c r="A565" i="18"/>
  <c r="A566" i="18"/>
  <c r="A567" i="18"/>
  <c r="A568" i="18"/>
  <c r="A569" i="18"/>
  <c r="A570" i="18"/>
  <c r="A571" i="18"/>
  <c r="A572" i="18"/>
  <c r="A573" i="18"/>
  <c r="A574" i="18"/>
  <c r="A575" i="18"/>
  <c r="A576" i="18"/>
  <c r="A577" i="18"/>
  <c r="A578" i="18"/>
  <c r="A579" i="18"/>
  <c r="A580" i="18"/>
  <c r="A581" i="18"/>
  <c r="A582" i="18"/>
  <c r="A583" i="18"/>
  <c r="A584" i="18"/>
  <c r="A585" i="18"/>
  <c r="A586" i="18"/>
  <c r="A587" i="18"/>
  <c r="A588" i="18"/>
  <c r="A589" i="18"/>
  <c r="A590" i="18"/>
  <c r="A591" i="18"/>
  <c r="A592" i="18"/>
  <c r="A593" i="18"/>
  <c r="A594" i="18"/>
  <c r="A595" i="18"/>
  <c r="A596" i="18"/>
  <c r="A597" i="18"/>
  <c r="A598" i="18"/>
  <c r="A599" i="18"/>
  <c r="A600" i="18"/>
  <c r="A601" i="18"/>
  <c r="A602" i="18"/>
  <c r="A603" i="18"/>
  <c r="A604" i="18"/>
  <c r="A605" i="18"/>
  <c r="A606" i="18"/>
  <c r="A607" i="18"/>
  <c r="A608" i="18"/>
  <c r="A609" i="18"/>
  <c r="A610" i="18"/>
  <c r="A611" i="18"/>
  <c r="A612" i="18"/>
  <c r="A613" i="18"/>
  <c r="A614" i="18"/>
  <c r="A615" i="18"/>
  <c r="A616" i="18"/>
  <c r="A617" i="18"/>
  <c r="A618" i="18"/>
  <c r="A619" i="18"/>
  <c r="A620" i="18"/>
  <c r="A621" i="18"/>
  <c r="A622" i="18"/>
  <c r="A623" i="18"/>
  <c r="A624" i="18"/>
  <c r="A625" i="18"/>
  <c r="A626" i="18"/>
  <c r="A627" i="18"/>
  <c r="A628" i="18"/>
  <c r="A629" i="18"/>
  <c r="A630" i="18"/>
  <c r="A631" i="18"/>
  <c r="A632" i="18"/>
  <c r="A633" i="18"/>
  <c r="A634" i="18"/>
  <c r="A635" i="18"/>
  <c r="A636" i="18"/>
  <c r="A637" i="18"/>
  <c r="A638" i="18"/>
  <c r="A639" i="18"/>
  <c r="A640" i="18"/>
  <c r="A641" i="18"/>
  <c r="A642" i="18"/>
  <c r="A643" i="18"/>
  <c r="A644" i="18"/>
  <c r="A645" i="18"/>
  <c r="A646" i="18"/>
  <c r="A647" i="18"/>
  <c r="A648" i="18"/>
  <c r="A649" i="18"/>
  <c r="A650" i="18"/>
  <c r="A651" i="18"/>
  <c r="A652" i="18"/>
  <c r="A653" i="18"/>
  <c r="A654" i="18"/>
  <c r="A655" i="18"/>
  <c r="A656" i="18"/>
  <c r="A657" i="18"/>
  <c r="A658" i="18"/>
  <c r="A659" i="18"/>
  <c r="A660" i="18"/>
  <c r="A661" i="18"/>
  <c r="A662" i="18"/>
  <c r="A663" i="18"/>
  <c r="A664" i="18"/>
  <c r="A665" i="18"/>
  <c r="A666" i="18"/>
  <c r="A667" i="18"/>
  <c r="A668" i="18"/>
  <c r="A669" i="18"/>
  <c r="A670" i="18"/>
  <c r="A671" i="18"/>
  <c r="A672" i="18"/>
  <c r="A673" i="18"/>
  <c r="A674" i="18"/>
  <c r="A675" i="18"/>
  <c r="A676" i="18"/>
  <c r="A677" i="18"/>
  <c r="A678" i="18"/>
  <c r="A679" i="18"/>
  <c r="A680" i="18"/>
  <c r="A681" i="18"/>
  <c r="A682" i="18"/>
  <c r="A683" i="18"/>
  <c r="A684" i="18"/>
  <c r="A685" i="18"/>
  <c r="A686" i="18"/>
  <c r="A687" i="18"/>
  <c r="A688" i="18"/>
  <c r="A689" i="18"/>
  <c r="A690" i="18"/>
  <c r="A691" i="18"/>
  <c r="A692" i="18"/>
  <c r="A693" i="18"/>
  <c r="A694" i="18"/>
  <c r="A695" i="18"/>
  <c r="A696" i="18"/>
  <c r="A697" i="18"/>
  <c r="A698" i="18"/>
  <c r="A699" i="18"/>
  <c r="A700" i="18"/>
  <c r="A701" i="18"/>
  <c r="A702" i="18"/>
  <c r="A703" i="18"/>
  <c r="A704" i="18"/>
  <c r="A705" i="18"/>
  <c r="A706" i="18"/>
  <c r="A707" i="18"/>
  <c r="A708" i="18"/>
  <c r="A709" i="18"/>
  <c r="A710" i="18"/>
  <c r="A711" i="18"/>
  <c r="A712" i="18"/>
  <c r="A713" i="18"/>
  <c r="A714" i="18"/>
  <c r="A715" i="18"/>
  <c r="A716" i="18"/>
  <c r="A717" i="18"/>
  <c r="A718" i="18"/>
  <c r="A719" i="18"/>
  <c r="A720" i="18"/>
  <c r="A721" i="18"/>
  <c r="A722" i="18"/>
  <c r="A723" i="18"/>
  <c r="A724" i="18"/>
  <c r="A725" i="18"/>
  <c r="A726" i="18"/>
  <c r="A727" i="18"/>
  <c r="A728" i="18"/>
  <c r="A729" i="18"/>
  <c r="A730" i="18"/>
  <c r="A731" i="18"/>
  <c r="A732" i="18"/>
  <c r="A733" i="18"/>
  <c r="A734" i="18"/>
  <c r="A735" i="18"/>
  <c r="A736" i="18"/>
  <c r="A737" i="18"/>
  <c r="A738" i="18"/>
  <c r="A739" i="18"/>
  <c r="A740" i="18"/>
  <c r="A741" i="18"/>
  <c r="A742" i="18"/>
  <c r="A743" i="18"/>
  <c r="A744" i="18"/>
  <c r="A745" i="18"/>
  <c r="A746" i="18"/>
  <c r="A747" i="18"/>
  <c r="A748" i="18"/>
  <c r="A749" i="18"/>
  <c r="A750" i="18"/>
  <c r="A751" i="18"/>
  <c r="A752" i="18"/>
  <c r="A753" i="18"/>
  <c r="A754" i="18"/>
  <c r="A755" i="18"/>
  <c r="A756" i="18"/>
  <c r="A757" i="18"/>
  <c r="A758" i="18"/>
  <c r="A759" i="18"/>
  <c r="A760" i="18"/>
  <c r="A761" i="18"/>
  <c r="A762" i="18"/>
  <c r="A763" i="18"/>
  <c r="A764" i="18"/>
  <c r="A765" i="18"/>
  <c r="A766" i="18"/>
  <c r="A767" i="18"/>
  <c r="A768" i="18"/>
  <c r="A769" i="18"/>
  <c r="A770" i="18"/>
  <c r="A771" i="18"/>
  <c r="A772" i="18"/>
  <c r="A773" i="18"/>
  <c r="A774" i="18"/>
  <c r="A775" i="18"/>
  <c r="A776" i="18"/>
  <c r="A777" i="18"/>
  <c r="A778" i="18"/>
  <c r="A779" i="18"/>
  <c r="A780" i="18"/>
  <c r="A781" i="18"/>
  <c r="A782" i="18"/>
  <c r="A783" i="18"/>
  <c r="A784" i="18"/>
  <c r="A785" i="18"/>
  <c r="A786" i="18"/>
  <c r="A787" i="18"/>
  <c r="A788" i="18"/>
  <c r="A789" i="18"/>
  <c r="A790" i="18"/>
  <c r="A791" i="18"/>
  <c r="A792" i="18"/>
  <c r="A793" i="18"/>
  <c r="A794" i="18"/>
  <c r="A795" i="18"/>
  <c r="A796" i="18"/>
  <c r="A797" i="18"/>
  <c r="A798" i="18"/>
  <c r="A799" i="18"/>
  <c r="A800" i="18"/>
  <c r="A801" i="18"/>
  <c r="A802" i="18"/>
  <c r="A803" i="18"/>
  <c r="A804" i="18"/>
  <c r="A805" i="18"/>
  <c r="A806" i="18"/>
  <c r="A807" i="18"/>
  <c r="A808" i="18"/>
  <c r="A809" i="18"/>
  <c r="A810" i="18"/>
  <c r="A811" i="18"/>
  <c r="A812" i="18"/>
  <c r="A813" i="18"/>
  <c r="A814" i="18"/>
  <c r="A815" i="18"/>
  <c r="A816" i="18"/>
  <c r="A817" i="18"/>
  <c r="A818" i="18"/>
  <c r="A819" i="18"/>
  <c r="A820" i="18"/>
  <c r="A821" i="18"/>
  <c r="A822" i="18"/>
  <c r="A823" i="18"/>
  <c r="A824" i="18"/>
  <c r="A825" i="18"/>
  <c r="A826" i="18"/>
  <c r="A827" i="18"/>
  <c r="A828" i="18"/>
  <c r="A829" i="18"/>
  <c r="A830" i="18"/>
  <c r="A831" i="18"/>
  <c r="A832" i="18"/>
  <c r="A833" i="18"/>
  <c r="A834" i="18"/>
  <c r="A835" i="18"/>
  <c r="A836" i="18"/>
  <c r="A837" i="18"/>
  <c r="A838" i="18"/>
  <c r="A839" i="18"/>
  <c r="A840" i="18"/>
  <c r="A841" i="18"/>
  <c r="A842" i="18"/>
  <c r="A843" i="18"/>
  <c r="A844" i="18"/>
  <c r="A845" i="18"/>
  <c r="A846" i="18"/>
  <c r="A847" i="18"/>
  <c r="A848" i="18"/>
  <c r="A849" i="18"/>
  <c r="A850" i="18"/>
  <c r="A851" i="18"/>
  <c r="A852" i="18"/>
  <c r="A853" i="18"/>
  <c r="A854" i="18"/>
  <c r="A855" i="18"/>
  <c r="A856" i="18"/>
  <c r="A857" i="18"/>
  <c r="A858" i="18"/>
  <c r="A859" i="18"/>
  <c r="A860" i="18"/>
  <c r="A861" i="18"/>
  <c r="A862" i="18"/>
  <c r="A863" i="18"/>
  <c r="A864" i="18"/>
  <c r="A865" i="18"/>
  <c r="A866" i="18"/>
  <c r="A867" i="18"/>
  <c r="A868" i="18"/>
  <c r="A869" i="18"/>
  <c r="A870" i="18"/>
  <c r="A871" i="18"/>
  <c r="A872" i="18"/>
  <c r="A873" i="18"/>
  <c r="A874" i="18"/>
  <c r="A875" i="18"/>
  <c r="A876" i="18"/>
  <c r="A877" i="18"/>
  <c r="A878" i="18"/>
  <c r="A879" i="18"/>
  <c r="A880" i="18"/>
  <c r="A881" i="18"/>
  <c r="A882" i="18"/>
  <c r="A883" i="18"/>
  <c r="A884" i="18"/>
  <c r="A885" i="18"/>
  <c r="A886" i="18"/>
  <c r="A887" i="18"/>
  <c r="A888" i="18"/>
  <c r="A889" i="18"/>
  <c r="A890" i="18"/>
  <c r="A891" i="18"/>
  <c r="A892" i="18"/>
  <c r="A893" i="18"/>
  <c r="A894" i="18"/>
</calcChain>
</file>

<file path=xl/sharedStrings.xml><?xml version="1.0" encoding="utf-8"?>
<sst xmlns="http://schemas.openxmlformats.org/spreadsheetml/2006/main" count="7064" uniqueCount="4996">
  <si>
    <t>TraesCS1A01G235800</t>
  </si>
  <si>
    <t>TraesCS1A01G259000</t>
  </si>
  <si>
    <t>TraesCS1A01G425400</t>
  </si>
  <si>
    <t>TraesCS1B01G197900</t>
  </si>
  <si>
    <t>TraesCS1D01G073000</t>
  </si>
  <si>
    <t>TraesCS1D01G101300</t>
  </si>
  <si>
    <t>TraesCS1D01G331000</t>
  </si>
  <si>
    <t>TraesCS1D01G367600</t>
  </si>
  <si>
    <t>TraesCS1D01G396300</t>
  </si>
  <si>
    <t>TraesCS2A01G404700</t>
  </si>
  <si>
    <t>TraesCS2A01G521400</t>
  </si>
  <si>
    <t>TraesCS2A01G563500</t>
  </si>
  <si>
    <t>TraesCS2B01G157600</t>
  </si>
  <si>
    <t>TraesCS2B01G318300</t>
  </si>
  <si>
    <t>TraesCS2B01G409300</t>
  </si>
  <si>
    <t>TraesCS2D01G113300</t>
  </si>
  <si>
    <t>TraesCS2D01G154300</t>
  </si>
  <si>
    <t>TraesCS2D01G300400</t>
  </si>
  <si>
    <t>TraesCS2D01G396500</t>
  </si>
  <si>
    <t>TraesCS3A01G044800</t>
  </si>
  <si>
    <t>TraesCS3A01G075700</t>
  </si>
  <si>
    <t>TraesCS3A01G097200</t>
  </si>
  <si>
    <t>TraesCS3A01G100000</t>
  </si>
  <si>
    <t>TraesCS3A01G103900</t>
  </si>
  <si>
    <t>TraesCS3A01G134100</t>
  </si>
  <si>
    <t>TraesCS3A01G149900</t>
  </si>
  <si>
    <t>TraesCS3A01G271600</t>
  </si>
  <si>
    <t>TraesCS3A01G310200</t>
  </si>
  <si>
    <t>TraesCS3A01G381000</t>
  </si>
  <si>
    <t>TraesCS3B01G131400</t>
  </si>
  <si>
    <t>TraesCS3B01G585400</t>
  </si>
  <si>
    <t>TraesCS3D01G114000</t>
  </si>
  <si>
    <t>TraesCS3D01G182400</t>
  </si>
  <si>
    <t>TraesCS3D01G256700</t>
  </si>
  <si>
    <t>TraesCS3D01G304800</t>
  </si>
  <si>
    <t>TraesCS3D01G322900</t>
  </si>
  <si>
    <t>TraesCS3D01G495100</t>
  </si>
  <si>
    <t>TraesCS4A01G093100</t>
  </si>
  <si>
    <t>TraesCS4B01G047300</t>
  </si>
  <si>
    <t>TraesCS4B01G068300</t>
  </si>
  <si>
    <t>TraesCS4B01G143500</t>
  </si>
  <si>
    <t>TraesCS4B01G193900</t>
  </si>
  <si>
    <t>TraesCS4D01G040900</t>
  </si>
  <si>
    <t>TraesCS4D01G129300</t>
  </si>
  <si>
    <t>TraesCS4D01G135000</t>
  </si>
  <si>
    <t>TraesCS4D01G175600</t>
  </si>
  <si>
    <t>TraesCS4D01G202000</t>
  </si>
  <si>
    <t>TraesCS4D01G236900</t>
  </si>
  <si>
    <t>TraesCS5A01G058100</t>
  </si>
  <si>
    <t>TraesCS5A01G222500</t>
  </si>
  <si>
    <t>TraesCS5A01G429300</t>
  </si>
  <si>
    <t>TraesCS5A01G489100</t>
  </si>
  <si>
    <t>TraesCS5B01G094300</t>
  </si>
  <si>
    <t>TraesCS5B01G236500</t>
  </si>
  <si>
    <t>TraesCS5B01G256400</t>
  </si>
  <si>
    <t>TraesCS5D01G026000</t>
  </si>
  <si>
    <t>TraesCS5D01G097400</t>
  </si>
  <si>
    <t>TraesCS5D01G118200</t>
  </si>
  <si>
    <t>TraesCS5D01G218400</t>
  </si>
  <si>
    <t>RNA binding</t>
  </si>
  <si>
    <t>TraesCS5D01G372500</t>
  </si>
  <si>
    <t>TraesCS5D01G532100</t>
  </si>
  <si>
    <t>TraesCS6B01G300000</t>
  </si>
  <si>
    <t>TraesCS6D01G007800</t>
  </si>
  <si>
    <t>TraesCS6D01G138400</t>
  </si>
  <si>
    <t>TraesCS6D01G331600</t>
  </si>
  <si>
    <t>TraesCS7A01G012000</t>
  </si>
  <si>
    <t>TraesCS7A01G182200</t>
  </si>
  <si>
    <t>TraesCS7A01G322100</t>
  </si>
  <si>
    <t>TraesCS7B01G107300</t>
  </si>
  <si>
    <t>TraesCS7B01G178700</t>
  </si>
  <si>
    <t>TraesCS7D01G328500</t>
  </si>
  <si>
    <t>TraesCS7D01G339600</t>
  </si>
  <si>
    <t>TraesCS7D01G373100</t>
  </si>
  <si>
    <t>pyruvate metabolic process</t>
  </si>
  <si>
    <t>vesicle-mediated transport</t>
  </si>
  <si>
    <t>hydrolase activity, hydrolyzing O-glycosyl compounds</t>
  </si>
  <si>
    <t>guanyl nucleotide binding</t>
  </si>
  <si>
    <t>TraesCS4B01G214500;TraesCS4A01G089800;TraesCS4D01G215100</t>
  </si>
  <si>
    <t>chemical homeostasis</t>
  </si>
  <si>
    <t>pantothenate kinase activity</t>
  </si>
  <si>
    <t>glutathione-disulfide reductase activity</t>
  </si>
  <si>
    <t>glucan endo-1,3-beta-glucanase activity, C-3 substituted reducing group</t>
  </si>
  <si>
    <t>beta-glucanase activity</t>
  </si>
  <si>
    <t>cellular iron ion homeostasis</t>
  </si>
  <si>
    <t>iron ion homeostasis</t>
  </si>
  <si>
    <t>phosphatidylserine biosynthetic process</t>
  </si>
  <si>
    <t>phosphatidylserine metabolic process</t>
  </si>
  <si>
    <t>isopentenyl-diphosphate delta-isomerase activity</t>
  </si>
  <si>
    <t>ceramide metabolic process</t>
  </si>
  <si>
    <t>oligosaccharide metabolic process</t>
  </si>
  <si>
    <t>secondary active transmembrane transporter activity</t>
  </si>
  <si>
    <t>protein tyrosine kinase activity</t>
  </si>
  <si>
    <t>cofactor biosynthetic process</t>
  </si>
  <si>
    <t>L-phenylalanine metabolic process</t>
  </si>
  <si>
    <t>regulation of defense response</t>
  </si>
  <si>
    <t>cell redox homeostasis</t>
  </si>
  <si>
    <t>peroxisome</t>
  </si>
  <si>
    <t>microbody</t>
  </si>
  <si>
    <t>TraesCS5B01G104500;TraesCS6B01G169000;TraesCS5D01G111500;TraesCS1A01G072000;TraesCS1D01G074500;TraesCS6A01G140800</t>
  </si>
  <si>
    <t>secretion</t>
  </si>
  <si>
    <t>4-hydroxyphenylpyruvate dioxygenase activity</t>
  </si>
  <si>
    <t>TraesCS4B01G367200;TraesCS5A01G534900;TraesCS4D01G360300</t>
  </si>
  <si>
    <t>TraesCS4A01G083900;TraesCS4B01G220200;TraesCS4D01G220500</t>
  </si>
  <si>
    <t>gluconeogenesis</t>
  </si>
  <si>
    <t>hexose biosynthetic process</t>
  </si>
  <si>
    <t>monosaccharide biosynthetic process</t>
  </si>
  <si>
    <t>coenzyme A biosynthetic process</t>
  </si>
  <si>
    <t>purine nucleoside bisphosphate biosynthetic process</t>
  </si>
  <si>
    <t>ribonucleoside bisphosphate biosynthetic process</t>
  </si>
  <si>
    <t>nucleoside bisphosphate biosynthetic process</t>
  </si>
  <si>
    <t>branched-chain-amino-acid transaminase activity</t>
  </si>
  <si>
    <t>antiporter activity</t>
  </si>
  <si>
    <t>L-phenylalanine biosynthetic process</t>
  </si>
  <si>
    <t>prephenate dehydratase activity</t>
  </si>
  <si>
    <t>inorganic ion homeostasis</t>
  </si>
  <si>
    <t>cation homeostasis</t>
  </si>
  <si>
    <t>ion homeostasis</t>
  </si>
  <si>
    <t>drug transmembrane transport</t>
  </si>
  <si>
    <t>drug transport</t>
  </si>
  <si>
    <t>GTPase activity</t>
  </si>
  <si>
    <t>active ion transmembrane transporter activity</t>
  </si>
  <si>
    <t>G-protein coupled receptor signaling pathway</t>
  </si>
  <si>
    <t>galactose metabolic process</t>
  </si>
  <si>
    <t>coenzyme metabolic process</t>
  </si>
  <si>
    <t>sulfur compound biosynthetic process</t>
  </si>
  <si>
    <t>TraesCS4B01G264500;TraesCS4D01G264500;TraesCS4A01G043800</t>
  </si>
  <si>
    <t>L,L-diaminopimelate aminotransferase activity</t>
  </si>
  <si>
    <t>transferase activity, transferring pentosyl groups</t>
  </si>
  <si>
    <t>cellular homeostasis</t>
  </si>
  <si>
    <t>secretion by cell</t>
  </si>
  <si>
    <t>phosphatidylinositol binding</t>
  </si>
  <si>
    <t>disulfide oxidoreductase activity</t>
  </si>
  <si>
    <t>cation-transporting ATPase activity</t>
  </si>
  <si>
    <t>ATPase coupled ion transmembrane transporter activity</t>
  </si>
  <si>
    <t>NAD(P)H dehydrogenase (quinone) activity</t>
  </si>
  <si>
    <t>galactosyltransferase activity</t>
  </si>
  <si>
    <t>alpha-amino acid biosynthetic process</t>
  </si>
  <si>
    <t>signal recognition particle binding</t>
  </si>
  <si>
    <t>peptide-methionine (S)-S-oxide reductase activity</t>
  </si>
  <si>
    <t>cation transport</t>
  </si>
  <si>
    <t>ion transport</t>
  </si>
  <si>
    <t>exocytosis</t>
  </si>
  <si>
    <t>phosphofructokinase activity</t>
  </si>
  <si>
    <t>serine-type endopeptidase inhibitor activity</t>
  </si>
  <si>
    <t>translation initiation factor activity</t>
  </si>
  <si>
    <t>amino acid transmembrane transport</t>
  </si>
  <si>
    <t>carboxylic acid transmembrane transport</t>
  </si>
  <si>
    <t>organic acid transmembrane transport</t>
  </si>
  <si>
    <t>organic acid transport</t>
  </si>
  <si>
    <t>alpha,alpha-trehalase activity</t>
  </si>
  <si>
    <t>trehalase activity</t>
  </si>
  <si>
    <t>ribosome assembly</t>
  </si>
  <si>
    <t>TraesCS5A01G131300;TraesCS5B01G133500;TraesCS5D01G139800</t>
  </si>
  <si>
    <t>leucine biosynthetic process</t>
  </si>
  <si>
    <t>leucine metabolic process</t>
  </si>
  <si>
    <t>organonitrogen compound catabolic process</t>
  </si>
  <si>
    <t>trehalose metabolic process</t>
  </si>
  <si>
    <t>leucyl-tRNA aminoacylation</t>
  </si>
  <si>
    <t>leucine-tRNA ligase activity</t>
  </si>
  <si>
    <t>glutathione peroxidase activity</t>
  </si>
  <si>
    <t>racemase and epimerase activity, acting on carbohydrates and derivatives</t>
  </si>
  <si>
    <t>divalent metal ion transport</t>
  </si>
  <si>
    <t>divalent inorganic cation transport</t>
  </si>
  <si>
    <t>glycopeptide alpha-N-acetylgalactosaminidase activity</t>
  </si>
  <si>
    <t>acyl-CoA dehydrogenase activity</t>
  </si>
  <si>
    <t>isoprenoid metabolic process</t>
  </si>
  <si>
    <t>histone acetyltransferase activity</t>
  </si>
  <si>
    <t>peptide-lysine-N-acetyltransferase activity</t>
  </si>
  <si>
    <t>peptide N-acetyltransferase activity</t>
  </si>
  <si>
    <t>TraesCS7A01G441400;TraesCS2D01G038900;TraesCS7D01G430700;TraesCS3B01G304000;TraesCS2A01G040300;TraesCS7B01G340100</t>
  </si>
  <si>
    <t>galactosylgalactosylxylosylprotein 3-beta-glucuronosyltransferase activity</t>
  </si>
  <si>
    <t>glucuronosyltransferase activity</t>
  </si>
  <si>
    <t>6-phosphofructokinase activity</t>
  </si>
  <si>
    <t>tRNA aminoacylation</t>
  </si>
  <si>
    <t>amino acid activation</t>
  </si>
  <si>
    <t>aminoacyl-tRNA ligase activity</t>
  </si>
  <si>
    <t>amino acid transmembrane transporter activity</t>
  </si>
  <si>
    <t>carboxylic acid transmembrane transporter activity</t>
  </si>
  <si>
    <t>organic acid transmembrane transporter activity</t>
  </si>
  <si>
    <t>oxoacid metabolic process</t>
  </si>
  <si>
    <t>isoprenoid biosynthetic process</t>
  </si>
  <si>
    <t>glucosidase activity</t>
  </si>
  <si>
    <t>fructose 6-phosphate metabolic process</t>
  </si>
  <si>
    <t>tRNA aminoacylation for protein translation</t>
  </si>
  <si>
    <t>signal recognition particle receptor complex</t>
  </si>
  <si>
    <t>phosphoenolpyruvate carboxykinase (ATP) activity</t>
  </si>
  <si>
    <t>mannose-6-phosphate isomerase activity</t>
  </si>
  <si>
    <t>UDP-glycosyltransferase activity</t>
  </si>
  <si>
    <t>cell wall macromolecule metabolic process</t>
  </si>
  <si>
    <t>Mo-molybdopterin cofactor biosynthetic process</t>
  </si>
  <si>
    <t>Mo-molybdopterin cofactor metabolic process</t>
  </si>
  <si>
    <t>molybdopterin cofactor metabolic process</t>
  </si>
  <si>
    <t>prosthetic group metabolic process</t>
  </si>
  <si>
    <t>UDP-glucose 4-epimerase activity</t>
  </si>
  <si>
    <t>carboxylic acid metabolic process</t>
  </si>
  <si>
    <t>oxidoreductase activity, acting on diphenols and related substances as donors, oxygen as acceptor</t>
  </si>
  <si>
    <t>integral component of membrane</t>
  </si>
  <si>
    <t>TraesCS5B01G104500;TraesCS6B01G169000;TraesCS5D01G111500;TraesCS6A01G140800</t>
  </si>
  <si>
    <t>glutathione synthase activity</t>
  </si>
  <si>
    <t>TraesCS7D01G203800;TraesCS3A01G419600;TraesCS7B01G107300;TraesCS3B01G455000</t>
  </si>
  <si>
    <t>prolyl-tRNA aminoacylation</t>
  </si>
  <si>
    <t>proline-tRNA ligase activity</t>
  </si>
  <si>
    <t>TraesCS7B01G194200;TraesCS6D01G258600;TraesCS7D01G229100;TraesCS6A01G278000;TraesCS6B01G306300</t>
  </si>
  <si>
    <t>cellular response to oxygen-containing compound</t>
  </si>
  <si>
    <t>sucrose alpha-glucosidase activity</t>
  </si>
  <si>
    <t>alpha-glucosidase activity</t>
  </si>
  <si>
    <t>beta-fructofuranosidase activity</t>
  </si>
  <si>
    <t>oxidoreductase activity, acting on a sulfur group of donors, disulfide as acceptor</t>
  </si>
  <si>
    <t>FMN binding</t>
  </si>
  <si>
    <t>transaminase activity</t>
  </si>
  <si>
    <t>sodium ion transport</t>
  </si>
  <si>
    <t>amino acid transport</t>
  </si>
  <si>
    <t>anthranilate synthase activity</t>
  </si>
  <si>
    <t>exocyst</t>
  </si>
  <si>
    <t>cell cortex part</t>
  </si>
  <si>
    <t>cell cortex</t>
  </si>
  <si>
    <t>cytoplasmic region</t>
  </si>
  <si>
    <t>iron-sulfur cluster assembly</t>
  </si>
  <si>
    <t>metallo-sulfur cluster assembly</t>
  </si>
  <si>
    <t>metal ion transport</t>
  </si>
  <si>
    <t>TraesCS6D01G258300;TraesCS5A01G269300;TraesCS5D01G277500;TraesCS6A01G277800</t>
  </si>
  <si>
    <t>hydroxymethylglutaryl-CoA reductase (NADPH) activity</t>
  </si>
  <si>
    <t>dicarboxylic acid metabolic process</t>
  </si>
  <si>
    <t>TraesCS7B01G194200;TraesCS2A01G121200;TraesCS6D01G258600;TraesCS7D01G229100;TraesCS6A01G278000;TraesCS6B01G306300;TraesCS2D01G123300</t>
  </si>
  <si>
    <t>superoxide metabolic process</t>
  </si>
  <si>
    <t>nitronate monooxygenase activity</t>
  </si>
  <si>
    <t>glutamine family amino acid metabolic process</t>
  </si>
  <si>
    <t>nitrate transport</t>
  </si>
  <si>
    <t>response to nitrate</t>
  </si>
  <si>
    <t>mature ribosome assembly</t>
  </si>
  <si>
    <t>nitrogen compound transport</t>
  </si>
  <si>
    <t>carbohydrate derivative catabolic process</t>
  </si>
  <si>
    <t>TraesCS4A01G262600;TraesCS4D01G052500;TraesCS4B01G052300;TraesCS4A01G075600;TraesCS4B01G231400;TraesCS4D01G232700</t>
  </si>
  <si>
    <t>glutamate decarboxylase activity</t>
  </si>
  <si>
    <t>translational initiation</t>
  </si>
  <si>
    <t>glutamate metabolic process</t>
  </si>
  <si>
    <t>translation factor activity, RNA binding</t>
  </si>
  <si>
    <t>TraesCS1B01G324000;TraesCS1D01G312500;TraesCS2D01G443700;TraesCS5D01G142900;TraesCSU01G003600;TraesCS5B01G135200;TraesCS1A01G312300;TraesCS1A01G332800;TraesCS1D01G335400;TraesCS5A01G136200;TraesCS1D01G335500</t>
  </si>
  <si>
    <t>calcium ion transmembrane transporter activity</t>
  </si>
  <si>
    <t>cellular amino acid metabolic process</t>
  </si>
  <si>
    <t>oxidoreductase activity, acting on single donors with incorporation of molecular oxygen, incorporation of two atoms of oxygen</t>
  </si>
  <si>
    <t>aminoglycan metabolic process</t>
  </si>
  <si>
    <t>calcium ion binding</t>
  </si>
  <si>
    <t>2-isopropylmalate synthase activity</t>
  </si>
  <si>
    <t>TraesCS2A01G225200;TraesCS2B01G275100;TraesCS2D01G231100</t>
  </si>
  <si>
    <t>sulfate reduction</t>
  </si>
  <si>
    <t>cellular biogenic amine biosynthetic process</t>
  </si>
  <si>
    <t>amine biosynthetic process</t>
  </si>
  <si>
    <t>nucleoside-triphosphatase activity</t>
  </si>
  <si>
    <t>cell wall macromolecule catabolic process</t>
  </si>
  <si>
    <t>chitin catabolic process</t>
  </si>
  <si>
    <t>glucosamine-containing compound catabolic process</t>
  </si>
  <si>
    <t>amino sugar catabolic process</t>
  </si>
  <si>
    <t>chitin metabolic process</t>
  </si>
  <si>
    <t>glucosamine-containing compound metabolic process</t>
  </si>
  <si>
    <t>amino sugar metabolic process</t>
  </si>
  <si>
    <t>aminoglycan catabolic process</t>
  </si>
  <si>
    <t>chitinase activity</t>
  </si>
  <si>
    <t>translation release factor activity</t>
  </si>
  <si>
    <t>translation termination factor activity</t>
  </si>
  <si>
    <t>translational termination</t>
  </si>
  <si>
    <t>cellular protein complex disassembly</t>
  </si>
  <si>
    <t>protein complex disassembly</t>
  </si>
  <si>
    <t>macromolecular complex disassembly</t>
  </si>
  <si>
    <t>coenzyme A metabolic process</t>
  </si>
  <si>
    <t>hydrolase activity, acting on acid anhydrides, in phosphorus-containing anhydrides</t>
  </si>
  <si>
    <t>adenyl nucleotide binding</t>
  </si>
  <si>
    <t>adenyl ribonucleotide binding</t>
  </si>
  <si>
    <t>glutathione metabolic process</t>
  </si>
  <si>
    <t>TraesCS1B01G324000;TraesCS1D01G312500;TraesCS5D01G142900;TraesCSU01G003600;TraesCS5B01G135200;TraesCS1A01G312300;TraesCS1A01G332800;TraesCS1D01G335400;TraesCS5A01G136200;TraesCS1D01G335500</t>
  </si>
  <si>
    <t>calcium-transporting ATPase activity</t>
  </si>
  <si>
    <t>ATPase activity, coupled to transmembrane movement of ions, phosphorylative mechanism</t>
  </si>
  <si>
    <t>pyrophosphatase activity</t>
  </si>
  <si>
    <t>acetylglucosaminyltransferase activity</t>
  </si>
  <si>
    <t>oxidoreductase activity, acting on a sulfur group of donors, NAD(P) as acceptor</t>
  </si>
  <si>
    <t>cellular macromolecule metabolic process</t>
  </si>
  <si>
    <t>P-P-bond-hydrolysis-driven transmembrane transporter activity</t>
  </si>
  <si>
    <t>primary active transmembrane transporter activity</t>
  </si>
  <si>
    <t>ATPase activity, coupled</t>
  </si>
  <si>
    <t>purine ribonucleotide binding</t>
  </si>
  <si>
    <t>purine ribonucleoside binding</t>
  </si>
  <si>
    <t>ribonucleoside binding</t>
  </si>
  <si>
    <t>purine nucleoside binding</t>
  </si>
  <si>
    <t>ATPase activity, coupled to transmembrane movement of substances</t>
  </si>
  <si>
    <t>removal of superoxide radicals</t>
  </si>
  <si>
    <t>cellular response to superoxide</t>
  </si>
  <si>
    <t>cellular response to oxygen radical</t>
  </si>
  <si>
    <t>cellular response to reactive oxygen species</t>
  </si>
  <si>
    <t>cellular response to oxidative stress</t>
  </si>
  <si>
    <t>response to superoxide</t>
  </si>
  <si>
    <t>response to oxygen radical</t>
  </si>
  <si>
    <t>response to reactive oxygen species</t>
  </si>
  <si>
    <t>cellular oxidant detoxification</t>
  </si>
  <si>
    <t>cellular detoxification</t>
  </si>
  <si>
    <t>detoxification</t>
  </si>
  <si>
    <t>thioredoxin-disulfide reductase activity</t>
  </si>
  <si>
    <t>purine nucleoside bisphosphate metabolic process</t>
  </si>
  <si>
    <t>ribonucleoside bisphosphate metabolic process</t>
  </si>
  <si>
    <t>nucleoside bisphosphate metabolic process</t>
  </si>
  <si>
    <t>calcium ion transmembrane transport</t>
  </si>
  <si>
    <t>translation release factor activity, codon specific</t>
  </si>
  <si>
    <t>glutathione biosynthetic process</t>
  </si>
  <si>
    <t>nonribosomal peptide biosynthetic process</t>
  </si>
  <si>
    <t>purine nucleotide binding</t>
  </si>
  <si>
    <t>carboxy-lyase activity</t>
  </si>
  <si>
    <t>iron ion binding</t>
  </si>
  <si>
    <t>ammonium transmembrane transport</t>
  </si>
  <si>
    <t>ammonium transport</t>
  </si>
  <si>
    <t>ammonium transmembrane transporter activity</t>
  </si>
  <si>
    <t>hydro-lyase activity</t>
  </si>
  <si>
    <t>transmembrane transport</t>
  </si>
  <si>
    <t>TraesCS7A01G512300;TraesCS7B01G423900;TraesCS5B01G166300;TraesCS5A01G169500;TraesCS5D01G173900;TraesCS7D01G501700</t>
  </si>
  <si>
    <t>indole-3-glycerol-phosphate synthase activity</t>
  </si>
  <si>
    <t>ribonucleotide binding</t>
  </si>
  <si>
    <t>nucleotide binding</t>
  </si>
  <si>
    <t>tryptophan synthase activity</t>
  </si>
  <si>
    <t>regulation of gene expression</t>
  </si>
  <si>
    <t>amine metabolic process</t>
  </si>
  <si>
    <t>organic acid metabolic process</t>
  </si>
  <si>
    <t>regulation of cellular macromolecule biosynthetic process</t>
  </si>
  <si>
    <t>regulation of cellular biosynthetic process</t>
  </si>
  <si>
    <t>regulation of macromolecule biosynthetic process</t>
  </si>
  <si>
    <t>cellular biogenic amine metabolic process</t>
  </si>
  <si>
    <t>cellular amine metabolic process</t>
  </si>
  <si>
    <t>protein serine/threonine kinase activity</t>
  </si>
  <si>
    <t>aromatic amino acid family biosynthetic process</t>
  </si>
  <si>
    <t>TraesCS1D01G004700;TraesCS3B01G218800;TraesCS4D01G176300;TraesCS7A01G231600;TraesCS3D01G193200;TraesCS1B01G001800;TraesCS4B01G174300;TraesCS4B01G174200;TraesCS4D01G176200;TraesCS4A01G130300;TraesCS1A01G002500</t>
  </si>
  <si>
    <t>phospholipid transport</t>
  </si>
  <si>
    <t>organophosphate ester transport</t>
  </si>
  <si>
    <t>phospholipid-translocating ATPase activity</t>
  </si>
  <si>
    <t>phospholipid transporter activity</t>
  </si>
  <si>
    <t>alpha-amino acid metabolic process</t>
  </si>
  <si>
    <t>pyridoxal phosphate binding</t>
  </si>
  <si>
    <t>recognition of pollen</t>
  </si>
  <si>
    <t>pollen-pistil interaction</t>
  </si>
  <si>
    <t>pollination</t>
  </si>
  <si>
    <t>transition metal ion binding</t>
  </si>
  <si>
    <t>regulation of nucleobase-containing compound metabolic process</t>
  </si>
  <si>
    <t>protein modification by small protein conjugation or removal</t>
  </si>
  <si>
    <t>ATPase activity</t>
  </si>
  <si>
    <t>regulation of RNA metabolic process</t>
  </si>
  <si>
    <t>regulation of transcription, DNA-templated</t>
  </si>
  <si>
    <t>regulation of nucleic acid-templated transcription</t>
  </si>
  <si>
    <t>regulation of RNA biosynthetic process</t>
  </si>
  <si>
    <t>ATPase activity, coupled to movement of substances</t>
  </si>
  <si>
    <t>protein metabolic process</t>
  </si>
  <si>
    <t>aromatic amino acid family metabolic process</t>
  </si>
  <si>
    <t>metal ion binding</t>
  </si>
  <si>
    <t>ubiquitin-protein transferase activity</t>
  </si>
  <si>
    <t>tryptophan biosynthetic process</t>
  </si>
  <si>
    <t>indolalkylamine biosynthetic process</t>
  </si>
  <si>
    <t>indole-containing compound biosynthetic process</t>
  </si>
  <si>
    <t>tryptophan metabolic process</t>
  </si>
  <si>
    <t>indolalkylamine metabolic process</t>
  </si>
  <si>
    <t>indole-containing compound metabolic process</t>
  </si>
  <si>
    <t>protein modification by small protein conjugation</t>
  </si>
  <si>
    <t>transferase activity, transferring hexosyl groups</t>
  </si>
  <si>
    <t>protein ubiquitination</t>
  </si>
  <si>
    <t>manganese ion binding</t>
  </si>
  <si>
    <t>cellular protein metabolic process</t>
  </si>
  <si>
    <t>phosphate-containing compound metabolic process</t>
  </si>
  <si>
    <t>ATP binding</t>
  </si>
  <si>
    <t>purine ribonucleoside triphosphate binding</t>
  </si>
  <si>
    <t>sequence-specific DNA binding</t>
  </si>
  <si>
    <t>kinase activity</t>
  </si>
  <si>
    <t>phosphorylation</t>
  </si>
  <si>
    <t>macromolecule modification</t>
  </si>
  <si>
    <t>protein kinase activity</t>
  </si>
  <si>
    <t>phosphotransferase activity, alcohol group as acceptor</t>
  </si>
  <si>
    <t>protein phosphorylation</t>
  </si>
  <si>
    <t>cellular protein modification process</t>
  </si>
  <si>
    <t>protein modification process</t>
  </si>
  <si>
    <t>Matched Genes</t>
  </si>
  <si>
    <t>Corrected P-Value</t>
  </si>
  <si>
    <t>P-Value</t>
  </si>
  <si>
    <t>Matched Gene Counts</t>
  </si>
  <si>
    <t>Total Genes</t>
  </si>
  <si>
    <t>Description</t>
  </si>
  <si>
    <t>GO ID</t>
  </si>
  <si>
    <t>Min Path Length From Root:</t>
  </si>
  <si>
    <t>N/A</t>
  </si>
  <si>
    <t>Max Path Length From Leaf:</t>
  </si>
  <si>
    <t>Benjamini FDR</t>
  </si>
  <si>
    <t>Correction:</t>
  </si>
  <si>
    <t>All</t>
  </si>
  <si>
    <t>Hierarchy:</t>
  </si>
  <si>
    <t>G:\Software\GOAnalyzer\Deployment\Data\gofiles\\gene_association.UserDefined</t>
  </si>
  <si>
    <t>Annotation:</t>
  </si>
  <si>
    <t>G:\Software\GOAnalyzer\Deployment\Data\gofiles\gene_ontology_edit.obo</t>
  </si>
  <si>
    <t>Ontology:</t>
  </si>
  <si>
    <t>Background Gene Count:</t>
  </si>
  <si>
    <t>Gene Count:</t>
  </si>
  <si>
    <t>TraesCS1A01G281700;TraesCS1B01G290800;TraesCS1D01G280900</t>
  </si>
  <si>
    <t>serine-type peptidase activity</t>
  </si>
  <si>
    <t>prenyltransferase activity</t>
  </si>
  <si>
    <t>diphosphate-fructose-6-phosphate 1-phosphotransferase activity</t>
  </si>
  <si>
    <t>mitotic cell cycle process</t>
  </si>
  <si>
    <t>mitotic cell cycle</t>
  </si>
  <si>
    <t>purine nucleotide biosynthetic process</t>
  </si>
  <si>
    <t>glycogen (starch) synthase activity</t>
  </si>
  <si>
    <t>regulation of cellular response to stress</t>
  </si>
  <si>
    <t>regulation of oxidoreductase activity</t>
  </si>
  <si>
    <t>amylase activity</t>
  </si>
  <si>
    <t>regulation of DNA metabolic process</t>
  </si>
  <si>
    <t>aspartate kinase activity</t>
  </si>
  <si>
    <t>tryptophanyl-tRNA aminoacylation</t>
  </si>
  <si>
    <t>tryptophan-tRNA ligase activity</t>
  </si>
  <si>
    <t>protein phosphatase regulator activity</t>
  </si>
  <si>
    <t>phospholipid biosynthetic process</t>
  </si>
  <si>
    <t>glycosyl compound metabolic process</t>
  </si>
  <si>
    <t>oligosaccharyl transferase activity</t>
  </si>
  <si>
    <t>ATPase activity, coupled to transmembrane movement of ions, rotational mechanism</t>
  </si>
  <si>
    <t>glycogen phosphorylase activity</t>
  </si>
  <si>
    <t>phosphorylase activity</t>
  </si>
  <si>
    <t>pentose-phosphate shunt, non-oxidative branch</t>
  </si>
  <si>
    <t>ribose-5-phosphate isomerase activity</t>
  </si>
  <si>
    <t>uridylyltransferase activity</t>
  </si>
  <si>
    <t>microtubule nucleation</t>
  </si>
  <si>
    <t>microtubule polymerization</t>
  </si>
  <si>
    <t>microtubule polymerization or depolymerization</t>
  </si>
  <si>
    <t>spindle</t>
  </si>
  <si>
    <t>intramolecular oxidoreductase activity, interconverting aldoses and ketoses</t>
  </si>
  <si>
    <t>ATP-dependent DNA helicase activity</t>
  </si>
  <si>
    <t>protein serine/threonine phosphatase complex</t>
  </si>
  <si>
    <t>phosphatase complex</t>
  </si>
  <si>
    <t>phosphoric ester hydrolase activity</t>
  </si>
  <si>
    <t>positive regulation of superoxide dismutase activity</t>
  </si>
  <si>
    <t>regulation of superoxide dismutase activity</t>
  </si>
  <si>
    <t>regulation of reactive oxygen species metabolic process</t>
  </si>
  <si>
    <t>positive regulation of oxidoreductase activity</t>
  </si>
  <si>
    <t>plasma membrane part</t>
  </si>
  <si>
    <t>intracellular membrane-bounded organelle</t>
  </si>
  <si>
    <t>TraesCS4A01G354500;TraesCS5B01G517900;TraesCS5D01G517600</t>
  </si>
  <si>
    <t>fructose-bisphosphate aldolase activity</t>
  </si>
  <si>
    <t>TraesCS2A01G290900;TraesCS2B01G307300;TraesCS2D01G288800</t>
  </si>
  <si>
    <t>nucleobase metabolic process</t>
  </si>
  <si>
    <t>protein phosphatase type 2A complex</t>
  </si>
  <si>
    <t>positive regulation of catalytic activity</t>
  </si>
  <si>
    <t>gamma-tubulin binding</t>
  </si>
  <si>
    <t>spindle pole</t>
  </si>
  <si>
    <t>oxidoreductase activity, acting on the aldehyde or oxo group of donors, NAD or NADP as acceptor</t>
  </si>
  <si>
    <t>6-phosphogluconolactonase activity</t>
  </si>
  <si>
    <t>protochlorophyllide reductase activity</t>
  </si>
  <si>
    <t>ATP metabolic process</t>
  </si>
  <si>
    <t>nucleoside triphosphate metabolic process</t>
  </si>
  <si>
    <t>RNA polymerase activity</t>
  </si>
  <si>
    <t>integral component of peroxisomal membrane</t>
  </si>
  <si>
    <t>intrinsic component of peroxisomal membrane</t>
  </si>
  <si>
    <t>TraesCS2A01G239200;TraesCS2B01G257300;TraesCS2D01G246100</t>
  </si>
  <si>
    <t>exonuclease activity, active with either ribo- or deoxyribonucleic acids and producing 5'-phosphomonoesters</t>
  </si>
  <si>
    <t>molybdate ion transport</t>
  </si>
  <si>
    <t>molybdate ion transmembrane transporter activity</t>
  </si>
  <si>
    <t>nucleobase biosynthetic process</t>
  </si>
  <si>
    <t>methyltransferase activity</t>
  </si>
  <si>
    <t>photosystem II</t>
  </si>
  <si>
    <t>small molecule biosynthetic process</t>
  </si>
  <si>
    <t>glycerolipid biosynthetic process</t>
  </si>
  <si>
    <t>purine ribonucleoside triphosphate metabolic process</t>
  </si>
  <si>
    <t>ribonucleoside triphosphate metabolic process</t>
  </si>
  <si>
    <t>purine nucleoside triphosphate metabolic process</t>
  </si>
  <si>
    <t>Golgi-associated vesicle membrane</t>
  </si>
  <si>
    <t>transferase complex</t>
  </si>
  <si>
    <t>microtubule organizing center part</t>
  </si>
  <si>
    <t>endocytosis</t>
  </si>
  <si>
    <t>NADP binding</t>
  </si>
  <si>
    <t>cell cycle process</t>
  </si>
  <si>
    <t>inorganic anion transport</t>
  </si>
  <si>
    <t>purine-containing compound biosynthetic process</t>
  </si>
  <si>
    <t>DNA recombination</t>
  </si>
  <si>
    <t>protein polymerization</t>
  </si>
  <si>
    <t>photosystem I reaction center</t>
  </si>
  <si>
    <t>negative regulation of gene expression</t>
  </si>
  <si>
    <t>vesicle coat</t>
  </si>
  <si>
    <t>coated vesicle membrane</t>
  </si>
  <si>
    <t>cytoplasmic vesicle membrane</t>
  </si>
  <si>
    <t>vesicle membrane</t>
  </si>
  <si>
    <t>cytoplasmic vesicle part</t>
  </si>
  <si>
    <t>vitamin biosynthetic process</t>
  </si>
  <si>
    <t>aldehyde-lyase activity</t>
  </si>
  <si>
    <t>protein import</t>
  </si>
  <si>
    <t>hexose metabolic process</t>
  </si>
  <si>
    <t>plasma membrane protein complex</t>
  </si>
  <si>
    <t>Golgi vesicle transport</t>
  </si>
  <si>
    <t>TraesCS6B01G256400;TraesCS6A01G225200;TraesCS6D01G210000</t>
  </si>
  <si>
    <t>lysyl-tRNA aminoacylation</t>
  </si>
  <si>
    <t>lysine-tRNA ligase activity</t>
  </si>
  <si>
    <t>spindle assembly</t>
  </si>
  <si>
    <t>spindle organization</t>
  </si>
  <si>
    <t>sucrose-phosphate synthase activity</t>
  </si>
  <si>
    <t>membrane lipid metabolic process</t>
  </si>
  <si>
    <t>carbohydrate derivative biosynthetic process</t>
  </si>
  <si>
    <t>proton-transporting ATP synthase activity, rotational mechanism</t>
  </si>
  <si>
    <t>serine-type endopeptidase activity</t>
  </si>
  <si>
    <t>integral component of endoplasmic reticulum membrane</t>
  </si>
  <si>
    <t>intrinsic component of endoplasmic reticulum membrane</t>
  </si>
  <si>
    <t>serine family amino acid biosynthetic process</t>
  </si>
  <si>
    <t>'de novo' IMP biosynthetic process</t>
  </si>
  <si>
    <t>phospholipid metabolic process</t>
  </si>
  <si>
    <t>protein localization to organelle</t>
  </si>
  <si>
    <t>thylakoid part</t>
  </si>
  <si>
    <t>thylakoid</t>
  </si>
  <si>
    <t>organelle fission</t>
  </si>
  <si>
    <t>photosystem I</t>
  </si>
  <si>
    <t>glyceraldehyde-3-phosphate metabolic process</t>
  </si>
  <si>
    <t>protein processing</t>
  </si>
  <si>
    <t>bounding membrane of organelle</t>
  </si>
  <si>
    <t>peroxisome fission</t>
  </si>
  <si>
    <t>nucleotide salvage</t>
  </si>
  <si>
    <t>glycolipid metabolic process</t>
  </si>
  <si>
    <t>liposaccharide metabolic process</t>
  </si>
  <si>
    <t>nucleotide biosynthetic process</t>
  </si>
  <si>
    <t>nucleoside phosphate biosynthetic process</t>
  </si>
  <si>
    <t>ribonucleotide metabolic process</t>
  </si>
  <si>
    <t>nuclear part</t>
  </si>
  <si>
    <t>monocarboxylic acid metabolic process</t>
  </si>
  <si>
    <t>purine ribonucleotide metabolic process</t>
  </si>
  <si>
    <t>phosphatase activity</t>
  </si>
  <si>
    <t>GPI-anchor transamidase complex</t>
  </si>
  <si>
    <t>pentose-phosphate shunt</t>
  </si>
  <si>
    <t>glucose 6-phosphate metabolic process</t>
  </si>
  <si>
    <t>IMP biosynthetic process</t>
  </si>
  <si>
    <t>IMP metabolic process</t>
  </si>
  <si>
    <t>chlorophyll binding</t>
  </si>
  <si>
    <t>cellulose biosynthetic process</t>
  </si>
  <si>
    <t>DNA replication origin binding</t>
  </si>
  <si>
    <t>TraesCS5A01G096100;TraesCS5D01G108700;TraesCS5B01G102000</t>
  </si>
  <si>
    <t>phosphopantetheine binding</t>
  </si>
  <si>
    <t>establishment of protein localization to organelle</t>
  </si>
  <si>
    <t>COPI vesicle coat</t>
  </si>
  <si>
    <t>COPI-coated vesicle membrane</t>
  </si>
  <si>
    <t>ribonucleoside monophosphate metabolic process</t>
  </si>
  <si>
    <t>NADP metabolic process</t>
  </si>
  <si>
    <t>L-serine metabolic process</t>
  </si>
  <si>
    <t>polysaccharide catabolic process</t>
  </si>
  <si>
    <t>negative regulation of macromolecule metabolic process</t>
  </si>
  <si>
    <t>cellular response to DNA damage stimulus</t>
  </si>
  <si>
    <t>Golgi apparatus</t>
  </si>
  <si>
    <t>purine nucleotide metabolic process</t>
  </si>
  <si>
    <t>HAUS complex</t>
  </si>
  <si>
    <t>nicotinate-nucleotide diphosphorylase (carboxylating) activity</t>
  </si>
  <si>
    <t>TraesCS3B01G083400;TraesCS3A01G069900;TraesCS3D01G068900</t>
  </si>
  <si>
    <t>chromatin remodeling</t>
  </si>
  <si>
    <t>3'-5'-exoribonuclease activity</t>
  </si>
  <si>
    <t>purine ribonucleoside monophosphate metabolic process</t>
  </si>
  <si>
    <t>purine nucleoside monophosphate metabolic process</t>
  </si>
  <si>
    <t>photosynthetic membrane</t>
  </si>
  <si>
    <t>cellular polysaccharide metabolic process</t>
  </si>
  <si>
    <t>alpha-amino acid catabolic process</t>
  </si>
  <si>
    <t>TraesCS7D01G386900;TraesCS7A01G391400;TraesCS4A01G051000;TraesCS4D01G253400</t>
  </si>
  <si>
    <t>alpha-L-fucosidase activity</t>
  </si>
  <si>
    <t>fucosidase activity</t>
  </si>
  <si>
    <t>Golgi apparatus part</t>
  </si>
  <si>
    <t>membrane lipid biosynthetic process</t>
  </si>
  <si>
    <t>glycerophospholipid biosynthetic process</t>
  </si>
  <si>
    <t>microtubule associated complex</t>
  </si>
  <si>
    <t>nuclear envelope</t>
  </si>
  <si>
    <t>carbohydrate biosynthetic process</t>
  </si>
  <si>
    <t>DNA repair</t>
  </si>
  <si>
    <t>TraesCS1B01G325100;TraesCS1D01G313800;TraesCS6A01G158300;TraesCS1A01G313300</t>
  </si>
  <si>
    <t>phosphoglycerate kinase activity</t>
  </si>
  <si>
    <t>nucleoside monophosphate metabolic process</t>
  </si>
  <si>
    <t>glycerolipid metabolic process</t>
  </si>
  <si>
    <t>glycolipid biosynthetic process</t>
  </si>
  <si>
    <t>protein lipidation</t>
  </si>
  <si>
    <t>lipoprotein biosynthetic process</t>
  </si>
  <si>
    <t>lipoprotein metabolic process</t>
  </si>
  <si>
    <t>cellular amino acid biosynthetic process</t>
  </si>
  <si>
    <t>TraesCS4D01G115500;TraesCS4D01G115600;TraesCS4A01G197600;TraesCS4A01G197700;TraesCS4B01G117800;TraesCS4B01G117900</t>
  </si>
  <si>
    <t>signal recognition particle</t>
  </si>
  <si>
    <t>7S RNA binding</t>
  </si>
  <si>
    <t>organophosphate biosynthetic process</t>
  </si>
  <si>
    <t>intracellular organelle part</t>
  </si>
  <si>
    <t>glutamine metabolic process</t>
  </si>
  <si>
    <t>starch binding</t>
  </si>
  <si>
    <t>(1-&gt;3)-beta-D-glucan biosynthetic process</t>
  </si>
  <si>
    <t>(1-&gt;3)-beta-D-glucan metabolic process</t>
  </si>
  <si>
    <t>1,3-beta-D-glucan synthase activity</t>
  </si>
  <si>
    <t>1,3-beta-D-glucan synthase complex</t>
  </si>
  <si>
    <t>photosystem</t>
  </si>
  <si>
    <t>chromosome organization</t>
  </si>
  <si>
    <t>polysaccharide metabolic process</t>
  </si>
  <si>
    <t>phosphotransferase activity, carboxyl group as acceptor</t>
  </si>
  <si>
    <t>ethylene-activated signaling pathway</t>
  </si>
  <si>
    <t>cellular response to ethylene stimulus</t>
  </si>
  <si>
    <t>response to ethylene</t>
  </si>
  <si>
    <t>GPI anchor biosynthetic process</t>
  </si>
  <si>
    <t>GPI anchor metabolic process</t>
  </si>
  <si>
    <t>cellular carbohydrate metabolic process</t>
  </si>
  <si>
    <t>pentose metabolic process</t>
  </si>
  <si>
    <t>cellular glucan metabolic process</t>
  </si>
  <si>
    <t>glucan metabolic process</t>
  </si>
  <si>
    <t>ncRNA metabolic process</t>
  </si>
  <si>
    <t>microtubule cytoskeleton organization</t>
  </si>
  <si>
    <t>cellulose synthase (UDP-forming) activity</t>
  </si>
  <si>
    <t>cellulose synthase activity</t>
  </si>
  <si>
    <t>nuclease activity</t>
  </si>
  <si>
    <t>purine-containing compound metabolic process</t>
  </si>
  <si>
    <t>4 iron, 4 sulfur cluster binding</t>
  </si>
  <si>
    <t>nuclear pore</t>
  </si>
  <si>
    <t>microtubule organizing center</t>
  </si>
  <si>
    <t>TraesCS6B01G352400;TraesCS2A01G225100;TraesCS2B01G275000;TraesCS6A01G321600;TraesCS2D01G231000;TraesCS2B01G448000;TraesCS6D01G301300</t>
  </si>
  <si>
    <t>aminopeptidase activity</t>
  </si>
  <si>
    <t>carbon-nitrogen ligase activity, with glutamine as amido-N-donor</t>
  </si>
  <si>
    <t>nicotinate nucleotide salvage</t>
  </si>
  <si>
    <t>pyridine nucleotide salvage</t>
  </si>
  <si>
    <t>nicotinate nucleotide biosynthetic process</t>
  </si>
  <si>
    <t>nicotinate nucleotide metabolic process</t>
  </si>
  <si>
    <t>nicotinate phosphoribosyltransferase activity</t>
  </si>
  <si>
    <t>cellular carbohydrate catabolic process</t>
  </si>
  <si>
    <t>ATP-dependent chromatin remodeling</t>
  </si>
  <si>
    <t>nucleosome binding</t>
  </si>
  <si>
    <t>acetyl-CoA biosynthetic process from acetate</t>
  </si>
  <si>
    <t>acetate metabolic process</t>
  </si>
  <si>
    <t>AMP binding</t>
  </si>
  <si>
    <t>acetate-CoA ligase activity</t>
  </si>
  <si>
    <t>polyribonucleotide nucleotidyltransferase activity</t>
  </si>
  <si>
    <t>TraesCS2A01G123800;TraesCS2B01G145700;TraesCS2D01G126600</t>
  </si>
  <si>
    <t>4-alpha-glucanotransferase activity</t>
  </si>
  <si>
    <t>cellular carbohydrate biosynthetic process</t>
  </si>
  <si>
    <t>TraesCS4D01G115500;TraesCS3A01G498300;TraesCS4D01G115600;TraesCS4A01G197600;TraesCS4A01G197700;TraesCS4B01G117800;TraesCS4B01G117900;TraesCSU01G058200</t>
  </si>
  <si>
    <t>protein localization to endoplasmic reticulum</t>
  </si>
  <si>
    <t>plasma membrane</t>
  </si>
  <si>
    <t>peptidyl-amino acid modification</t>
  </si>
  <si>
    <t>ribose phosphate metabolic process</t>
  </si>
  <si>
    <t>glycerophospholipid metabolic process</t>
  </si>
  <si>
    <t>TraesCS4B01G252400;TraesCS4A01G078800;TraesCS4D01G252700;TraesCS4A01G051900</t>
  </si>
  <si>
    <t>methionyl-tRNA aminoacylation</t>
  </si>
  <si>
    <t>methionine-tRNA ligase activity</t>
  </si>
  <si>
    <t>microtubule severing</t>
  </si>
  <si>
    <t>glycine catabolic process</t>
  </si>
  <si>
    <t>serine family amino acid catabolic process</t>
  </si>
  <si>
    <t>TraesCSU01G135100;TraesCS7B01G197000;TraesCS7D01G283900</t>
  </si>
  <si>
    <t>malate dehydrogenase (NADP+) activity</t>
  </si>
  <si>
    <t>homoserine dehydrogenase activity</t>
  </si>
  <si>
    <t>peroxiredoxin activity</t>
  </si>
  <si>
    <t>tRNA metabolic process</t>
  </si>
  <si>
    <t>protein kinase CK2 complex</t>
  </si>
  <si>
    <t>anchored component of membrane</t>
  </si>
  <si>
    <t>lactoylglutathione lyase activity</t>
  </si>
  <si>
    <t>protein targeting</t>
  </si>
  <si>
    <t>SRP-dependent cotranslational protein targeting to membrane</t>
  </si>
  <si>
    <t>protein targeting to ER</t>
  </si>
  <si>
    <t>establishment of protein localization to endoplasmic reticulum</t>
  </si>
  <si>
    <t>cotranslational protein targeting to membrane</t>
  </si>
  <si>
    <t>protein targeting to membrane</t>
  </si>
  <si>
    <t>peptidyl-prolyl cis-trans isomerase activity</t>
  </si>
  <si>
    <t>protein peptidyl-prolyl isomerization</t>
  </si>
  <si>
    <t>peptidyl-proline modification</t>
  </si>
  <si>
    <t>establishment of protein localization to membrane</t>
  </si>
  <si>
    <t>protein localization to membrane</t>
  </si>
  <si>
    <t>cellulose microfibril organization</t>
  </si>
  <si>
    <t>plant-type cell wall assembly</t>
  </si>
  <si>
    <t>plant-type cell wall biogenesis</t>
  </si>
  <si>
    <t>cell wall assembly</t>
  </si>
  <si>
    <t>extracellular matrix organization</t>
  </si>
  <si>
    <t>cellular protein localization</t>
  </si>
  <si>
    <t>carbohydrate kinase activity</t>
  </si>
  <si>
    <t>thiamine metabolic process</t>
  </si>
  <si>
    <t>thiamine-containing compound metabolic process</t>
  </si>
  <si>
    <t>monosaccharide metabolic process</t>
  </si>
  <si>
    <t>intracellular protein transport</t>
  </si>
  <si>
    <t>cellulose metabolic process</t>
  </si>
  <si>
    <t>glutamine biosynthetic process</t>
  </si>
  <si>
    <t>glutamate-ammonia ligase activity</t>
  </si>
  <si>
    <t>ammonia ligase activity</t>
  </si>
  <si>
    <t>acid-ammonia (or amide) ligase activity</t>
  </si>
  <si>
    <t>cellular polysaccharide biosynthetic process</t>
  </si>
  <si>
    <t>polysaccharide biosynthetic process</t>
  </si>
  <si>
    <t>membrane coat</t>
  </si>
  <si>
    <t>ATP-dependent 3'-5' DNA helicase activity</t>
  </si>
  <si>
    <t>3'-5' DNA helicase activity</t>
  </si>
  <si>
    <t>organic substance transport</t>
  </si>
  <si>
    <t>metalloexopeptidase activity</t>
  </si>
  <si>
    <t>glycolytic process</t>
  </si>
  <si>
    <t>ATP generation from ADP</t>
  </si>
  <si>
    <t>ADP metabolic process</t>
  </si>
  <si>
    <t>purine ribonucleoside diphosphate metabolic process</t>
  </si>
  <si>
    <t>ribonucleoside diphosphate metabolic process</t>
  </si>
  <si>
    <t>purine nucleoside diphosphate metabolic process</t>
  </si>
  <si>
    <t>nucleoside diphosphate metabolic process</t>
  </si>
  <si>
    <t>translational elongation</t>
  </si>
  <si>
    <t>nucleoside diphosphate phosphorylation</t>
  </si>
  <si>
    <t>nucleotide phosphorylation</t>
  </si>
  <si>
    <t>TraesCS6B01G294700;TraesCS6A01G267300;TraesCS6D01G247400</t>
  </si>
  <si>
    <t>phosphoribulokinase activity</t>
  </si>
  <si>
    <t>TraesCS6A01G143300;TraesCS6D01G132500;TraesCS6B01G171600</t>
  </si>
  <si>
    <t>peptidyl-pyrromethane cofactor linkage</t>
  </si>
  <si>
    <t>peptidyl-cysteine modification</t>
  </si>
  <si>
    <t>protein-cofactor linkage</t>
  </si>
  <si>
    <t>hydroxymethylbilane synthase activity</t>
  </si>
  <si>
    <t>cellulose catabolic process</t>
  </si>
  <si>
    <t>beta-glucan catabolic process</t>
  </si>
  <si>
    <t>cellular polysaccharide catabolic process</t>
  </si>
  <si>
    <t>glucan catabolic process</t>
  </si>
  <si>
    <t>beta-glucosidase activity</t>
  </si>
  <si>
    <t>TraesCS3B01G279700;TraesCS3D01G250600;TraesCS3A01G250200</t>
  </si>
  <si>
    <t>glycine dehydrogenase (decarboxylating) activity</t>
  </si>
  <si>
    <t>oxidoreductase activity, acting on the CH-NH2 group of donors, disulfide as acceptor</t>
  </si>
  <si>
    <t>TraesCS3A01G191700;TraesCS3B01G219700;TraesCS3D01G194300</t>
  </si>
  <si>
    <t>magnesium-protoporphyrin IX monomethyl ester (oxidative) cyclase activity</t>
  </si>
  <si>
    <t>uracil salvage</t>
  </si>
  <si>
    <t>uracil biosynthetic process</t>
  </si>
  <si>
    <t>uracil metabolic process</t>
  </si>
  <si>
    <t>pyrimidine nucleobase salvage</t>
  </si>
  <si>
    <t>pyrimidine-containing compound salvage</t>
  </si>
  <si>
    <t>uracil phosphoribosyltransferase activity</t>
  </si>
  <si>
    <t>intracellular transport</t>
  </si>
  <si>
    <t>pyrimidine-containing compound metabolic process</t>
  </si>
  <si>
    <t>nucleobase-containing compound biosynthetic process</t>
  </si>
  <si>
    <t>beta-glucan biosynthetic process</t>
  </si>
  <si>
    <t>nucleoside phosphate metabolic process</t>
  </si>
  <si>
    <t>nucleotide metabolic process</t>
  </si>
  <si>
    <t>protein secretion</t>
  </si>
  <si>
    <t>uroporphyrinogen decarboxylase activity</t>
  </si>
  <si>
    <t>actin binding</t>
  </si>
  <si>
    <t>pyrimidine-containing compound biosynthetic process</t>
  </si>
  <si>
    <t>glucan biosynthetic process</t>
  </si>
  <si>
    <t>thiamine biosynthetic process</t>
  </si>
  <si>
    <t>thiamine-containing compound biosynthetic process</t>
  </si>
  <si>
    <t>translation elongation factor activity</t>
  </si>
  <si>
    <t>glycine metabolic process</t>
  </si>
  <si>
    <t>serine family amino acid metabolic process</t>
  </si>
  <si>
    <t>oxidoreductase activity, acting on the CH-OH group of donors, NAD or NADP as acceptor</t>
  </si>
  <si>
    <t>DNA polymerase activity</t>
  </si>
  <si>
    <t>nucleotidyltransferase activity</t>
  </si>
  <si>
    <t>L-malate dehydrogenase activity</t>
  </si>
  <si>
    <t>gene silencing by RNA</t>
  </si>
  <si>
    <t>gene silencing</t>
  </si>
  <si>
    <t>nucleobase-containing small molecule metabolic process</t>
  </si>
  <si>
    <t>DNA-directed DNA polymerase activity</t>
  </si>
  <si>
    <t>cellular metabolic compound salvage</t>
  </si>
  <si>
    <t>carbohydrate catabolic process</t>
  </si>
  <si>
    <t>RNA metabolic process</t>
  </si>
  <si>
    <t>cytoskeleton organization</t>
  </si>
  <si>
    <t>malate dehydrogenase activity</t>
  </si>
  <si>
    <t>sigma factor activity</t>
  </si>
  <si>
    <t>malate metabolic process</t>
  </si>
  <si>
    <t>intracellular ribonucleoprotein complex</t>
  </si>
  <si>
    <t>beta-glucan metabolic process</t>
  </si>
  <si>
    <t>DNA-dependent ATPase activity</t>
  </si>
  <si>
    <t>ribosome</t>
  </si>
  <si>
    <t>chloroplast</t>
  </si>
  <si>
    <t>plastid</t>
  </si>
  <si>
    <t>organophosphate metabolic process</t>
  </si>
  <si>
    <t>thylakoid membrane</t>
  </si>
  <si>
    <t>glycyl-tRNA aminoacylation</t>
  </si>
  <si>
    <t>glycine-tRNA ligase activity</t>
  </si>
  <si>
    <t>oxidoreduction coenzyme metabolic process</t>
  </si>
  <si>
    <t>pyridine-containing compound metabolic process</t>
  </si>
  <si>
    <t>oxidoreductase complex</t>
  </si>
  <si>
    <t>glucosyltransferase activity</t>
  </si>
  <si>
    <t>DNA topological change</t>
  </si>
  <si>
    <t>UDP-glucosyltransferase activity</t>
  </si>
  <si>
    <t>microtubule</t>
  </si>
  <si>
    <t>polymeric cytoskeletal fiber</t>
  </si>
  <si>
    <t>nicotinamide nucleotide metabolic process</t>
  </si>
  <si>
    <t>pyridine nucleotide metabolic process</t>
  </si>
  <si>
    <t>intracellular non-membrane-bounded organelle</t>
  </si>
  <si>
    <t>cytoskeletal part</t>
  </si>
  <si>
    <t>photosystem II oxygen evolving complex</t>
  </si>
  <si>
    <t>protein transport</t>
  </si>
  <si>
    <t>establishment of protein localization</t>
  </si>
  <si>
    <t>GTP binding</t>
  </si>
  <si>
    <t>guanyl ribonucleotide binding</t>
  </si>
  <si>
    <t>pigment biosynthetic process</t>
  </si>
  <si>
    <t>DNA topoisomerase type II (ATP-hydrolyzing) activity</t>
  </si>
  <si>
    <t>DNA topoisomerase II activity</t>
  </si>
  <si>
    <t>intracellular organelle</t>
  </si>
  <si>
    <t>porphyrin-containing compound metabolic process</t>
  </si>
  <si>
    <t>microtubule cytoskeleton</t>
  </si>
  <si>
    <t>cytoskeleton</t>
  </si>
  <si>
    <t>chlorophyll metabolic process</t>
  </si>
  <si>
    <t>cytoplasmic part</t>
  </si>
  <si>
    <t>helicase activity</t>
  </si>
  <si>
    <t>porphyrin-containing compound biosynthetic process</t>
  </si>
  <si>
    <t>organic cyclic compound biosynthetic process</t>
  </si>
  <si>
    <t>heterocycle biosynthetic process</t>
  </si>
  <si>
    <t>aromatic compound biosynthetic process</t>
  </si>
  <si>
    <t>tetrapyrrole metabolic process</t>
  </si>
  <si>
    <t>DNA-dependent DNA replication</t>
  </si>
  <si>
    <t>peptide biosynthetic process</t>
  </si>
  <si>
    <t>amide biosynthetic process</t>
  </si>
  <si>
    <t>chlorophyll biosynthetic process</t>
  </si>
  <si>
    <t>TraesCS7A01G480700;TraesCS7D01G467500;TraesCS5A01G466100;TraesCS5D01G478900;TraesCS5B01G477800;TraesCS2D01G136200;TraesCS7B01G382800;TraesCS2B01G157600;TraesCS2A01G134000</t>
  </si>
  <si>
    <t>magnesium chelatase activity</t>
  </si>
  <si>
    <t>ligase activity, forming nitrogen-metal bonds, forming coordination complexes</t>
  </si>
  <si>
    <t>cellular amide metabolic process</t>
  </si>
  <si>
    <t>tetrapyrrole biosynthetic process</t>
  </si>
  <si>
    <t>translation</t>
  </si>
  <si>
    <t>gene expression</t>
  </si>
  <si>
    <t>peptide metabolic process</t>
  </si>
  <si>
    <t>DNA helicase activity</t>
  </si>
  <si>
    <t>DNA replication initiation</t>
  </si>
  <si>
    <t>intracellular part</t>
  </si>
  <si>
    <t>DNA metabolic process</t>
  </si>
  <si>
    <t>cytoplasm</t>
  </si>
  <si>
    <t>motor activity</t>
  </si>
  <si>
    <t>nucleic acid metabolic process</t>
  </si>
  <si>
    <t>DNA replication</t>
  </si>
  <si>
    <t>microtubule-based movement</t>
  </si>
  <si>
    <t>microtubule motor activity</t>
  </si>
  <si>
    <t>nucleobase-containing compound metabolic process</t>
  </si>
  <si>
    <t>cellular nitrogen compound biosynthetic process</t>
  </si>
  <si>
    <t>organonitrogen compound biosynthetic process</t>
  </si>
  <si>
    <t>microtubule binding</t>
  </si>
  <si>
    <t>tubulin binding</t>
  </si>
  <si>
    <t>cellular macromolecule biosynthetic process</t>
  </si>
  <si>
    <t>macromolecule biosynthetic process</t>
  </si>
  <si>
    <t>serine hydrolase activity</t>
  </si>
  <si>
    <t>oxidoreductase activity, acting on the aldehyde or oxo group of donors</t>
  </si>
  <si>
    <t>phosphatase regulator activity</t>
  </si>
  <si>
    <t>cell cycle</t>
  </si>
  <si>
    <t>intramolecular transferase activity</t>
  </si>
  <si>
    <t>lipid transporter activity</t>
  </si>
  <si>
    <t>response to toxic substance</t>
  </si>
  <si>
    <t>membrane-bounded organelle</t>
  </si>
  <si>
    <t>transferase activity, transferring alkyl or aryl (other than methyl) groups</t>
  </si>
  <si>
    <t>positive regulation of molecular function</t>
  </si>
  <si>
    <t>whole membrane</t>
  </si>
  <si>
    <t>cofactor binding</t>
  </si>
  <si>
    <t>transport</t>
  </si>
  <si>
    <t>establishment of localization</t>
  </si>
  <si>
    <t>transferase activity, transferring one-carbon groups</t>
  </si>
  <si>
    <t>macromolecular complex binding</t>
  </si>
  <si>
    <t>sulfur compound metabolic process</t>
  </si>
  <si>
    <t>carbon-sulfur lyase activity</t>
  </si>
  <si>
    <t>negative regulation of biological process</t>
  </si>
  <si>
    <t>regulation of biological quality</t>
  </si>
  <si>
    <t>oxidoreductase activity, acting on CH-OH group of donors</t>
  </si>
  <si>
    <t>hydrolase activity, acting on glycosyl bonds</t>
  </si>
  <si>
    <t>cellular aldehyde metabolic process</t>
  </si>
  <si>
    <t>negative regulation of metabolic process</t>
  </si>
  <si>
    <t>anion binding</t>
  </si>
  <si>
    <t>TraesCS1D01G219700;TraesCS1B01G231400;TraesCS1A01G218000</t>
  </si>
  <si>
    <t>palmitoyl hydrolase activity</t>
  </si>
  <si>
    <t>organelle part</t>
  </si>
  <si>
    <t>cellular response to chemical stimulus</t>
  </si>
  <si>
    <t>iron-sulfur cluster binding</t>
  </si>
  <si>
    <t>metal cluster binding</t>
  </si>
  <si>
    <t>cellular response to stimulus</t>
  </si>
  <si>
    <t>intrinsic component of membrane</t>
  </si>
  <si>
    <t>photosynthesis</t>
  </si>
  <si>
    <t>homeostatic process</t>
  </si>
  <si>
    <t>glycogen debranching enzyme activity</t>
  </si>
  <si>
    <t>cellular response to stress</t>
  </si>
  <si>
    <t>heat shock protein binding</t>
  </si>
  <si>
    <t>cis-trans isomerase activity</t>
  </si>
  <si>
    <t>carbohydrate derivative metabolic process</t>
  </si>
  <si>
    <t>membrane organization</t>
  </si>
  <si>
    <t>cell growth</t>
  </si>
  <si>
    <t>extracellular structure organization</t>
  </si>
  <si>
    <t>cellular macromolecule localization</t>
  </si>
  <si>
    <t>unfolded protein binding</t>
  </si>
  <si>
    <t>endomembrane system</t>
  </si>
  <si>
    <t>coated membrane</t>
  </si>
  <si>
    <t>cellular localization</t>
  </si>
  <si>
    <t>structural constituent of nuclear pore</t>
  </si>
  <si>
    <t>TraesCS2A01G280500;TraesCS2D01G279300;TraesCS2B01G297800</t>
  </si>
  <si>
    <t>violaxanthin de-epoxidase activity</t>
  </si>
  <si>
    <t>establishment of localization in cell</t>
  </si>
  <si>
    <t>protein complex</t>
  </si>
  <si>
    <t>protein refolding</t>
  </si>
  <si>
    <t>cellular component organization</t>
  </si>
  <si>
    <t>structural constituent of ribosome</t>
  </si>
  <si>
    <t>membrane protein complex</t>
  </si>
  <si>
    <t>macromolecule localization</t>
  </si>
  <si>
    <t>ligase activity, forming carbon-oxygen bonds</t>
  </si>
  <si>
    <t>core DNA-dependent RNA polymerase binding promoter specificity activity</t>
  </si>
  <si>
    <t>transcription factor activity, core RNA polymerase binding</t>
  </si>
  <si>
    <t>ribonucleoprotein complex</t>
  </si>
  <si>
    <t>ligase activity, forming carbon-nitrogen bonds</t>
  </si>
  <si>
    <t>membrane part</t>
  </si>
  <si>
    <t>structural constituent of cytoskeleton</t>
  </si>
  <si>
    <t>DNA topoisomerase activity</t>
  </si>
  <si>
    <t>organelle organization</t>
  </si>
  <si>
    <t>non-membrane-bounded organelle</t>
  </si>
  <si>
    <t>pigment metabolic process</t>
  </si>
  <si>
    <t>protein localization</t>
  </si>
  <si>
    <t>catalytic complex</t>
  </si>
  <si>
    <t>extrinsic component of membrane</t>
  </si>
  <si>
    <t>cofactor metabolic process</t>
  </si>
  <si>
    <t>nucleoside binding</t>
  </si>
  <si>
    <t>carbohydrate derivative binding</t>
  </si>
  <si>
    <t>macromolecule metabolic process</t>
  </si>
  <si>
    <t>protein folding</t>
  </si>
  <si>
    <t>nucleoside phosphate binding</t>
  </si>
  <si>
    <t>small molecule binding</t>
  </si>
  <si>
    <t>isomerase activity</t>
  </si>
  <si>
    <t>ligase activity, forming nitrogen-metal bonds</t>
  </si>
  <si>
    <t>hydrolase activity</t>
  </si>
  <si>
    <t>small molecule metabolic process</t>
  </si>
  <si>
    <t>carbohydrate metabolic process</t>
  </si>
  <si>
    <t>ligase activity</t>
  </si>
  <si>
    <t>MCM complex</t>
  </si>
  <si>
    <t>cellular metabolic process</t>
  </si>
  <si>
    <t>movement of cell or subcellular component</t>
  </si>
  <si>
    <t>intracellular</t>
  </si>
  <si>
    <t>cell part</t>
  </si>
  <si>
    <t>organonitrogen compound metabolic process</t>
  </si>
  <si>
    <t>primary metabolic process</t>
  </si>
  <si>
    <t>hydrolase activity, acting on acid anhydrides</t>
  </si>
  <si>
    <t>cellular aromatic compound metabolic process</t>
  </si>
  <si>
    <t>organic cyclic compound metabolic process</t>
  </si>
  <si>
    <t>heterocycle metabolic process</t>
  </si>
  <si>
    <t>organic substance metabolic process</t>
  </si>
  <si>
    <t>cytoskeletal protein binding</t>
  </si>
  <si>
    <t>microtubule-based process</t>
  </si>
  <si>
    <t>biosynthetic process</t>
  </si>
  <si>
    <t>cellular biosynthetic process</t>
  </si>
  <si>
    <t>organic substance biosynthetic process</t>
  </si>
  <si>
    <t>nitrogen compound metabolic process</t>
  </si>
  <si>
    <t>cellular nitrogen compound metabolic process</t>
  </si>
  <si>
    <t>molybdopterin synthase complex</t>
  </si>
  <si>
    <t>drug transmembrane transporter activity</t>
  </si>
  <si>
    <t>response to drug</t>
  </si>
  <si>
    <t>response to chemical</t>
  </si>
  <si>
    <t>racemase and epimerase activity</t>
  </si>
  <si>
    <t>Mo-molybdopterin cofactor sulfurase activity</t>
  </si>
  <si>
    <t>lipid metabolic process</t>
  </si>
  <si>
    <t>cell communication</t>
  </si>
  <si>
    <t>transferase activity, transferring nitrogenous groups</t>
  </si>
  <si>
    <t>lyase activity</t>
  </si>
  <si>
    <t>oxidation-reduction process</t>
  </si>
  <si>
    <t>response to nitrogen compound</t>
  </si>
  <si>
    <t>dioxygenase activity</t>
  </si>
  <si>
    <t>response to oxygen-containing compound</t>
  </si>
  <si>
    <t>transmembrane transporter activity</t>
  </si>
  <si>
    <t>cellular component disassembly</t>
  </si>
  <si>
    <t>regulation of cellular process</t>
  </si>
  <si>
    <t>response to inorganic substance</t>
  </si>
  <si>
    <t>active transmembrane transporter activity</t>
  </si>
  <si>
    <t>carbon-carbon lyase activity</t>
  </si>
  <si>
    <t>reproductive process</t>
  </si>
  <si>
    <t>oxidoreductase activity, acting on a sulfur group of donors</t>
  </si>
  <si>
    <t>oxidoreductase activity, acting on single donors with incorporation of molecular oxygen</t>
  </si>
  <si>
    <t>regulation of metabolic process</t>
  </si>
  <si>
    <t>regulation of macromolecule metabolic process</t>
  </si>
  <si>
    <t>polysaccharide binding</t>
  </si>
  <si>
    <t>pattern binding</t>
  </si>
  <si>
    <t>regulation of cellular metabolic process</t>
  </si>
  <si>
    <t>regulation of primary metabolic process</t>
  </si>
  <si>
    <t>regulation of nitrogen compound metabolic process</t>
  </si>
  <si>
    <t>SNAP receptor activity</t>
  </si>
  <si>
    <t>regulation of biosynthetic process</t>
  </si>
  <si>
    <t>oxidoreductase activity</t>
  </si>
  <si>
    <t>multi-multicellular organism process</t>
  </si>
  <si>
    <t>cell recognition</t>
  </si>
  <si>
    <t>carbohydrate binding</t>
  </si>
  <si>
    <t>ubiquitin-like protein transferase activity</t>
  </si>
  <si>
    <t>cation binding</t>
  </si>
  <si>
    <t>transferase activity, transferring phosphorus-containing groups</t>
  </si>
  <si>
    <t>phosphorus metabolic process</t>
  </si>
  <si>
    <t>ion binding</t>
  </si>
  <si>
    <t>transferase activity, transferring glycosyl groups</t>
  </si>
  <si>
    <t>transferase activity</t>
  </si>
  <si>
    <t>TraesCS5B01G330100</t>
  </si>
  <si>
    <t>TraesCS4A01G186800</t>
  </si>
  <si>
    <t>TraesCS3D01G226400</t>
  </si>
  <si>
    <t>TraesCS2A01G150000</t>
  </si>
  <si>
    <t>cellular chemical homeostasis</t>
  </si>
  <si>
    <t>coenzyme binding</t>
  </si>
  <si>
    <t>TraesCS7B01G069500;TraesCS7A01G163700;TraesCS7D01G165800;TraesCS5D01G489000</t>
  </si>
  <si>
    <t>chalcone isomerase activity</t>
  </si>
  <si>
    <t>transferase activity, transferring acyl groups, acyl groups converted into alkyl on transfer</t>
  </si>
  <si>
    <t>lipid modification</t>
  </si>
  <si>
    <t>regulation of response to stress</t>
  </si>
  <si>
    <t>TraesCS4D01G054300;TraesCS5B01G180400;TraesCS5A01G182400</t>
  </si>
  <si>
    <t>protein maturation by iron-sulfur cluster transfer</t>
  </si>
  <si>
    <t>NADPH-hemoprotein reductase activity</t>
  </si>
  <si>
    <t>oxidoreductase activity, acting on NAD(P)H, heme protein as acceptor</t>
  </si>
  <si>
    <t>TraesCS3B01G360600;TraesCS1D01G312600;TraesCS3A01G330600;TraesCS1A01G312400</t>
  </si>
  <si>
    <t>glycerol-3-phosphate dehydrogenase complex</t>
  </si>
  <si>
    <t>TraesCS3A01G288800;TraesCS3B01G323500;TraesCS3D01G288600;TraesCS5A01G229700;TraesCS5D01G237800;TraesCS5B01G228500</t>
  </si>
  <si>
    <t>protein kinase C-activating G-protein coupled receptor signaling pathway</t>
  </si>
  <si>
    <t>diacylglycerol kinase activity</t>
  </si>
  <si>
    <t>TraesCS3A01G146800;TraesCS4D01G272500;TraesCS2A01G508900;TraesCS4B01G273500</t>
  </si>
  <si>
    <t>L-serine biosynthetic process</t>
  </si>
  <si>
    <t>transferase activity, transferring acyl groups other than amino-acyl groups</t>
  </si>
  <si>
    <t>TraesCS5B01G151000;TraesCS5A01G152400;TraesCS5D01G157600</t>
  </si>
  <si>
    <t>ferric iron binding</t>
  </si>
  <si>
    <t>isopentenyl diphosphate biosynthetic process</t>
  </si>
  <si>
    <t>isopentenyl diphosphate metabolic process</t>
  </si>
  <si>
    <t>response to water</t>
  </si>
  <si>
    <t>response to acid chemical</t>
  </si>
  <si>
    <t>organic acid biosynthetic process</t>
  </si>
  <si>
    <t>lipid biosynthetic process</t>
  </si>
  <si>
    <t>TraesCS4A01G237800;TraesCS4B01G077200;TraesCS4D01G075700;TraesCS5A01G072900</t>
  </si>
  <si>
    <t>SAGA-type complex</t>
  </si>
  <si>
    <t>TraesCS4D01G150300;TraesCS3A01G044800;TraesCS4B01G149400;TraesCS3D01G036100</t>
  </si>
  <si>
    <t>GDP-mannose biosynthetic process</t>
  </si>
  <si>
    <t>aromatic amino acid family biosynthetic process, prephenate pathway</t>
  </si>
  <si>
    <t>glycerol-3-phosphate catabolic process</t>
  </si>
  <si>
    <t>glycerol-3-phosphate dehydrogenase [NAD+] activity</t>
  </si>
  <si>
    <t>TraesCS3B01G360600;TraesCS1D01G312600;TraesCS3A01G330600;TraesCS1A01G312400;TraesCS2D01G517200</t>
  </si>
  <si>
    <t>glycerol-3-phosphate metabolic process</t>
  </si>
  <si>
    <t>alditol phosphate metabolic process</t>
  </si>
  <si>
    <t>cellular transition metal ion homeostasis</t>
  </si>
  <si>
    <t>transition metal ion homeostasis</t>
  </si>
  <si>
    <t>intramolecular oxidoreductase activity</t>
  </si>
  <si>
    <t>TraesCS4D01G108200;TraesCS5A01G118600;TraesCS7D01G055700;TraesCS4A01G206900;TraesCS5D01G130000;TraesCS5B01G117600</t>
  </si>
  <si>
    <t>proton-transporting V-type ATPase, V0 domain</t>
  </si>
  <si>
    <t>TraesCS4A01G059800;TraesCS4B01G235400;TraesCS2A01G407900;TraesCS4D01G236800</t>
  </si>
  <si>
    <t>coenzyme biosynthetic process</t>
  </si>
  <si>
    <t>TraesCS6A01G383800;TraesCS6D01G368800;TraesCS6B01G423100</t>
  </si>
  <si>
    <t>TraesCS7A01G167300;TraesCS7D01G167900;TraesCS5A01G320600</t>
  </si>
  <si>
    <t>TraesCS5D01G205100;TraesCS5B01G197800;TraesCS5A01G199400</t>
  </si>
  <si>
    <t>TraesCS1D01G389300;TraesCS1A01G381500;TraesCS1B01G404000</t>
  </si>
  <si>
    <t>TraesCS1D01G258900;TraesCS1A01G259000;TraesCS1B01G269500</t>
  </si>
  <si>
    <t>transferase activity, transferring acyl groups</t>
  </si>
  <si>
    <t>TraesCS6B01G169700;TraesCS6D01G130800;TraesCS6A01G141500</t>
  </si>
  <si>
    <t>metal ion homeostasis</t>
  </si>
  <si>
    <t>cellular cation homeostasis</t>
  </si>
  <si>
    <t>cellular ion homeostasis</t>
  </si>
  <si>
    <t>TraesCS2D01G407700;TraesCS2B01G429100;TraesCS4D01G162000;TraesCS6D01G228800;TraesCS6A01G246400</t>
  </si>
  <si>
    <t>TraesCS3A01G107600;TraesCS1D01G346200;TraesCS2B01G350500;TraesCS5D01G104900;TraesCS3B01G126400;TraesCS3B01G311900;TraesCS3D01G278000;TraesCS1A01G344000;TraesCS5A01G092600;TraesCS5B01G225200</t>
  </si>
  <si>
    <t>TraesCS1B01G324000;TraesCS1D01G312500;TraesCS2D01G443700;TraesCS5D01G142900;TraesCSU01G003600;TraesCS4B01G052700;TraesCS5B01G135200;TraesCS1A01G312300;TraesCS1A01G332800;TraesCS1D01G335400;TraesCS5A01G136200;TraesCS1D01G335500</t>
  </si>
  <si>
    <t>TraesCS2D01G460600;TraesCS5D01G321100;TraesCS1D01G451900;TraesCS1A01G443900;TraesCS5B01G181300;TraesCS1B01G478400;TraesCS5A01G314800;TraesCS2B01G482000</t>
  </si>
  <si>
    <t>TraesCS7D01G457800;TraesCS7A01G470400;TraesCS7B01G372400</t>
  </si>
  <si>
    <t>TraesCS1D01G186500;TraesCS1A01G183000;TraesCS1B01G197900</t>
  </si>
  <si>
    <t>TraesCS5D01G199800;TraesCS5A01G059400;TraesCS5B01G191900;TraesCS5D01G070900</t>
  </si>
  <si>
    <t>TraesCS2D01G460600;TraesCS5D01G321100;TraesCS1D01G451900;TraesCS4A01G080300;TraesCS1A01G443900;TraesCS5B01G181300;TraesCS1B01G478400;TraesCS5A01G314800;TraesCS6D01G335600;TraesCS2B01G482000;TraesCS6A01G353200</t>
  </si>
  <si>
    <t>TraesCS5B01G104500;TraesCS6B01G169000;TraesCS5D01G111500;TraesCS1A01G072000;TraesCS6A01G383800;TraesCS6D01G368800;TraesCS3B01G090400;TraesCS1D01G074500;TraesCS6B01G423100;TraesCS6A01G140800</t>
  </si>
  <si>
    <t>TraesCS7B01G194200;TraesCS6D01G258600;TraesCS7D01G229100;TraesCS6A01G278000;TraesCS6A01G383800;TraesCS6D01G368800;TraesCS6B01G306300;TraesCS6B01G423000;TraesCS6B01G423100</t>
  </si>
  <si>
    <t>TraesCS5D01G199800;TraesCS7D01G457800;TraesCS5A01G059400;TraesCS7A01G470400;TraesCS6A01G245200;TraesCS5B01G191900;TraesCS5D01G070900;TraesCS7B01G372400</t>
  </si>
  <si>
    <t>TraesCS4B01G179600;TraesCS4A01G222900;TraesCS3B01G232600;TraesCS4A01G124800;TraesCS3A01G195400;TraesCS4D01G181200;TraesCS4B01G093500;TraesCS4D01G090300;TraesCS3D01G200800</t>
  </si>
  <si>
    <t>TraesCS5B01G520200;TraesCS5D01G519400;TraesCS1D01G296600;TraesCS2A01G365000;TraesCS3B01G383400;TraesCS2D01G362900;TraesCS1A01G295300;TraesCS4A01G352900;TraesCS3D01G344800</t>
  </si>
  <si>
    <t>vacuolar transport</t>
  </si>
  <si>
    <t>transferase complex, transferring phosphorus-containing groups</t>
  </si>
  <si>
    <t>carboxylic acid biosynthetic process</t>
  </si>
  <si>
    <t>TraesCS3A01G322500;TraesCS1D01G024800;TraesCS1D01G329100;TraesCS7B01G451500;TraesCS4A01G036500;TraesCS1A01G024700</t>
  </si>
  <si>
    <t>pseudouridine synthase activity</t>
  </si>
  <si>
    <t>S-adenosylmethionine-dependent methyltransferase activity</t>
  </si>
  <si>
    <t>methylation</t>
  </si>
  <si>
    <t>cytoplasmic vesicle</t>
  </si>
  <si>
    <t>intracellular vesicle</t>
  </si>
  <si>
    <t>vesicle</t>
  </si>
  <si>
    <t>TraesCS1B01G366400;TraesCS1A01G355200;TraesCS3A01G276100;TraesCS3B01G309700</t>
  </si>
  <si>
    <t>glucose binding</t>
  </si>
  <si>
    <t>hexokinase activity</t>
  </si>
  <si>
    <t>cellular glucose homeostasis</t>
  </si>
  <si>
    <t>glucose homeostasis</t>
  </si>
  <si>
    <t>carbohydrate homeostasis</t>
  </si>
  <si>
    <t>TraesCS3D01G264800;TraesCS2D01G229600;TraesCS3A01G264700;TraesCS2B01G273900;TraesCS2A01G223600;TraesCS2D01G242100</t>
  </si>
  <si>
    <t>proton-transporting ATP synthase complex, catalytic core F(1)</t>
  </si>
  <si>
    <t>phosphorelay signal transduction system</t>
  </si>
  <si>
    <t>TraesCS2A01G247300;TraesCS2D01G248400;TraesCS2B01G270300</t>
  </si>
  <si>
    <t>photosystem II stabilization</t>
  </si>
  <si>
    <t>regulation of photosynthesis, light reaction</t>
  </si>
  <si>
    <t>regulation of generation of precursor metabolites and energy</t>
  </si>
  <si>
    <t>macromolecule methylation</t>
  </si>
  <si>
    <t>TraesCS6D01G172500;TraesCS5A01G123800;TraesCS1A01G060100;TraesCS6B01G223200;TraesCS6A01G201800;TraesCS2A01G460000;TraesCS3A01G412600;TraesCS6D01G186000;TraesCS4A01G193700;TraesCS3D01G407300</t>
  </si>
  <si>
    <t>TraesCS4A01G093100;TraesCS4D01G212000;TraesCS3B01G410400</t>
  </si>
  <si>
    <t>fructose 1,6-bisphosphate 1-phosphatase activity</t>
  </si>
  <si>
    <t>retrograde vesicle-mediated transport, Golgi to ER</t>
  </si>
  <si>
    <t>TraesCS2B01G150400;TraesCSU01G132400;TraesCS2A01G128300</t>
  </si>
  <si>
    <t>sialyltransferase activity</t>
  </si>
  <si>
    <t>TraesCS6B01G251600;TraesCS4B01G314600;TraesCS6D01G204800;TraesCS6A01G230100</t>
  </si>
  <si>
    <t>TraesCS5A01G353700;TraesCS5D01G361000;TraesCS1B01G304500;TraesCS1D01G409700</t>
  </si>
  <si>
    <t>TraesCS2D01G399800;TraesCS1A01G095200;TraesCS2B01G375700;TraesCS5A01G059900</t>
  </si>
  <si>
    <t>response to heat</t>
  </si>
  <si>
    <t>response to temperature stimulus</t>
  </si>
  <si>
    <t>catabolic process</t>
  </si>
  <si>
    <t>organic substance catabolic process</t>
  </si>
  <si>
    <t>sucrose metabolic process</t>
  </si>
  <si>
    <t>metal ion transmembrane transporter activity</t>
  </si>
  <si>
    <t>TraesCS4B01G109900;TraesCS5A01G108000;TraesCS4A01G206400;TraesCS4D01G107400</t>
  </si>
  <si>
    <t>TraesCS3B01G237200;TraesCS3D01G210300;TraesCS7A01G205200;TraesCS3A01G205100;TraesCS6B01G176600</t>
  </si>
  <si>
    <t>phosphogluconate dehydrogenase (decarboxylating) activity</t>
  </si>
  <si>
    <t>purine nucleobase biosynthetic process</t>
  </si>
  <si>
    <t>TraesCS4B01G109900;TraesCS5A01G108000;TraesCS4A01G206400;TraesCS7A01G205200;TraesCS4D01G107400</t>
  </si>
  <si>
    <t>TraesCS5A01G545600;TraesCS4B01G379300;TraesCS2D01G242000;TraesCSU01G129600;TraesCS2A01G245100</t>
  </si>
  <si>
    <t>beta-amylase activity</t>
  </si>
  <si>
    <t>TraesCS5D01G181600;TraesCS5B01G174600;TraesCS3D01G434800</t>
  </si>
  <si>
    <t>TraesCS3A01G275700;TraesCS3D01G275600;TraesCS3B01G309400</t>
  </si>
  <si>
    <t>oxidoreductase activity, acting on the CH-CH group of donors</t>
  </si>
  <si>
    <t>aspartate family amino acid metabolic process</t>
  </si>
  <si>
    <t>chromosomal region</t>
  </si>
  <si>
    <t>chromosome, centromeric region</t>
  </si>
  <si>
    <t>TraesCS6B01G251600;TraesCS6D01G204800;TraesCS6A01G230100</t>
  </si>
  <si>
    <t>adenine salvage</t>
  </si>
  <si>
    <t>adenine biosynthetic process</t>
  </si>
  <si>
    <t>adenine metabolic process</t>
  </si>
  <si>
    <t>purine nucleobase salvage</t>
  </si>
  <si>
    <t>adenine phosphoribosyltransferase activity</t>
  </si>
  <si>
    <t>TraesCS5A01G395200;TraesCS3A01G366400;TraesCS3B01G398000</t>
  </si>
  <si>
    <t>TraesCS5B01G419300;TraesCS2A01G234900;TraesCS2D01G238600</t>
  </si>
  <si>
    <t>TraesCS1A01G099500;TraesCS1D01G107400;TraesCS1D01G067500</t>
  </si>
  <si>
    <t>dihydrolipoyl dehydrogenase activity</t>
  </si>
  <si>
    <t>TraesCS3D01G264800;TraesCS2D01G229600;TraesCS3A01G264700;TraesCS6A01G303800;TraesCS2B01G273900;TraesCS6D01G283300;TraesCS2A01G223600;TraesCS2D01G242100</t>
  </si>
  <si>
    <t>glycogen biosynthetic process</t>
  </si>
  <si>
    <t>glycogen metabolic process</t>
  </si>
  <si>
    <t>energy reserve metabolic process</t>
  </si>
  <si>
    <t>NAD binding</t>
  </si>
  <si>
    <t>meiotic cell cycle</t>
  </si>
  <si>
    <t>generation of precursor metabolites and energy</t>
  </si>
  <si>
    <t>ATP-dependent helicase activity</t>
  </si>
  <si>
    <t>purine NTP-dependent helicase activity</t>
  </si>
  <si>
    <t>endoplasmic reticulum</t>
  </si>
  <si>
    <t>aspartate family amino acid biosynthetic process</t>
  </si>
  <si>
    <t>TraesCS4D01G088200;TraesCS7D01G508100;TraesCS4B01G091100;TraesCS7A01G518200</t>
  </si>
  <si>
    <t>glucose-6-phosphate dehydrogenase activity</t>
  </si>
  <si>
    <t>TraesCS2D01G361800;TraesCS6D01G357600;TraesCS2B01G382000;TraesCS6A01G373400</t>
  </si>
  <si>
    <t>regulation of DNA replication</t>
  </si>
  <si>
    <t>TraesCS2D01G182700;TraesCS2B01G201700;TraesCS2A01G175400</t>
  </si>
  <si>
    <t>TraesCS1B01G186300;TraesCS1A01G171000;TraesCS1D01G168700</t>
  </si>
  <si>
    <t>2 iron, 2 sulfur cluster binding</t>
  </si>
  <si>
    <t>TraesCS7B01G258800;TraesCS7A01G369700;TraesCS5D01G465300;TraesCS5A01G454900;TraesCS6D01G197700;TraesCS3B01G275200;TraesCS6A01G215400</t>
  </si>
  <si>
    <t>TraesCS1A01G281700;TraesCS6B01G251600;TraesCS3B01G307600;TraesCS1B01G290800;TraesCS4B01G314600;TraesCS1D01G280900;TraesCS6D01G204800;TraesCS6A01G230100</t>
  </si>
  <si>
    <t>chromosome segregation</t>
  </si>
  <si>
    <t>TraesCS6B01G257900;TraesCS6B01G251600;TraesCS6D01G212000;TraesCS6D01G204800;TraesCS6A01G230100</t>
  </si>
  <si>
    <t>purine-containing compound salvage</t>
  </si>
  <si>
    <t>meiotic chromosome segregation</t>
  </si>
  <si>
    <t>galactokinase activity</t>
  </si>
  <si>
    <t>TraesCS1B01G325100;TraesCS1D01G313800;TraesCS6A01G158300;TraesCS1A01G313300;TraesCS5D01G181600;TraesCS5B01G174600;TraesCS3D01G434800</t>
  </si>
  <si>
    <t>meiotic nuclear division</t>
  </si>
  <si>
    <t>meiotic cell cycle process</t>
  </si>
  <si>
    <t>TraesCS6D01G172500;TraesCS1A01G060100;TraesCS3A01G412600;TraesCS4A01G193700;TraesCS3D01G407300</t>
  </si>
  <si>
    <t>attachment of GPI anchor to protein</t>
  </si>
  <si>
    <t>organic acid catabolic process</t>
  </si>
  <si>
    <t>mismatched DNA binding</t>
  </si>
  <si>
    <t>mismatch repair</t>
  </si>
  <si>
    <t>DNA polymerase processivity factor activity</t>
  </si>
  <si>
    <t>TraesCS4D01G086000;TraesCS4A01G226500;TraesCS4B01G090000;TraesCS1D01G352300;TraesCS7A01G313900</t>
  </si>
  <si>
    <t>DNA polymerase complex</t>
  </si>
  <si>
    <t>TraesCS1D01G185600;TraesCS1A01G182400;TraesCS4B01G399200;TraesCS3A01G472400;TraesCS1B01G198500</t>
  </si>
  <si>
    <t>small molecule catabolic process</t>
  </si>
  <si>
    <t>TraesCS1A01G281700;TraesCS4A01G354500;TraesCS6B01G251600;TraesCS5B01G517900;TraesCS1B01G290800;TraesCS1D01G280900;TraesCS6D01G204800;TraesCS6A01G230100;TraesCS1B01G049300;TraesCS4D01G327300;TraesCS5D01G517600</t>
  </si>
  <si>
    <t>carboxylic acid catabolic process</t>
  </si>
  <si>
    <t>regulation of catalytic activity</t>
  </si>
  <si>
    <t>carbohydrate phosphorylation</t>
  </si>
  <si>
    <t>aldehyde dehydrogenase [NAD(P)+] activity</t>
  </si>
  <si>
    <t>oxidoreductase activity, acting on the CH-NH group of donors, NAD or NADP as acceptor</t>
  </si>
  <si>
    <t>endoplasmic reticulum membrane</t>
  </si>
  <si>
    <t>nuclear outer membrane-endoplasmic reticulum membrane network</t>
  </si>
  <si>
    <t>endoplasmic reticulum part</t>
  </si>
  <si>
    <t>nuclear chromosome segregation</t>
  </si>
  <si>
    <t>DNA polymerase III complex</t>
  </si>
  <si>
    <t>nuclear division</t>
  </si>
  <si>
    <t>phosphatidylcholine biosynthetic process</t>
  </si>
  <si>
    <t>phosphoethanolamine N-methyltransferase activity</t>
  </si>
  <si>
    <t>methylenetetrahydrofolate dehydrogenase (NADP+) activity</t>
  </si>
  <si>
    <t>cellular amino acid catabolic process</t>
  </si>
  <si>
    <t>TraesCS7B01G258800;TraesCS7A01G369700;TraesCS5D01G465300;TraesCS5A01G454900;TraesCS6D01G197700;TraesCS6A01G215400</t>
  </si>
  <si>
    <t>protein N-linked glycosylation</t>
  </si>
  <si>
    <t>TraesCS6A01G360600;TraesCS6B01G393500;TraesCS6D01G344100</t>
  </si>
  <si>
    <t>aminomethyltransferase activity</t>
  </si>
  <si>
    <t>glucose metabolic process</t>
  </si>
  <si>
    <t>positive regulation of cellular metabolic process</t>
  </si>
  <si>
    <t>positive regulation of metabolic process</t>
  </si>
  <si>
    <t>oxidoreductase activity, acting on the CH-CH group of donors, NAD or NADP as acceptor</t>
  </si>
  <si>
    <t>TraesCS5D01G181600;TraesCS5B01G141000;TraesCS5A01G142200;TraesCS5D01G149900</t>
  </si>
  <si>
    <t>TraesCS6D01G172500;TraesCS1A01G060100;TraesCS3A01G266100;TraesCS3D01G266200;TraesCS3A01G412600;TraesCS3B01G299400;TraesCS4A01G193700;TraesCS3D01G407300</t>
  </si>
  <si>
    <t>TraesCS1D01G153900;TraesCS3D01G236200;TraesCS1A01G155200;TraesCSU01G135100;TraesCS5D01G417600;TraesCS7B01G197000;TraesCS5A01G407700;TraesCS3B01G265000;TraesCS5B01G412500;TraesCS7D01G283900;TraesCS1B01G443200</t>
  </si>
  <si>
    <t>TraesCS4A01G387000;TraesCS7D01G200800;TraesCS6D01G259500;TraesCS6A01G279100;TraesCS6B01G307200;TraesCS7A01G088100;TraesCS7B01G104400;TraesCS7D01G228500;TraesCS7A01G226000;TraesCS7D01G083200</t>
  </si>
  <si>
    <t>glycoprotein biosynthetic process</t>
  </si>
  <si>
    <t>glycoprotein metabolic process</t>
  </si>
  <si>
    <t>glycosylation</t>
  </si>
  <si>
    <t>TraesCS3D01G228800;TraesCS3B01G254400;TraesCS4D01G170800;TraesCS3A01G224800;TraesCS4B01G168300</t>
  </si>
  <si>
    <t>protein glycosylation</t>
  </si>
  <si>
    <t>macromolecule glycosylation</t>
  </si>
  <si>
    <t>TraesCS5D01G551200;TraesCS4A01G157100;TraesCS1D01G440900;TraesCS7D01G292000;TraesCS7B01G184800;TraesCS4A01G315700;TraesCS1A01G431600;TraesCS5B01G563800</t>
  </si>
  <si>
    <t>TraesCS7D01G200800;TraesCS6D01G259500;TraesCS6A01G279100;TraesCS6B01G307200;TraesCS7B01G104400;TraesCS7D01G228500;TraesCS7A01G226000</t>
  </si>
  <si>
    <t>TraesCS4D01G082700;TraesCS4A01G231200;TraesCS4B01G084800;TraesCS5B01G396900;TraesCS5D01G401900;TraesCS5A01G095200;TraesCS6D01G364400;TraesCS5A01G392000;TraesCS5D01G107900;TraesCS5B01G101400;TraesCS6A01G379800;TraesCS6B01G418400</t>
  </si>
  <si>
    <t>TraesCS6B01G295700;TraesCS3A01G184800;TraesCS1A01G260500;TraesCS1D01G260500;TraesCS5B01G171400;TraesCS5A01G467500;TraesCS6A01G268600;TraesCS5D01G480300;TraesCS1B01G271100;TraesCS3B01G214600;TraesCS5B01G479200;TraesCS6D01G246300;TraesCS3D01G188800</t>
  </si>
  <si>
    <t>TraesCS3A01G289900;TraesCS5D01G230300;TraesCS5D01G470400;TraesCS7D01G294300;TraesCS2A01G102600;TraesCS1A01G116200;TraesCSU01G142500;TraesCS3D01G289600;TraesCS6A01G077800;TraesCS3B01G324500;TraesCS5A01G222500;TraesCS5D01G517200;TraesCS1D01G117400;TraesCS1D01G146600;TraesCS6B01G104600;TraesCS1B01G167200;TraesCS2B01G119700;TraesCS2D01G102100;TraesCS4A01G355000;TraesCS5B01G517500</t>
  </si>
  <si>
    <t>glycine decarboxylation via glycine cleavage system</t>
  </si>
  <si>
    <t>glycine cleavage complex</t>
  </si>
  <si>
    <t>TraesCS5B01G381600;TraesCS7D01G336600;TraesCS7B01G240200;TraesCS5A01G378000;TraesCS7A01G342800;TraesCS5D01G388000</t>
  </si>
  <si>
    <t>TraesCS5B01G496000;TraesCS3D01G051800;TraesCS5D01G496400;TraesCS3A01G052700;TraesCS5A01G414400;TraesCS3B01G061700;TraesCS1A01G392000;TraesCS5A01G482800;TraesCS5A01G457500</t>
  </si>
  <si>
    <t>TraesCS7B01G024500;TraesCS7A01G125600;TraesCS7D01G122600</t>
  </si>
  <si>
    <t>glutamyl-tRNA reductase activity</t>
  </si>
  <si>
    <t>TraesCS5A01G177800;TraesCS5B01G175100;TraesCS5D01G182100</t>
  </si>
  <si>
    <t>ferrochelatase activity</t>
  </si>
  <si>
    <t>TraesCS4B01G237300;TraesCS7D01G354100;TraesCS4D01G238600</t>
  </si>
  <si>
    <t>oxygen binding</t>
  </si>
  <si>
    <t>TraesCS7A01G011900;TraesCS7D01G030100;TraesCS4A01G455800;TraesCS7A01G033500</t>
  </si>
  <si>
    <t>G-protein beta/gamma-subunit complex binding</t>
  </si>
  <si>
    <t>TraesCS4B01G263300;TraesCS4D01G263500;TraesCS4A01G042700</t>
  </si>
  <si>
    <t>serine O-acetyltransferase activity</t>
  </si>
  <si>
    <t>serine O-acyltransferase activity</t>
  </si>
  <si>
    <t>TraesCS6B01G381400;TraesCS6D01G330900;TraesCS5A01G218000;TraesCS2D01G462300;TraesCS5A01G218300;TraesCS5D01G225900;TraesCS5B01G217500;TraesCS5B01G217700;TraesCS5D01G226400;TraesCS6A01G347900;TraesCS5B01G217100;TraesCS5B01G217000;TraesCS5D01G226000</t>
  </si>
  <si>
    <t>ionotropic glutamate receptor activity</t>
  </si>
  <si>
    <t>transmitter-gated ion channel activity</t>
  </si>
  <si>
    <t>transmitter-gated channel activity</t>
  </si>
  <si>
    <t>neurotransmitter receptor activity</t>
  </si>
  <si>
    <t>extracellular ligand-gated ion channel activity</t>
  </si>
  <si>
    <t>ligand-gated ion channel activity</t>
  </si>
  <si>
    <t>ligand-gated channel activity</t>
  </si>
  <si>
    <t>glutamate receptor activity</t>
  </si>
  <si>
    <t>TraesCS2A01G438200;TraesCS2D01G436700;TraesCS2D01G436200;TraesCS2A01G438300;TraesCS2A01G439400;TraesCS2B01G459100</t>
  </si>
  <si>
    <t>alternative oxidase activity</t>
  </si>
  <si>
    <t>TraesCS3B01G220700;TraesCS2A01G424900;TraesCS2B01G444700;TraesCS3A01G191100;TraesCS2D01G422900</t>
  </si>
  <si>
    <t>TraesCS2A01G389900;TraesCS3A01G266300;TraesCS3D01G266400</t>
  </si>
  <si>
    <t>oxidoreductase activity, acting on the CH-NH2 group of donors, NAD or NADP as acceptor</t>
  </si>
  <si>
    <t>TraesCS7A01G489600;TraesCS1D01G394500;TraesCS3D01G042700;TraesCS3D01G140900;TraesCS3A01G258700;TraesCS7D01G317600;TraesCS2B01G271500;TraesCS2B01G290000;TraesCS6A01G209000;TraesCS5A01G010800;TraesCS3D01G258800;TraesCS6D01G344600;TraesCS3A01G313400;TraesCS6A01G361100;TraesCS2D01G270400;TraesCS7B01G221700;TraesCS2B01G452200;TraesCS7A01G320800;TraesCS7B01G252700;TraesCS7D01G348700;TraesCS7D01G476000;TraesCS7A01G374700;TraesCS2D01G250900;TraesCS2D01G428700;TraesCS6D01G192500;TraesCS3B01G158500;TraesCS7B01G392700</t>
  </si>
  <si>
    <t>TraesCS1D01G437700;TraesCS7A01G308600;TraesCS7B01G294800;TraesCS5B01G445100;TraesCS5B01G445200;TraesCS1A01G428400;TraesCS7A01G392800;TraesCS7D01G388400;TraesCS7D01G305300;TraesCS1B01G463100;TraesCS7B01G208700</t>
  </si>
  <si>
    <t>TraesCS1B01G250600;TraesCS1A01G235800;TraesCS1A01G238700;TraesCS1D01G238900</t>
  </si>
  <si>
    <t>TraesCS1B01G250600;TraesCS6A01G353700;TraesCS1A01G235800;TraesCS1A01G238700;TraesCS1D01G238900</t>
  </si>
  <si>
    <t>oxidoreductase activity, acting on single donors with incorporation of molecular oxygen, incorporation of one atom of oxygen (internal monooxygenases or internal mixed function oxidases)</t>
  </si>
  <si>
    <t>TraesCS1B01G248400;TraesCS1A01G235200;TraesCS1D01G236900</t>
  </si>
  <si>
    <t>threonyl-tRNA aminoacylation</t>
  </si>
  <si>
    <t>threonine-tRNA ligase activity</t>
  </si>
  <si>
    <t>TraesCS3A01G477500;TraesCS1B01G248600;TraesCS1D01G237100;TraesCS3D01G472100;TraesCSU01G150500;TraesCS3D01G472200;TraesCSU01G051800;TraesCS1A01G235000;TraesCS3A01G477400</t>
  </si>
  <si>
    <t>TraesCS1B01G224300;TraesCS1A01G210400;TraesCS2D01G168200;TraesCS6B01G384500;TraesCS6D01G334000;TraesCS3D01G289100;TraesCS3A01G289300;TraesCS6A01G351300;TraesCS1D01G213700</t>
  </si>
  <si>
    <t>trehalose biosynthetic process</t>
  </si>
  <si>
    <t>oligosaccharide biosynthetic process</t>
  </si>
  <si>
    <t>TraesCS3D01G260300;TraesCS6B01G246800;TraesCS2D01G348900;TraesCSU01G169600;TraesCS1D01G249600;TraesCS4D01G325500;TraesCS5D01G408200;TraesCS1D01G207100;TraesCS2B01G047300;TraesCS1A01G203700;TraesCS2D01G033100;TraesCS1A01G203600;TraesCS7B01G370700;TraesCS2D01G349000;TraesCSU01G020500;TraesCS6D01G199500;TraesCS6A01G216100;TraesCS2D01G349400</t>
  </si>
  <si>
    <t>TraesCS3D01G260300;TraesCS6B01G246800;TraesCS3B01G360600;TraesCS1D01G249600;TraesCS3B01G278200;TraesCS1D01G149100;TraesCS1D01G207100;TraesCS2B01G047300;TraesCS3A01G330600;TraesCS2D01G033100;TraesCS7A01G320000;TraesCS7B01G370700;TraesCS2D01G349000;TraesCSU01G020500;TraesCS6D01G199500;TraesCS6A01G216100;TraesCS2D01G349400;TraesCS2D01G348900;TraesCSU01G169600;TraesCS4D01G325500;TraesCS5D01G408200;TraesCS1D01G312600;TraesCS1A01G203700;TraesCS1A01G312400;TraesCS3A01G249300;TraesCS1A01G203600</t>
  </si>
  <si>
    <t>TraesCS3D01G260300;TraesCS6B01G246800;TraesCS2D01G348900;TraesCSU01G169600;TraesCS1D01G249600;TraesCS4D01G325500;TraesCS5D01G408200;TraesCS1A01G361100;TraesCS1D01G207100;TraesCS2B01G047300;TraesCS1A01G203700;TraesCS2D01G033100;TraesCS1A01G203600;TraesCS7B01G370700;TraesCS2D01G349000;TraesCSU01G020500;TraesCS6D01G199500;TraesCS1B01G377700;TraesCS6A01G216100;TraesCS2D01G349400</t>
  </si>
  <si>
    <t>TraesCS2A01G291900;TraesCS5D01G379700;TraesCS1B01G195800;TraesCS1A01G188000;TraesCS5B01G372500;TraesCS1D01G188500;TraesCS2A01G292000</t>
  </si>
  <si>
    <t>TraesCS1D01G186500;TraesCS1A01G183000;TraesCS1B01G224300;TraesCS1A01G210400;TraesCS2D01G168200;TraesCS6B01G384500;TraesCS6D01G334000;TraesCS1B01G197900;TraesCS3D01G289100;TraesCS3A01G289300;TraesCS6A01G351300;TraesCS1D01G213700</t>
  </si>
  <si>
    <t>protein disulfide oxidoreductase activity</t>
  </si>
  <si>
    <t>TraesCS4B01G378000;TraesCSU01G145600;TraesCS1D01G054600;TraesCS7D01G460500;TraesCSU01G172100;TraesCS4A01G181900;TraesCS5A01G544400;TraesCS4D01G031800;TraesCSU01G137500;TraesCS4D01G031600;TraesCS5B01G048500;TraesCSU01G128300;TraesCS5D01G464000;TraesCS3D01G011100;TraesCS4A01G279100;TraesCS4B01G033400;TraesCS4B01G033600;TraesCS4B01G377100;TraesCS4B01G377500;TraesCS4D01G031900;TraesCS4B01G377900;TraesCS4D01G032200;TraesCS3A01G012400;TraesCS4D01G030700;TraesCS3D01G010800;TraesCS1D01G104800;TraesCS4D01G032000;TraesCS5A01G044300;TraesCSU01G145500;TraesCSU01G145700;TraesCS4B01G378300;TraesCS4B01G378100;TraesCSU01G145300;TraesCSU01G128800;TraesCS4A01G181800;TraesCS5A01G544500;TraesCSU01G152000;TraesCS4D01G031700;TraesCS1A01G095800;TraesCSU01G152800;TraesCS3D01G011000;TraesCS4B01G033100;TraesCS5B01G462200;TraesCS4A01G279200;TraesCS4B01G033300;TraesCS4B01G377200;TraesCS4B01G377000;TraesCS7A01G473600;TraesCS4B01G377400;TraesCSU01G127900;TraesCS4B01G377800;TraesCS3D01G010900;TraesCS3A01G012500;TraesCS5A01G543900;TraesCS5A01G543700;TraesCS5D01G054300;TraesCS3B01G282300;TraesCS3B01G282500;TraesCS4D01G032100;TraesCS5A01G453200;TraesCS5A01G545200;TraesCSU01G151900</t>
  </si>
  <si>
    <t>hydroquinone:oxygen oxidoreductase activity</t>
  </si>
  <si>
    <t>oxidoreductase activity, acting on diphenols and related substances as donors</t>
  </si>
  <si>
    <t>lignin catabolic process</t>
  </si>
  <si>
    <t>phenylpropanoid catabolic process</t>
  </si>
  <si>
    <t>lignin metabolic process</t>
  </si>
  <si>
    <t>phenylpropanoid metabolic process</t>
  </si>
  <si>
    <t>secondary metabolic process</t>
  </si>
  <si>
    <t>TraesCS3A01G347900;TraesCS1D01G293200;TraesCS1B01G044800;TraesCS6D01G354100;TraesCS3D01G341500;TraesCS1D01G036500;TraesCS1A01G228300;TraesCS1D01G230100;TraesCS1A01G035100;TraesCS3B01G379800;TraesCS1B01G242500;TraesCS3A01G337500;TraesCS6B01G407500</t>
  </si>
  <si>
    <t>TraesCS6A01G146500;TraesCS6B01G174700;TraesCS4B01G178700;TraesCS6D01G135800;TraesCS4D01G180300</t>
  </si>
  <si>
    <t>TraesCS4B01G069300;TraesCS4A01G246100;TraesCS4D01G068100</t>
  </si>
  <si>
    <t>glycine hydroxymethyltransferase activity</t>
  </si>
  <si>
    <t>inositol phosphate metabolic process</t>
  </si>
  <si>
    <t>TraesCS2D01G587100;TraesCS6D01G252400;TraesCS7B01G042600;TraesCS6A01G272300;TraesCS6B01G299800</t>
  </si>
  <si>
    <t>inorganic diphosphatase activity</t>
  </si>
  <si>
    <t>TraesCS4A01G101500;TraesCS4D01G204000;TraesCS2A01G215000;TraesCS2D01G220800;TraesCS7A01G504900;TraesCS7B01G142700;TraesCS5D01G474200;TraesCS4B01G203100;TraesCS2D01G248400;TraesCS2B01G270300;TraesCS4A01G310600;TraesCS2B01G240000;TraesCS2B01G267500;TraesCS2A01G247300;TraesCS2A01G254600;TraesCS4D01G003600;TraesCS2D01G255100</t>
  </si>
  <si>
    <t>purine ribonucleotide biosynthetic process</t>
  </si>
  <si>
    <t>TraesCS6B01G300000;TraesCS6A01G272500</t>
  </si>
  <si>
    <t>TraesCS3A01G452400;TraesCS3D01G444900;TraesCS6D01G361500;TraesCS1B01G056900;TraesCS3D01G445000;TraesCS1D01G044300;TraesCS3B01G489700;TraesCS6B01G414100;TraesCS6A01G376300;TraesCS6A01G305000;TraesCS6D01G284200;TraesCS1A01G043900</t>
  </si>
  <si>
    <t>copper ion transport</t>
  </si>
  <si>
    <t>mitochondrial intermembrane space</t>
  </si>
  <si>
    <t>organelle envelope lumen</t>
  </si>
  <si>
    <t>TraesCS3B01G194400;TraesCS3A01G163300;TraesCS5B01G042800;TraesCS5D01G048600</t>
  </si>
  <si>
    <t>TraesCS6D01G083200;TraesCS6B01G127300</t>
  </si>
  <si>
    <t>L-aspartate oxidase activity</t>
  </si>
  <si>
    <t>aspartate oxidase activity</t>
  </si>
  <si>
    <t>L-amino-acid oxidase activity</t>
  </si>
  <si>
    <t>TraesCS6D01G344600;TraesCS6A01G361100</t>
  </si>
  <si>
    <t>alpha-1,6-mannosylglycoprotein 2-beta-N-acetylglucosaminyltransferase activity</t>
  </si>
  <si>
    <t>Golgi subcompartment</t>
  </si>
  <si>
    <t>organelle subcompartment</t>
  </si>
  <si>
    <t>TraesCS5D01G199800;TraesCS5B01G191900</t>
  </si>
  <si>
    <t>molybdopterin synthase activity</t>
  </si>
  <si>
    <t>TraesCS4B01G318900;TraesCS4D01G315400</t>
  </si>
  <si>
    <t>anthranilate phosphoribosyltransferase activity</t>
  </si>
  <si>
    <t>TraesCS4D01G272500;TraesCS4B01G273500</t>
  </si>
  <si>
    <t>O-phospho-L-serine:2-oxoglutarate aminotransferase activity</t>
  </si>
  <si>
    <t>TraesCS4B01G062800;TraesCS4A01G251600</t>
  </si>
  <si>
    <t>4-hydroxy-3-methylbut-2-en-1-yl diphosphate reductase activity</t>
  </si>
  <si>
    <t>oxidoreductase activity, acting on CH or CH2 groups, NAD or NADP as acceptor</t>
  </si>
  <si>
    <t>dimethylallyl diphosphate biosynthetic process</t>
  </si>
  <si>
    <t>dimethylallyl diphosphate metabolic process</t>
  </si>
  <si>
    <t>isopentenyl diphosphate biosynthetic process, methylerythritol 4-phosphate pathway</t>
  </si>
  <si>
    <t>TraesCS3B01G361100;TraesCS3D01G324400</t>
  </si>
  <si>
    <t>4-(cytidine 5'-diphospho)-2-C-methyl-D-erythritol kinase activity</t>
  </si>
  <si>
    <t>TraesCS3A01G439800;TraesCS3D01G432600</t>
  </si>
  <si>
    <t>sedoheptulose-7-phosphate:D-glyceraldehyde-3-phosphate glyceronetransferase activity</t>
  </si>
  <si>
    <t>TraesCS3A01G266300;TraesCS3D01G266400</t>
  </si>
  <si>
    <t>glutamate synthase (NADH) activity</t>
  </si>
  <si>
    <t>glutamate synthase activity, NAD(P)H as acceptor</t>
  </si>
  <si>
    <t>TraesCS3A01G249300;TraesCS3B01G278200</t>
  </si>
  <si>
    <t>cytidine deamination</t>
  </si>
  <si>
    <t>cytidine catabolic process</t>
  </si>
  <si>
    <t>pyrimidine ribonucleoside catabolic process</t>
  </si>
  <si>
    <t>pyrimidine nucleoside catabolic process</t>
  </si>
  <si>
    <t>cytidine metabolic process</t>
  </si>
  <si>
    <t>cytidine deaminase activity</t>
  </si>
  <si>
    <t>TraesCS1D01G209500;TraesCS1A01G206200</t>
  </si>
  <si>
    <t>protein-heme linkage</t>
  </si>
  <si>
    <t>TraesCS1A01G072000;TraesCS1D01G074500</t>
  </si>
  <si>
    <t>glutamate-cysteine ligase activity</t>
  </si>
  <si>
    <t>Slx1-Slx4 complex</t>
  </si>
  <si>
    <t>TraesCS6D01G239700;TraesCS6A01G258500</t>
  </si>
  <si>
    <t>2-C-methyl-D-erythritol 2,4-cyclodiphosphate synthase activity</t>
  </si>
  <si>
    <t>phosphorus-oxygen lyase activity</t>
  </si>
  <si>
    <t>TraesCS3B01G532300;TraesCS6D01G226700;TraesCS3A01G217200;TraesCS2A01G305900;TraesCS6A01G244400;TraesCS5B01G079100;TraesCS6B01G280000;TraesCS5A01G073000;TraesCS5D01G031800;TraesCS7D01G452600;TraesCS2D01G304300;TraesCS3B01G247500;TraesCS5D01G085800;TraesCS5A01G025400</t>
  </si>
  <si>
    <t>TraesCS3A01G452400;TraesCS6A01G041900;TraesCS6B01G056900;TraesCS6D01G361500;TraesCS2D01G436700;TraesCS3D01G445000;TraesCS3B01G489700;TraesCS6B01G414100;TraesCS6A01G376300;TraesCS2A01G438300;TraesCS2A01G439400;TraesCS2B01G459100;TraesCS1A01G043900;TraesCS3D01G444900;TraesCS2A01G438200;TraesCS2A01G468500;TraesCS1B01G056900;TraesCS1D01G044300;TraesCS2D01G436200;TraesCS6A01G305000;TraesCS6D01G284200</t>
  </si>
  <si>
    <t>TraesCS2A01G323000;TraesCS3A01G413600;TraesCS3B01G448000;TraesCS2D01G339900;TraesCS3B01G448100;TraesCS3A01G413700;TraesCS3D01G408100;TraesCS3D01G408000</t>
  </si>
  <si>
    <t>TraesCS1A01G066800;TraesCS1D01G067800;TraesCS1D01G111900;TraesCS7A01G339100;TraesCS7B01G250400;TraesCS2B01G127700;TraesCS7D01G346400</t>
  </si>
  <si>
    <t>TraesCS5A01G058100;TraesCS5B01G065400;TraesCS5D01G069700</t>
  </si>
  <si>
    <t>pyridoxal 5'-phosphate salvage</t>
  </si>
  <si>
    <t>pyridoxal kinase activity</t>
  </si>
  <si>
    <t>TraesCS7D01G063900;TraesCS7A01G059500;TraesCS1A01G329500;TraesCS3B01G100600;TraesCS4D01G232700;TraesCS4D01G052500;TraesCS4A01G419400;TraesCS3B01G585400;TraesCS4D01G220500;TraesCS5D01G173900;TraesCS7A01G387000;TraesCS7D01G383600;TraesCS2A01G516800;TraesCS3A01G102200;TraesCS4A01G262600;TraesCS5B01G166300;TraesCS2A01G516500;TraesCS3D01G104500;TraesCS4B01G052300;TraesCS4A01G075600;TraesCS4B01G220200;TraesCS5A01G169500;TraesCS7D01G054000;TraesCS7D01G501700;TraesCS4A01G083900;TraesCS7A01G069300;TraesCS7A01G512300;TraesCS7B01G423900;TraesCS4A01G431500;TraesCS4B01G231400;TraesCS4A01G431600;TraesCSU01G249900</t>
  </si>
  <si>
    <t>TraesCS5A01G361100;TraesCS2A01G505800;TraesCS5B01G363800;TraesCS3A01G280500;TraesCS2D01G506600;TraesCS5D01G370100</t>
  </si>
  <si>
    <t>TraesCS1A01G217300;TraesCS2A01G323300;TraesCS2D01G339600;TraesCS1D01G219100;TraesCS1B01G230500;TraesCS2B01G359300</t>
  </si>
  <si>
    <t>TraesCS3A01G175000;TraesCS3D01G180500;TraesCS5A01G425600;TraesCS3B01G283800;TraesCS1D01G368100;TraesCS5A01G096800;TraesCS2D01G224100;TraesCS5D01G109500;TraesCS3D01G252800;TraesCS5B01G427600;TraesCS7D01G044300;TraesCS5B01G102700;TraesCS4D01G012300;TraesCS1A01G363200;TraesCS3D01G207900;TraesCSU01G076400</t>
  </si>
  <si>
    <t>protein N-linked glycosylation via asparagine</t>
  </si>
  <si>
    <t>peptidyl-asparagine modification</t>
  </si>
  <si>
    <t>TraesCS6D01G357100;TraesCS7D01G130500</t>
  </si>
  <si>
    <t>ribonucleoside-diphosphate reductase activity, thioredoxin disulfide as acceptor</t>
  </si>
  <si>
    <t>ribonucleoside-diphosphate reductase activity</t>
  </si>
  <si>
    <t>oxidoreductase activity, acting on CH or CH2 groups, disulfide as acceptor</t>
  </si>
  <si>
    <t>DNA-templated transcription, termination</t>
  </si>
  <si>
    <t>TraesCS6B01G257900;TraesCS6D01G212000</t>
  </si>
  <si>
    <t>nucleoside salvage</t>
  </si>
  <si>
    <t>adenosine kinase activity</t>
  </si>
  <si>
    <t>TraesCS6B01G336300;TraesCS6A01G307700</t>
  </si>
  <si>
    <t>geranylgeranyl reductase activity</t>
  </si>
  <si>
    <t>TraesCS6D01G147700;TraesCS6D01G291600;TraesCS6A01G312200;TraesCS6B01G342400;TraesCS6A01G163500</t>
  </si>
  <si>
    <t>TraesCS6D01G095800;TraesCS6A01G107900</t>
  </si>
  <si>
    <t>porphobilinogen synthase activity</t>
  </si>
  <si>
    <t>TraesCS5A01G324200;TraesCS5B01G324800</t>
  </si>
  <si>
    <t>triose-phosphate isomerase activity</t>
  </si>
  <si>
    <t>[ribulose-bisphosphate carboxylase]-lysine N-methyltransferase activity</t>
  </si>
  <si>
    <t>TraesCS5D01G201300;TraesCS5A01G189600</t>
  </si>
  <si>
    <t>U5 snRNA binding</t>
  </si>
  <si>
    <t>U6 snRNA binding</t>
  </si>
  <si>
    <t>snRNA binding</t>
  </si>
  <si>
    <t>hormone-mediated signaling pathway</t>
  </si>
  <si>
    <t>cellular response to hormone stimulus</t>
  </si>
  <si>
    <t>cellular response to endogenous stimulus</t>
  </si>
  <si>
    <t>cellular response to organic substance</t>
  </si>
  <si>
    <t>TraesCS5A01G132300;TraesCS5B01G132600</t>
  </si>
  <si>
    <t>galactonolactone dehydrogenase activity</t>
  </si>
  <si>
    <t>oxidoreductase activity, acting on the CH-CH group of donors, cytochrome as acceptor</t>
  </si>
  <si>
    <t>TraesCS6B01G284600;TraesCS5A01G113200;TraesCS5B01G120100;TraesCS5D01G127300</t>
  </si>
  <si>
    <t>TraesCS4B01G285000;TraesCS4D01G283800</t>
  </si>
  <si>
    <t>ribulose-phosphate 3-epimerase activity</t>
  </si>
  <si>
    <t>TraesCS4A01G364400;TraesCS5B01G509100</t>
  </si>
  <si>
    <t>phosphoribosylformylglycinamidine cyclo-ligase activity</t>
  </si>
  <si>
    <t>TraesCS4A01G355100;TraesCS5B01G517400</t>
  </si>
  <si>
    <t>deadenylation-dependent decapping of nuclear-transcribed mRNA</t>
  </si>
  <si>
    <t>vitamin metabolic process</t>
  </si>
  <si>
    <t>plant-type cell wall organization</t>
  </si>
  <si>
    <t>plant-type cell wall organization or biogenesis</t>
  </si>
  <si>
    <t>TraesCS4A01G013500;TraesCS4A01G276300</t>
  </si>
  <si>
    <t>adenylosuccinate synthase activity</t>
  </si>
  <si>
    <t>mitotic chromosome condensation</t>
  </si>
  <si>
    <t>mitotic sister chromatid segregation</t>
  </si>
  <si>
    <t>mitotic nuclear division</t>
  </si>
  <si>
    <t>sister chromatid segregation</t>
  </si>
  <si>
    <t>chromosome condensation</t>
  </si>
  <si>
    <t>condensin complex</t>
  </si>
  <si>
    <t>condensed chromosome</t>
  </si>
  <si>
    <t>sugar-phosphatase activity</t>
  </si>
  <si>
    <t>carbohydrate phosphatase activity</t>
  </si>
  <si>
    <t>Golgi organization</t>
  </si>
  <si>
    <t>endomembrane system organization</t>
  </si>
  <si>
    <t>TraesCS4B01G321300;TraesCS7D01G554900;TraesCS6A01G154400;TraesCS6A01G420100;TraesCS4D01G317900;TraesCS3B01G229700;TraesCS3A01G202000;TraesCS3A01G292700;TraesCS6D01G405600;TraesCS6B01G182300;TraesCS5A01G490800;TraesCS7A01G555700</t>
  </si>
  <si>
    <t>TraesCS3D01G084300;TraesCS3A01G084400</t>
  </si>
  <si>
    <t>acireductone synthase activity</t>
  </si>
  <si>
    <t>phosphoserine phosphatase activity</t>
  </si>
  <si>
    <t>TraesCS2B01G304900;TraesCS7A01G004000;TraesCS4A01G494400;TraesCS7B01G162300;TraesCS7D01G265200;TraesCS7D01G004500;TraesCS7A01G264300</t>
  </si>
  <si>
    <t>TraesCS7A01G509200;TraesCS7B01G226100;TraesCS3B01G574300;TraesCS2D01G214700;TraesCS4D01G025700;TraesCS7A01G325400;TraesCS3D01G514100;TraesCS2B01G234500;TraesCS4A01G286700;TraesCS4B01G028100;TraesCS7D01G322000</t>
  </si>
  <si>
    <t>TraesCS2D01G214700;TraesCS2B01G234500</t>
  </si>
  <si>
    <t>electron transporter, transferring electrons within cytochrome b6/f complex of photosystem II activity</t>
  </si>
  <si>
    <t>plastoquinol--plastocyanin reductase activity</t>
  </si>
  <si>
    <t>oxidoreductase activity, acting on diphenols and related substances as donors, with copper protein as acceptor</t>
  </si>
  <si>
    <t>TraesCS3B01G299100;TraesCS2D01G561900;TraesCS2A01G592600</t>
  </si>
  <si>
    <t>TraesCS2B01G528300;TraesCS2A01G500400;TraesCS2D01G500600;TraesCS4D01G240700;TraesCS6D01G065600</t>
  </si>
  <si>
    <t>TraesCS2D01G467900;TraesCS2A01G467900</t>
  </si>
  <si>
    <t>TraesCS2A01G430500;TraesCS2B01G451100</t>
  </si>
  <si>
    <t>TraesCS2B01G159600;TraesCS2D01G138200;TraesCS6B01G363500;TraesCS2A01G424700</t>
  </si>
  <si>
    <t>histone lysine methylation</t>
  </si>
  <si>
    <t>peptidyl-lysine methylation</t>
  </si>
  <si>
    <t>peptidyl-lysine modification</t>
  </si>
  <si>
    <t>histone methylation</t>
  </si>
  <si>
    <t>histone-lysine N-methyltransferase activity</t>
  </si>
  <si>
    <t>histone methyltransferase activity</t>
  </si>
  <si>
    <t>protein-lysine N-methyltransferase activity</t>
  </si>
  <si>
    <t>lysine N-methyltransferase activity</t>
  </si>
  <si>
    <t>TraesCS5B01G484700;TraesCS2B01G309500;TraesCS2A01G293400;TraesCS5B01G175800</t>
  </si>
  <si>
    <t>RNA catabolic process</t>
  </si>
  <si>
    <t>TraesCS4A01G307900;TraesCS2A01G215100;TraesCS3A01G159900;TraesCS2B01G240100</t>
  </si>
  <si>
    <t>TraesCS4A01G307900;TraesCS2A01G289800;TraesCS2A01G215100;TraesCS3A01G159900;TraesCS3A01G248000;TraesCS3B01G276700;TraesCS2B01G240100</t>
  </si>
  <si>
    <t>TraesCS2A01G132200;TraesCS2B01G154700</t>
  </si>
  <si>
    <t>TraesCS2B01G107200;TraesCS2A01G092400</t>
  </si>
  <si>
    <t>D-alanine-D-alanine ligase activity</t>
  </si>
  <si>
    <t>protein methyltransferase activity</t>
  </si>
  <si>
    <t>protein methylation</t>
  </si>
  <si>
    <t>protein alkylation</t>
  </si>
  <si>
    <t>pyridine nucleotide biosynthetic process</t>
  </si>
  <si>
    <t>negative regulation of DNA recombination</t>
  </si>
  <si>
    <t>regulation of DNA recombination</t>
  </si>
  <si>
    <t>TraesCS1D01G149900;TraesCS4A01G364400;TraesCS2A01G286500;TraesCS5B01G509100;TraesCS2B01G303300</t>
  </si>
  <si>
    <t>TraesCS1D01G149900;TraesCS4A01G124000;TraesCS4A01G364400;TraesCS2A01G286500;TraesCS5B01G509100;TraesCS2B01G303300</t>
  </si>
  <si>
    <t>purine ribonucleoside monophosphate biosynthetic process</t>
  </si>
  <si>
    <t>ribonucleoside monophosphate biosynthetic process</t>
  </si>
  <si>
    <t>purine nucleoside monophosphate biosynthetic process</t>
  </si>
  <si>
    <t>nucleoside monophosphate biosynthetic process</t>
  </si>
  <si>
    <t>TraesCS1D01G149900;TraesCS2A01G286500;TraesCS2B01G303300</t>
  </si>
  <si>
    <t>phosphoribosylformylglycinamidine synthase activity</t>
  </si>
  <si>
    <t>ribonucleotide biosynthetic process</t>
  </si>
  <si>
    <t>ribose phosphate biosynthetic process</t>
  </si>
  <si>
    <t>TraesCS1D01G401900;TraesCS1B01G422200</t>
  </si>
  <si>
    <t>3-deoxy-manno-octulosonate cytidylyltransferase activity</t>
  </si>
  <si>
    <t>TraesCS1B01G368500;TraesCS7B01G093800;TraesCS7A01G189000;TraesCS2B01G491700;TraesCS7A01G120300;TraesCS7D01G117800;TraesCS1D01G356900;TraesCS2A01G468800</t>
  </si>
  <si>
    <t>TraesCS1B01G261600;TraesCS5A01G324200;TraesCS5B01G324800;TraesCS5B01G419300;TraesCS2A01G234900;TraesCS2D01G238600</t>
  </si>
  <si>
    <t>nucleoside-triphosphatase regulator activity</t>
  </si>
  <si>
    <t>TraesCS1D01G119400;TraesCS1A01G382900;TraesCS3B01G140800;TraesCS1B01G408600;TraesCS3D01G123500;TraesCS6B01G216800</t>
  </si>
  <si>
    <t>TraesCS3D01G258900;TraesCS1A01G369600</t>
  </si>
  <si>
    <t>N-methyltransferase activity</t>
  </si>
  <si>
    <t>beta-galactosidase activity</t>
  </si>
  <si>
    <t>galactosidase activity</t>
  </si>
  <si>
    <t>TraesCS1D01G341100;TraesCS1A01G339300</t>
  </si>
  <si>
    <t>alpha,alpha-trehalose-phosphate synthase (UDP-forming) activity</t>
  </si>
  <si>
    <t>TraesCS1A01G315900;TraesCS2B01G198300;TraesCS3B01G564100;TraesCS2A01G171900;TraesCS2D01G565200;TraesCS5D01G359800;TraesCS3D01G507500;TraesCS1D01G178000;TraesCS1D01G316200</t>
  </si>
  <si>
    <t>TraesCS6B01G295700;TraesCS3A01G184800;TraesCS1A01G260500;TraesCS1D01G260500;TraesCS5B01G171400;TraesCS5A01G467500;TraesCS6A01G268600;TraesCS5D01G480300;TraesCS1B01G271100;TraesCS3B01G214600;TraesCS7B01G119300;TraesCS5B01G479200;TraesCS6D01G246300;TraesCS5D01G285200;TraesCS3D01G188800</t>
  </si>
  <si>
    <t>DNA conformation change</t>
  </si>
  <si>
    <t>TraesCS1A01G224700;TraesCS1D01G226100</t>
  </si>
  <si>
    <t>chlorophyll synthetase activity</t>
  </si>
  <si>
    <t>TraesCS1D01G144000;TraesCS2D01G049500;TraesCS4A01G452700;TraesCS1A01G361400;TraesCS2D01G310000;TraesCS2B01G328500;TraesCSU01G009200;TraesCS1B01G378000;TraesCS7A01G036200;TraesCS1A01G145000;TraesCS7D01G032800</t>
  </si>
  <si>
    <t>TraesCS1B01G155600;TraesCS1A01G137000</t>
  </si>
  <si>
    <t>nuclear exosome (RNase complex)</t>
  </si>
  <si>
    <t>TraesCS4D01G094700;TraesCS4D01G086000;TraesCS7B01G352800;TraesCS1B01G156600;TraesCS3D01G373300;TraesCS1A01G130700;TraesCS4B01G090000;TraesCS7D01G442100;TraesCS1D01G352300;TraesCS2D01G528800;TraesCS7A01G452800;TraesCS3A01G380100;TraesCS4A01G220100;TraesCS4B01G321500;TraesCS5A01G490500;TraesCS4A01G226500;TraesCS3B01G412600;TraesCS4D01G318200;TraesCS7A01G313900</t>
  </si>
  <si>
    <t>TraesCS1B01G368500;TraesCS7D01G554900;TraesCS3A01G289900;TraesCS7A01G189000;TraesCS5D01G470400;TraesCS7D01G294300;TraesCS2A01G102600;TraesCS4A01G446700;TraesCS1D01G356900;TraesCS3D01G289600;TraesCS7B01G093800;TraesCS7D01G508100;TraesCS1D01G117400;TraesCS6B01G104600;TraesCS1B01G167200;TraesCS3A01G202000;TraesCS2D01G102100;TraesCS6B01G182300;TraesCS5A01G490800;TraesCS7A01G555700;TraesCS4D01G088200;TraesCS5D01G230300;TraesCS6A01G420100;TraesCS4D01G317900;TraesCS3B01G229700;TraesCS1A01G116200;TraesCS3A01G292700;TraesCSU01G142500;TraesCS6D01G405600;TraesCS1A01G339300;TraesCS7D01G117800;TraesCS4B01G091100;TraesCS4B01G321300;TraesCS6A01G077800;TraesCS3B01G324500;TraesCS5A01G222500;TraesCS5D01G517200;TraesCS6A01G154400;TraesCS1D01G146600;TraesCS2B01G491700;TraesCS2B01G119700;TraesCS1D01G341100;TraesCS7A01G120300;TraesCS7A01G518200;TraesCS2A01G468800;TraesCS4A01G355000;TraesCS5B01G517500</t>
  </si>
  <si>
    <t>RNA biosynthetic process</t>
  </si>
  <si>
    <t>TraesCS4B01G252400;TraesCS3A01G023800;TraesCS4A01G494400;TraesCS5A01G357400;TraesCS2A01G246200;TraesCS1A01G111100;TraesCS5B01G136500;TraesCS2D01G248600;TraesCS4A01G051900;TraesCS3A01G275700;TraesCS3D01G275600;TraesCS7D01G265200;TraesCS6D01G210000;TraesCS2B01G263300;TraesCS6A01G225200;TraesCS5D01G366500;TraesCS7A01G004000;TraesCS3B01G309400;TraesCS6A01G336800;TraesCS7B01G162300;TraesCS7D01G004500;TraesCS4D01G252700;TraesCS7A01G264300;TraesCS6B01G256400;TraesCS2B01G304900;TraesCS2D01G249200;TraesCS5B01G102600;TraesCS4A01G078800</t>
  </si>
  <si>
    <t>TraesCS1A01G099500;TraesCS2A01G132200;TraesCS1D01G107400;TraesCS1D01G067500;TraesCS2B01G154700</t>
  </si>
  <si>
    <t>cytoplasmic microtubule organization</t>
  </si>
  <si>
    <t>TraesCS1A01G099400;TraesCS1D01G107300;TraesCS2D01G561900;TraesCS2A01G592600</t>
  </si>
  <si>
    <t>TraesCS1A01G099400;TraesCS2D01G399800;TraesCS1D01G107300;TraesCS2D01G561900;TraesCS1A01G095200;TraesCS2B01G375700;TraesCS2A01G592600;TraesCS5A01G059900</t>
  </si>
  <si>
    <t>TraesCS1A01G092700;TraesCS1D01G101200;TraesCS6A01G070600</t>
  </si>
  <si>
    <t>TraesCS6D01G172500;TraesCS1A01G060100</t>
  </si>
  <si>
    <t>GPI-anchor transamidase activity</t>
  </si>
  <si>
    <t>TraesCS3A01G322500;TraesCS7B01G131400;TraesCS1D01G024800;TraesCS6B01G139000;TraesCS4D01G047300;TraesCS7B01G451500;TraesCS4A01G036500;TraesCS1A01G024700;TraesCS4A01G166900;TraesCS4A01G267000;TraesCS7D01G233100;TraesCS1D01G329100;TraesCS4D01G151900;TraesCS4B01G047300</t>
  </si>
  <si>
    <t>TraesCS4B01G142700;TraesCS7B01G259000;TraesCS7D01G146400;TraesCS7D01G353800;TraesCS3D01G324400;TraesCS6D01G257000;TraesCS7A01G369500;TraesCS1A01G205800;TraesCS6D01G239700;TraesCS1B01G219300;TraesCS3A01G299000;TraesCS4D01G141000;TraesCS6A01G258500;TraesCS4A01G174700</t>
  </si>
  <si>
    <t>response to high light intensity</t>
  </si>
  <si>
    <t>TraesCS7D01G416900;TraesCS7A01G424700;TraesCS7B01G325300</t>
  </si>
  <si>
    <t>transmembrane receptor protein kinase activity</t>
  </si>
  <si>
    <t>TraesCS5A01G190400;TraesCS7D01G435100;TraesCS7B01G346600</t>
  </si>
  <si>
    <t>copper ion homeostasis</t>
  </si>
  <si>
    <t>TraesCS1D01G073000;TraesCS5D01G069700;TraesCS7A01G225800;TraesCS6A01G177700;TraesCS6A01G331400;TraesCS6A01G240700;TraesCS6D01G039300;TraesCS5A01G182400;TraesCS7B01G346600;TraesCS3D01G308100;TraesCS5B01G065400;TraesCS3A01G355700;TraesCS7D01G435100;TraesCS4B01G068300;TraesCS4D01G096400;TraesCS7B01G372400;TraesCS7B01G347000;TraesCS5A01G177800;TraesCS5A01G058100;TraesCS1A01G215600;TraesCS2D01G392800;TraesCS4A01G216100;TraesCS5D01G183700;TraesCS5D01G182100;TraesCS2B01G174500;TraesCS1D01G333500;TraesCS7A01G470400;TraesCS4D01G045300;TraesCS3D01G432600;TraesCS2D01G284700;TraesCS4B01G045400;TraesCS1B01G461600;TraesCS3A01G439800;TraesCS1B01G304800;TraesCS2B01G303200;TraesCS4B01G100100;TraesCS2A01G285900;TraesCS2D01G517200;TraesCS2B01G393000;TraesCS3B01G585400;TraesCS7D01G364900;TraesCS1B01G229100;TraesCS6A01G116000;TraesCS7D01G457800;TraesCS3A01G295000;TraesCS2A01G384100;TraesCS5B01G175100;TraesCS2B01G302400;TraesCS6D01G104800;TraesCS1A01G295300;TraesCS5B01G180400</t>
  </si>
  <si>
    <t>organic hydroxy compound metabolic process</t>
  </si>
  <si>
    <t>TraesCS5B01G151000;TraesCS5A01G152400;TraesCS5D01G157600;TraesCS4B01G335100;TraesCS5A01G505000</t>
  </si>
  <si>
    <t>TraesCS4B01G037800;TraesCS2B01G333600;TraesCS4B01G037900;TraesCS4D01G035200;TraesCS4A01G009400;TraesCS5D01G183700;TraesCS7A01G412400</t>
  </si>
  <si>
    <t>oxylipin biosynthetic process</t>
  </si>
  <si>
    <t>oxylipin metabolic process</t>
  </si>
  <si>
    <t>TraesCS2D01G431500;TraesCS3D01G445000;TraesCS6B01G414100;TraesCS2A01G433500;TraesCS7B01G327400;TraesCS2B01G605800;TraesCS1B01G056900;TraesCS2B01G187300;TraesCS4D01G031600;TraesCS7A01G427100;TraesCS2B01G454500;TraesCS6A01G266100;TraesCS1D01G044300;TraesCS4D01G207500;TraesCS7A01G427600;TraesCS1D01G199300;TraesCS1B01G182000;TraesCS3A01G452400;TraesCS4B01G033400;TraesCS6B01G293500;TraesCS6D01G361500;TraesCS7D01G419400;TraesCS6A01G246400;TraesCS3B01G489700;TraesCS6A01G376300;TraesCS4B01G335100;TraesCS1A01G043900;TraesCS1B01G210500;TraesCS3D01G444900;TraesCS2A01G363600;TraesCS2D01G361400;TraesCS2D01G598500;TraesCS6D01G248500;TraesCS5A01G505000;TraesCS6A01G305000;TraesCS4D01G032000;TraesCS6D01G284200</t>
  </si>
  <si>
    <t>apoplast</t>
  </si>
  <si>
    <t>TraesCS3B01G123700;TraesCS3A01G105300;TraesCS2B01G275100;TraesCS1A01G396900;TraesCS2A01G303200;TraesCS3B01G272600;TraesCS7B01G346600;TraesCS4B01G052700;TraesCS5B01G151000;TraesCS7B01G296300;TraesCS5A01G152400;TraesCS1D01G327200;TraesCS6B01G423000;TraesCS7A01G182500;TraesCS4A01G130400;TraesCS7D01G435100;TraesCS1B01G425200;TraesCS3A01G246700;TraesCS5D01G467000;TraesCS5B01G408100;TraesCS1D01G156600;TraesCS5A01G205000;TraesCS5A01G093100;TraesCS1A01G112400;TraesCS1D01G123700;TraesCS2A01G363600;TraesCS2D01G361400;TraesCS1D01G404800;TraesCS1D01G152000;TraesCS5D01G157600;TraesCS5D01G413300;TraesCS1B01G164200;TraesCS1D01G405200;TraesCS1A01G159200;TraesCS5A01G403300;TraesCS5B01G465200;TraesCS4A01G148500;TraesCS5A01G456200;TraesCS1A01G122800;TraesCS7D01G389700;TraesCS6B01G423100;TraesCS5D01G467100;TraesCS3D01G244800;TraesCS2B01G381600;TraesCS4D01G176100;TraesCS5B01G099200;TraesCS2A01G225200;TraesCS7B01G087400;TraesCS7D01G183900;TraesCS1D01G144600;TraesCS6A01G383800;TraesCS6D01G368800;TraesCS2D01G250600;TraesCS2B01G260500;TraesCS4B01G174100;TraesCS2D01G231100</t>
  </si>
  <si>
    <t>TraesCS2D01G076900;TraesCS4B01G033400;TraesCS7B01G024500;TraesCS5D01G168400;TraesCS4B01G098300;TraesCS6D01G255200;TraesCS7A01G263300;TraesCS1D01G310100;TraesCS6B01G302400;TraesCS3A01G212300;TraesCS6A01G157500;TraesCS4B01G071500;TraesCS3B01G452100;TraesCS4D01G031600;TraesCS5B01G160700;TraesCS7A01G125600;TraesCS7B01G161100;TraesCS1A01G310600;TraesCS4D01G032000;TraesCS7D01G122600;TraesCS4D01G094500</t>
  </si>
  <si>
    <t>TraesCS1D01G184900;TraesCS2B01G208900;TraesCS5B01G482400;TraesCS7D01G392800;TraesCS7B01G346600;TraesCS1A01G086600;TraesCS7D01G343800;TraesCS7D01G435100;TraesCS4D01G096400;TraesCS6B01G295200;TraesCS5A01G177800;TraesCS5D01G207400;TraesCS2D01G182100;TraesCS3B01G283800;TraesCS1D01G292400;TraesCS5B01G200000;TraesCS2D01G077300;TraesCS2B01G198100;TraesCS6A01G244400;TraesCS5A01G469800;TraesCS7D01G044300;TraesCS2A01G080000;TraesCS4D01G229700;TraesCS7A01G279100;TraesCS1B01G164200;TraesCS3D01G207900;TraesCS6D01G248100;TraesCS3D01G180500;TraesCS7D01G548200;TraesCS2B01G204800;TraesCS4B01G137700;TraesCS5D01G482800;TraesCS7A01G470400;TraesCS1D01G111900;TraesCS4D01G045300;TraesCS5D01G109500;TraesCS1D01G013200;TraesCS4B01G045400;TraesCS7A01G130600;TraesCS5D01G179100;TraesCS4B01G100100;TraesCS1A01G072600;TraesCS5D01G022200;TraesCS2B01G393000;TraesCSU01G076400;TraesCS1A01G298900;TraesCS7D01G278900;TraesCS3A01G175000;TraesCS2A01G155500;TraesCS5A01G425600;TraesCS1B01G229100;TraesCS3A01G505200;TraesCS1D01G368100;TraesCS5B01G156800;TraesCS2A01G384100;TraesCS2B01G350600;TraesCS5B01G102700;TraesCS4B01G306900;TraesCS1A01G251600;TraesCS5B01G530800;TraesCS3D01G056500;TraesCS5D01G531600;TraesCS4D01G360300;TraesCS1B01G158500;TraesCS4A01G072700;TraesCS5A01G424300;TraesCS6D01G039300;TraesCS5A01G096800;TraesCS4D01G098500;TraesCS4D01G132500;TraesCS7B01G372400;TraesCS5A01G534900;TraesCS1A01G215600;TraesCS4A01G407500;TraesCS2D01G392800;TraesCS2A01G174700;TraesCS4A01G216100;TraesCS4D01G176200;TraesCS5B01G427600;TraesCS1D01G198600;TraesCS5B01G316300;TraesCS5D01G182100;TraesCS5D01G432800;TraesCS1D01G073100;TraesCS5B01G073000;TraesCS6D01G226700;TraesCS2B01G180500;TraesCS1B01G308600;TraesCS6B01G280000;TraesCS3D01G252800;TraesCS6A01G266600;TraesCS2B01G223000;TraesCS1A01G363200;TraesCS4D01G176300;TraesCS1D01G108300;TraesCS4D01G300100;TraesCS7A01G561600;TraesCS2D01G224100;TraesCS4D01G305100;TraesCS4B01G367200;TraesCS7D01G457800;TraesCS7B01G299200;TraesCS1D01G144600;TraesCS5B01G175100;TraesCS1A01G295300;TraesCS2B01G201100;TraesCS4B01G101900;TraesCS6B01G294000</t>
  </si>
  <si>
    <t>TraesCS2B01G605800;TraesCS7A01G110500;TraesCS2D01G598500;TraesCS3D01G072000;TraesCS7D01G106000;TraesCS5B01G502200</t>
  </si>
  <si>
    <t>regulation of seed germination</t>
  </si>
  <si>
    <t>TraesCS3D01G373700;TraesCS3D01G373600;TraesCS1D01G335400;TraesCS4A01G033400;TraesCS1A01G111000;TraesCS1D01G335500;TraesCS6B01G324800;TraesCS2D01G118400;TraesCS3A01G414000;TraesCS1B01G324000;TraesCS5D01G142900;TraesCSU01G003600;TraesCS4B01G052700;TraesCS3D01G376700;TraesCS2A01G121000;TraesCS7B01G116700;TraesCS1A01G332800;TraesCS3D01G443400;TraesCS2B01G135900;TraesCS5A01G213700;TraesCS7D01G328400;TraesCS3B01G416000;TraesCS6D01G275100;TraesCS2D01G520900;TraesCS1D01G112500;TraesCS5B01G135200;TraesCS4D01G147600;TraesCS6A01G294200;TraesCS3B01G487700;TraesCS4A01G145300;TraesCS3A01G380600;TraesCS3A01G383600;TraesCS5D01G218300;TraesCS2B01G271700;TraesCS2B01G141900;TraesCS1D01G312500;TraesCS2D01G443700;TraesCS4D01G271200;TraesCS1A01G312300;TraesCS6B01G128000;TraesCS5A01G136200;TraesCS7D01G388900</t>
  </si>
  <si>
    <t>TraesCS5B01G307300;TraesCS4D01G147600;TraesCS4A01G145300;TraesCS5D01G039900;TraesCS4B01G335100;TraesCS7B01G346600;TraesCS2B01G141900;TraesCS4B01G052700;TraesCS5B01G151000;TraesCS1D01G144600;TraesCS5A01G190400;TraesCS2A01G121000;TraesCS5A01G152400;TraesCS5D01G157600;TraesCS4B01G125700;TraesCS5A01G505000;TraesCS1B01G164200;TraesCS7D01G435100;TraesCS5B01G031800</t>
  </si>
  <si>
    <t>TraesCS2D01G346200;TraesCS3A01G285700;TraesCS5A01G177800;TraesCS7B01G024500;TraesCS5B01G175100;TraesCS5D01G182100;TraesCS7A01G125600;TraesCS3D01G324400;TraesCS7D01G122600</t>
  </si>
  <si>
    <t>heme biosynthetic process</t>
  </si>
  <si>
    <t>TraesCS1D01G184900;TraesCS2B01G208900;TraesCS5B01G482400;TraesCS7D01G392800;TraesCS7B01G346600;TraesCS1A01G086600;TraesCS7D01G343800;TraesCS7D01G435100;TraesCS4D01G096400;TraesCS6B01G295200;TraesCS5A01G177800;TraesCS5D01G207400;TraesCS2D01G182100;TraesCS3B01G283800;TraesCS1D01G292400;TraesCS5B01G200000;TraesCS2D01G077300;TraesCS2B01G198100;TraesCS6A01G244400;TraesCS5A01G469800;TraesCS7D01G044300;TraesCS2A01G080000;TraesCS4D01G229700;TraesCS7A01G279100;TraesCS1B01G164200;TraesCS3D01G207900;TraesCS6D01G248100;TraesCS3D01G180500;TraesCS7D01G548200;TraesCS2B01G204800;TraesCS4B01G137700;TraesCS5D01G482800;TraesCS7A01G470400;TraesCS1D01G111900;TraesCS4D01G045300;TraesCS5D01G109500;TraesCS1D01G013200;TraesCS4B01G045400;TraesCS7A01G130600;TraesCS5D01G179100;TraesCS4B01G100100;TraesCS1A01G072600;TraesCS5D01G022200;TraesCS2B01G393000;TraesCSU01G076400;TraesCS1A01G298900;TraesCS7D01G278900;TraesCS3A01G175000;TraesCS2A01G155500;TraesCS5A01G425600;TraesCS1B01G229100;TraesCS3A01G505200;TraesCS1D01G368100;TraesCS1D01G074500;TraesCS5B01G156800;TraesCS2A01G384100;TraesCS2B01G350600;TraesCS5B01G102700;TraesCS4B01G306900;TraesCS1A01G251600;TraesCS5B01G530800;TraesCS3D01G056500;TraesCS5D01G531600;TraesCS4D01G360300;TraesCS1B01G158500;TraesCS4A01G072700;TraesCS5A01G424300;TraesCS6D01G039300;TraesCS5A01G096800;TraesCS4D01G098500;TraesCS4D01G132500;TraesCS7B01G372400;TraesCS5A01G534900;TraesCS1A01G215600;TraesCS4A01G407500;TraesCS2D01G392800;TraesCS2A01G174700;TraesCS4A01G216100;TraesCS4D01G176200;TraesCS5B01G427600;TraesCS1D01G198600;TraesCS5B01G316300;TraesCS5D01G182100;TraesCS5D01G432800;TraesCS1D01G073100;TraesCS5B01G073000;TraesCS6D01G226700;TraesCS2B01G180500;TraesCS1B01G308600;TraesCS6B01G280000;TraesCS3D01G252800;TraesCS6A01G266600;TraesCS2B01G223000;TraesCS1A01G363200;TraesCS4D01G176300;TraesCS1D01G108300;TraesCS4D01G300100;TraesCS7A01G561600;TraesCS2D01G224100;TraesCS4D01G305100;TraesCS4B01G367200;TraesCS7D01G457800;TraesCS7B01G299200;TraesCS1D01G144600;TraesCS5B01G175100;TraesCS1A01G295300;TraesCS2B01G201100;TraesCS4B01G101900;TraesCS6B01G294000</t>
  </si>
  <si>
    <t>TraesCS7D01G355100;TraesCS1A01G218400;TraesCS7D01G114100;TraesCS1D01G220000;TraesCS6D01G161200;TraesCS2A01G049700;TraesCS5D01G142900;TraesCS3A01G110300;TraesCS2A01G056800;TraesCS2B01G060900;TraesCS2D01G479100;TraesCS5B01G384300;TraesCS6D01G166100;TraesCS2D01G451100;TraesCS4A01G101600;TraesCS4B01G203000;TraesCS1B01G254900;TraesCS3D01G412400;TraesCS5D01G380500;TraesCS3A01G056700;TraesCS4B01G181800;TraesCS1A01G257200;TraesCS7B01G245800;TraesCS5A01G447200;TraesCS1A01G002500;TraesCS2B01G435600;TraesCS6D01G153600;TraesCS2A01G463900;TraesCS5D01G022200;TraesCS7A01G033500;TraesCS3D01G290000;TraesCS3D01G234400;TraesCS5B01G135200;TraesCS1B01G264600;TraesCS4D01G180700;TraesCS1B01G430800;TraesCS5D01G163500;TraesCS5A01G467600;TraesCS2A01G384100;TraesCS2B01G350600;TraesCS4B01G306900;TraesCS6B01G145700;TraesCS5B01G530800;TraesCS1A01G343000;TraesCS1A01G243400;TraesCS5A01G315700;TraesCS7D01G030100;TraesCS4D01G360300;TraesCS5D01G480600;TraesCS3D01G193200;TraesCS1B01G158500;TraesCS3B01G290300;TraesCS4D01G203900;TraesCS2A01G083300;TraesCS5D01G328300;TraesCSU01G003600;TraesCS2D01G031100;TraesCS5B01G183500;TraesCS3A01G317700;TraesCS1A01G332800;TraesCS7D01G366600;TraesCS2D01G562200;TraesCS3A01G232300;TraesCS3A01G362500;TraesCS2D01G226300;TraesCS1D01G439400;TraesCS3D01G220900;TraesCS7D01G114200;TraesCS1D01G052000;TraesCS1D01G335400;TraesCS6D01G105000;TraesCS1A01G015300;TraesCS4D01G184200;TraesCS1B01G324000;TraesCS3B01G306400;TraesCS2B01G097300;TraesCS3A01G479800;TraesCS1B01G283300;TraesCS1A01G047000;TraesCS1B01G231900;TraesCS3B01G401600;TraesCS6B01G415600;TraesCS7A01G419500;TraesCS4B01G367200;TraesCS1D01G047900;TraesCS3A01G247000;TraesCS1D01G345200;TraesCS5B01G572600;TraesCS1D01G004700;TraesCS2B01G044700;TraesCS1D01G243400;TraesCS7A01G118900;TraesCS1D01G140400;TraesCS5B01G188600;TraesCS7A01G231600;TraesCS5D01G328100;TraesCS1D01G335500;TraesCS2B01G485600;TraesCS7A01G479800;TraesCS5B01G321800;TraesCS6D01G247700;TraesCS7A01G480100;TraesCS1D01G273500;TraesCS5D01G452500;TraesCS2B01G246100;TraesCS4A01G455800;TraesCS1D01G216700;TraesCS4A01G258500;TraesCS3B01G388600;TraesCS4A01G363700;TraesCS3D01G244500;TraesCS3A01G257500;TraesCS7D01G467100;TraesCS5A01G370800;TraesCS5A01G249900;TraesCS1A01G213900;TraesCS1A01G312300;TraesCS2D01G464800;TraesCS3B01G248400;TraesCS5B01G014400;TraesCS4B01G174200;TraesCS3B01G272300;TraesCS5B01G509700;TraesCS1D01G013200;TraesCS4D01G056400;TraesCS5D01G179100;TraesCS6A01G178500;TraesCS2A01G083000;TraesCS2B01G097100;TraesCS4A01G130300;TraesCS4A01G071800;TraesCS2B01G045700;TraesCS3D01G349700;TraesCS4A01G258400;TraesCS6A01G266900;TraesCS1D01G253200;TraesCS5D01G564000;TraesCS7B01G167100;TraesCS1D01G312500;TraesCS1D01G439500;TraesCS3D01G257500;TraesCS4B01G174300;TraesCS5D01G195700;TraesCS5D01G321800;TraesCS7B01G260800;TraesCS3D01G056500;TraesCS5A01G136200;TraesCS6A01G171800;TraesCS7A01G011900;TraesCS5B01G247700;TraesCS3B01G218800;TraesCS1B01G356100;TraesCS6D01G107600;TraesCS1A01G273500;TraesCS3A01G355700;TraesCS5B01G457000;TraesCS7D01G364700;TraesCS5A01G534900;TraesCS6A01G311400;TraesCS1A01G049600;TraesCS3D01G230300;TraesCS4A01G407500;TraesCS4D01G176200;TraesCS2D01G227300;TraesCS5A01G185500;TraesCS6B01G199700;TraesCS5B01G316300;TraesCS7D01G430800;TraesCS2D01G055600;TraesCS6B01G145800;TraesCS3A01G129000;TraesCS1A01G253600;TraesCS5B01G356400;TraesCS6D01G146500;TraesCS3D01G204000;TraesCS3B01G148100;TraesCS3A01G272800;TraesCS1A01G342900;TraesCS1B01G356200;TraesCS6B01G205900;TraesCS2A01G220600;TraesCS3B01G524400;TraesCS5D01G190600;TraesCS3D01G313600;TraesCS5D01G509800;TraesCS3A01G217900;TraesCS4D01G176300;TraesCS1B01G157900;TraesCS7D01G341800;TraesCS3A01G123000;TraesCS6B01G192400;TraesCS4B01G054700;TraesCS7B01G271600;TraesCS4D01G305100;TraesCS5A01G016200;TraesCS3D01G356300;TraesCS1D01G338400;TraesCS1A01G429800;TraesCS4D01G267800;TraesCS5A01G321500;TraesCS1B01G001800</t>
  </si>
  <si>
    <t>TraesCS2D01G322200;TraesCS4A01G125300;TraesCS2A01G097400;TraesCS2D01G460600;TraesCS7D01G506300;TraesCS2A01G343900;TraesCS2B01G109800;TraesCS2D01G093000;TraesCS3A01G124800;TraesCS2B01G109700;TraesCS6A01G157500;TraesCS2A01G121200;TraesCS1D01G451900;TraesCS1A01G443900;TraesCS2A01G094700;TraesCS5B01G181300;TraesCS2A01G094500;TraesCS4D01G220500;TraesCS2D01G123300;TraesCS3A01G400000;TraesCS2B01G341400;TraesCS4D01G180800;TraesCS1B01G478400;TraesCS4B01G220200;TraesCS4B01G335100;TraesCS5A01G314800;TraesCS1D01G074500;TraesCS5B01G244300;TraesCS4A01G083900;TraesCS7A01G342100;TraesCS4B01G178600;TraesCS5B01G262900;TraesCS5D01G321100;TraesCS5A01G505000;TraesCS2B01G482000</t>
  </si>
  <si>
    <t>TraesCS6D01G226700;TraesCS1D01G111900;TraesCS5A01G424300;TraesCS5D01G346200;TraesCS2B01G198100;TraesCS6A01G244400;TraesCS5B01G156800;TraesCS6B01G280000;TraesCS5B01G339100;TraesCS5A01G375000;TraesCS6B01G105800;TraesCS4D01G187900;TraesCS5A01G341000;TraesCS2B01G393000;TraesCS5D01G432800</t>
  </si>
  <si>
    <t>peroxisome organization</t>
  </si>
  <si>
    <t>TraesCS3D01G272100;TraesCS3B01G306200;TraesCS4B01G100100;TraesCS3B01G141600;TraesCS4D01G096400</t>
  </si>
  <si>
    <t>regulation of hormone metabolic process</t>
  </si>
  <si>
    <t>TraesCS1D01G216200;TraesCS5A01G315700;TraesCS7D01G225200;TraesCS6D01G354100;TraesCS1B01G171400;TraesCS5B01G155700;TraesCS1A01G153600;TraesCS5D01G078300;TraesCS6A01G223900;TraesCS4A01G080300;TraesCS2B01G393000;TraesCS4A01G174700;TraesCS1B01G226800;TraesCS3B01G416000;TraesCS7D01G278900;TraesCS4B01G142700;TraesCS1B01G044800;TraesCS3D01G280400;TraesCS5D01G039900;TraesCS1D01G036500;TraesCS4B01G182300;TraesCS5D01G163400;TraesCS4A01G122400;TraesCS5B01G074000;TraesCS6A01G353200;TraesCS5B01G316300;TraesCS1A01G035100;TraesCS4D01G141000;TraesCS4D01G183500;TraesCS1A01G213400;TraesCS1D01G152000;TraesCS7A01G279100;TraesCS3A01G337500;TraesCS6B01G407500;TraesCS5B01G031800</t>
  </si>
  <si>
    <t>TraesCS3D01G260300;TraesCS6B01G246800;TraesCS2D01G348900;TraesCS2B01G047300;TraesCS2D01G033100;TraesCSU01G169600;TraesCS1D01G249600;TraesCS2D01G349000;TraesCS6D01G199500;TraesCS4D01G326400;TraesCS6A01G216100</t>
  </si>
  <si>
    <t>chitin binding</t>
  </si>
  <si>
    <t>TraesCS2A01G158800;TraesCS1D01G266000;TraesCS2A01G158700;TraesCS1A01G021000;TraesCS6B01G095100;TraesCS1A01G021400;TraesCS5B01G280900;TraesCS1B01G276800;TraesCS1B01G276500;TraesCS2D01G165800;TraesCS3A01G093900;TraesCS1B01G058600;TraesCS5D01G288900;TraesCS7D01G345200;TraesCS2A01G270500;TraesCS1D01G265900;TraesCS5B01G458900;TraesCS1A01G265600;TraesCS1A01G265700;TraesCS2B01G184300;TraesCS5D01G289000;TraesCS6A01G071000;TraesCS1D01G020600;TraesCS2B01G289300;TraesCS7B01G249200</t>
  </si>
  <si>
    <t>negative regulation of molecular function</t>
  </si>
  <si>
    <t>TraesCS4B01G100100;TraesCS4A01G216100;TraesCS1D01G074500;TraesCS4D01G096400</t>
  </si>
  <si>
    <t>defense response to insect</t>
  </si>
  <si>
    <t>TraesCS7D01G225200;TraesCS4B01G100100;TraesCS4D01G096400</t>
  </si>
  <si>
    <t>positive regulation of multi-organism process</t>
  </si>
  <si>
    <t>TraesCS4B01G222100;TraesCS4A01G081700;TraesCS4D01G222600</t>
  </si>
  <si>
    <t>C-acyltransferase activity</t>
  </si>
  <si>
    <t>TraesCS2D01G285300;TraesCS4B01G100100;TraesCS4D01G096400</t>
  </si>
  <si>
    <t>regulation of jasmonic acid mediated signaling pathway</t>
  </si>
  <si>
    <t>TraesCS1B01G441900;TraesCS1D01G419400;TraesCS1A01G411600</t>
  </si>
  <si>
    <t>'de novo' CTP biosynthetic process</t>
  </si>
  <si>
    <t>TraesCS7D01G063900;TraesCS6B01G284000;TraesCS6A01G240700;TraesCS7A01G412400;TraesCS6D01G222900;TraesCS1D01G067800;TraesCS6B01G169700;TraesCS4A01G419400;TraesCS6A01G141500;TraesCS6D01G212400;TraesCS5A01G156200;TraesCS1A01G217300;TraesCS2B01G339600;TraesCS1D01G219100;TraesCS1B01G048300;TraesCS5B01G468400;TraesCS6D01G130800;TraesCS1B01G048500;TraesCS1A01G066800;TraesCS1D01G039500;TraesCS7A01G069300;TraesCS6B01G258500;TraesCS6B01G258400;TraesCS5A01G375000;TraesCS4D01G315400</t>
  </si>
  <si>
    <t>TraesCS3A01G173000;TraesCS4D01G147400;TraesCS5B01G307300;TraesCS1A01G187400;TraesCS3B01G506700;TraesCS5A01G337100;TraesCS7B01G277900;TraesCS6D01G224700;TraesCS4A01G167700;TraesCS4A01G216100;TraesCS2D01G417800;TraesCS1D01G189300;TraesCS1D01G370600;TraesCS2A01G136100;TraesCS2D01G138800;TraesCS2D01G117100;TraesCS1B01G382600;TraesCS3D01G171800;TraesCS4B01G100100;TraesCS2A01G420800;TraesCS4D01G096400;TraesCS6B01G370900;TraesCS6D01G320400;TraesCS1A01G365100</t>
  </si>
  <si>
    <t>lipase activity</t>
  </si>
  <si>
    <t>TraesCS5D01G199800;TraesCS3A01G285700;TraesCS5D01G069700;TraesCS2D01G301100;TraesCS4D01G104100;TraesCS6A01G177700;TraesCS6A01G245200;TraesCS5D01G277500;TraesCS3B01G446800;TraesCS5B01G419200;TraesCS3D01G502500;TraesCS7A01G092300;TraesCS3A01G110300;TraesCS7A01G125600;TraesCS1B01G096300;TraesCS7A01G012000;TraesCS5A01G177800;TraesCS6D01G195900;TraesCS5A01G058100;TraesCS7B01G024500;TraesCS6D01G258300;TraesCS3D01G324400;TraesCS4B01G335100;TraesCS5A01G186000;TraesCS5D01G031500;TraesCS4A01G218200;TraesCS5B01G191900;TraesCS5B01G225200;TraesCS3B01G485900;TraesCS5B01G104500;TraesCS2B01G350500;TraesCS3D01G278000;TraesCS4D01G093300;TraesCS7A01G235000;TraesCS5D01G424600;TraesCS3B01G446500;TraesCS6D01G083200;TraesCS7A01G338900;TraesCS2D01G555000;TraesCS7A01G470400;TraesCS7A01G263300;TraesCS3A01G124800;TraesCS6D01G239700;TraesCS7B01G362900;TraesCS5D01G085800;TraesCS6A01G258500;TraesCS5A01G269300;TraesCS5A01G320600;TraesCS6A01G277800;TraesCS6B01G331600;TraesCS1D01G080600;TraesCS7A01G167300;TraesCS1A01G078600;TraesCS5D01G104900;TraesCS3B01G126400;TraesCS1A01G078200;TraesCS3B01G311900;TraesCS1D01G074500;TraesCS2A01G302400;TraesCS7D01G235000;TraesCS7D01G346100;TraesCS4A01G196000;TraesCS3A01G107600;TraesCS1D01G346200;TraesCS7D01G449700;TraesCS3B01G423200;TraesCS7D01G506300;TraesCS4A01G076900;TraesCS6D01G039300;TraesCS5A01G182400;TraesCS5A01G092600;TraesCS3A01G189300;TraesCS7D01G071200;TraesCS6A01G216800;TraesCS3D01G441900;TraesCS5B01G065400;TraesCS6A01G302400;TraesCS7A01G075600;TraesCS4A01G203300;TraesCS5B01G405400;TraesCS6B01G127300;TraesCS1A01G361000;TraesCS7B01G372400;TraesCS3D01G240900;TraesCS1A01G072000;TraesCS2B01G339600;TraesCS7D01G167900;TraesCS5D01G070900;TraesCS5B01G244300;TraesCS1D01G123700;TraesCS5D01G182100;TraesCS7B01G161100;TraesCS5A01G505000;TraesCS6D01G198700;TraesCS1A01G077700;TraesCS5B01G184100;TraesCS1D01G004400;TraesCS5A01G059400;TraesCS2B01G585100;TraesCS3D01G103900;TraesCS3D01G432600;TraesCS6B01G246000;TraesCS4D01G054300;TraesCS3B01G268800;TraesCS6B01G169000;TraesCS3D01G192800;TraesCS2A01G553500;TraesCS2A01G121200;TraesCS3A01G439800;TraesCS4B01G097000;TraesCS6D01G159100;TraesCS3B01G354000;TraesCS3B01G585400;TraesCS1A01G344000;TraesCS1D01G080400;TraesCS2D01G123300;TraesCS6B01G423100;TraesCS1B01G096800;TraesCS2D01G346200;TraesCS6D01G281900;TraesCS1D01G080800;TraesCS1D01G106000;TraesCS1A01G078400;TraesCS1D01G414700;TraesCS7B01G133200;TraesCS5B01G246900;TraesCS3B01G090400;TraesCS3B01G013200;TraesCS7D01G457800;TraesCS5D01G111500;TraesCS5B01G175100;TraesCS6A01G211400;TraesCS6A01G383800;TraesCS6D01G368800;TraesCS5B01G180400;TraesCS2B01G614100;TraesCS7D01G122600;TraesCS6A01G140800</t>
  </si>
  <si>
    <t>TraesCS7A01G187000;TraesCS4A01G068400;TraesCS6A01G177700;TraesCS1A01G413400;TraesCS1B01G383400;TraesCS6A01G240700;TraesCS5D01G277500;TraesCS1D01G258900;TraesCS4A01G080400;TraesCS1D01G361000;TraesCS6A01G306800;TraesCS5D01G540800;TraesCS4B01G037800;TraesCS1A01G406200;TraesCS7B01G347000;TraesCS4D01G258000;TraesCS3B01G361100;TraesCS6D01G258300;TraesCS7A01G419200;TraesCS3D01G324400;TraesCS3D01G267000;TraesCS4D01G069300;TraesCS7B01G254900;TraesCS7D01G350500;TraesCS2D01G279500;TraesCS4A01G244500;TraesCS4B01G070500;TraesCS1B01G269500;TraesCS4D01G296400;TraesCS1A01G381500;TraesCS7B01G092200;TraesCS4D01G059100;TraesCS6B01G422900;TraesCS3A01G266800;TraesCS1D01G216200;TraesCS7A01G470400;TraesCS4D01G196500;TraesCS7D01G351000;TraesCS7A01G412400;TraesCS4B01G059400;TraesCS1B01G241100;TraesCS1B01G373100;TraesCS2B01G414500;TraesCS6D01G239700;TraesCS6D01G369400;TraesCS7B01G362900;TraesCS1B01G404000;TraesCS1B01G411900;TraesCS5B01G233800;TraesCS6B01G335400;TraesCS6D01G252900;TraesCS2B01G393000;TraesCS6A01G258500;TraesCS5A01G269300;TraesCS6A01G277800;TraesCS4D01G222600;TraesCS2A01G396200;TraesCS4B01G037900;TraesCS6A01G116000;TraesCS2B01G271700;TraesCS4A01G251600;TraesCS4B01G258200;TraesCS2B01G333600;TraesCS1D01G389300;TraesCS1B01G447900;TraesCS1A01G213400;TraesCS6D01G104800;TraesCS4A01G009400;TraesCS6A01G272900;TraesCS4B01G225500;TraesCS7A01G225800;TraesCS7D01G359100;TraesCS1A01G417800;TraesCS7D01G449700;TraesCS3D01G308100;TraesCS4D01G035200;TraesCS7A01G406100;TraesCS1D01G420900;TraesCS7A01G461500;TraesCS7A01G364100;TraesCS1B01G226800;TraesCS7B01G372400;TraesCS7A01G186900;TraesCS4B01G062800;TraesCS7D01G188100;TraesCS4A01G046700;TraesCS4B01G222100;TraesCS2B01G339600;TraesCS1D01G414600;TraesCS4B01G194900;TraesCS7D01G077600;TraesCS1D01G425400;TraesCS5D01G183700;TraesCS5B01G244300;TraesCS7D01G228700;TraesCS6A01G073300;TraesCS4A01G081700;TraesCS7A01G344600;TraesCS1A01G385500;TraesCS7D01G412000;TraesCS7D01G334900;TraesCS5A01G235400;TraesCS2D01G393900;TraesCS4A01G255600;TraesCS4B01G099700;TraesCS3B01G300300;TraesCS6B01G207000;TraesCS6A01G223900;TraesCS6B01G423900;TraesCS3A01G229700;TraesCS3B01G585400;TraesCS5A01G454500;TraesCS2A01G046100;TraesCS6B01G098300;TraesCS1A01G259000;TraesCS6D01G166600;TraesCS7D01G488800;TraesCS3A01G477100;TraesCS4A01G331900;TraesCS7D01G188000;TraesCS7D01G457800;TraesCS3A01G295000;TraesCS4D01G223900;TraesCS6B01G105800;TraesCS2D01G199700;TraesCS4A01G221500;TraesCS2B01G302400;TraesCS2A01G187900</t>
  </si>
  <si>
    <t>TraesCS3B01G467500;TraesCS7D01G225200;TraesCS3A01G302600;TraesCS7B01G157600;TraesCS4A01G129000;TraesCS5A01G424300;TraesCS5A01G096800;TraesCS7D01G260600;TraesCS2A01G389900;TraesCS2B01G246100;TraesCS5A01G003100;TraesCS2A01G098600;TraesCS3A01G429600;TraesCS3B01G283800;TraesCS4B01G115200;TraesCS2A01G583700;TraesCS2A01G541100;TraesCS2D01G098100;TraesCS1B01G307200;TraesCS2D01G226300;TraesCS5B01G427600;TraesCS7D01G044300;TraesCS2D01G596100;TraesCS2B01G602900;TraesCS2A01G420800;TraesCS4D01G112900;TraesCS4D01G141000;TraesCS7A01G279100;TraesCS3D01G299200;TraesCS5A01G453100;TraesCS3A01G377500;TraesCS3D01G207900;TraesCS4D01G070700;TraesCS3D01G180500;TraesCS1D01G293400;TraesCS7A01G223600;TraesCS7B01G190400;TraesCS1D01G111900;TraesCS3A01G293900;TraesCS2B01G293700;TraesCS6D01G257000;TraesCS5D01G109500;TraesCS3D01G252800;TraesCS2D01G060000;TraesCS4B01G175700;TraesCS1A01G072600;TraesCS2B01G223000;TraesCS3D01G424900;TraesCS2A01G220600;TraesCS4A01G174700;TraesCS1A01G363200;TraesCS1D01G046000;TraesCS5D01G003800;TraesCS7A01G259600;TraesCSU01G076400;TraesCS1B01G058600;TraesCS2A01G031200;TraesCS2A01G276000;TraesCS7D01G278900;TraesCS3A01G175000;TraesCS4B01G142700;TraesCS5A01G425600;TraesCS4D01G289900;TraesCS1A01G045300;TraesCS1D01G368100;TraesCS2D01G417800;TraesCS5B01G156800;TraesCS2D01G224100;TraesCS2D01G596000;TraesCS5D01G463900;TraesCS2A01G061000;TraesCS5B01G102700;TraesCS2D01G275000;TraesCS4A01G200100;TraesCS1A01G251600;TraesCS1A01G295300;TraesCS1A01G297800</t>
  </si>
  <si>
    <t>TraesCS2D01G286300;TraesCS4D01G175700;TraesCS2D01G169000;TraesCS4D01G068200;TraesCS1D01G075500;TraesCS4D01G081300;TraesCS6A01G201100;TraesCS7D01G182700;TraesCS1A01G370700;TraesCS7A01G096500;TraesCS3A01G269900;TraesCS2A01G270200;TraesCS2D01G104600;TraesCS4A01G193600;TraesCS4D01G207500;TraesCS4B01G165300;TraesCS1B01G126600;TraesCS1D01G106100;TraesCS3D01G072000;TraesCS5A01G469000;TraesCS6A01G319600;TraesCS5D01G148900;TraesCS2D01G079200;TraesCS2B01G289000;TraesCS2A01G417200;TraesCS2D01G231600;TraesCS2D01G332300;TraesCS5B01G494500;TraesCS6A01G326000;TraesCS7B01G423100;TraesCS4B01G002000;TraesCS3B01G412500;TraesCS3A01G281900;TraesCS2A01G456600;TraesCS3B01G306200;TraesCS5D01G279100;TraesCS3B01G129900;TraesCS6D01G358700;TraesCS2B01G407600;TraesCS5B01G124200;TraesCS6A01G235100;TraesCS2D01G146100;TraesCS1D01G119500;TraesCS7A01G511800;TraesCS1A01G072600;TraesCS2D01G425700;TraesCS2D01G104500;TraesCS3D01G078900;TraesCS2A01G214400;TraesCS3D01G183900;TraesCS6B01G350400;TraesCS7B01G187600;TraesCS1A01G370600;TraesCS3B01G367500;TraesCS1D01G221000;TraesCS5B01G481300;TraesCS2A01G417300;TraesCS2A01G384100;TraesCS2A01G424900;TraesCS4A01G131000;TraesCS2B01G448100;TraesCS3A01G149000;TraesCS5D01G042300;TraesCS2B01G478700;TraesCS2D01G414500;TraesCS4D01G358900;TraesCS4D01G266400;TraesCS5B01G193200;TraesCS2B01G118500;TraesCS5A01G085900;TraesCS1D01G376700;TraesCS2B01G339600;TraesCS3A01G404400;TraesCS5A01G440400;TraesCS2B01G436100;TraesCS7A01G241200;TraesCS2B01G167900;TraesCS4B01G178600;TraesCS2A01G204500;TraesCS7D01G409700;TraesCS4D01G267500;TraesCS3B01G093300;TraesCS4B01G080900;TraesCS4D01G001200;TraesCS3B01G353000;TraesCS4B01G268100;TraesCS1A01G219400;TraesCS4B01G174000;TraesCS5B01G117700;TraesCS5B01G415700;TraesCS5A01G390300;TraesCS2D01G414600;TraesCS3B01G102300;TraesCS1B01G308200;TraesCS7A01G508700;TraesCS2B01G542300;TraesCS1B01G461600;TraesCS4D01G119700;TraesCS5B01G275200;TraesCS1A01G218100;TraesCS5D01G320800;TraesCS1B01G058600;TraesCS6B01G108000;TraesCS1D01G376600;TraesCS6A01G120300;TraesCS5A01G232700;TraesCS4B01G121500;TraesCS5B01G141900;TraesCS2A01G323000;TraesCS5B01G410000;TraesCS3B01G357500;TraesCS5B01G265400;TraesCS1A01G370400;TraesCS4B01G098200;TraesCS7A01G327700;TraesCS5A01G314700;TraesCS4B01G235300;TraesCS7B01G299200;TraesCS2B01G436200;TraesCS6B01G263800;TraesCS5B01G444100;TraesCS5D01G245300;TraesCS6D01G087700;TraesCS4B01G141500;TraesCS4D01G064800;TraesCS7D01G392800;TraesCS2A01G288000;TraesCS5A01G481300;TraesCS3D01G329400;TraesCS7D01G052600;TraesCS2D01G567000;TraesCS5B01G478300;TraesCS3B01G379200;TraesCS4D01G096400;TraesCS6A01G145600;TraesCS3A01G513200;TraesCS3B01G141600;TraesCS4A01G128100;TraesCS3A01G271700;TraesCS2A01G304000;TraesCS3D01G245500;TraesCS3A01G413700;TraesCS6B01G149000;TraesCS6D01G154400;TraesCS3A01G408000;TraesCS1B01G129800;TraesCS3A01G323800;TraesCS5D01G390700;TraesCS5A01G468300;TraesCS6A01G333600;TraesCS5A01G180800;TraesCS3A01G289200;TraesCS7A01G470400;TraesCS2B01G439000;TraesCS6A01G240400;TraesCS7B01G272900;TraesCS7D01G052500;TraesCS4A01G396400;TraesCS7B01G162100;TraesCS6A01G145500;TraesCS7A01G299600;TraesCS5D01G421100;TraesCS5B01G223600;TraesCS7D01G295100;TraesCS6B01G375400;TraesCS3D01G399600;TraesCS5D01G481700;TraesCS1D01G072600;TraesCS3D01G269600;TraesCS4D01G239600;TraesCS2A01G459700;TraesCS3B01G324400;TraesCS5D01G111300;TraesCS3B01G410500;TraesCS7A01G369500;TraesCS5B01G236900;TraesCS5A01G271500;TraesCS5B01G104200;TraesCS2B01G096000;TraesCS2A01G189600;TraesCS5D01G447500;TraesCS2D01G431000;TraesCS3A01G176500;TraesCS5D01G098900;TraesCS4D01G238600;TraesCS6D01G039300;TraesCS6D01G312800;TraesCS7A01G343000;TraesCS7A01G096300;TraesCS5B01G271800;TraesCS5B01G384500;TraesCS4A01G396300;TraesCS2A01G514300;TraesCS5A01G104900;TraesCS7D01G052400;TraesCS1D01G223600;TraesCS2A01G081400;TraesCS2A01G101900;TraesCS4D01G176200;TraesCS2B01G304800;TraesCS4B01G346100;TraesCS5D01G092000;TraesCS3B01G208300;TraesCS5B01G362600;TraesCS3D01G408100;TraesCS5B01G108500;TraesCS1A01G350400;TraesCS7A01G416400;TraesCS3B01G255400;TraesCS3D01G317400;TraesCS1B01G326700;TraesCS3D01G289000;TraesCS7A01G376100;TraesCS5A01G143100;TraesCS5D01G273600;TraesCS5A01G112600;TraesCS1A01G401800;TraesCS5B01G313000;TraesCS1B01G274300;TraesCS1B01G304800;TraesCS6B01G238900;TraesCS5A01G238400;TraesCS5B01G095900;TraesCS2D01G100900;TraesCS3B01G568300;TraesCS4A01G396200;TraesCS4D01G094400;TraesCS1D01G292700;TraesCS4D01G176300;TraesCS4A01G098900;TraesCS4A01G176200;TraesCS5A01G400000;TraesCS3A01G413600;TraesCS3D01G408000;TraesCS4B01G069500;TraesCS5A01G380900;TraesCS5A01G124600;TraesCS2D01G456900;TraesCS2B01G208900;TraesCS3A01G109300;TraesCS5A01G258100;TraesCS7D01G508800;TraesCS1B01G326600;TraesCS5D01G518700;TraesCS4D01G268100;TraesCS3B01G371200;TraesCS3B01G375800;TraesCS7A01G264800;TraesCS1B01G243100;TraesCS5D01G183100;TraesCS2A01G427700;TraesCS3B01G176200;TraesCS3D01G370800;TraesCS4A01G130600;TraesCS5D01G232700;TraesCS2B01G217500;TraesCS3D01G412400;TraesCS4D01G176000;TraesCS7B01G364600;TraesCS3D01G354100;TraesCS5B01G480900;TraesCS2D01G464400;TraesCS6A01G406700;TraesCS7D01G000200;TraesCS3B01G270500;TraesCS5B01G142100;TraesCS3A01G167200;TraesCS4A01G062800;TraesCS4A01G001300;TraesCS3A01G377700;TraesCS6A01G108800;TraesCS4D01G236600;TraesCS3D01G296100;TraesCS5D01G481200;TraesCS6B01G364000;TraesCS6D01G239700;TraesCS4B01G100100;TraesCS5D01G244800;TraesCS3B01G448000;TraesCS2D01G211400;TraesCS5A01G251800;TraesCS7A01G270100;TraesCS3A01G343900;TraesCS4B01G173600;TraesCS5D01G097900;TraesCS5B01G118200;TraesCS4D01G178400;TraesCS5B01G257300;TraesCS6D01G074200;TraesCS6D01G217800;TraesCS6D01G110400;TraesCS7A01G057800;TraesCS3A01G379900;TraesCS5D01G205000;TraesCS4A01G001400;TraesCS3B01G314600;TraesCS7B01G434700;TraesCS2D01G269200;TraesCS4A01G035400;TraesCS3D01G289500;TraesCS6B01G193200;TraesCS4A01G129400;TraesCS4D01G177000;TraesCS5A01G395100;TraesCS3B01G199000;TraesCS5B01G315600;TraesCS3B01G448100;TraesCS5B01G176300;TraesCS2D01G198200;TraesCS3D01G401200;TraesCS7B01G372400;TraesCS3D01G238300;TraesCS5D01G450500;TraesCS4B01G299700;TraesCS4D01G105100;TraesCS2B01G308200;TraesCS4A01G216100;TraesCS3B01G441600;TraesCS3D01G173300;TraesCS3B01G330700;TraesCS4A01G248900;TraesCS7B01G316600;TraesCS4A01G059600;TraesCS1A01G314400;TraesCS7A01G365600;TraesCS3A01G111200;TraesCS3B01G156800;TraesCS1A01G421900;TraesCS5B01G236400;TraesCS7D01G497400;TraesCS1B01G232300;TraesCS2A01G102000;TraesCS2D01G515900;TraesCS2A01G433000;TraesCS7D01G336400;TraesCS2B01G116900;TraesCS3D01G227400;TraesCS5A01G265700;TraesCS5D01G185300;TraesCS6D01G134800;TraesCS2D01G339900;TraesCS2A01G201800;TraesCS7D01G345200;TraesCS7A01G306100;TraesCS7D01G526100;TraesCS3D01G341100;TraesCS5D01G232800;TraesCS7B01G160900;TraesCS1B01G453300;TraesCS6D01G110600;TraesCS3B01G303800;TraesCS7A01G509000;TraesCS3D01G281900;TraesCS4A01G219700;TraesCS3A01G406000;TraesCS5B01G415400;TraesCS5A01G090100;TraesCS1D01G398400;TraesCS4B01G108000;TraesCS7A01G328600;TraesCS7D01G283800;TraesCS7D01G092500;TraesCS6B01G284300;TraesCS4D01G136500;TraesCS2B01G454300;TraesCS2D01G414300;TraesCS5D01G487600;TraesCS1A01G298600;TraesCS4D01G312300;TraesCS5D01G116100;TraesCS5A01G475300;TraesCS2B01G135600;TraesCS7D01G551700;TraesCS1D01G376500;TraesCS7B01G259000;TraesCS7D01G171300;TraesCS5D01G129400;TraesCS1D01G429800;TraesCS4B01G237300;TraesCS2B01G436300;TraesCS7B01G249200;TraesCS3B01G439600;TraesCS7A01G518800;TraesCS1A01G389500;TraesCS6D01G299000;TraesCS7D01G092600;TraesCS5D01G071800;TraesCS5B01G224000;TraesCS7D01G110600;TraesCS7D01G372500;TraesCS6B01G148700;TraesCS2B01G187500;TraesCS2A01G389400;TraesCS4D01G180200;TraesCS6A01G258500;TraesCS2D01G387300;TraesCS4A01G071800;TraesCS4B01G083200;TraesCS1B01G235100;TraesCS2B01G320700;TraesCS7D01G201700;TraesCS1A01G263700;TraesCS2A01G101400;TraesCS1D01G263800;TraesCS6B01G451300;TraesCS5D01G266300;TraesCS4B01G239700;TraesCS5D01G321000;TraesCS1D01G314800;TraesCS2A01G391700;TraesCS2D01G386100;TraesCS2A01G388300;TraesCS5A01G237900;TraesCS5A01G080300;TraesCS7D01G497300;TraesCS4A01G171500;TraesCS1A01G302700;TraesCS3A01G289700;TraesCS5B01G564100;TraesCS3D01G157100;TraesCS7D01G353800;TraesCS6D01G222600;TraesCS7A01G116000;TraesCS5A01G468800;TraesCS3B01G130000;TraesCS6A01G394300;TraesCS5B01G067700;TraesCS6A01G080500;TraesCS1D01G199000;TraesCS3A01G078400;TraesCS3A01G336500;TraesCS7A01G423800;TraesCS3A01G242500;TraesCS6A01G120600;TraesCS4B01G228600;TraesCS2D01G285300;TraesCS3D01G431700;TraesCS7D01G501000;TraesCS1D01G265800;TraesCS2D01G392800;TraesCS3D01G272100;TraesCS1D01G314900;TraesCS5A01G411900;TraesCS2D01G051000;TraesCS5B01G075300;TraesCS3B01G310500;TraesCS7D01G092400;TraesCS2A01G419900;TraesCS3A01G229300;TraesCS1A01G221900;TraesCS3D01G372900;TraesCS5A01G312000;TraesCS3D01G242500;TraesCS3B01G273600;TraesCS4B01G205400;TraesCS4A01G126300;TraesCS3A01G347500;TraesCS7D01G457800;TraesCS3D01G276600;TraesCS3D01G113300;TraesCS3A01G276500;TraesCS6B01G173900;TraesCS1D01G429900;TraesCS5A01G411800;TraesCS3A01G245900;TraesCS1A01G295300;TraesCS4B01G065700;TraesCS6A01G165800</t>
  </si>
  <si>
    <t>TraesCS1A01G066800;TraesCS1D01G067800;TraesCS4A01G059800;TraesCS4B01G235400;TraesCS2A01G407900;TraesCS5A01G131300;TraesCS6D01G225800;TraesCS4D01G236800;TraesCS5B01G133500;TraesCS5D01G139800</t>
  </si>
  <si>
    <t>branched-chain amino acid metabolic process</t>
  </si>
  <si>
    <t>TraesCS7D01G235000;TraesCS6D01G239700;TraesCS7B01G362900;TraesCS7B01G133200;TraesCS7D01G449700;TraesCS6A01G258500;TraesCS7A01G235000</t>
  </si>
  <si>
    <t>ubiquinone biosynthetic process</t>
  </si>
  <si>
    <t>ubiquinone metabolic process</t>
  </si>
  <si>
    <t>TraesCS6B01G280300;TraesCS2A01G532800;TraesCS6B01G381300;TraesCS6D01G226300;TraesCS2D01G534600;TraesCS6D01G330800;TraesCS3D01G315700</t>
  </si>
  <si>
    <t>TraesCS7B01G249200;TraesCS7D01G345200</t>
  </si>
  <si>
    <t>negative regulation of molecular function, epigenetic</t>
  </si>
  <si>
    <t>regulation of molecular function, epigenetic</t>
  </si>
  <si>
    <t>TraesCS7A01G110500;TraesCS7D01G106000</t>
  </si>
  <si>
    <t>positive regulation of response to water deprivation</t>
  </si>
  <si>
    <t>TraesCS5D01G168400;TraesCS5B01G160700</t>
  </si>
  <si>
    <t>cinnamoyl-CoA reductase activity</t>
  </si>
  <si>
    <t>TraesCS4B01G100100;TraesCS4D01G096400</t>
  </si>
  <si>
    <t>positive regulation of secondary metabolite biosynthetic process</t>
  </si>
  <si>
    <t>TraesCS2B01G007700;TraesCSU01G007800</t>
  </si>
  <si>
    <t>carpel morphogenesis</t>
  </si>
  <si>
    <t>TraesCS1A01G184500;TraesCS5A01G315700;TraesCS6A01G146200;TraesCS2B01G208900;TraesCS5B01G482400;TraesCS7D01G392800;TraesCS4A01G035400;TraesCS7D01G353800;TraesCS1B01G158500;TraesCS6D01G039300;TraesCS6A01G268000;TraesCS4D01G312300;TraesCS2B01G246100;TraesCS2A01G551100;TraesCS5A01G041100;TraesCS7A01G182500;TraesCS4D01G096400;TraesCS7B01G372400;TraesCS6B01G295200;TraesCS7B01G259000;TraesCS1D01G156600;TraesCS3D01G244500;TraesCS4A01G407500;TraesCS2D01G392800;TraesCS4A01G216100;TraesCS2D01G226300;TraesCS5A01G469800;TraesCS5B01G316300;TraesCS6D01G135500;TraesCS3A01G056700;TraesCS4D01G001200;TraesCS5B01G014400;TraesCS1D01G073100;TraesCS2B01G174500;TraesCS1A01G159200;TraesCS3B01G272300;TraesCS5D01G482800;TraesCS7A01G470400;TraesCS2B01G180500;TraesCS4D01G045300;TraesCS1D01G013200;TraesCS1A01G015300;TraesCS4B01G045400;TraesCS5D01G179100;TraesCS4B01G100100;TraesCS5D01G022200;TraesCS2A01G220600;TraesCS1D01G046000;TraesCS1B01G058600;TraesCS3D01G290000;TraesCS4A01G071800;TraesCS2A01G155500;TraesCS1A01G045300;TraesCS4D01G305100;TraesCS6B01G174400;TraesCS7B01G087400;TraesCS7D01G183900;TraesCS2B01G271700;TraesCS7D01G457800;TraesCS7B01G299200;TraesCS6D01G246900;TraesCS7A01G369500;TraesCS2A01G384100;TraesCS2B01G350600;TraesCS5B01G236900;TraesCS3A01G247000;TraesCS4B01G306900;TraesCS1A01G295300;TraesCS5B01G530800;TraesCS5D01G321800;TraesCS3D01G056500;TraesCS4A01G001400</t>
  </si>
  <si>
    <t>intracellular signal transduction</t>
  </si>
  <si>
    <t>TraesCS1A01G265200;TraesCS4A01G066200;TraesCS7A01G143800;TraesCS2A01G373200;TraesCS6A01G148600;TraesCS7D01G145500;TraesCS1D01G265400;TraesCS6D01G393600;TraesCS6B01G456500;TraesCS4B01G057400;TraesCS6B01G176800;TraesCS3B01G287200;TraesCS4D01G243100;TraesCS5D01G187100;TraesCS6D01G138000;TraesCS2D01G369400</t>
  </si>
  <si>
    <t>carbohydrate transport</t>
  </si>
  <si>
    <t>TraesCS3B01G532300;TraesCS6D01G226700;TraesCS3A01G217200;TraesCS2A01G305900;TraesCS6A01G244400;TraesCS5B01G079100;TraesCS6B01G280000;TraesCS5A01G073000;TraesCS5D01G031800;TraesCS7D01G452600;TraesCS2D01G304300;TraesCS3B01G247500;TraesCS5D01G085800;TraesCS4A01G110200;TraesCS5A01G025400</t>
  </si>
  <si>
    <t>TraesCS1D01G101900;TraesCS5B01G064100;TraesCS5D01G064000;TraesCS1A01G093300</t>
  </si>
  <si>
    <t>protein binding, bridging</t>
  </si>
  <si>
    <t>molecular adaptor activity</t>
  </si>
  <si>
    <t>TraesCS7D01G063900;TraesCS6B01G284000;TraesCS6A01G240700;TraesCS5B01G152600;TraesCS7A01G412400;TraesCS6D01G222900;TraesCS1D01G067800;TraesCS6B01G169700;TraesCS4A01G419400;TraesCS6A01G141500;TraesCS6D01G212400;TraesCS5A01G156200;TraesCS1A01G217300;TraesCS2B01G339600;TraesCS1D01G219100;TraesCS1B01G048300;TraesCS5B01G468400;TraesCS6D01G130800;TraesCS1B01G048500;TraesCS1A01G066800;TraesCS1D01G039500;TraesCS7A01G069300;TraesCS6B01G258500;TraesCS6B01G258400;TraesCS5A01G375000;TraesCS4D01G315400</t>
  </si>
  <si>
    <t>TraesCS1A01G215500;TraesCS1B01G224300;TraesCS1A01G210400;TraesCS2D01G168200;TraesCS6B01G384500;TraesCS6D01G334000;TraesCS3D01G289100;TraesCS3A01G289300;TraesCS6A01G351300;TraesCS1D01G213700</t>
  </si>
  <si>
    <t>disaccharide biosynthetic process</t>
  </si>
  <si>
    <t>TraesCS5A01G315700;TraesCS3B01G272300;TraesCS1B01G158500;TraesCS1D01G013200;TraesCS1A01G015300;TraesCS5D01G179100;TraesCS6A01G268000;TraesCS5D01G022200;TraesCS2B01G246100;TraesCS2A01G220600;TraesCS5A01G041100;TraesCS3D01G290000;TraesCS6B01G295200;TraesCS4A01G071800;TraesCS3D01G244500;TraesCS4A01G407500;TraesCS2D01G226300;TraesCS4D01G305100;TraesCS5B01G316300;TraesCS6D01G246900;TraesCS2B01G350600;TraesCS3A01G056700;TraesCS3A01G247000;TraesCS4B01G306900;TraesCS5B01G014400;TraesCS5B01G530800;TraesCS5D01G321800;TraesCS3D01G056500</t>
  </si>
  <si>
    <t>small GTPase mediated signal transduction</t>
  </si>
  <si>
    <t>TraesCS4B01G222100;TraesCS4A01G081700;TraesCS6A01G223900;TraesCS2B01G393000;TraesCS4D01G222600</t>
  </si>
  <si>
    <t>sphingolipid biosynthetic process</t>
  </si>
  <si>
    <t>TraesCS1D01G258900;TraesCS4D01G150300;TraesCS5D01G424600;TraesCS7B01G241200;TraesCS1A01G259000;TraesCS1B01G269500;TraesCS3A01G044800;TraesCS5B01G419200;TraesCS4A01G250800;TraesCS4B01G149400;TraesCS3D01G036100;TraesCS5B01G244300</t>
  </si>
  <si>
    <t>TraesCS4B01G254700;TraesCS5D01G493200;TraesCS6D01G358600;TraesCS2D01G144500;TraesCS1B01G375100;TraesCS3A01G110300;TraesCS3A01G057100;TraesCS3B01G384400;TraesCS4D01G210900;TraesCS5B01G082500;TraesCS4D01G069300;TraesCS7B01G326200;TraesCS2A01G136100;TraesCS2D01G117100;TraesCS4A01G244500;TraesCS4B01G070500;TraesCS5D01G048600;TraesCS4B01G088700;TraesCS3A01G258100;TraesCS3B01G194400;TraesCS6B01G412400;TraesCS7A01G338900;TraesCS7A01G357300;TraesCS5B01G182000;TraesCS4D01G366100;TraesCS1A01G077500;TraesCS3A01G025400;TraesCS1A01G182100;TraesCS7D01G277300;TraesCS1A01G358600;TraesCS1B01G198900;TraesCS2D01G137500;TraesCS3A01G199600;TraesCS4D01G196500;TraesCS2B01G250100;TraesCS2D01G507800;TraesCS1A01G228100;TraesCS1B01G333800;TraesCS7D01G024200;TraesCS4B01G100100;TraesCS2A01G285900;TraesCS2B01G449200;TraesCS3B01G245400;TraesCS7B01G072600;TraesCS3A01G242200;TraesCS1B01G206000;TraesCS6B01G398500;TraesCS1A01G045300;TraesCS3D01G217400;TraesCS7A01G113600;TraesCS2A01G157400;TraesCS4B01G210100;TraesCS3A01G163300;TraesCS7B01G226800;TraesCS6A01G272500;TraesCS7A01G101500;TraesCS3D01G146000;TraesCS4B01G067800;TraesCS6B01G370900;TraesCS7D01G168600;TraesCS5B01G327700;TraesCS2B01G182900;TraesCS7D01G506300;TraesCS6A01G119900;TraesCS1D01G363500;TraesCS1A01G202300;TraesCS6B01G341100;TraesCS7D01G322900;TraesCS3D01G171800;TraesCS4A01G050000;TraesCS2A01G201900;TraesCS2D01G214200;TraesCS2D01G000300;TraesCS6B01G300000;TraesCS3D01G020600;TraesCS5A01G337100;TraesCS1A01G095500;TraesCS5B01G042800;TraesCS2A01G103800;TraesCS4A01G216100;TraesCS6A01G311000;TraesCS1D01G185100;TraesCS1D01G370600;TraesCS5A01G183600;TraesCS5D01G188600;TraesCS1D01G104400;TraesCS2D01G426600;TraesCS3B01G156800;TraesCS4A01G110100;TraesCS5D01G136600;TraesCS7A01G223000;TraesCS4D01G066800;TraesCS2A01G507400;TraesCS3D01G103900;TraesCS1D01G079600;TraesCS2D01G284700;TraesCS2B01G303200;TraesCS5A01G479600;TraesCS1D01G046000;TraesCS1B01G058600;TraesCS3A01G209200;TraesCS3D01G020700;TraesCS5B01G307300;TraesCS3B01G506700;TraesCS7B01G129500;TraesCS3A01G219800;TraesCS7A01G115300;TraesCS3A01G517100;TraesCS4D01G194900;TraesCS1B01G391800;TraesCS4D01G183100;TraesCS3D01G258000;TraesCS1D01G163400;TraesCS2B01G166100;TraesCS2A01G135300;TraesCS2B01G535500;TraesCS6D01G224700;TraesCS5D01G369200;TraesCS1B01G224300;TraesCS1A01G210400;TraesCS3B01G394600;TraesCS2D01G163300;TraesCS2D01G232400;TraesCS4D01G096400;TraesCS5B01G078500;TraesCS2B01G318600;TraesCS2D01G317400;TraesCS2D01G315100;TraesCS5A01G129100;TraesCS7A01G249000;TraesCS7D01G224700;TraesCS1B01G382600;TraesCS3B01G240000;TraesCS2A01G420800;TraesCS6D01G320400;TraesCS3D01G212100;TraesCS5B01G492700;TraesCS4B01G137700;TraesCS5A01G398900;TraesCS2B01G535400;TraesCS4A01G167700;TraesCS7D01G351000;TraesCS3B01G163500;TraesCS7A01G423900;TraesCS2A01G339900;TraesCS1D01G378700;TraesCS4D01G147400;TraesCS5D01G089900;TraesCS1A01G187400;TraesCS3D01G242300;TraesCS7B01G277900;TraesCS1D01G185200;TraesCS3A01G215400;TraesCS3D01G345900;TraesCS2D01G417800;TraesCS7D01G077100;TraesCS7D01G111800;TraesCS5A01G076600;TraesCS2A01G141100;TraesCS7D01G346100;TraesCS2B01G229000;TraesCS6D01G358000;TraesCS3A01G124100;TraesCS3A01G025300;TraesCS3B01G270300;TraesCS4D01G087200;TraesCS2D01G137600;TraesCS1A01G245300;TraesCS6D01G290400;TraesCS3A01G227900;TraesCS4A01G226300;TraesCS3D01G355900;TraesCS4D01G132500;TraesCS1D01G321300;TraesCS6A01G363900;TraesCS2A01G302700;TraesCS3A01G173000;TraesCS5D01G335100;TraesCS7B01G349100;TraesCS7D01G417600;TraesCS1D01G229700;TraesCS1D01G189300;TraesCS2B01G159200;TraesCS5A01G329200;TraesCS2B01G101800;TraesCS2D01G137700;TraesCS6A01G374700;TraesCS5B01G285400;TraesCS2D01G387900;TraesCS3A01G141100;TraesCS4B01G301800;TraesCS5B01G084100;TraesCS2B01G158900;TraesCS7A01G326200;TraesCS6A01G199000;TraesCS1A01G365100;TraesCSU01G095400;TraesCS2A01G233100;TraesCS3B01G256600;TraesCS4A01G094300;TraesCS3A01G362200;TraesCS5B01G458900;TraesCS4D01G254500;TraesCS4A01G380200;TraesCS4D01G300100;TraesCS2D01G138800;TraesCSU01G129000;TraesCS2B01G408600;TraesCS5D01G333700;TraesCS3D01G146200;TraesCS1B01G095600;TraesCS1B01G204700;TraesCS1D01G213700;TraesCS3D01G238000;TraesCS2A01G428500</t>
  </si>
  <si>
    <t>hydrolase activity, acting on ester bonds</t>
  </si>
  <si>
    <t>TraesCS7A01G011900;TraesCS7D01G030100;TraesCS6B01G381300;TraesCS6D01G226300;TraesCS6D01G095700;TraesCS6D01G330800;TraesCS6B01G280300;TraesCS2A01G532800;TraesCS2D01G534600;TraesCS4A01G455800;TraesCS7A01G033500;TraesCS3D01G315700;TraesCS6A01G107800</t>
  </si>
  <si>
    <t>TraesCS1D01G106000;TraesCS3D01G240900;TraesCS6D01G195900;TraesCS1D01G414700;TraesCS5B01G184100;TraesCS1D01G004400;TraesCS2D01G555000;TraesCS2B01G585100;TraesCS5A01G186000;TraesCS5A01G182400;TraesCS4A01G218200;TraesCS4D01G054300;TraesCS3B01G268800;TraesCS2A01G553500;TraesCS4B01G097000;TraesCS6A01G211400;TraesCS5B01G180400;TraesCS4D01G093300</t>
  </si>
  <si>
    <t>TraesCS5A01G455100;TraesCS5D01G465500;TraesCS5B01G463900</t>
  </si>
  <si>
    <t>stomatal closure</t>
  </si>
  <si>
    <t>ferroxidase activity</t>
  </si>
  <si>
    <t>oxidoreductase activity, oxidizing metal ions, oxygen as acceptor</t>
  </si>
  <si>
    <t>oxidoreductase activity, oxidizing metal ions</t>
  </si>
  <si>
    <t>positive regulation of response to biotic stimulus</t>
  </si>
  <si>
    <t>TraesCS4A01G244500;TraesCS4B01G070500;TraesCS4D01G069300</t>
  </si>
  <si>
    <t>inositol phosphate phosphatase activity</t>
  </si>
  <si>
    <t>TraesCS4B01G100100;TraesCS3B01G141600;TraesCS4D01G096400</t>
  </si>
  <si>
    <t>regulation of sulfur metabolic process</t>
  </si>
  <si>
    <t>TraesCS4A01G091000;TraesCS1D01G227700;TraesCS6B01G231800</t>
  </si>
  <si>
    <t>coenzyme transport</t>
  </si>
  <si>
    <t>TraesCS1B01G048300;TraesCS5B01G468400;TraesCS6B01G284000;TraesCS6D01G130800;TraesCS6A01G240700;TraesCS1B01G048500;TraesCS7A01G412400;TraesCS6D01G222900;TraesCS1D01G039500;TraesCS6B01G258500;TraesCS6B01G258400;TraesCS6B01G169700;TraesCS6A01G141500;TraesCS6D01G212400;TraesCS4D01G315400</t>
  </si>
  <si>
    <t>aromatic amino acid family catabolic process</t>
  </si>
  <si>
    <t>TraesCS2A01G224000;TraesCS3A01G344400;TraesCS2D01G229900;TraesCS6B01G386200;TraesCS2B01G274200;TraesCS2D01G520100;TraesCS6A01G353600;TraesCS5D01G163400;TraesCS2D01G289800;TraesCS5B01G155700;TraesCS6D01G335900;TraesCS3B01G490900</t>
  </si>
  <si>
    <t>autophagy</t>
  </si>
  <si>
    <t>process utilizing autophagic mechanism</t>
  </si>
  <si>
    <t>TraesCS7D01G357200;TraesCS5A01G497400;TraesCS4A01G372600;TraesCS1B01G456700;TraesCS6A01G240700;TraesCS5B01G117600;TraesCS1A01G093800;TraesCS2A01G389900;TraesCS1D01G327000;TraesCS7D01G125400;TraesCS4B01G125700;TraesCS4D01G207500;TraesCS1B01G226800;TraesCS3B01G247000;TraesCS5A01G337100;TraesCS4A01G145300;TraesCS4B01G335100;TraesCS6A01G353600;TraesCS5D01G163400;TraesCS6A01G244400;TraesCS1D01G074400;TraesCS5D01G104200;TraesCS2A01G363600;TraesCS2D01G361400;TraesCS7D01G069900;TraesCS5A01G505000;TraesCS1B01G164200;TraesCS2D01G554900;TraesCS6B01G185500;TraesCS1D01G216200;TraesCS4A01G091000;TraesCS6D01G125600;TraesCS7B01G262100;TraesCS3D01G204000;TraesCS6D01G226700;TraesCS5B01G155700;TraesCS6B01G280000;TraesCS6D01G257000;TraesCS6D01G335900;TraesCS7A01G264500;TraesCS5B01G097600;TraesCS4D01G108200;TraesCS2A01G121000;TraesCS2B01G393000;TraesCS4D01G147600;TraesCS5B01G166000;TraesCS5B01G246900;TraesCS3B01G090400;TraesCS3B01G013200;TraesCS5A01G169300;TraesCS2B01G141900;TraesCS6B01G386200;TraesCS1D01G144600;TraesCS5B01G408400;TraesCS1A01G213400;TraesCS1D01G102400</t>
  </si>
  <si>
    <t>vacuole</t>
  </si>
  <si>
    <t>sulfate transmembrane transport</t>
  </si>
  <si>
    <t>TraesCS4B01G237300;TraesCS4B01G100100;TraesCS2D01G392800;TraesCS4A01G216100;TraesCS4D01G238600;TraesCS4D01G096400</t>
  </si>
  <si>
    <t>response to decreased oxygen levels</t>
  </si>
  <si>
    <t>TraesCS2B01G141900;TraesCS4D01G147600;TraesCS2A01G121000;TraesCS4A01G145300;TraesCS5D01G039900;TraesCS5B01G031800</t>
  </si>
  <si>
    <t>regulation of pH</t>
  </si>
  <si>
    <t>TraesCS3B01G360600;TraesCS1D01G312600;TraesCS3A01G330600;TraesCS1A01G312400;TraesCS2A01G420800;TraesCS2D01G417800</t>
  </si>
  <si>
    <t>organophosphate catabolic process</t>
  </si>
  <si>
    <t>TraesCS2A01G217600;TraesCS1D01G218200;TraesCS4B01G315400;TraesCS3A01G493100;TraesCS5B01G134400;TraesCS7B01G029200;TraesCS2B01G180500;TraesCS3A01G272900;TraesCS7D01G392600;TraesCS3D01G250500;TraesCS3D01G273200;TraesCS4D01G293200;TraesCS5B01G214500;TraesCS4B01G100100;TraesCS5A01G297900;TraesCS5D01G223800;TraesCS4D01G312300;TraesCS1B01G058600;TraesCS4D01G096400;TraesCS5B01G380400;TraesCS2A01G155500;TraesCS2D01G285300;TraesCS5A01G337100;TraesCS5D01G329100;TraesCS2A01G081400;TraesCS2D01G079200;TraesCS5A01G216000;TraesCS5B01G366400;TraesCS7B01G299100;TraesCS3D01G272300;TraesCS5D01G304700;TraesCS1A01G016100;TraesCS3B01G114200;TraesCS6D01G047500;TraesCS2B01G096000;TraesCS4A01G267300</t>
  </si>
  <si>
    <t>regulation of cell communication</t>
  </si>
  <si>
    <t>TraesCS6D01G110600;TraesCS6D01G110400;TraesCS2A01G389400;TraesCS2B01G407600;TraesCS6D01G222600;TraesCS7A01G423800;TraesCS6A01G120600</t>
  </si>
  <si>
    <t>transcription regulatory region sequence-specific DNA binding</t>
  </si>
  <si>
    <t>TraesCS1A01G243400;TraesCS1D01G004700;TraesCS6A01G171800;TraesCS1D01G243400;TraesCS7A01G118900;TraesCS7D01G114100;TraesCS7A01G231600;TraesCS5D01G480600;TraesCS3D01G193200;TraesCS6D01G161200;TraesCS1D01G335500;TraesCS2B01G485600;TraesCS3B01G218800;TraesCS3B01G290300;TraesCS4D01G203900;TraesCS5D01G142900;TraesCS5D01G328300;TraesCSU01G003600;TraesCS2D01G031100;TraesCS7A01G480100;TraesCS6D01G107600;TraesCS2A01G056800;TraesCS1A01G332800;TraesCS7D01G364700;TraesCS2D01G562200;TraesCS2D01G451100;TraesCS4A01G101600;TraesCS3D01G230300;TraesCS4B01G203000;TraesCS3A01G257500;TraesCS1B01G254900;TraesCS3D01G412400;TraesCS4D01G176200;TraesCS7D01G467100;TraesCS3A01G362500;TraesCS6B01G199700;TraesCS4B01G181800;TraesCS1A01G312300;TraesCS2D01G464800;TraesCS2D01G055600;TraesCS6B01G145800;TraesCS3A01G129000;TraesCS4B01G174200;TraesCS7B01G245800;TraesCS6D01G146500;TraesCS7D01G114200;TraesCS3D01G204000;TraesCS3B01G148100;TraesCS1D01G335400;TraesCS1A01G002500;TraesCS6D01G105000;TraesCS4D01G184200;TraesCS1B01G324000;TraesCS6D01G153600;TraesCS2A01G463900;TraesCS4A01G130300;TraesCS4D01G176300;TraesCS1A01G047000;TraesCS5B01G135200;TraesCS7D01G341800;TraesCS3A01G123000;TraesCS6B01G192400;TraesCS3B01G401600;TraesCS7A01G419500;TraesCS5A01G467600;TraesCS3D01G356300;TraesCS1D01G312500;TraesCS1D01G047900;TraesCS5A01G321500;TraesCS6B01G145700;TraesCS3D01G257500;TraesCS1B01G001800;TraesCS4B01G174300;TraesCS5A01G136200</t>
  </si>
  <si>
    <t>TraesCS1D01G111900;TraesCS7A01G339100;TraesCS7B01G250400;TraesCS7D01G346400</t>
  </si>
  <si>
    <t>acyl-CoA oxidase activity</t>
  </si>
  <si>
    <t>TraesCS5B01G223600;TraesCS1D01G314900;TraesCS1A01G314400;TraesCS1B01G326700</t>
  </si>
  <si>
    <t>transcription factor TFIIIB complex</t>
  </si>
  <si>
    <t>RNA polymerase III transcription factor complex</t>
  </si>
  <si>
    <t>regulation of signaling</t>
  </si>
  <si>
    <t>TraesCS7B01G144600;TraesCS6B01G222200;TraesCS7A01G246700;TraesCS7D01G245500;TraesCS6D01G180400</t>
  </si>
  <si>
    <t>defense response to fungus, incompatible interaction</t>
  </si>
  <si>
    <t>TraesCS6B01G381400;TraesCS7D01G416900;TraesCS7B01G325300;TraesCS6D01G330900;TraesCS5A01G218000;TraesCS2D01G462300;TraesCS5A01G218300;TraesCS5D01G225900;TraesCS5B01G217500;TraesCS5B01G217700;TraesCS5D01G226400;TraesCS6A01G347900;TraesCS5B01G217100;TraesCS5B01G217000;TraesCS5D01G226000;TraesCS7A01G424700</t>
  </si>
  <si>
    <t>transmembrane signaling receptor activity</t>
  </si>
  <si>
    <t>transmembrane receptor activity</t>
  </si>
  <si>
    <t>TraesCS2D01G286300;TraesCS4D01G175700;TraesCS2D01G169000;TraesCS4D01G068200;TraesCS1D01G075500;TraesCS6A01G201100;TraesCS7D01G182700;TraesCS1A01G370700;TraesCS7A01G096500;TraesCS3A01G269900;TraesCS2A01G270200;TraesCS2D01G104600;TraesCS4A01G193600;TraesCS4D01G207500;TraesCS1B01G126600;TraesCS1D01G106100;TraesCS3D01G072000;TraesCS5A01G469000;TraesCS6A01G319600;TraesCS5D01G148900;TraesCS2D01G079200;TraesCS2B01G289000;TraesCS2A01G417200;TraesCS2D01G231600;TraesCS2D01G332300;TraesCS5B01G494500;TraesCS6A01G326000;TraesCS7B01G423100;TraesCS4B01G002000;TraesCS3B01G412500;TraesCS3A01G281900;TraesCS2A01G456600;TraesCS5D01G279100;TraesCS3B01G129900;TraesCS6D01G358700;TraesCS2B01G407600;TraesCS5B01G124200;TraesCS6A01G235100;TraesCS2D01G146100;TraesCS1D01G119500;TraesCS7A01G511800;TraesCS1A01G072600;TraesCS2D01G425700;TraesCS2D01G104500;TraesCS3D01G078900;TraesCS2A01G214400;TraesCS3D01G183900;TraesCS6B01G350400;TraesCS7B01G187600;TraesCS1A01G370600;TraesCS3B01G367500;TraesCS1D01G221000;TraesCS5B01G481300;TraesCS2A01G417300;TraesCS2A01G384100;TraesCS2A01G424900;TraesCS4A01G131000;TraesCS2B01G448100;TraesCS3A01G149000;TraesCS5D01G042300;TraesCS2B01G478700;TraesCS2D01G414500;TraesCS4D01G358900;TraesCS4D01G266400;TraesCS5B01G193200;TraesCS2B01G118500;TraesCS5A01G085900;TraesCS1D01G376700;TraesCS2B01G339600;TraesCS3A01G404400;TraesCS5A01G440400;TraesCS2B01G436100;TraesCS2B01G167900;TraesCS4B01G178600;TraesCS2A01G204500;TraesCS7D01G409700;TraesCS4D01G267500;TraesCS3B01G093300;TraesCS4B01G080900;TraesCS4D01G001200;TraesCS3B01G353000;TraesCS4B01G268100;TraesCS1A01G219400;TraesCS4B01G174000;TraesCS5B01G117700;TraesCS5B01G415700;TraesCS5A01G390300;TraesCS2D01G414600;TraesCS3B01G102300;TraesCS1B01G308200;TraesCS7A01G508700;TraesCS2B01G542300;TraesCS1B01G461600;TraesCS4D01G119700;TraesCS5B01G275200;TraesCS1A01G218100;TraesCS5D01G320800;TraesCS1B01G058600;TraesCS6B01G108000;TraesCS1D01G376600;TraesCS6A01G120300;TraesCS5A01G232700;TraesCS4B01G121500;TraesCS5B01G141900;TraesCS2A01G323000;TraesCS5B01G410000;TraesCS3B01G357500;TraesCS5B01G265400;TraesCS1A01G370400;TraesCS4B01G098200;TraesCS7A01G327700;TraesCS5A01G314700;TraesCS4B01G235300;TraesCS7B01G299200;TraesCS2B01G436200;TraesCS6B01G263800;TraesCS5B01G444100;TraesCS5D01G245300;TraesCS6D01G087700;TraesCS4B01G141500;TraesCS7D01G392800;TraesCS2A01G288000;TraesCS5A01G481300;TraesCS3D01G329400;TraesCS7D01G052600;TraesCS2D01G567000;TraesCS5B01G478300;TraesCS3B01G379200;TraesCS4D01G096400;TraesCS6A01G145600;TraesCS3A01G513200;TraesCS3B01G141600;TraesCS4A01G128100;TraesCS3A01G271700;TraesCS2A01G304000;TraesCS3D01G245500;TraesCS3A01G413700;TraesCS6B01G149000;TraesCS6D01G154400;TraesCS3A01G408000;TraesCS1B01G129800;TraesCS3A01G323800;TraesCS5D01G390700;TraesCS5A01G468300;TraesCS6A01G333600;TraesCS5A01G180800;TraesCS3A01G289200;TraesCS6A01G240400;TraesCS7B01G272900;TraesCS7D01G052500;TraesCS4A01G396400;TraesCS7B01G162100;TraesCS6A01G145500;TraesCS7A01G299600;TraesCS5D01G421100;TraesCS5B01G223600;TraesCS7D01G295100;TraesCS6B01G375400;TraesCS3D01G399600;TraesCS5D01G481700;TraesCS1D01G072600;TraesCS3D01G269600;TraesCS4D01G239600;TraesCS2A01G459700;TraesCS3B01G324400;TraesCS5D01G111300;TraesCS3B01G410500;TraesCS7A01G369500;TraesCS5B01G236900;TraesCS5A01G271500;TraesCS5B01G104200;TraesCS2B01G096000;TraesCS2A01G189600;TraesCS5D01G447500;TraesCS2D01G431000;TraesCS3A01G176500;TraesCS6D01G312800;TraesCS7A01G343000;TraesCS7A01G096300;TraesCS5B01G271800;TraesCS5B01G384500;TraesCS4A01G396300;TraesCS2A01G514300;TraesCS5A01G104900;TraesCS7D01G052400;TraesCS1D01G223600;TraesCS2A01G081400;TraesCS2A01G101900;TraesCS4D01G176200;TraesCS2B01G304800;TraesCS4B01G346100;TraesCS5D01G092000;TraesCS3B01G208300;TraesCS5B01G362600;TraesCS3D01G408100;TraesCS5B01G108500;TraesCS1A01G350400;TraesCS7A01G416400;TraesCS3B01G255400;TraesCS3D01G317400;TraesCS1B01G326700;TraesCS3D01G289000;TraesCS7A01G376100;TraesCS5A01G143100;TraesCS5D01G273600;TraesCS5A01G112600;TraesCS1A01G401800;TraesCS5B01G313000;TraesCS1B01G274300;TraesCS1B01G304800;TraesCS6B01G238900;TraesCS5A01G238400;TraesCS5B01G095900;TraesCS2D01G100900;TraesCS3B01G568300;TraesCS4A01G396200;TraesCS4D01G094400;TraesCS1D01G292700;TraesCS4D01G176300;TraesCS4A01G098900;TraesCS4A01G176200;TraesCS5A01G400000;TraesCS3A01G413600;TraesCS3D01G408000;TraesCS4B01G069500;TraesCS5A01G380900;TraesCS5A01G124600;TraesCS2D01G456900;TraesCS3A01G109300;TraesCS5A01G258100;TraesCS7D01G508800;TraesCS1B01G326600;TraesCS5D01G518700;TraesCS4D01G268100;TraesCS3B01G371200;TraesCS3B01G375800;TraesCS7A01G264800;TraesCS1B01G243100;TraesCS5D01G183100;TraesCS2A01G427700;TraesCS3B01G176200;TraesCS3D01G370800;TraesCS4A01G130600;TraesCS5D01G232700;TraesCS2B01G217500;TraesCS4D01G176000;TraesCS7B01G364600;TraesCS3D01G354100;TraesCS5B01G480900;TraesCS2D01G464400;TraesCS6A01G406700;TraesCS7D01G000200;TraesCS3B01G270500;TraesCS5B01G142100;TraesCS3A01G167200;TraesCS4A01G062800;TraesCS4A01G001300;TraesCS3A01G377700;TraesCS6A01G108800;TraesCS4D01G236600;TraesCS3D01G296100;TraesCS5D01G481200;TraesCS6B01G364000;TraesCS6D01G239700;TraesCS4B01G100100;TraesCS5D01G244800;TraesCS3B01G448000;TraesCS2D01G211400;TraesCS5A01G251800;TraesCS7A01G270100;TraesCS3A01G343900;TraesCS4B01G173600;TraesCS5D01G097900;TraesCS5B01G118200;TraesCS4D01G178400;TraesCS5B01G257300;TraesCS6D01G074200;TraesCS6D01G217800;TraesCS6D01G110400;TraesCS7A01G057800;TraesCS3A01G379900;TraesCS5D01G205000;TraesCS4A01G001400;TraesCS3B01G314600;TraesCS7B01G434700;TraesCS2D01G269200;TraesCS4A01G035400;TraesCS3D01G289500;TraesCS6B01G193200;TraesCS4A01G129400;TraesCS4D01G177000;TraesCS5A01G395100;TraesCS3B01G199000;TraesCS5B01G315600;TraesCS3B01G448100;TraesCS5B01G176300;TraesCS2D01G198200;TraesCS3D01G401200;TraesCS3D01G238300;TraesCS5D01G450500;TraesCS4B01G299700;TraesCS4D01G105100;TraesCS4A01G216100;TraesCS3B01G441600;TraesCS3D01G173300;TraesCS3B01G330700;TraesCS7B01G316600;TraesCS4A01G059600;TraesCS1A01G314400;TraesCS7A01G365600;TraesCS3A01G111200;TraesCS1A01G421900;TraesCS5B01G236400;TraesCS7D01G497400;TraesCS1B01G232300;TraesCS2A01G102000;TraesCS2D01G515900;TraesCS2A01G433000;TraesCS7D01G336400;TraesCS2B01G116900;TraesCS3D01G227400;TraesCS5A01G265700;TraesCS5D01G185300;TraesCS6D01G134800;TraesCS2D01G339900;TraesCS2A01G201800;TraesCS7D01G345200;TraesCS7A01G306100;TraesCS7D01G526100;TraesCS3D01G341100;TraesCS5D01G232800;TraesCS7B01G160900;TraesCS1B01G453300;TraesCS6D01G110600;TraesCS3B01G303800;TraesCS7A01G509000;TraesCS3D01G281900;TraesCS4A01G219700;TraesCS3A01G406000;TraesCS5B01G415400;TraesCS5A01G090100;TraesCS1D01G398400;TraesCS4B01G108000;TraesCS7A01G328600;TraesCS7D01G283800;TraesCS7D01G092500;TraesCS6B01G284300;TraesCS4D01G136500;TraesCS2B01G454300;TraesCS2D01G414300;TraesCS5D01G487600;TraesCS1A01G298600;TraesCS4D01G312300;TraesCS5D01G116100;TraesCS5A01G475300;TraesCS2B01G135600;TraesCS7D01G551700;TraesCS1D01G376500;TraesCS7B01G259000;TraesCS7D01G171300;TraesCS5D01G129400;TraesCS1D01G429800;TraesCS2B01G436300;TraesCS7B01G249200;TraesCS3B01G439600;TraesCS7A01G518800;TraesCS1A01G389500;TraesCS6D01G299000;TraesCS7D01G092600;TraesCS5D01G071800;TraesCS5B01G224000;TraesCS7D01G110600;TraesCS7D01G372500;TraesCS6B01G148700;TraesCS2B01G187500;TraesCS2A01G389400;TraesCS4D01G180200;TraesCS6A01G258500;TraesCS2D01G387300;TraesCS4A01G071800;TraesCS1B01G235100;TraesCS2B01G320700;TraesCS7D01G201700;TraesCS1A01G263700;TraesCS2A01G101400;TraesCS1D01G263800;TraesCS6B01G451300;TraesCS5D01G266300;TraesCS4B01G239700;TraesCS5D01G321000;TraesCS1D01G314800;TraesCS2A01G391700;TraesCS2D01G386100;TraesCS2A01G388300;TraesCS5A01G237900;TraesCS5A01G080300;TraesCS7D01G497300;TraesCS4A01G171500;TraesCS1A01G302700;TraesCS3A01G289700;TraesCS5B01G564100;TraesCS3D01G157100;TraesCS7D01G353800;TraesCS6D01G222600;TraesCS7A01G116000;TraesCS5A01G468800;TraesCS3B01G130000;TraesCS6A01G394300;TraesCS5B01G067700;TraesCS6A01G080500;TraesCS3A01G078400;TraesCS3A01G336500;TraesCS7A01G423800;TraesCS3A01G242500;TraesCS6A01G120600;TraesCS4B01G228600;TraesCS2D01G285300;TraesCS3D01G431700;TraesCS7D01G501000;TraesCS1D01G265800;TraesCS1D01G314900;TraesCS5A01G411900;TraesCS2D01G051000;TraesCS5B01G075300;TraesCS3B01G310500;TraesCS7D01G092400;TraesCS3A01G229300;TraesCS1A01G221900;TraesCS3D01G372900;TraesCS5A01G312000;TraesCS3D01G242500;TraesCS3B01G273600;TraesCS4B01G205400;TraesCS4A01G126300;TraesCS3A01G347500;TraesCS3D01G276600;TraesCS3D01G113300;TraesCS3A01G276500;TraesCS6B01G173900;TraesCS1D01G429900;TraesCS5A01G411800;TraesCS3A01G245900;TraesCS6A01G165800</t>
  </si>
  <si>
    <t>TraesCS2D01G286300;TraesCS4D01G175700;TraesCS2D01G169000;TraesCS4D01G068200;TraesCS1D01G075500;TraesCS6A01G201100;TraesCS7D01G182700;TraesCS1A01G370700;TraesCS7A01G096500;TraesCS3A01G269900;TraesCS2A01G270200;TraesCS2D01G104600;TraesCS4A01G193600;TraesCS4D01G207500;TraesCS1B01G126600;TraesCS1D01G106100;TraesCS5A01G469000;TraesCS6A01G319600;TraesCS5D01G148900;TraesCS2D01G079200;TraesCS2B01G289000;TraesCS2A01G417200;TraesCS2D01G231600;TraesCS2D01G332300;TraesCS5B01G494500;TraesCS6A01G326000;TraesCS7B01G423100;TraesCS4B01G002000;TraesCS3B01G412500;TraesCS3A01G281900;TraesCS2A01G456600;TraesCS5D01G279100;TraesCS3B01G129900;TraesCS6D01G358700;TraesCS2B01G407600;TraesCS5B01G124200;TraesCS6A01G235100;TraesCS2D01G146100;TraesCS1D01G119500;TraesCS7A01G511800;TraesCS1A01G072600;TraesCS2D01G425700;TraesCS2D01G104500;TraesCS3D01G078900;TraesCS2A01G214400;TraesCS3D01G183900;TraesCS6B01G350400;TraesCS7B01G187600;TraesCS1A01G370600;TraesCS3B01G367500;TraesCS1D01G221000;TraesCS5B01G481300;TraesCS2A01G417300;TraesCS2A01G424900;TraesCS4A01G131000;TraesCS2B01G448100;TraesCS3A01G149000;TraesCS5D01G042300;TraesCS2B01G478700;TraesCS2D01G414500;TraesCS4D01G358900;TraesCS4D01G266400;TraesCS5B01G193200;TraesCS2B01G118500;TraesCS5A01G085900;TraesCS1D01G376700;TraesCS2B01G339600;TraesCS3A01G404400;TraesCS5A01G440400;TraesCS2B01G436100;TraesCS2B01G167900;TraesCS4B01G178600;TraesCS2A01G204500;TraesCS7D01G409700;TraesCS4D01G267500;TraesCS3B01G093300;TraesCS4B01G080900;TraesCS4D01G001200;TraesCS3B01G353000;TraesCS4B01G268100;TraesCS1A01G219400;TraesCS4B01G174000;TraesCS5B01G117700;TraesCS5B01G415700;TraesCS5A01G390300;TraesCS2D01G414600;TraesCS3B01G102300;TraesCS1B01G308200;TraesCS7A01G508700;TraesCS2B01G542300;TraesCS1B01G461600;TraesCS4D01G119700;TraesCS5B01G275200;TraesCS1A01G218100;TraesCS5D01G320800;TraesCS1B01G058600;TraesCS6B01G108000;TraesCS1D01G376600;TraesCS6A01G120300;TraesCS5A01G232700;TraesCS4B01G121500;TraesCS5B01G141900;TraesCS2A01G323000;TraesCS5B01G410000;TraesCS3B01G357500;TraesCS5B01G265400;TraesCS1A01G370400;TraesCS4B01G098200;TraesCS7A01G327700;TraesCS5A01G314700;TraesCS4B01G235300;TraesCS7B01G299200;TraesCS2B01G436200;TraesCS6B01G263800;TraesCS5B01G444100;TraesCS5D01G245300;TraesCS6D01G087700;TraesCS4B01G141500;TraesCS7D01G392800;TraesCS2A01G288000;TraesCS5A01G481300;TraesCS3D01G329400;TraesCS7D01G052600;TraesCS2D01G567000;TraesCS5B01G478300;TraesCS3B01G379200;TraesCS4D01G096400;TraesCS6A01G145600;TraesCS3A01G513200;TraesCS3B01G141600;TraesCS4A01G128100;TraesCS3A01G271700;TraesCS2A01G304000;TraesCS3D01G245500;TraesCS3A01G413700;TraesCS6B01G149000;TraesCS6D01G154400;TraesCS3A01G408000;TraesCS1B01G129800;TraesCS3A01G323800;TraesCS5D01G390700;TraesCS5A01G468300;TraesCS6A01G333600;TraesCS5A01G180800;TraesCS3A01G289200;TraesCS6A01G240400;TraesCS7B01G272900;TraesCS7D01G052500;TraesCS4A01G396400;TraesCS7B01G162100;TraesCS6A01G145500;TraesCS7A01G299600;TraesCS5D01G421100;TraesCS5B01G223600;TraesCS7D01G295100;TraesCS6B01G375400;TraesCS3D01G399600;TraesCS5D01G481700;TraesCS1D01G072600;TraesCS3D01G269600;TraesCS4D01G239600;TraesCS2A01G459700;TraesCS3B01G324400;TraesCS5D01G111300;TraesCS3B01G410500;TraesCS7A01G369500;TraesCS5B01G236900;TraesCS5A01G271500;TraesCS5B01G104200;TraesCS2B01G096000;TraesCS2A01G189600;TraesCS5D01G447500;TraesCS2D01G431000;TraesCS3A01G176500;TraesCS6D01G312800;TraesCS7A01G343000;TraesCS7A01G096300;TraesCS5B01G271800;TraesCS5B01G384500;TraesCS4A01G396300;TraesCS2A01G514300;TraesCS5A01G104900;TraesCS7D01G052400;TraesCS1D01G223600;TraesCS2A01G081400;TraesCS2A01G101900;TraesCS2B01G304800;TraesCS4B01G346100;TraesCS5D01G092000;TraesCS3B01G208300;TraesCS5B01G362600;TraesCS3D01G408100;TraesCS5B01G108500;TraesCS1A01G350400;TraesCS7A01G416400;TraesCS3B01G255400;TraesCS3D01G317400;TraesCS1B01G326700;TraesCS3D01G289000;TraesCS7A01G376100;TraesCS5A01G143100;TraesCS5D01G273600;TraesCS5A01G112600;TraesCS1A01G401800;TraesCS5B01G313000;TraesCS1B01G274300;TraesCS1B01G304800;TraesCS6B01G238900;TraesCS5A01G238400;TraesCS5B01G095900;TraesCS2D01G100900;TraesCS3B01G568300;TraesCS4A01G396200;TraesCS4D01G094400;TraesCS1D01G292700;TraesCS4A01G098900;TraesCS4A01G176200;TraesCS5A01G400000;TraesCS3A01G413600;TraesCS3D01G408000;TraesCS4B01G069500;TraesCS5A01G380900;TraesCS5A01G124600;TraesCS2D01G456900;TraesCS3A01G109300;TraesCS5A01G258100;TraesCS7D01G508800;TraesCS1B01G326600;TraesCS5D01G518700;TraesCS4D01G268100;TraesCS3B01G371200;TraesCS3B01G375800;TraesCS7A01G264800;TraesCS1B01G243100;TraesCS5D01G183100;TraesCS2A01G427700;TraesCS3B01G176200;TraesCS3D01G370800;TraesCS4A01G130600;TraesCS5D01G232700;TraesCS2B01G217500;TraesCS4D01G176000;TraesCS7B01G364600;TraesCS3D01G354100;TraesCS5B01G480900;TraesCS2D01G464400;TraesCS6A01G406700;TraesCS7D01G000200;TraesCS3B01G270500;TraesCS5B01G142100;TraesCS3A01G167200;TraesCS4A01G062800;TraesCS4A01G001300;TraesCS3A01G377700;TraesCS6A01G108800;TraesCS4D01G236600;TraesCS3D01G296100;TraesCS5D01G481200;TraesCS6B01G364000;TraesCS6D01G239700;TraesCS4B01G100100;TraesCS5D01G244800;TraesCS3B01G448000;TraesCS2D01G211400;TraesCS5A01G251800;TraesCS7A01G270100;TraesCS3A01G343900;TraesCS4B01G173600;TraesCS5D01G097900;TraesCS5B01G118200;TraesCS4D01G178400;TraesCS5B01G257300;TraesCS6D01G074200;TraesCS6D01G217800;TraesCS6D01G110400;TraesCS7A01G057800;TraesCS3A01G379900;TraesCS5D01G205000;TraesCS4A01G001400;TraesCS3B01G314600;TraesCS7B01G434700;TraesCS2D01G269200;TraesCS4A01G035400;TraesCS3D01G289500;TraesCS6B01G193200;TraesCS4A01G129400;TraesCS4D01G177000;TraesCS5A01G395100;TraesCS3B01G199000;TraesCS5B01G315600;TraesCS3B01G448100;TraesCS5B01G176300;TraesCS2D01G198200;TraesCS3D01G401200;TraesCS3D01G238300;TraesCS5D01G450500;TraesCS4B01G299700;TraesCS4D01G105100;TraesCS4A01G216100;TraesCS3B01G441600;TraesCS3D01G173300;TraesCS3B01G330700;TraesCS7B01G316600;TraesCS4A01G059600;TraesCS1A01G314400;TraesCS7A01G365600;TraesCS3A01G111200;TraesCS3B01G156800;TraesCS1A01G421900;TraesCS5B01G236400;TraesCS7D01G497400;TraesCS1B01G232300;TraesCS2A01G102000;TraesCS2D01G515900;TraesCS2A01G433000;TraesCS7D01G336400;TraesCS2B01G116900;TraesCS3D01G227400;TraesCS5A01G265700;TraesCS5D01G185300;TraesCS6D01G134800;TraesCS2D01G339900;TraesCS2A01G201800;TraesCS7D01G345200;TraesCS7A01G306100;TraesCS7D01G526100;TraesCS3D01G341100;TraesCS5D01G232800;TraesCS7B01G160900;TraesCS1B01G453300;TraesCS6D01G110600;TraesCS3B01G303800;TraesCS7A01G509000;TraesCS3D01G281900;TraesCS4A01G219700;TraesCS3A01G406000;TraesCS5B01G415400;TraesCS5A01G090100;TraesCS1D01G398400;TraesCS4B01G108000;TraesCS7A01G328600;TraesCS7D01G283800;TraesCS7D01G092500;TraesCS6B01G284300;TraesCS4D01G136500;TraesCS2B01G454300;TraesCS2D01G414300;TraesCS5D01G487600;TraesCS1A01G298600;TraesCS4D01G312300;TraesCS5D01G116100;TraesCS5A01G475300;TraesCS2B01G135600;TraesCS7D01G551700;TraesCS1D01G376500;TraesCS7B01G259000;TraesCS7D01G171300;TraesCS5D01G129400;TraesCS1D01G429800;TraesCS2B01G436300;TraesCS7B01G249200;TraesCS3B01G439600;TraesCS7A01G518800;TraesCS1A01G389500;TraesCS6D01G299000;TraesCS7D01G092600;TraesCS5D01G071800;TraesCS5B01G224000;TraesCS7D01G110600;TraesCS7D01G372500;TraesCS6B01G148700;TraesCS2B01G187500;TraesCS2A01G389400;TraesCS4D01G180200;TraesCS6A01G258500;TraesCS2D01G387300;TraesCS4A01G071800;TraesCS1B01G235100;TraesCS2B01G320700;TraesCS7D01G201700;TraesCS1A01G263700;TraesCS2A01G101400;TraesCS1D01G263800;TraesCS6B01G451300;TraesCS5D01G266300;TraesCS4B01G239700;TraesCS5D01G321000;TraesCS1D01G314800;TraesCS2A01G391700;TraesCS2D01G386100;TraesCS2A01G388300;TraesCS5A01G237900;TraesCS5A01G080300;TraesCS7D01G497300;TraesCS4A01G171500;TraesCS1A01G302700;TraesCS3A01G289700;TraesCS5B01G564100;TraesCS3D01G157100;TraesCS7D01G353800;TraesCS6D01G222600;TraesCS7A01G116000;TraesCS5A01G468800;TraesCS3B01G130000;TraesCS6A01G394300;TraesCS5B01G067700;TraesCS6A01G080500;TraesCS3A01G078400;TraesCS3A01G336500;TraesCS7A01G423800;TraesCS3A01G242500;TraesCS6A01G120600;TraesCS4B01G228600;TraesCS2D01G285300;TraesCS3D01G431700;TraesCS7D01G501000;TraesCS1D01G265800;TraesCS1D01G314900;TraesCS5A01G411900;TraesCS2D01G051000;TraesCS5B01G075300;TraesCS3B01G310500;TraesCS7D01G092400;TraesCS3A01G229300;TraesCS1A01G221900;TraesCS3D01G372900;TraesCS5A01G312000;TraesCS3D01G242500;TraesCS3B01G273600;TraesCS4B01G205400;TraesCS4A01G126300;TraesCS3A01G347500;TraesCS3D01G276600;TraesCS3D01G113300;TraesCS3A01G276500;TraesCS6B01G173900;TraesCS1D01G429900;TraesCS5A01G411800;TraesCS3A01G245900;TraesCS6A01G165800</t>
  </si>
  <si>
    <t>TraesCS4B01G222100;TraesCS4A01G081700;TraesCS2A01G121200;TraesCS4B01G335100;TraesCS5A01G505000;TraesCS6D01G039300;TraesCS1D01G074500;TraesCS2D01G123300;TraesCS3A01G124800;TraesCS4D01G222600</t>
  </si>
  <si>
    <t>response to cadmium ion</t>
  </si>
  <si>
    <t>regulation of signal transduction</t>
  </si>
  <si>
    <t>TraesCS7B01G239300;TraesCS6A01G419200;TraesCS6B01G382800;TraesCS6D01G253100;TraesCS1D01G163400;TraesCS2D01G301100;TraesCS7B01G107300;TraesCS7D01G506300;TraesCS5B01G373000;TraesCS1D01G094700;TraesCS5A01G160100;TraesCS5B01G152600;TraesCS6D01G167300;TraesCS1A01G145100;TraesCS5B01G214500;TraesCS3B01G113500;TraesCS6B01G255500;TraesCS3B01G455000;TraesCS5D01G223800;TraesCS6D01G367600;TraesCS7A01G031700;TraesCS5A01G156200;TraesCS3A01G097800;TraesCS7B01G301400;TraesCS7D01G335800;TraesCS1A01G072000;TraesCS5A01G152600;TraesCS6B01G222200;TraesCS5B01G042800;TraesCS5D01G031500;TraesCS1B01G441900;TraesCS5A01G216000;TraesCS5B01G104500;TraesCS3A01G419600;TraesCS5D01G159100;TraesCS5D01G048600;TraesCS7D01G300200;TraesCS7B01G222700;TraesCS1D01G236900;TraesCS3B01G194400;TraesCS4D01G261400;TraesCS6A01G226100;TraesCS5B01G327800;TraesCS2A01G064000;TraesCS3D01G136300;TraesCS5B01G155700;TraesCS1A01G411600;TraesCS3D01G527900;TraesCS2B01G605800;TraesCS6B01G169000;TraesCS1D01G419400;TraesCS7D01G213600;TraesCS2A01G276400;TraesCS5A01G078400;TraesCS1D01G101300;TraesCS7D01G395100;TraesCS2D01G039600;TraesCS4B01G054900;TraesCS3D01G351600;TraesCS7A01G364200;TraesCS2B01G315100;TraesCS3A01G357700;TraesCS1A01G235200;TraesCS1D01G301300;TraesCS1A01G301600;TraesCS7D01G203800;TraesCS7A01G343800;TraesCS1D01G074500;TraesCS6D01G180400;TraesCS4B01G261800;TraesCS6B01G300500;TraesCS2A01G302400;TraesCS1B01G162400;TraesCS2D01G275400;TraesCS5A01G429000;TraesCS5D01G111500;TraesCS4D01G032900;TraesCS7A01G212000;TraesCS3A01G310400;TraesCS2D01G598500;TraesCS3A01G163300;TraesCS1B01G248400;TraesCS1B01G311400;TraesCS2B01G151100;TraesCSU01G021700;TraesCS4D01G055000;TraesCS1B01G204700;TraesCS5A01G006200;TraesCS6A01G140800</t>
  </si>
  <si>
    <t>TraesCS1D01G039500;TraesCS6B01G258500;TraesCS6B01G258400;TraesCS1B01G048300;TraesCS5B01G468400;TraesCS6B01G169700;TraesCS6D01G130800;TraesCS6A01G141500;TraesCS6D01G212400;TraesCS1B01G048500</t>
  </si>
  <si>
    <t>L-phenylalanine catabolic process</t>
  </si>
  <si>
    <t>erythrose 4-phosphate/phosphoenolpyruvate family amino acid catabolic process</t>
  </si>
  <si>
    <t>TraesCS2A01G158800;TraesCS2B01G336000;TraesCS5A01G281700;TraesCS2A01G158600;TraesCS7D01G548200;TraesCS2A01G158700;TraesCS6B01G095100;TraesCS3D01G094200;TraesCS5B01G280900;TraesCS7A01G412400;TraesCS2B01G189300;TraesCS2D01G165800;TraesCS3A01G093900;TraesCS2D01G165600;TraesCS5D01G288900;TraesCS4A01G046700;TraesCS2D01G285300;TraesCS5A01G177800;TraesCS5D01G207400;TraesCS4D01G258000;TraesCS5B01G200000;TraesCS7A01G561600;TraesCS2B01G184300;TraesCS5D01G289000;TraesCS6A01G071000;TraesCS5B01G175100;TraesCS5D01G182100;TraesCS6B01G091000;TraesCS7A01G365600;TraesCS6D01G068900;TraesCS1B01G034200</t>
  </si>
  <si>
    <t>response to wounding</t>
  </si>
  <si>
    <t>TraesCS5B01G151000;TraesCS5A01G152400;TraesCS5D01G157600;TraesCS7D01G435100;TraesCS7B01G346600</t>
  </si>
  <si>
    <t>TraesCS4B01G037800;TraesCS4B01G295200;TraesCS2B01G333600;TraesCS4D01G035200;TraesCS4A01G009400</t>
  </si>
  <si>
    <t>linoleate 13S-lipoxygenase activity</t>
  </si>
  <si>
    <t>TraesCS3A01G107600;TraesCS1D01G346200;TraesCS4D01G104100;TraesCS3B01G423200;TraesCS7D01G506300;TraesCS6D01G039300;TraesCS3D01G432600;TraesCS3A01G124800;TraesCS5A01G092600;TraesCS3A01G189300;TraesCS7D01G071200;TraesCS3D01G192800;TraesCS2A01G121200;TraesCS3A01G439800;TraesCS6A01G302400;TraesCS7A01G075600;TraesCS4A01G203300;TraesCS1A01G344000;TraesCS2D01G123300;TraesCS6B01G331600;TraesCS6D01G281900;TraesCS5D01G104900;TraesCS3B01G126400;TraesCS3B01G311900;TraesCS4B01G335100;TraesCS1D01G074500;TraesCS5B01G225200;TraesCS5B01G244300;TraesCS1D01G123700;TraesCS2B01G350500;TraesCS3D01G278000;TraesCS5A01G505000</t>
  </si>
  <si>
    <t>TraesCS4B01G143500;TraesCS1B01G229000;TraesCS1A01G215500;TraesCS1A01G182100;TraesCS1D01G218000;TraesCS5D01G208900;TraesCS1B01G198900;TraesCS5B01G201100;TraesCS5B01G458900;TraesCS1D01G185200;TraesCS5B01G244300;TraesCS3D01G467600;TraesCS3A01G471900;TraesCS5A01G513200;TraesCS6D01G291800;TraesCS4D01G142000;TraesCS4D01G339400</t>
  </si>
  <si>
    <t>TraesCS5B01G327800;TraesCS5A01G160100;TraesCS7B01G222700</t>
  </si>
  <si>
    <t>aspartyl-tRNA aminoacylation</t>
  </si>
  <si>
    <t>aspartate-tRNA ligase activity</t>
  </si>
  <si>
    <t>regulation of defense response to bacterium</t>
  </si>
  <si>
    <t>TraesCS4A01G046700;TraesCS4D01G258000;TraesCS4B01G258200</t>
  </si>
  <si>
    <t>strigolactone biosynthetic process</t>
  </si>
  <si>
    <t>strigolactone metabolic process</t>
  </si>
  <si>
    <t>lactone biosynthetic process</t>
  </si>
  <si>
    <t>lactone metabolic process</t>
  </si>
  <si>
    <t>TraesCS2A01G386000;TraesCS2D01G382500;TraesCS5B01G387300</t>
  </si>
  <si>
    <t>sulfate adenylyltransferase activity</t>
  </si>
  <si>
    <t>TraesCS7D01G419400;TraesCS1A01G072200;TraesCS1D01G074600</t>
  </si>
  <si>
    <t>primary root development</t>
  </si>
  <si>
    <t>TraesCS4B01G100100;TraesCS5A01G337100;TraesCS4D01G312300;TraesCS2A01G081400;TraesCS2B01G096000;TraesCS2D01G079200;TraesCS4D01G096400</t>
  </si>
  <si>
    <t>positive regulation of cell communication</t>
  </si>
  <si>
    <t>TraesCS2B01G208900;TraesCS4B01G100100;TraesCS4A01G089700;TraesCS1A01G295300;TraesCS4D01G215200;TraesCS4A01G216100;TraesCS4D01G096400</t>
  </si>
  <si>
    <t>detection of external stimulus</t>
  </si>
  <si>
    <t>TraesCS7D01G165300;TraesCS2B01G236900;TraesCS2B01G366600;TraesCS2A01G537900;TraesCS7B01G029200;TraesCS3A01G064400;TraesCS2A01G211900;TraesCS2B01G537800;TraesCS5B01G501300;TraesCS2D01G255700;TraesCS6B01G152700;TraesCS6B01G256200;TraesCS5D01G304700;TraesCS5A01G297900;TraesCS5D01G158100;TraesCS2B01G241900;TraesCS3D01G316700;TraesCS1D01G146900;TraesCS2A01G255300;TraesCS2D01G537700</t>
  </si>
  <si>
    <t>TraesCS3A01G146800;TraesCS4D01G272500;TraesCS5D01G027600;TraesCS2A01G508900;TraesCS4B01G273500;TraesCS4B01G263300;TraesCS3D01G378700;TraesCS4D01G263500;TraesCS6A01G187300;TraesCS3A01G385600;TraesCS4A01G042700</t>
  </si>
  <si>
    <t>TraesCS4D01G150300;TraesCS5D01G424600;TraesCS7B01G241200;TraesCS3A01G044800;TraesCS5B01G419200;TraesCS4B01G149400;TraesCS3D01G036100;TraesCS5B01G244300</t>
  </si>
  <si>
    <t>TraesCS2A01G384100;TraesCS2B01G208900;TraesCS4B01G100100;TraesCS4A01G089700;TraesCS2D01G392800;TraesCS1A01G295300;TraesCS4D01G215200;TraesCS4A01G216100;TraesCS6D01G039300;TraesCS4D01G096400</t>
  </si>
  <si>
    <t>detection of stimulus</t>
  </si>
  <si>
    <t>TraesCS6A01G312400;TraesCS7D01G351300;TraesCS5B01G201100;TraesCS1B01G324300;TraesCS1D01G149100;TraesCS2B01G516700;TraesCS7B01G327400;TraesCS4B01G179600;TraesCS2B01G047300;TraesCS3D01G015900;TraesCS2A01G423900;TraesCS7B01G370700;TraesCS2D01G349000;TraesCS3B01G484000;TraesCS7B01G256000;TraesCS2D01G349400;TraesCS5B01G294600;TraesCS3B01G528300;TraesCS5D01G205100;TraesCS5D01G064000;TraesCS7D01G010000;TraesCS1B01G197900;TraesCS5D01G408200;TraesCS5B01G064100;TraesCS5B01G504000;TraesCS7B01G169700;TraesCS1A01G203700;TraesCS1D01G312800;TraesCS6D01G291800;TraesCS3A01G029700;TraesCS3D01G188900;TraesCS6D01G248500;TraesCS2A01G386100;TraesCS1A01G312700;TraesCS3B01G028500;TraesCS5D01G302800;TraesCS3A01G184900;TraesCS3D01G478200;TraesCS1D01G140500;TraesCS3B01G232600;TraesCS4B01G015500;TraesCS5D01G208900;TraesCS5A01G202600;TraesCS3A01G195400;TraesCS1B01G158000;TraesCS2D01G489200;TraesCS3B01G406000;TraesCS5A01G513200;TraesCS2D01G033100;TraesCS2B01G403000;TraesCS4D01G142000;TraesCS4D01G136800;TraesCS6A01G216100;TraesCS3A01G483000;TraesCS4D01G339400;TraesCS1D01G199300;TraesCS4D01G090300;TraesCS3D01G200800;TraesCS1A01G072100;TraesCS6B01G293500;TraesCS7D01G419400;TraesCS1A01G093300;TraesCS3D01G366700;TraesCS4D01G013600;TraesCS4A01G484800;TraesCS4B01G093500;TraesCS4B01G356800;TraesCS1B01G210500;TraesCS1A01G276200;TraesCS3A01G486000;TraesCS1A01G203600;TraesCS5A01G199400;TraesCS3A01G373800;TraesCS1D01G218000;TraesCS2D01G450600;TraesCSU01G216800;TraesCS2A01G433500;TraesCS1D01G283900;TraesCS2A01G058100;TraesCS1A01G284900;TraesCS4A01G222900;TraesCS1D01G207100;TraesCS2B01G454500;TraesCS6A01G266100;TraesCS7A01G320000;TraesCS1A01G141500;TraesCS2A01G488900;TraesCSU01G020500;TraesCS6D01G199500;TraesCS3D01G481400;TraesCS7A01G427600;TraesCS3B01G529700;TraesCS1B01G229000;TraesCS5A01G526200;TraesCS4B01G142000;TraesCSU01G169600;TraesCS5B01G197800;TraesCS7B01G104600;TraesCS7D01G201000;TraesCS5A01G295200;TraesCS6B01G342600;TraesCS7A01G323800;TraesCS6B01G150300;TraesCS2A01G384400;TraesCS3A01G113900;TraesCS3B01G584500;TraesCS7B01G285700;TraesCS2D01G382600;TraesCS3B01G529300;TraesCS1D01G232700;TraesCS4A01G175800;TraesCS4B01G143500;TraesCS3D01G260300;TraesCS6B01G246800;TraesCS1D01G186500;TraesCS2D01G431500;TraesCS1B01G368300;TraesCS1D01G249600;TraesCS7A01G197900;TraesCS1D01G101900;TraesCS3B01G406200;TraesCS3A01G374000;TraesCS7A01G427100;TraesCS1D01G237500;TraesCS1D01G275700;TraesCS3B01G214700;TraesCS5D01G504800;TraesCS7A01G010200;TraesCS1B01G182000;TraesCS3A01G261700;TraesCS1A01G183000;TraesCS1A01G215500;TraesCS2D01G348900;TraesCS4B01G251100;TraesCS3D01G366500;TraesCS4D01G325500;TraesCS4A01G124800;TraesCS4D01G181200;TraesCS6D01G112100;TraesCS4A01G175900</t>
  </si>
  <si>
    <t>TraesCS4D01G147600;TraesCS4A01G145300;TraesCS5D01G039900;TraesCS4B01G335100;TraesCS7B01G346600;TraesCS2B01G141900;TraesCS4B01G052700;TraesCS5B01G151000;TraesCS1D01G144600;TraesCS5A01G190400;TraesCS2A01G121000;TraesCS5A01G152400;TraesCS5D01G157600;TraesCS4B01G125700;TraesCS5A01G505000;TraesCS1B01G164200;TraesCS7D01G435100;TraesCS5B01G031800</t>
  </si>
  <si>
    <t>TraesCS3D01G367200;TraesCS2D01G374600;TraesCS1B01G456900;TraesCS3D01G285700;TraesCS1A01G417800;TraesCS2D01G248700;TraesCS3A01G109500;TraesCS6D01G255200;TraesCS5D01G277500;TraesCS1A01G122500;TraesCS3A01G330600;TraesCS1A01G424100;TraesCS7A01G092300;TraesCS5D01G540800;TraesCS7A01G012000;TraesCS3A01G481000;TraesCS7D01G368700;TraesCS1D01G351500;TraesCS7A01G354000;TraesCS1B01G363100;TraesCS3B01G357200;TraesCS5A01G261400;TraesCS1A01G418900;TraesCS2D01G151500;TraesCS6D01G258300;TraesCS7D01G314200;TraesCS5D01G436000;TraesCS1D01G425400;TraesCS2D01G075200;TraesCS7B01G273600;TraesCS4B01G222500;TraesCS3B01G128000;TraesCS4B01G178600;TraesCS3A01G146800;TraesCS1D01G312600;TraesCS2A01G508900;TraesCS5D01G436200;TraesCS4D01G223000;TraesCS3D01G077200;TraesCS4A01G081300;TraesCS6D01G328200;TraesCS3D01G310200;TraesCS3B01G360600;TraesCS5B01G430100;TraesCS7B01G218900;TraesCS6A01G209600;TraesCS4D01G029500;TraesCS5A01G428000;TraesCS3B01G344600;TraesCS3A01G229700;TraesCS5A01G269300;TraesCS5B01G103100;TraesCS6A01G277800;TraesCS5A01G097600;TraesCS2B01G381600;TraesCS4A01G331900;TraesCS6B01G302400;TraesCS1D01G123400;TraesCS3A01G077000;TraesCS7A01G317500;TraesCS1A01G312400;TraesCS1B01G447900;TraesCS5D01G268800</t>
  </si>
  <si>
    <t>TraesCS7D01G278900;TraesCS7A01G279100</t>
  </si>
  <si>
    <t>SNARE complex</t>
  </si>
  <si>
    <t>TraesCS6B01G280300;TraesCS6D01G226300</t>
  </si>
  <si>
    <t>ceramide kinase activity</t>
  </si>
  <si>
    <t>lipid kinase activity</t>
  </si>
  <si>
    <t>TraesCS5D01G205100;TraesCS5B01G197800</t>
  </si>
  <si>
    <t>glucan endo-1,4-beta-glucanase activity, C-3 substituted reducing group</t>
  </si>
  <si>
    <t>TraesCS5D01G163400;TraesCS5B01G155700</t>
  </si>
  <si>
    <t>Cvt vesicle membrane</t>
  </si>
  <si>
    <t>Cvt vesicle</t>
  </si>
  <si>
    <t>autophagosome membrane</t>
  </si>
  <si>
    <t>TraesCS5B01G184100;TraesCS5A01G186000</t>
  </si>
  <si>
    <t>[2Fe-2S] cluster assembly</t>
  </si>
  <si>
    <t>TraesCS4B01G335100;TraesCS5A01G505000</t>
  </si>
  <si>
    <t>mRNA 5'-UTR binding</t>
  </si>
  <si>
    <t>regulation of salicylic acid mediated signaling pathway</t>
  </si>
  <si>
    <t>TraesCS4D01G271200;TraesCS4A01G033400</t>
  </si>
  <si>
    <t>nickel cation transmembrane transport</t>
  </si>
  <si>
    <t>nickel cation transport</t>
  </si>
  <si>
    <t>nickel cation transmembrane transporter activity</t>
  </si>
  <si>
    <t>cobalt ion transmembrane transporter activity</t>
  </si>
  <si>
    <t>cobalt ion transport</t>
  </si>
  <si>
    <t>shikimate biosynthetic process</t>
  </si>
  <si>
    <t>TraesCS2A01G420800;TraesCS2D01G417800</t>
  </si>
  <si>
    <t>phospholipid catabolic process</t>
  </si>
  <si>
    <t>TraesCS2A01G384100;TraesCS6D01G039300</t>
  </si>
  <si>
    <t>detection of bacterium</t>
  </si>
  <si>
    <t>detection of other organism</t>
  </si>
  <si>
    <t>detection of external biotic stimulus</t>
  </si>
  <si>
    <t>TraesCS2A01G270500;TraesCS2B01G289300</t>
  </si>
  <si>
    <t>negative regulation of phosphoprotein phosphatase activity</t>
  </si>
  <si>
    <t>negative regulation of phosphatase activity</t>
  </si>
  <si>
    <t>protein phosphatase type 1 complex</t>
  </si>
  <si>
    <t>TraesCS1A01G072200;TraesCS1D01G074600</t>
  </si>
  <si>
    <t>N2-acetyl-L-ornithine:2-oxoglutarate 5-aminotransferase activity</t>
  </si>
  <si>
    <t>TraesCS1A01G066800;TraesCS1D01G067800</t>
  </si>
  <si>
    <t>isovaleryl-CoA dehydrogenase activity</t>
  </si>
  <si>
    <t>TraesCS3A01G288800;TraesCS3B01G323500;TraesCS3D01G288600;TraesCS5A01G366700;TraesCS5A01G229700;TraesCS5D01G237800;TraesCS5B01G228500</t>
  </si>
  <si>
    <t>inorganic anion transmembrane transport</t>
  </si>
  <si>
    <t>TraesCS1A01G217300;TraesCS2A01G323300;TraesCS2D01G339600;TraesCS1D01G219100;TraesCS1B01G230500;TraesCS7B01G247500;TraesCS2B01G359300</t>
  </si>
  <si>
    <t>protein repair</t>
  </si>
  <si>
    <t>TraesCS4B01G214500;TraesCS5A01G137700;TraesCS4A01G089800;TraesCS4D01G215100;TraesCS5D01G154300;TraesCS5B01G136400</t>
  </si>
  <si>
    <t>oxo-acid-lyase activity</t>
  </si>
  <si>
    <t>response to hypoxia</t>
  </si>
  <si>
    <t>TraesCS5D01G231500;TraesCS2A01G553500;TraesCS2D01G555000;TraesCS5A01G224100;TraesCS5B01G222900;TraesCS2B01G585100</t>
  </si>
  <si>
    <t>TraesCS4D01G064000;TraesCS1D01G004700;TraesCS5B01G520200;TraesCS2A01G305900;TraesCS3D01G344800;TraesCS1D01G335500;TraesCS6B01G324800;TraesCS6A01G212000;TraesCS3A01G414000;TraesCS5D01G142900;TraesCS2B01G326900;TraesCS2D01G362900;TraesCS7A01G480100;TraesCS5D01G225900;TraesCS5A01G118600;TraesCS4B01G125700;TraesCS7D01G328400;TraesCS6D01G302400;TraesCS6D01G275100;TraesCS3D01G288600;TraesCS1D01G112500;TraesCS1D01G296600;TraesCS4A01G206900;TraesCS4A01G145300;TraesCS5D01G039900;TraesCS3A01G217200;TraesCS6A01G244400;TraesCS7D01G467100;TraesCS1D01G074400;TraesCS1A01G312300;TraesCS5B01G217700;TraesCS5A01G025400;TraesCS5B01G031800;TraesCS2B01G451800;TraesCS3B01G383400;TraesCS2B01G451400;TraesCS1A01G002500;TraesCS6D01G153600;TraesCS5D01G085800;TraesCS2A01G121000;TraesCS4A01G130300;TraesCS5A01G213700;TraesCS3A01G288800;TraesCS2D01G520900;TraesCS5A01G360200;TraesCS5A01G366700;TraesCS5B01G135200;TraesCS3B01G487700;TraesCS4A01G352900;TraesCS3A01G380600;TraesCS3A01G383600;TraesCS5D01G218300;TraesCS2B01G271700;TraesCS5D01G519400;TraesCS1D01G312500;TraesCS2B01G266000;TraesCS1A01G071800;TraesCS4A01G110200;TraesCS4B01G065100;TraesCS5A01G136200;TraesCS7D01G388900;TraesCS5A01G229700;TraesCS5D01G237800;TraesCS3D01G373600;TraesCS7B01G056700;TraesCS5B01G362700;TraesCS5B01G228500;TraesCS6B01G231800;TraesCS1A01G111000;TraesCS5B01G117600;TraesCS5D01G031800;TraesCS2D01G118400;TraesCS6D01G330900;TraesCSU01G003600;TraesCS4B01G052700;TraesCS7D01G452600;TraesCS7B01G116700;TraesCS1A01G332800;TraesCS3D01G443400;TraesCS6B01G381400;TraesCS3B01G388400;TraesCS4D01G176200;TraesCS5A01G073000;TraesCS2D01G462300;TraesCS4D01G271200;TraesCS5A01G218300;TraesCS2D01G304300;TraesCS5B01G217500;TraesCS6B01G128000;TraesCS5B01G217100;TraesCS4A01G066200;TraesCS3D01G373700;TraesCS6D01G146500;TraesCS7D01G055700;TraesCS3B01G532300;TraesCS3D01G204000;TraesCS6D01G226700;TraesCS1D01G335400;TraesCS4A01G033400;TraesCS5B01G079100;TraesCS6B01G280000;TraesCS4D01G243100;TraesCS5A01G031700;TraesCS3B01G323500;TraesCS1B01G324000;TraesCS4D01G108200;TraesCS3B01G247500;TraesCS3D01G376700;TraesCS4A01G249600;TraesCS2B01G135900;TraesCS3B01G416000;TraesCS4D01G176300;TraesCS1A01G047000;TraesCS2A01G365000;TraesCS4D01G147600;TraesCS6A01G294200;TraesCS6B01G192400;TraesCS3D01G219900;TraesCS7A01G419500;TraesCS2B01G141900;TraesCS2D01G443700;TraesCS5A01G218000;TraesCS1D01G047900;TraesCS5D01G226400;TraesCS6A01G347900;TraesCS1A01G295300;TraesCS1B01G001800;TraesCS5D01G130000;TraesCS5B01G217000;TraesCS5D01G226000</t>
  </si>
  <si>
    <t>ion transmembrane transporter activity</t>
  </si>
  <si>
    <t>TraesCS5B01G520200;TraesCS5A01G229700;TraesCS5D01G237800;TraesCS5B01G228500;TraesCS6B01G231800;TraesCS2A01G305900;TraesCS1A01G111000;TraesCS3D01G344800;TraesCS1D01G335500;TraesCS5B01G117600;TraesCS6B01G324800;TraesCS5D01G031800;TraesCS6A01G212000;TraesCS2D01G118400;TraesCS5D01G142900;TraesCSU01G003600;TraesCS7D01G452600;TraesCS2B01G326900;TraesCS2D01G362900;TraesCS5D01G225900;TraesCS5A01G118600;TraesCS7B01G116700;TraesCS1A01G332800;TraesCS4B01G125700;TraesCS3D01G443400;TraesCS7D01G328400;TraesCS6D01G275100;TraesCS3D01G288600;TraesCS1D01G112500;TraesCS1D01G296600;TraesCS4A01G206900;TraesCS4A01G145300;TraesCS5D01G039900;TraesCS3A01G217200;TraesCS6A01G244400;TraesCS5A01G073000;TraesCS4D01G271200;TraesCS1A01G312300;TraesCS2D01G304300;TraesCS5B01G217500;TraesCS5B01G217100;TraesCS5A01G025400;TraesCS5B01G031800;TraesCS3B01G383400;TraesCS7D01G055700;TraesCS3B01G532300;TraesCS3D01G204000;TraesCS6D01G226700;TraesCS1D01G335400;TraesCS4A01G033400;TraesCS5B01G079100;TraesCS6B01G280000;TraesCS3B01G323500;TraesCS1B01G324000;TraesCS4D01G108200;TraesCS3B01G247500;TraesCS5D01G085800;TraesCS2A01G121000;TraesCS2B01G135900;TraesCS5A01G213700;TraesCS3A01G288800;TraesCS5A01G360200;TraesCS5A01G366700;TraesCS2A01G365000;TraesCS5B01G135200;TraesCS4D01G147600;TraesCS6A01G294200;TraesCS3B01G487700;TraesCS4A01G352900;TraesCS5D01G218300;TraesCS2B01G271700;TraesCS2B01G141900;TraesCS5D01G519400;TraesCS1D01G312500;TraesCS2D01G443700;TraesCS5A01G218000;TraesCS1A01G295300;TraesCS5D01G130000;TraesCS4A01G110200;TraesCS5A01G136200;TraesCS5B01G217000;TraesCS5D01G226000;TraesCS3B01G280000;TraesCS7D01G388900</t>
  </si>
  <si>
    <t>ion transmembrane transport</t>
  </si>
  <si>
    <t>TraesCS4D01G070700;TraesCS3B01G467500;TraesCS1D01G293400;TraesCS3A01G302600;TraesCS7B01G157600;TraesCS2B01G293700;TraesCS7D01G260600;TraesCS2D01G060000;TraesCS3D01G424900;TraesCS7A01G259600;TraesCS2A01G031200;TraesCS2A01G276000;TraesCS3A01G429600;TraesCS4B01G115200;TraesCS2A01G583700;TraesCS2A01G541100;TraesCS1B01G307200;TraesCS2D01G596000;TraesCS5D01G463900;TraesCS2D01G596100;TraesCS2A01G061000;TraesCS2B01G602900;TraesCS2D01G275000;TraesCS4D01G112900;TraesCS4A01G200100;TraesCS3D01G299200;TraesCS5A01G453100;TraesCS1A01G297800</t>
  </si>
  <si>
    <t>TraesCS1D01G186500;TraesCS1A01G183000;TraesCS1B01G197900;TraesCS4A01G124800</t>
  </si>
  <si>
    <t>disaccharide catabolic process</t>
  </si>
  <si>
    <t>TraesCS2D01G286300;TraesCS1D01G270500;TraesCS2D01G456900;TraesCS3A01G285700;TraesCS2D01G301100;TraesCS4D01G175700;TraesCS6A01G240700;TraesCS1B01G326600;TraesCS4D01G268100;TraesCS3B01G371200;TraesCS7A01G264800;TraesCS5B01G445100;TraesCS5D01G183100;TraesCS3A01G110300;TraesCS7A01G125600;TraesCS3B01G176200;TraesCS3B01G415900;TraesCS4D01G207500;TraesCS3D01G370800;TraesCS5A01G156200;TraesCS1D01G437700;TraesCS4A01G130600;TraesCS5A01G177800;TraesCS5A01G058100;TraesCS7B01G024500;TraesCS2A01G291700;TraesCS5A01G469000;TraesCS4B01G318900;TraesCS6A01G319600;TraesCS5D01G148900;TraesCS2B01G217500;TraesCS5D01G031500;TraesCS4D01G176000;TraesCS2A01G417200;TraesCS3B01G485900;TraesCS3D01G354100;TraesCS2D01G231600;TraesCS5B01G480900;TraesCS2D01G464400;TraesCS6A01G406700;TraesCS7D01G000200;TraesCS5B01G494500;TraesCS5B01G142100;TraesCS3B01G156600;TraesCS4A01G062800;TraesCS4D01G315400;TraesCS4A01G001300;TraesCS2A01G292000;TraesCS3A01G377700;TraesCS6A01G108800;TraesCS2A01G456600;TraesCS4D01G150300;TraesCS6B01G284000;TraesCS4B01G149400;TraesCS2B01G407600;TraesCS4D01G045300;TraesCS5D01G481200;TraesCS4B01G045400;TraesCS7B01G416100;TraesCS6D01G239700;TraesCS4B01G100100;TraesCS5D01G244800;TraesCS1D01G119500;TraesCS7D01G305300;TraesCS5A01G320600;TraesCS3D01G078900;TraesCS7B01G208700;TraesCS2A01G214400;TraesCS7D01G335500;TraesCS3D01G183900;TraesCS7A01G308600;TraesCS7B01G187600;TraesCS1A01G370600;TraesCS3B01G367500;TraesCS1D01G221000;TraesCS5B01G118200;TraesCS1D01G074500;TraesCS2A01G417300;TraesCS6D01G217800;TraesCS7A01G344100;TraesCS2A01G384100;TraesCS6D01G110400;TraesCS1B01G269600;TraesCS4A01G131000;TraesCS7A01G057800;TraesCS4A01G001400;TraesCS6A01G146200;TraesCS5A01G071500;TraesCS2B01G478700;TraesCS4A01G035400;TraesCS2D01G414500;TraesCS6B01G193200;TraesCS1D01G188500;TraesCS6A01G216800;TraesCS3D01G441900;TraesCS4D01G266400;TraesCS5B01G176300;TraesCS2B01G189300;TraesCS5B01G193200;TraesCS2B01G118500;TraesCS2D01G198200;TraesCS6B01G127300;TraesCS3D01G401200;TraesCS2A01G291900;TraesCS2B01G339600;TraesCS1A01G215600;TraesCS4B01G299700;TraesCS5B01G468400;TraesCS2B01G308200;TraesCS2B01G436100;TraesCS4A01G216100;TraesCS3B01G441600;TraesCS1D01G039500;TraesCS4B01G178600;TraesCS2A01G204500;TraesCS7B01G316600;TraesCS3B01G093300;TraesCS4D01G001200;TraesCS1A01G106600;TraesCS4B01G268100;TraesCS1A01G219400;TraesCS4B01G174000;TraesCS5B01G415700;TraesCS1B01G232300;TraesCS2A01G102000;TraesCS1D01G004400;TraesCS3A01G044800;TraesCS4A01G089800;TraesCS4D01G215100;TraesCS3D01G432600;TraesCS6B01G246000;TraesCS6D01G222900;TraesCS2B01G542300;TraesCS1B01G461600;TraesCS3A01G439800;TraesCS5B01G445200;TraesCS5D01G185300;TraesCS5B01G275200;TraesCS1A01G218100;TraesCS1B01G463100;TraesCS5D01G320800;TraesCS2A01G201800;TraesCS7D01G345200;TraesCS2D01G346200;TraesCS5B01G141900;TraesCS3B01G357500;TraesCS4B01G098200;TraesCS3B01G013200;TraesCS4B01G214500;TraesCS6D01G110600;TraesCS7B01G299200;TraesCS5B01G175100;TraesCS3A01G406000;TraesCS7D01G122600;TraesCS6D01G087700;TraesCS5B01G415400;TraesCS5A01G090100;TraesCS5D01G069700;TraesCS4B01G141500;TraesCS1D01G398400;TraesCS7D01G392800;TraesCS2A01G288000;TraesCS5A01G481300;TraesCS4D01G136500;TraesCS1B01G134500;TraesCS3D01G502500;TraesCS7D01G052600;TraesCS2D01G567000;TraesCS7D01G496100;TraesCS2B01G135600;TraesCS2D01G148700;TraesCS4D01G096400;TraesCS7B01G294800;TraesCS4D01G258000;TraesCS7B01G259000;TraesCS3D01G324400;TraesCS1B01G088500;TraesCS3D01G139300;TraesCS1B01G441900;TraesCS2A01G304000;TraesCS2B01G436300;TraesCS3D01G245500;TraesCS7B01G249200;TraesCS3B01G439600;TraesCS6D01G154400;TraesCS3A01G408000;TraesCS1A01G389500;TraesCS1B01G129800;TraesCS5D01G390700;TraesCS5A01G468300;TraesCS6D01G083200;TraesCS6D01G299000;TraesCS1A01G428400;TraesCS5A01G180800;TraesCS5D01G499000;TraesCS6B01G175200;TraesCS7A01G412400;TraesCS7B01G272900;TraesCS7D01G372500;TraesCS1D01G419400;TraesCS7D01G368000;TraesCS2A01G389400;TraesCS4D01G180200;TraesCS3D01G036100;TraesCS6A01G258500;TraesCS7A01G299600;TraesCS5D01G421100;TraesCS5B01G223600;TraesCS7D01G295100;TraesCS7A01G167300;TraesCS1B01G235100;TraesCS2B01G320700;TraesCS1B01G229100;TraesCS6B01G375400;TraesCS6A01G116000;TraesCS2A01G101400;TraesCS2B01G169700;TraesCS1D01G072600;TraesCS4D01G239600;TraesCS5B01G372500;TraesCS1B01G048500;TraesCS2A01G302400;TraesCS5D01G379700;TraesCS4B01G239700;TraesCS7A01G369500;TraesCS1D01G314800;TraesCS5B01G236900;TraesCS6D01G104800;TraesCS1A01G259200;TraesCS5A01G237900;TraesCS5A01G080300;TraesCS2A01G189600;TraesCS1A01G302700;TraesCS3A01G176500;TraesCS7B01G025800;TraesCS7D01G353800;TraesCS6D01G222600;TraesCS6D01G039300;TraesCS5B01G065400;TraesCS7A01G392800;TraesCS6A01G080500;TraesCS5B01G384500;TraesCS7A01G423800;TraesCS5A01G437500;TraesCS6A01G120600;TraesCS4A01G046700;TraesCS2D01G285300;TraesCS7D01G167900;TraesCS7D01G423600;TraesCS3B01G334900;TraesCS7D01G052400;TraesCS1B01G195800;TraesCS1D01G259000;TraesCS2D01G392800;TraesCS1D01G223600;TraesCS2A01G101900;TraesCS2B01G304800;TraesCS6D01G135500;TraesCS5D01G182100;TraesCS5D01G092000;TraesCS7D01G388400;TraesCS3B01G208300;TraesCS6D01G198700;TraesCS6B01G328300;TraesCS3D01G300200;TraesCS5B01G075300;TraesCS1A01G188000;TraesCS3B01G310500;TraesCS7A01G376100;TraesCS1A01G411600;TraesCS3A01G009400;TraesCS5B01G313000;TraesCS2B01G187300;TraesCS5B01G095900;TraesCS2A01G144800;TraesCS2D01G100900;TraesCS4D01G094400;TraesCS1A01G221900;TraesCS5A01G312000;TraesCS4A01G176200;TraesCS1B01G048300;TraesCS6B01G190100;TraesCS4A01G126300;TraesCS3D01G276600;TraesCS3A01G276500;TraesCS3A01G245900;TraesCS1A01G295300;TraesCS6A01G165800;TraesCS5A01G380900</t>
  </si>
  <si>
    <t>TraesCS5B01G151000;TraesCS5A01G190400;TraesCS5A01G152400;TraesCS5D01G157600;TraesCS4B01G335100;TraesCS5A01G505000;TraesCS7D01G435100;TraesCS7B01G346600</t>
  </si>
  <si>
    <t>TraesCS1D01G004700;TraesCS6D01G146500;TraesCS3D01G204000;TraesCS1D01G335400;TraesCS1A01G002500;TraesCS1D01G335500;TraesCS1B01G324000;TraesCS5D01G142900;TraesCSU01G003600;TraesCS7A01G480100;TraesCS6D01G153600;TraesCS1A01G332800;TraesCS4A01G130300;TraesCS4D01G176300;TraesCS1A01G047000;TraesCS5A01G366700;TraesCS5B01G135200;TraesCS6B01G192400;TraesCS7A01G419500;TraesCS4D01G176200;TraesCS7D01G467100;TraesCS1D01G312500;TraesCS1D01G047900;TraesCS1A01G312300;TraesCS1B01G001800;TraesCS5A01G136200</t>
  </si>
  <si>
    <t>TraesCS2B01G141900;TraesCS4D01G147600;TraesCS2A01G121000;TraesCS4A01G145300;TraesCS5D01G039900;TraesCS4B01G125700;TraesCS5B01G031800</t>
  </si>
  <si>
    <t>monovalent inorganic cation homeostasis</t>
  </si>
  <si>
    <t>TraesCS3A01G288800;TraesCS4A01G066200;TraesCS4D01G243100;TraesCS3D01G288600;TraesCS5A01G366700;TraesCS2A01G373200;TraesCS2B01G266000;TraesCS6D01G393600;TraesCS5D01G085800;TraesCS5D01G187100;TraesCS2D01G369400</t>
  </si>
  <si>
    <t>symporter activity</t>
  </si>
  <si>
    <t>TraesCS5D01G199800;TraesCS2D01G286300;TraesCS1D01G270500;TraesCS2D01G456900;TraesCS3A01G285700;TraesCS2D01G301100;TraesCS4D01G175700;TraesCS6A01G177700;TraesCS6A01G240700;TraesCS1B01G326600;TraesCS4D01G268100;TraesCS3B01G371200;TraesCS7A01G264800;TraesCS5B01G445100;TraesCS5D01G183100;TraesCS3A01G110300;TraesCS7A01G125600;TraesCS3B01G176200;TraesCS3B01G415900;TraesCS4D01G207500;TraesCS3D01G370800;TraesCS5A01G156200;TraesCS7B01G347000;TraesCS1D01G437700;TraesCS4A01G130600;TraesCS5A01G177800;TraesCS5A01G058100;TraesCS7B01G024500;TraesCS2A01G291700;TraesCS5A01G469000;TraesCS4B01G318900;TraesCS6A01G319600;TraesCS5D01G148900;TraesCS2B01G217500;TraesCS5D01G031500;TraesCS4D01G176000;TraesCS2A01G417200;TraesCS3B01G485900;TraesCS3D01G354100;TraesCS2D01G231600;TraesCS5B01G480900;TraesCS2D01G464400;TraesCS6A01G406700;TraesCS7D01G000200;TraesCS5B01G494500;TraesCS5B01G142100;TraesCS3B01G156600;TraesCS4A01G062800;TraesCS4D01G315400;TraesCS4A01G001300;TraesCS2A01G292000;TraesCS3A01G377700;TraesCS6A01G108800;TraesCS2A01G456600;TraesCS4D01G150300;TraesCS6B01G284000;TraesCS4B01G149400;TraesCS2B01G407600;TraesCS4D01G045300;TraesCS5D01G481200;TraesCS4B01G045400;TraesCS7B01G416100;TraesCS6D01G239700;TraesCS4B01G100100;TraesCS5D01G244800;TraesCS1D01G119500;TraesCS2B01G393000;TraesCS7D01G305300;TraesCS5A01G320600;TraesCS3D01G078900;TraesCS7B01G208700;TraesCS2A01G214400;TraesCS7D01G335500;TraesCS3D01G183900;TraesCS7A01G308600;TraesCS7B01G187600;TraesCS1A01G370600;TraesCS3B01G367500;TraesCS1D01G221000;TraesCS5B01G118200;TraesCS1D01G074500;TraesCS2A01G417300;TraesCS6D01G217800;TraesCS7A01G344100;TraesCS2A01G384100;TraesCS6D01G110400;TraesCS1B01G269600;TraesCS4A01G131000;TraesCS7A01G057800;TraesCS4A01G001400;TraesCS6A01G146200;TraesCS5A01G071500;TraesCS2B01G478700;TraesCS4A01G035400;TraesCS2D01G414500;TraesCS6B01G193200;TraesCS1D01G188500;TraesCS6A01G216800;TraesCS3D01G441900;TraesCS4D01G266400;TraesCS5B01G176300;TraesCS2B01G189300;TraesCS5B01G193200;TraesCS2B01G118500;TraesCS2D01G198200;TraesCS6B01G127300;TraesCS3D01G401200;TraesCS7B01G372400;TraesCS2A01G291900;TraesCS2B01G339600;TraesCS1A01G215600;TraesCS4B01G299700;TraesCS5B01G468400;TraesCS2B01G308200;TraesCS2B01G436100;TraesCS4A01G216100;TraesCS3B01G441600;TraesCS1D01G039500;TraesCS4B01G178600;TraesCS2A01G204500;TraesCS7B01G316600;TraesCS3B01G093300;TraesCS4D01G001200;TraesCS1A01G106600;TraesCS4B01G268100;TraesCS1A01G219400;TraesCS4B01G174000;TraesCS5B01G415700;TraesCS1B01G232300;TraesCS2A01G102000;TraesCS1D01G004400;TraesCS3A01G044800;TraesCS4A01G089800;TraesCS4D01G215100;TraesCS5A01G059400;TraesCS3D01G432600;TraesCS6B01G246000;TraesCS6D01G222900;TraesCS2B01G542300;TraesCS1B01G461600;TraesCS3A01G439800;TraesCS5B01G445200;TraesCS5D01G185300;TraesCS5B01G275200;TraesCS1A01G218100;TraesCS3A01G229700;TraesCS1B01G463100;TraesCS5D01G320800;TraesCS2A01G201800;TraesCS7D01G345200;TraesCS2D01G346200;TraesCS5B01G141900;TraesCS3B01G357500;TraesCS4B01G098200;TraesCS4A01G331900;TraesCS3B01G013200;TraesCS4B01G214500;TraesCS6D01G110600;TraesCS7B01G299200;TraesCS5B01G175100;TraesCS3A01G406000;TraesCS7D01G122600;TraesCS6D01G087700;TraesCS5B01G415400;TraesCS5A01G090100;TraesCS5D01G069700;TraesCS4B01G141500;TraesCS1D01G398400;TraesCS7D01G392800;TraesCS6A01G245200;TraesCS2A01G288000;TraesCS5A01G481300;TraesCS4D01G136500;TraesCS1B01G134500;TraesCS3D01G502500;TraesCS7D01G052600;TraesCS2D01G567000;TraesCS5D01G540800;TraesCS7D01G496100;TraesCS2B01G135600;TraesCS2D01G148700;TraesCS4D01G096400;TraesCS7B01G294800;TraesCS4D01G258000;TraesCS7B01G259000;TraesCS3D01G324400;TraesCS1B01G088500;TraesCS5B01G191900;TraesCS3D01G139300;TraesCS1B01G441900;TraesCS2A01G304000;TraesCS2B01G436300;TraesCS3D01G245500;TraesCS7B01G249200;TraesCS3B01G439600;TraesCS6D01G154400;TraesCS3A01G408000;TraesCS1A01G389500;TraesCS1B01G129800;TraesCS5D01G390700;TraesCS5A01G468300;TraesCS6D01G083200;TraesCS6D01G299000;TraesCS1A01G428400;TraesCS5A01G180800;TraesCS5D01G499000;TraesCS7A01G470400;TraesCS6B01G175200;TraesCS7A01G412400;TraesCS7B01G272900;TraesCS7D01G372500;TraesCS1D01G419400;TraesCS7D01G368000;TraesCS2A01G389400;TraesCS4D01G180200;TraesCS3D01G036100;TraesCS6A01G258500;TraesCS7A01G299600;TraesCS5D01G421100;TraesCS5B01G223600;TraesCS7D01G295100;TraesCS7A01G167300;TraesCS1B01G235100;TraesCS2B01G320700;TraesCS1B01G229100;TraesCS6B01G375400;TraesCS6A01G116000;TraesCS2A01G101400;TraesCS2B01G169700;TraesCS1D01G072600;TraesCS4D01G239600;TraesCS5B01G372500;TraesCS1B01G048500;TraesCS2A01G302400;TraesCS5D01G379700;TraesCS4B01G239700;TraesCS7A01G369500;TraesCS5A01G375000;TraesCS1D01G314800;TraesCS4B01G258200;TraesCS5B01G236900;TraesCS1B01G447900;TraesCS6D01G104800;TraesCS1A01G259200;TraesCS5A01G237900;TraesCS5A01G080300;TraesCS2A01G189600;TraesCS1D01G073000;TraesCS1A01G302700;TraesCS3A01G176500;TraesCS7B01G025800;TraesCS1A01G417800;TraesCS2A01G414700;TraesCS7D01G353800;TraesCS6D01G222600;TraesCS6D01G039300;TraesCS5B01G065400;TraesCS7A01G392800;TraesCS6A01G080500;TraesCS5B01G384500;TraesCS7A01G423800;TraesCS5A01G437500;TraesCS6A01G120600;TraesCS4A01G046700;TraesCS2D01G285300;TraesCS7D01G167900;TraesCS7D01G423600;TraesCS3B01G334900;TraesCS7D01G052400;TraesCS1B01G195800;TraesCS1D01G259000;TraesCS2D01G392800;TraesCS1D01G425400;TraesCS1D01G223600;TraesCS2A01G101900;TraesCS5D01G070900;TraesCS2B01G304800;TraesCS6D01G135500;TraesCS5D01G182100;TraesCS5D01G092000;TraesCS7D01G388400;TraesCS3B01G208300;TraesCS6D01G198700;TraesCS6B01G328300;TraesCS6D01G232300;TraesCS3D01G300200;TraesCS5B01G075300;TraesCS1A01G188000;TraesCS3B01G310500;TraesCS7A01G376100;TraesCS1A01G411600;TraesCS3A01G009400;TraesCS5B01G313000;TraesCS2B01G187300;TraesCS5B01G095900;TraesCS2A01G144800;TraesCS2D01G100900;TraesCS3B01G585400;TraesCS4D01G094400;TraesCS1A01G221900;TraesCS5A01G312000;TraesCS4A01G176200;TraesCS1B01G048300;TraesCS6B01G190100;TraesCS4A01G126300;TraesCS7D01G457800;TraesCS3D01G276600;TraesCS3A01G276500;TraesCS3A01G245900;TraesCS1A01G295300;TraesCS6A01G165800;TraesCS5A01G380900</t>
  </si>
  <si>
    <t>TraesCS1A01G218400;TraesCS6D01G358600;TraesCS4B01G179600;TraesCS2A01G423900;TraesCS1B01G375100;TraesCS4A01G252900;TraesCS7B01G445000;TraesCS2D01G479100;TraesCS5D01G314100;TraesCS5B01G439900;TraesCS4D01G210900;TraesCS1B01G197900;TraesCS7A01G528200;TraesCS4D01G069300;TraesCS3B01G036800;TraesCS3A01G138300;TraesCS6D01G291800;TraesCS1A01G312700;TraesCS3B01G150500;TraesCS4B01G088700;TraesCS2D01G128700;TraesCS7B01G245800;TraesCS7A01G357300;TraesCS5B01G182000;TraesCS4D01G366100;TraesCS3A01G025400;TraesCS1A01G182100;TraesCS3D01G340500;TraesCS4D01G196500;TraesCS5A01G447200;TraesCS2A01G285900;TraesCS1D01G210100;TraesCS2A01G316500;TraesCS3A01G242200;TraesCS3D01G234400;TraesCS5B01G135200;TraesCS6B01G398500;TraesCS1B01G264600;TraesCS1A01G045300;TraesCS5A01G402100;TraesCS5D01G513700;TraesCS2A01G157400;TraesCS4B01G077600;TraesCS3D01G467600;TraesCS4B01G210100;TraesCS3A01G163300;TraesCS4B01G306900;TraesCS6B01G145700;TraesCS3A01G507500;TraesCS4B01G067800;TraesCS5A01G199400;TraesCS1A01G343000;TraesCS6A01G238500;TraesCS7D01G168600;TraesCS1A01G243400;TraesCS3A01G373800;TraesCS4A01G213500;TraesCS6A01G033400;TraesCS2B01G182900;TraesCS6A01G263900;TraesCS3A01G170000;TraesCS1B01G158500;TraesCS1D01G363500;TraesCS3D01G252900;TraesCS5D01G328300;TraesCS6D01G289700;TraesCS7D01G322900;TraesCS1D01G207100;TraesCS3D01G171800;TraesCS2B01G454500;TraesCS4A01G050000;TraesCS5B01G183500;TraesCSU01G020500;TraesCS6D01G199500;TraesCS2D01G000300;TraesCS5B01G059800;TraesCS6B01G300000;TraesCS3D01G020600;TraesCSU01G169600;TraesCS2A01G103800;TraesCS2D01G226300;TraesCS7D01G046800;TraesCS1D01G439400;TraesCS2D01G426600;TraesCS3D01G039400;TraesCS7B01G058600;TraesCS1B01G265900;TraesCS5D01G249800;TraesCS5A01G321200;TraesCS3D01G260300;TraesCS1D01G249600;TraesCS3D01G103900;TraesCS1D01G335400;TraesCS3D01G008700;TraesCS6B01G246000;TraesCS5B01G241100;TraesCS2D01G192000;TraesCS5A01G242500;TraesCS3B01G346500;TraesCS7A01G427100;TraesCS3B01G306400;TraesCS2B01G097300;TraesCS1D01G046000;TraesCS1B01G182000;TraesCS1B01G283300;TraesCS3B01G506700;TraesCS7B01G129500;TraesCS1B01G231900;TraesCS3B01G401600;TraesCS7D01G113900;TraesCS3A01G219800;TraesCS3D01G385800;TraesCS3A01G517100;TraesCS1D01G345200;TraesCS6D01G112100;TraesCS1B01G391800;TraesCS2D01G382500;TraesCS4D01G208800;TraesCS1D01G243400;TraesCS1D01G163400;TraesCS7A01G118900;TraesCS5B01G188600;TraesCS4A01G085300;TraesCS5D01G328100;TraesCS1D01G149100;TraesCS1D01G258900;TraesCS2B01G485600;TraesCS3B01G394600;TraesCS7A01G480100;TraesCS2D01G349000;TraesCS2D01G163300;TraesCS2D01G232400;TraesCS5B01G369300;TraesCS5B01G307600;TraesCS1A01G221400;TraesCS4D01G258000;TraesCS2D01G317400;TraesCS3A01G257500;TraesCS5A01G129100;TraesCS7A01G249000;TraesCS5A01G370800;TraesCS6D01G320400;TraesCS3B01G280600;TraesCS1D01G140500;TraesCS4B01G015500;TraesCS5B01G492700;TraesCS5D01G208900;TraesCS2B01G535400;TraesCS4A01G167700;TraesCS7D01G351000;TraesCS3A01G307200;TraesCS5B01G155700;TraesCS3B01G406000;TraesCS6B01G260900;TraesCS6A01G178500;TraesCS6A01G216100;TraesCS2B01G097100;TraesCS3B01G424900;TraesCS2B01G045700;TraesCS3A01G393000;TraesCS1A01G187400;TraesCS5D01G444200;TraesCS3D01G366700;TraesCS4A01G484800;TraesCS1D01G185200;TraesCS3A01G215400;TraesCS4A01G258400;TraesCS1D01G253200;TraesCS3D01G257500;TraesCS4B01G174300;TraesCS7B01G260800;TraesCS4B01G038800;TraesCS2B01G229000;TraesCS7A01G011900;TraesCS1D01G218000;TraesCS2A01G433500;TraesCS5B01G247700;TraesCS1D01G283900;TraesCS3A01G227900;TraesCS7A01G320000;TraesCS4D01G132500;TraesCS3A01G355700;TraesCS4A01G017400;TraesCS7B01G349100;TraesCS5B01G080400;TraesCS7A01G528000;TraesCS6B01G199700;TraesCS2B01G159200;TraesCS5B01G316300;TraesCS6B01G340300;TraesCS2A01G384400;TraesCS7D01G124400;TraesCS3A01G113900;TraesCS3A01G040800;TraesCS3A01G129000;TraesCS1D01G186500;TraesCS6D01G146500;TraesCS3B01G406200;TraesCS1B01G356200;TraesCS1A01G095800;TraesCS3A01G141100;TraesCS4D01G004400;TraesCS6B01G205900;TraesCS6A01G199000;TraesCS5D01G190600;TraesCS5D01G509800;TraesCS4D01G176300;TraesCS1A01G183000;TraesCS3A01G362200;TraesCS4A01G124800;TraesCS4D01G305100;TraesCS5A01G016200;TraesCS6A01G264800;TraesCS2B01G408600;TraesCS5D01G333700;TraesCS1B01G001800;TraesCS7D01G355100;TraesCS6A01G312400;TraesCS2A01G102100;TraesCS7D01G114100;TraesCS2A01G049700;TraesCS2B01G516700;TraesCS7B01G327400;TraesCS2D01G144500;TraesCS3D01G015900;TraesCS3A01G110300;TraesCS3B01G484000;TraesCS5D01G332200;TraesCS2B01G060900;TraesCS3B01G042700;TraesCS5B01G294600;TraesCS5B01G384300;TraesCS5D01G205100;TraesCS6D01G166100;TraesCS2D01G451100;TraesCS7D01G010000;TraesCS4B01G203000;TraesCS2A01G136100;TraesCS6D01G319900;TraesCS2D01G117100;TraesCS4A01G244500;TraesCS4B01G070500;TraesCS5D01G380500;TraesCS7B01G169700;TraesCS1A01G203700;TraesCS1D01G312800;TraesCS5D01G048600;TraesCS6D01G248500;TraesCS5D01G302800;TraesCS6B01G412400;TraesCS1A01G077500;TraesCS7D01G024200;TraesCS1B01G381000;TraesCS2A01G463900;TraesCS3B01G245400;TraesCS5D01G022200;TraesCS7A01G033500;TraesCS1B01G206000;TraesCS7D01G516100;TraesCS7A01G282200;TraesCS5D01G163500;TraesCS1B01G210500;TraesCS3A01G486000;TraesCS4A01G219500;TraesCS7B01G226800;TraesCS7A01G101500;TraesCS7D01G197300;TraesCS5A01G027000;TraesCS2D01G223600;TraesCS4D01G360300;TraesCS7D01G506300;TraesCS1B01G234700;TraesCS1A01G284900;TraesCS1D01G254500;TraesCS2A01G083300;TraesCSU01G003600;TraesCS4A01G222900;TraesCS1D01G327000;TraesCS3A01G317700;TraesCS1A01G332800;TraesCS2B01G196400;TraesCS3D01G131900;TraesCS5A01G337100;TraesCS5B01G326500;TraesCS2B01G538700;TraesCS3A01G362500;TraesCS5A01G295200;TraesCS7A01G323800;TraesCS6B01G150300;TraesCS5D01G188600;TraesCS7A01G365600;TraesCS7B01G285700;TraesCS3B01G156800;TraesCS1D01G232700;TraesCS3D01G220900;TraesCS6B01G246800;TraesCS7A01G223000;TraesCS2D01G431500;TraesCS4D01G066800;TraesCS1D01G052000;TraesCS7A01G197900;TraesCS7B01G101500;TraesCS3A01G254900;TraesCS2D01G284700;TraesCS6D01G105000;TraesCS5A01G074000;TraesCS1B01G324000;TraesCS3B01G004600;TraesCS2D01G314400;TraesCS3A01G374000;TraesCS3B01G214700;TraesCS2D01G513600;TraesCS7A01G010200;TraesCS4D01G098600;TraesCS1A01G047000;TraesCS1A01G215500;TraesCS4B01G251100;TraesCS3B01G283900;TraesCS5B01G026200;TraesCS6B01G291800;TraesCS2B01G347800;TraesCS4B01G367200;TraesCS1D01G047900;TraesCS3A01G249300;TraesCS7D01G325500;TraesCS7B01G115900;TraesCS3D01G258000;TraesCS3D01G287800;TraesCS7A01G328600;TraesCS3D01G138900;TraesCS6D01G224700;TraesCS5D01G514500;TraesCS1D01G335500;TraesCS1B01G224300;TraesCS5B01G499800;TraesCS2B01G047300;TraesCS2B01G246100;TraesCS5A01G475300;TraesCS3B01G528300;TraesCS5D01G064000;TraesCS5B01G078500;TraesCS2B01G318600;TraesCS6D01G145900;TraesCS2A01G510700;TraesCS3D01G244500;TraesCS7D01G224700;TraesCS3B01G156200;TraesCS5B01G064100;TraesCS2A01G420800;TraesCS7B01G249200;TraesCS2D01G464800;TraesCS5B01G406800;TraesCS6A01G243000;TraesCS4B01G137700;TraesCS5A01G398900;TraesCS4D01G056400;TraesCS5A01G513200;TraesCS5B01G097600;TraesCS4B01G286600;TraesCS7A01G423900;TraesCS2A01G339900;TraesCS4D01G090300;TraesCS4A01G071800;TraesCS3D01G349700;TraesCS4D01G147400;TraesCS3D01G242300;TraesCS7B01G277900;TraesCS1A01G248200;TraesCS2D01G417800;TraesCS7D01G077100;TraesCS7B01G167100;TraesCS2A01G386000;TraesCS5D01G195700;TraesCS7A01G537200;TraesCS4B01G218900;TraesCS2A01G401000;TraesCS6D01G358000;TraesCS7B01G025800;TraesCS3A01G124100;TraesCS2D01G450600;TraesCS2D01G137600;TraesCS7A01G118300;TraesCS6D01G290400;TraesCS6A01G266100;TraesCS6D01G107600;TraesCS2D01G511800;TraesCS7D01G364700;TraesCS1D01G321300;TraesCS4B01G085400;TraesCS7D01G524300;TraesCS5D01G335100;TraesCS4B01G142000;TraesCS5D01G068400;TraesCS3D01G230300;TraesCS7B01G104600;TraesCS1D01G229700;TraesCS2D01G227300;TraesCS5A01G185500;TraesCS6B01G290900;TraesCS1A01G253600;TraesCS1B01G257200;TraesCS3D01G514900;TraesCS3B01G356700;TraesCS3D01G204000;TraesCS6A01G374700;TraesCS6B01G046900;TraesCS4B01G301800;TraesCS5B01G084100;TraesCS7A01G326200;TraesCS7D01G173300;TraesCS6B01G387000;TraesCS1A01G365100;TraesCS1B01G157900;TraesCS2B01G526100;TraesCS7D01G341800;TraesCS3A01G123000;TraesCS4B01G054700;TraesCS4D01G325500;TraesCS4D01G254500;TraesCS1A01G429800;TraesCS4D01G267800;TraesCS2B01G595300;TraesCS3B01G374100;TraesCS4A01G175900;TraesCS1B01G095600;TraesCS1B01G204700;TraesCS3D01G238000;TraesCS2A01G428500;TraesCS6D01G251000;TraesCS3A01G050700;TraesCS7D01G351300;TraesCS1D01G220000;TraesCS7D01G390900;TraesCS6D01G161200;TraesCS3D01G250800;TraesCS6B01G285900;TraesCS7B01G370700;TraesCS2A01G056800;TraesCS5A01G437300;TraesCS3A01G057100;TraesCS4A01G101600;TraesCS5B01G082500;TraesCS1B01G254900;TraesCS7D01G113800;TraesCS7A01G405600;TraesCS5B01G561300;TraesCS4B01G181800;TraesCS3D01G050100;TraesCS2A01G143100;TraesCS3B01G194400;TraesCS7A01G338900;TraesCS6B01G370000;TraesCS1A01G358600;TraesCS1B01G198900;TraesCS2D01G137500;TraesCS3A01G199600;TraesCS2D01G507800;TraesCS4D01G083500;TraesCS1A01G002500;TraesCS1A01G228100;TraesCS7A01G094100;TraesCS1B01G333800;TraesCS2D01G033100;TraesCS2B01G403000;TraesCS6D01G153600;TraesCS2B01G449200;TraesCS7B01G072600;TraesCS1D01G199300;TraesCS3D01G290000;TraesCS3B01G279900;TraesCS6B01G293500;TraesCS7D01G419400;TraesCS5B01G334700;TraesCS1A01G093300;TraesCS4D01G013600;TraesCS1A01G276200;TraesCS2A01G384100;TraesCS2B01G350600;TraesCS6A01G272500;TraesCS5B01G530800;TraesCS5A01G315700;TraesCS7D01G030100;TraesCS5D01G340300;TraesCS5D01G480600;TraesCS3A01G307100;TraesCS6A01G216800;TraesCS2D01G031100;TraesCS7D01G366600;TraesCS2D01G214200;TraesCS3B01G529700;TraesCS6D01G038600;TraesCS2D01G562200;TraesCS5A01G526200;TraesCS5B01G197800;TraesCS1A01G095500;TraesCS7D01G356800;TraesCS1A01G357300;TraesCS3A01G232300;TraesCS7D01G201000;TraesCS1D01G185100;TraesCS4A01G307800;TraesCS2B01G243200;TraesCS3B01G584500;TraesCS2D01G382600;TraesCS4A01G110100;TraesCS5D01G136600;TraesCS4B01G143500;TraesCS2A01G217700;TraesCS1D01G101900;TraesCS4D01G184200;TraesCS2B01G303200;TraesCS1D01G237500;TraesCS1B01G058600;TraesCS6D01G302500;TraesCS2A01G237300;TraesCS3D01G020700;TraesCS5B01G307300;TraesCS3B01G275500;TraesCS5A01G335500;TraesCS7A01G115300;TraesCS3A01G138200;TraesCS3D01G039300;TraesCS4D01G183100;TraesCS5B01G572600;TraesCS1D01G004700;TraesCS2B01G044700;TraesCS1D01G140400;TraesCS2B01G210700;TraesCS7A01G231600;TraesCS2B01G535500;TraesCS5B01G201100;TraesCS5B01G241000;TraesCS5A01G242600;TraesCS5B01G321800;TraesCS1A01G210400;TraesCS3A01G471700;TraesCS7B01G179900;TraesCS3B01G155900;TraesCS5A01G307200;TraesCS4D01G096400;TraesCS5D01G376300;TraesCS4A01G258500;TraesCS5D01G087700;TraesCS2D01G315100;TraesCS7D01G467100;TraesCS6D01G220900;TraesCS1B01G382600;TraesCS3B01G240000;TraesCS1A01G213900;TraesCS3D01G467300;TraesCS3A01G029700;TraesCS5B01G014400;TraesCS4B01G174200;TraesCS3D01G478200;TraesCS3B01G232600;TraesCS3D01G212100;TraesCS1B01G158000;TraesCS3B01G163500;TraesCS2D01G489200;TraesCS1D01G013200;TraesCS1A01G363800;TraesCS2B01G189000;TraesCS4A01G130300;TraesCS2A01G512100;TraesCS5D01G089900;TraesCS1B01G229100;TraesCS4B01G098000;TraesCS3D01G345900;TraesCS5A01G076600;TraesCS6A01G266900;TraesCSU01G106100;TraesCS2A01G141100;TraesCS3B01G150200;TraesCS5D01G321800;TraesCS6A01G310300;TraesCS6A01G171800;TraesCS3A01G050500;TraesCS2A01G198400;TraesCS3A01G025300;TraesCSU01G216800;TraesCS5A01G292100;TraesCS1A01G245300;TraesCS6B01G260800;TraesCS2A01G058100;TraesCS3A01G471900;TraesCS7B01G015200;TraesCS1B01G356100;TraesCS1D01G256400;TraesCS1A01G141500;TraesCS4A01G226300;TraesCS3D01G355900;TraesCS7A01G427600;TraesCS2D01G512100;TraesCS5A01G534900;TraesCS6A01G311400;TraesCS3A01G173000;TraesCS1A01G049600;TraesCS4A01G096500;TraesCS2B01G148200;TraesCS7D01G417600;TraesCS4D01G176200;TraesCS6B01G342600;TraesCS7D01G430800;TraesCS5A01G329200;TraesCS6B01G145800;TraesCS1A01G255100;TraesCS1B01G368300;TraesCS3D01G359000;TraesCS3B01G148100;TraesCS2A01G548300;TraesCS3A01G272800;TraesCS1A01G342900;TraesCS2D01G387900;TraesCS3B01G524400;TraesCS3A01G261700;TraesCS7B01G261800;TraesCSU01G095400;TraesCS3A01G217900;TraesCS2A01G233100;TraesCS3B01G256600;TraesCS4A01G094300;TraesCS5B01G458900;TraesCS3B01G090400;TraesCS7B01G271600;TraesCS1D01G338400;TraesCSU01G129000;TraesCS5A01G321500;TraesCS5B01G291500;TraesCS3B01G150400;TraesCS1D01G213700;TraesCS4B01G254700;TraesCS5D01G493200;TraesCS3A01G319800;TraesCS1B01G324300;TraesCS3D01G438800;TraesCS5D01G142900;TraesCS7B01G256000;TraesCS2D01G349400;TraesCS3B01G384400;TraesCS3B01G141200;TraesCS7B01G326200;TraesCS3D01G412400;TraesCS3A01G056700;TraesCS1B01G269500;TraesCS3D01G188900;TraesCS1A01G257200;TraesCS3B01G028500;TraesCS3A01G258100;TraesCS3A01G184900;TraesCS4A01G232600;TraesCS7D01G277300;TraesCS2B01G250100;TraesCS7A01G195800;TraesCS1A01G086100;TraesCS2B01G435600;TraesCS4B01G100100;TraesCS4D01G142000;TraesCS6D01G252900;TraesCS4D01G136800;TraesCS4D01G339400;TraesCS4D01G180700;TraesCS1B01G430800;TraesCS3D01G217400;TraesCS6D01G225300;TraesCS7A01G113600;TraesCS4B01G093500;TraesCS5A01G467600;TraesCS1A01G203600;TraesCS7B01G444800;TraesCS3D01G146000;TraesCS6B01G370900;TraesCS7D01G279900;TraesCS5B01G327700;TraesCS3D01G193200;TraesCS5D01G216300;TraesCS6A01G119900;TraesCS3B01G290300;TraesCS4D01G006200;TraesCS4D01G203900;TraesCS1A01G202300;TraesCS6B01G341100;TraesCS3B01G514900;TraesCS2A01G201900;TraesCS3D01G481400;TraesCS2B01G419100;TraesCS1B01G229000;TraesCS1A01G215600;TraesCS4A01G309300;TraesCS5B01G042800;TraesCS4A01G216100;TraesCS6A01G311000;TraesCS2D01G398500;TraesCS1D01G370600;TraesCS5A01G183600;TraesCS7D01G516400;TraesCS1D01G104400;TraesCS2B01G048700;TraesCS7D01G114200;TraesCS2A01G507400;TraesCS3B01G278200;TraesCS1D01G079600;TraesCS3B01G589600;TraesCS1A01G015300;TraesCS5A01G326100;TraesCS5A01G479600;TraesCS7D01G345200;TraesCS3A01G479800;TraesCS3A01G209200;TraesCS3D01G366500;TraesCS2B01G538600;TraesCS6B01G415600;TraesCS7A01G419500;TraesCS4A01G073900;TraesCS2A01G046500;TraesCS4D01G194900;TraesCS3A01G247000;TraesCS2B01G166100;TraesCS3D01G132000;TraesCS2A01G135300;TraesCS6B01G047900;TraesCS5D01G369200;TraesCS7A01G479800;TraesCS2D01G146400;TraesCS1A01G088900;TraesCS5D01G487600;TraesCS6D01G247700;TraesCS1D01G273500;TraesCS5D01G452500;TraesCS4A01G455800;TraesCS1D01G216700;TraesCS1B01G260500;TraesCS3B01G388600;TraesCS4A01G363700;TraesCS2A01G545700;TraesCS5D01G408200;TraesCS5B01G504000;TraesCS5A01G249900;TraesCS1D01G223000;TraesCS1A01G312300;TraesCS2A01G386100;TraesCS3B01G248400;TraesCS3A01G046500;TraesCS5A01G202600;TraesCS3B01G272300;TraesCS3A01G195400;TraesCS7A01G118200;TraesCS5D01G034700;TraesCS5B01G509700;TraesCS5D01G179100;TraesCS2A01G083000;TraesCS2D01G511900;TraesCS3A01G483000;TraesCS3D01G200800;TraesCS4B01G085500;TraesCS1A01G072100;TraesCS1D01G378700;TraesCS4D01G285300;TraesCS5D01G031200;TraesCS4B01G207900;TraesCS7D01G111800;TraesCS4B01G356800;TraesCS5D01G564000;TraesCS1D01G312500;TraesCS1D01G439500;TraesCS7D01G346100;TraesCS3D01G056500;TraesCS5A01G136200;TraesCS6A01G272900;TraesCS1D01G368900;TraesCS5A01G235700;TraesCS3B01G270300;TraesCS4D01G087200;TraesCS2D01G544600;TraesCS7D01G223300;TraesCS2A01G195800;TraesCS3B01G218800;TraesCS1A01G273500;TraesCS2A01G488900;TraesCS3B01G004100;TraesCS5B01G457000;TraesCS6A01G363900;TraesCS2A01G302700;TraesCS4A01G046700;TraesCS4A01G275300;TraesCS4A01G407500;TraesCS7D01G268600;TraesCS5D01G299500;TraesCS1D01G189300;TraesCS3B01G575600;TraesCS5D01G104200;TraesCS4A01G462300;TraesCS2D01G055600;TraesCS7B01G297200;TraesCS1D01G104800;TraesCS3B01G529300;TraesCS4A01G175800;TraesCS6D01G198700;TraesCS2B01G101800;TraesCS5B01G356400;TraesCS2D01G137700;TraesCS7A01G395300;TraesCS5B01G285400;TraesCS1D01G275700;TraesCS6B01G337900;TraesCS2B01G158900;TraesCS5D01G504800;TraesCS2A01G220600;TraesCS3D01G313600;TraesCS3B01G042800;TraesCS2D01G348900;TraesCS1A01G259000;TraesCS6B01G192400;TraesCS4A01G380200;TraesCS4D01G300100;TraesCS2D01G138800;TraesCS3D01G356300;TraesCS3D01G146200;TraesCS4D01G181200;TraesCS1D01G087600;TraesCS7D01G386800</t>
  </si>
  <si>
    <t>TraesCS4B01G333800;TraesCS7B01G247500;TraesCS1A01G291800;TraesCS1D01G069800;TraesCS4D01G330000</t>
  </si>
  <si>
    <t>peptide-methionine (R)-S-oxide reductase activity</t>
  </si>
  <si>
    <t>tyrosine catabolic process</t>
  </si>
  <si>
    <t>TraesCS2A01G553500;TraesCS2D01G555000;TraesCS2B01G585100</t>
  </si>
  <si>
    <t>apoptotic process</t>
  </si>
  <si>
    <t>TraesCS2A01G158800;TraesCS5A01G281700;TraesCS1D01G266100;TraesCS2A01G158600;TraesCS1D01G266000;TraesCS2A01G158700;TraesCS1A01G021000;TraesCS3B01G037000;TraesCS6B01G095100;TraesCS3D01G094200;TraesCS1A01G021400;TraesCS5B01G280900;TraesCS3A01G046100;TraesCS3A01G046000;TraesCS1B01G276900;TraesCS1B01G276700;TraesCS1B01G276800;TraesCS1B01G276500;TraesCS2D01G165800;TraesCS3A01G093900;TraesCS2D01G165600;TraesCS5B01G478300;TraesCS3D01G034200;TraesCS5D01G288900;TraesCS1D01G265900;TraesCS1D01G265800;TraesCS1A01G265900;TraesCS5D01G479400;TraesCS1A01G265600;TraesCS1A01G265700;TraesCS2B01G184300;TraesCS5D01G289000;TraesCS6A01G071000;TraesCS1D01G020600;TraesCS6B01G091000;TraesCS3D01G033800;TraesCS6D01G068900;TraesCS1B01G034200</t>
  </si>
  <si>
    <t>TraesCS3A01G452400;TraesCS6D01G361500;TraesCS3D01G445000;TraesCS3B01G489700;TraesCS6B01G414100;TraesCS6A01G376300;TraesCS3D01G432600;TraesCS1A01G043900;TraesCS3D01G444900;TraesCS3A01G439800;TraesCS1B01G056900;TraesCS1D01G044300;TraesCS6A01G305000;TraesCS6D01G284200</t>
  </si>
  <si>
    <t>TraesCS4B01G143500;TraesCS3D01G260300;TraesCS6B01G246800;TraesCS2D01G431500;TraesCS1D01G249600;TraesCS5B01G203100;TraesCS4D01G326400;TraesCS2A01G433500;TraesCS7B01G327400;TraesCS5D01G078300;TraesCS3A01G471900;TraesCS1D01G207100;TraesCS2B01G047300;TraesCS2D01G033100;TraesCS7A01G427100;TraesCS2B01G454500;TraesCS6A01G266100;TraesCS4D01G142000;TraesCS7B01G370700;TraesCS2D01G349000;TraesCSU01G020500;TraesCS6D01G199500;TraesCS4D01G035300;TraesCS6A01G216100;TraesCS2D01G349400;TraesCS7A01G427600;TraesCS1D01G199300;TraesCS5D01G205100;TraesCS6B01G293500;TraesCS2D01G348900;TraesCS7D01G419400;TraesCSU01G169600;TraesCS5B01G197800;TraesCS4D01G325500;TraesCS5B01G074000;TraesCS2A01G040300;TraesCS1B01G210500;TraesCS5D01G408200;TraesCS3D01G467600;TraesCS4B01G346100;TraesCS1A01G203700;TraesCS1A01G203600;TraesCS6D01G248500</t>
  </si>
  <si>
    <t>TraesCS5D01G270600;TraesCS5B01G261500;TraesCS2B01G141900;TraesCS5A01G263100;TraesCS3A01G183800;TraesCS3D01G188000;TraesCS4D01G147600;TraesCS2A01G121000;TraesCS3B01G213600;TraesCS4A01G145300;TraesCS4B01G125700</t>
  </si>
  <si>
    <t>TraesCS4B01G222100;TraesCS4A01G081700;TraesCS6D01G133900;TraesCS7D01G263200;TraesCS2A01G057800;TraesCS5D01G297200;TraesCS5B01G288700;TraesCS6B01G173100;TraesCS4D01G222600;TraesCS6A01G144900;TraesCS2D01G554900</t>
  </si>
  <si>
    <t>palmitoyltransferase activity</t>
  </si>
  <si>
    <t>TraesCS5D01G199800;TraesCS3A01G285700;TraesCS5D01G069700;TraesCS2D01G301100;TraesCS7D01G449700;TraesCS6A01G245200;TraesCS5A01G182400;TraesCS6A01G216800;TraesCS3D01G441900;TraesCS5B01G065400;TraesCS3D01G502500;TraesCS3A01G110300;TraesCS7A01G125600;TraesCS6B01G127300;TraesCS7B01G372400;TraesCS3D01G240900;TraesCS1A01G072000;TraesCS2B01G339600;TraesCS5A01G177800;TraesCS6D01G195900;TraesCS5A01G058100;TraesCS7B01G024500;TraesCS7D01G167900;TraesCS3D01G324400;TraesCS5A01G186000;TraesCS5D01G031500;TraesCS4A01G218200;TraesCS5B01G191900;TraesCS5D01G070900;TraesCS3B01G485900;TraesCS5B01G104500;TraesCS5D01G182100;TraesCS7B01G161100;TraesCS4D01G093300;TraesCS6D01G198700;TraesCS7A01G235000;TraesCS6D01G083200;TraesCS5B01G184100;TraesCS1D01G004400;TraesCS2D01G555000;TraesCS5A01G059400;TraesCS7A01G470400;TraesCS2B01G585100;TraesCS7A01G263300;TraesCS6B01G246000;TraesCS4D01G054300;TraesCS3B01G268800;TraesCS6B01G169000;TraesCS2A01G553500;TraesCS6D01G239700;TraesCS7B01G362900;TraesCS4B01G097000;TraesCS6D01G159100;TraesCS6A01G258500;TraesCS5A01G320600;TraesCS2D01G346200;TraesCS1D01G106000;TraesCS7A01G167300;TraesCS1D01G414700;TraesCS7B01G133200;TraesCS1D01G074500;TraesCS3B01G013200;TraesCS2A01G302400;TraesCS7D01G235000;TraesCS7D01G457800;TraesCS5D01G111500;TraesCS5B01G175100;TraesCS6A01G211400;TraesCS5B01G180400;TraesCS7D01G122600;TraesCS6A01G140800</t>
  </si>
  <si>
    <t>TraesCS3D01G514900;TraesCS4B01G222100;TraesCS6D01G226300;TraesCS4B01G137700;TraesCS4D01G300100;TraesCS1D01G149100;TraesCS3B01G575600;TraesCS2B01G271700;TraesCS3A01G295000;TraesCS4A01G081700;TraesCS5A01G455100;TraesCS6B01G280300;TraesCS3D01G308100;TraesCS6A01G223900;TraesCS5D01G465500;TraesCS7A01G320000;TraesCS4D01G132500;TraesCS6D01G252900;TraesCS2B01G393000;TraesCS3A01G507500;TraesCS5B01G463900;TraesCS6A01G272900;TraesCS4D01G222600</t>
  </si>
  <si>
    <t>TraesCS2A01G047300;TraesCS7A01G143800;TraesCS6A01G209900;TraesCS5A01G229700;TraesCS5D01G237800;TraesCS7D01G145500;TraesCS1B01G288300;TraesCS5B01G228500;TraesCS5B01G373000;TraesCS6D01G039300;TraesCS5A01G460300;TraesCS6A01G201100;TraesCS2B01G605800;TraesCS3B01G323500;TraesCS6B01G238800;TraesCS2B01G326900;TraesCS6B01G238700;TraesCS6A01G210000;TraesCS3A01G288800;TraesCS3D01G288600;TraesCS6D01G193100;TraesCS5A01G366700;TraesCS5D01G183700;TraesCS1D01G144600;TraesCS1B01G164200</t>
  </si>
  <si>
    <t>positive regulation of signal transduction</t>
  </si>
  <si>
    <t>positive regulation of signaling</t>
  </si>
  <si>
    <t>TraesCS5D01G199800;TraesCS6D01G083200;TraesCS5D01G069700;TraesCS2D01G301100;TraesCS7D01G449700;TraesCS5A01G059400;TraesCS7A01G470400;TraesCS6A01G245200;TraesCS7A01G263300;TraesCS6B01G246000;TraesCS6A01G216800;TraesCS3D01G441900;TraesCS5B01G065400;TraesCS6D01G239700;TraesCS7B01G362900;TraesCS3D01G502500;TraesCS3A01G110300;TraesCS6D01G159100;TraesCS6A01G258500;TraesCS5A01G320600;TraesCS6B01G127300;TraesCS7B01G372400;TraesCS2B01G339600;TraesCS7A01G167300;TraesCS5A01G058100;TraesCS7D01G167900;TraesCS7B01G133200;TraesCS5D01G031500;TraesCS3B01G013200;TraesCS5B01G191900;TraesCS5D01G070900;TraesCS2A01G302400;TraesCS3B01G485900;TraesCS7D01G235000;TraesCS7D01G457800;TraesCS7B01G161100;TraesCS6D01G198700;TraesCS7A01G235000</t>
  </si>
  <si>
    <t>TraesCS2D01G286300;TraesCS4D01G175700;TraesCS2D01G169000;TraesCS4D01G068200;TraesCS1D01G075500;TraesCS4D01G081300;TraesCS6A01G201100;TraesCS7D01G182700;TraesCS1A01G370700;TraesCS7A01G096500;TraesCS3A01G269900;TraesCS2A01G270200;TraesCS2D01G104600;TraesCS4A01G193600;TraesCS4D01G207500;TraesCS1B01G126600;TraesCS1D01G106100;TraesCS5A01G469000;TraesCS6A01G319600;TraesCS5D01G148900;TraesCS2D01G079200;TraesCS2B01G289000;TraesCS2A01G417200;TraesCS2D01G231600;TraesCS2D01G332300;TraesCS5B01G494500;TraesCS6A01G326000;TraesCS7B01G423100;TraesCS4B01G002000;TraesCS3B01G412500;TraesCS3A01G281900;TraesCS2A01G456600;TraesCS3B01G306200;TraesCS5D01G279100;TraesCS3B01G129900;TraesCS6D01G358700;TraesCS2B01G407600;TraesCS5B01G124200;TraesCS6A01G235100;TraesCS2D01G146100;TraesCS1D01G119500;TraesCS7A01G511800;TraesCS1A01G072600;TraesCS2D01G425700;TraesCS2D01G104500;TraesCS3D01G078900;TraesCS2A01G214400;TraesCS3D01G183900;TraesCS6B01G350400;TraesCS7B01G187600;TraesCS1A01G370600;TraesCS3B01G367500;TraesCS1D01G221000;TraesCS5B01G481300;TraesCS2A01G417300;TraesCS2A01G384100;TraesCS2A01G424900;TraesCS4A01G131000;TraesCS2B01G448100;TraesCS3A01G149000;TraesCS5D01G042300;TraesCS2B01G478700;TraesCS2D01G414500;TraesCS4D01G358900;TraesCS4D01G266400;TraesCS5B01G193200;TraesCS2B01G118500;TraesCS5A01G085900;TraesCS1D01G376700;TraesCS2B01G339600;TraesCS3A01G404400;TraesCS5A01G440400;TraesCS2B01G436100;TraesCS2B01G167900;TraesCS4B01G178600;TraesCS2A01G204500;TraesCS7D01G409700;TraesCS4D01G267500;TraesCS3B01G093300;TraesCS4B01G080900;TraesCS4D01G001200;TraesCS3B01G353000;TraesCS4B01G268100;TraesCS1A01G219400;TraesCS4B01G174000;TraesCS5B01G117700;TraesCS5B01G415700;TraesCS5A01G390300;TraesCS2D01G414600;TraesCS3B01G102300;TraesCS1B01G308200;TraesCS7A01G508700;TraesCS2B01G542300;TraesCS1B01G461600;TraesCS4D01G119700;TraesCS5B01G275200;TraesCS1A01G218100;TraesCS5D01G320800;TraesCS1B01G058600;TraesCS6B01G108000;TraesCS1D01G376600;TraesCS6A01G120300;TraesCS5A01G232700;TraesCS4B01G121500;TraesCS5B01G141900;TraesCS2A01G323000;TraesCS5B01G410000;TraesCS3B01G357500;TraesCS5B01G265400;TraesCS1A01G370400;TraesCS4B01G098200;TraesCS7A01G327700;TraesCS5A01G314700;TraesCS4B01G235300;TraesCS7B01G299200;TraesCS2B01G436200;TraesCS6B01G263800;TraesCS5B01G444100;TraesCS5D01G245300;TraesCS6D01G087700;TraesCS4B01G141500;TraesCS4D01G064800;TraesCS7D01G392800;TraesCS2A01G288000;TraesCS5A01G481300;TraesCS3D01G329400;TraesCS7D01G052600;TraesCS2D01G567000;TraesCS5B01G478300;TraesCS3B01G379200;TraesCS4D01G096400;TraesCS6A01G145600;TraesCS3A01G513200;TraesCS3B01G141600;TraesCS4A01G128100;TraesCS3A01G271700;TraesCS2A01G304000;TraesCS3D01G245500;TraesCS3A01G413700;TraesCS6B01G149000;TraesCS6D01G154400;TraesCS3A01G408000;TraesCS1B01G129800;TraesCS3A01G323800;TraesCS5D01G390700;TraesCS5A01G468300;TraesCS6A01G333600;TraesCS5A01G180800;TraesCS3A01G289200;TraesCS6A01G240400;TraesCS7B01G272900;TraesCS7D01G052500;TraesCS4A01G396400;TraesCS7B01G162100;TraesCS6A01G145500;TraesCS7A01G299600;TraesCS5D01G421100;TraesCS5B01G223600;TraesCS7D01G295100;TraesCS6B01G375400;TraesCS3D01G399600;TraesCS5D01G481700;TraesCS1D01G072600;TraesCS3D01G269600;TraesCS4D01G239600;TraesCS2A01G459700;TraesCS3B01G324400;TraesCS5D01G111300;TraesCS3B01G410500;TraesCS7A01G369500;TraesCS5B01G236900;TraesCS5A01G271500;TraesCS5B01G104200;TraesCS2B01G096000;TraesCS2A01G189600;TraesCS5D01G447500;TraesCS2D01G431000;TraesCS3A01G176500;TraesCS4D01G238600;TraesCS6D01G039300;TraesCS6D01G312800;TraesCS7A01G343000;TraesCS7A01G096300;TraesCS5B01G271800;TraesCS5B01G384500;TraesCS4A01G396300;TraesCS2A01G514300;TraesCS5A01G104900;TraesCS7D01G052400;TraesCS1D01G223600;TraesCS2A01G081400;TraesCS2A01G101900;TraesCS2B01G304800;TraesCS4B01G346100;TraesCS5D01G092000;TraesCS3B01G208300;TraesCS5B01G362600;TraesCS3D01G408100;TraesCS5B01G108500;TraesCS1A01G350400;TraesCS7A01G416400;TraesCS3B01G255400;TraesCS3D01G317400;TraesCS1B01G326700;TraesCS3D01G289000;TraesCS7A01G376100;TraesCS5A01G143100;TraesCS5D01G273600;TraesCS5A01G112600;TraesCS1A01G401800;TraesCS5B01G313000;TraesCS1B01G274300;TraesCS1B01G304800;TraesCS6B01G238900;TraesCS5A01G238400;TraesCS5B01G095900;TraesCS2D01G100900;TraesCS3B01G568300;TraesCS4A01G396200;TraesCS4D01G094400;TraesCS1D01G292700;TraesCS4A01G098900;TraesCS4A01G176200;TraesCS5A01G400000;TraesCS3A01G413600;TraesCS3D01G408000;TraesCS4B01G069500;TraesCS5A01G380900;TraesCS5A01G124600;TraesCS2D01G456900;TraesCS2B01G208900;TraesCS3A01G109300;TraesCS5A01G258100;TraesCS7D01G508800;TraesCS1B01G326600;TraesCS5D01G518700;TraesCS4D01G268100;TraesCS3B01G371200;TraesCS3B01G375800;TraesCS7A01G264800;TraesCS1B01G243100;TraesCS5D01G183100;TraesCS2A01G427700;TraesCS3B01G176200;TraesCS3D01G370800;TraesCS4A01G130600;TraesCS5D01G232700;TraesCS2B01G217500;TraesCS4D01G176000;TraesCS7B01G364600;TraesCS3D01G354100;TraesCS5B01G480900;TraesCS2D01G464400;TraesCS6A01G406700;TraesCS7D01G000200;TraesCS3B01G270500;TraesCS5B01G142100;TraesCS3A01G167200;TraesCS4A01G062800;TraesCS4A01G001300;TraesCS3A01G377700;TraesCS6A01G108800;TraesCS4D01G236600;TraesCS3D01G296100;TraesCS5D01G481200;TraesCS6B01G364000;TraesCS6D01G239700;TraesCS4B01G100100;TraesCS5D01G244800;TraesCS3B01G448000;TraesCS2D01G211400;TraesCS5A01G251800;TraesCS7A01G270100;TraesCS3A01G343900;TraesCS4B01G173600;TraesCS5D01G097900;TraesCS5B01G118200;TraesCS4D01G178400;TraesCS5B01G257300;TraesCS6D01G074200;TraesCS6D01G217800;TraesCS6D01G110400;TraesCS7A01G057800;TraesCS3A01G379900;TraesCS5D01G205000;TraesCS4A01G001400;TraesCS3B01G314600;TraesCS7B01G434700;TraesCS2D01G269200;TraesCS4A01G035400;TraesCS3D01G289500;TraesCS6B01G193200;TraesCS4A01G129400;TraesCS4D01G177000;TraesCS5A01G395100;TraesCS3B01G199000;TraesCS5B01G315600;TraesCS3B01G448100;TraesCS5B01G176300;TraesCS2D01G198200;TraesCS3D01G401200;TraesCS3D01G238300;TraesCS5D01G450500;TraesCS4B01G299700;TraesCS4D01G105100;TraesCS4A01G216100;TraesCS3B01G441600;TraesCS3D01G173300;TraesCS3B01G330700;TraesCS4A01G248900;TraesCS7B01G316600;TraesCS4A01G059600;TraesCS1A01G314400;TraesCS7A01G365600;TraesCS3A01G111200;TraesCS3B01G156800;TraesCS1A01G421900;TraesCS5B01G236400;TraesCS7D01G497400;TraesCS1B01G232300;TraesCS2A01G102000;TraesCS2D01G515900;TraesCS2A01G433000;TraesCS7D01G336400;TraesCS2B01G116900;TraesCS3D01G227400;TraesCS5A01G265700;TraesCS5D01G185300;TraesCS6D01G134800;TraesCS2D01G339900;TraesCS2A01G201800;TraesCS7D01G345200;TraesCS7A01G306100;TraesCS7D01G526100;TraesCS3D01G341100;TraesCS5D01G232800;TraesCS7B01G160900;TraesCS1B01G453300;TraesCS6D01G110600;TraesCS3B01G303800;TraesCS7A01G509000;TraesCS3D01G281900;TraesCS4A01G219700;TraesCS3A01G406000;TraesCS5B01G415400;TraesCS5A01G090100;TraesCS1D01G398400;TraesCS4B01G108000;TraesCS7A01G328600;TraesCS7D01G283800;TraesCS7D01G092500;TraesCS6B01G284300;TraesCS4D01G136500;TraesCS2B01G454300;TraesCS2D01G414300;TraesCS5D01G487600;TraesCS1A01G298600;TraesCS4D01G312300;TraesCS5D01G116100;TraesCS5A01G475300;TraesCS2B01G135600;TraesCS7D01G551700;TraesCS1D01G376500;TraesCS7B01G259000;TraesCS7D01G171300;TraesCS5D01G129400;TraesCS1D01G429800;TraesCS4B01G237300;TraesCS2B01G436300;TraesCS7B01G249200;TraesCS3B01G439600;TraesCS7A01G518800;TraesCS1A01G389500;TraesCS6D01G299000;TraesCS7D01G092600;TraesCS5D01G071800;TraesCS5B01G224000;TraesCS7D01G110600;TraesCS7D01G372500;TraesCS6B01G148700;TraesCS2B01G187500;TraesCS2A01G389400;TraesCS4D01G180200;TraesCS6A01G258500;TraesCS2D01G387300;TraesCS4A01G071800;TraesCS4B01G083200;TraesCS1B01G235100;TraesCS2B01G320700;TraesCS7D01G201700;TraesCS1A01G263700;TraesCS2A01G101400;TraesCS1D01G263800;TraesCS6B01G451300;TraesCS5D01G266300;TraesCS4B01G239700;TraesCS5D01G321000;TraesCS1D01G314800;TraesCS2A01G391700;TraesCS2D01G386100;TraesCS2A01G388300;TraesCS5A01G237900;TraesCS5A01G080300;TraesCS7D01G497300;TraesCS4A01G171500;TraesCS1A01G302700;TraesCS3A01G289700;TraesCS5B01G564100;TraesCS3D01G157100;TraesCS7D01G353800;TraesCS6D01G222600;TraesCS7A01G116000;TraesCS5A01G468800;TraesCS3B01G130000;TraesCS6A01G394300;TraesCS5B01G067700;TraesCS6A01G080500;TraesCS3A01G078400;TraesCS3A01G336500;TraesCS7A01G423800;TraesCS3A01G242500;TraesCS6A01G120600;TraesCS4B01G228600;TraesCS2D01G285300;TraesCS3D01G431700;TraesCS7D01G501000;TraesCS1D01G265800;TraesCS2D01G392800;TraesCS3D01G272100;TraesCS1D01G314900;TraesCS5A01G411900;TraesCS2D01G051000;TraesCS5B01G075300;TraesCS3B01G310500;TraesCS7D01G092400;TraesCS3A01G229300;TraesCS1A01G221900;TraesCS3D01G372900;TraesCS5A01G312000;TraesCS3D01G242500;TraesCS3B01G273600;TraesCS4B01G205400;TraesCS4A01G126300;TraesCS3A01G347500;TraesCS3D01G276600;TraesCS3D01G113300;TraesCS3A01G276500;TraesCS6B01G173900;TraesCS1D01G429900;TraesCS5A01G411800;TraesCS3A01G245900;TraesCS1A01G295300;TraesCS4B01G065700;TraesCS6A01G165800</t>
  </si>
  <si>
    <t>TraesCS4B01G045400;TraesCS7B01G299200;TraesCS5D01G207400;TraesCS5A01G205000;TraesCS5B01G502200;TraesCS7D01G392800;TraesCS5B01G200000;TraesCS4D01G045300</t>
  </si>
  <si>
    <t>heat acclimation</t>
  </si>
  <si>
    <t>TraesCS7A01G069300;TraesCS7D01G063900;TraesCS5A01G375000;TraesCS1A01G072200;TraesCS6D01G232300;TraesCS2A01G414700;TraesCS4A01G419400;TraesCS5D01G031200;TraesCS1D01G074600;TraesCS5A01G156200</t>
  </si>
  <si>
    <t>arginine metabolic process</t>
  </si>
  <si>
    <t>TraesCS4D01G282500;TraesCS4B01G142700;TraesCS7B01G259000;TraesCS7D01G146400;TraesCS4B01G283700;TraesCS7D01G353800;TraesCS2D01G077300;TraesCS3D01G324400;TraesCS5B01G152600;TraesCS6D01G257000;TraesCS4A01G019900;TraesCS7A01G369500;TraesCS1A01G205800;TraesCS6D01G239700;TraesCS2A01G080000;TraesCS1B01G219300;TraesCS3A01G299000;TraesCS4D01G141000;TraesCS6A01G258500;TraesCS4A01G174700</t>
  </si>
  <si>
    <t>response to light intensity</t>
  </si>
  <si>
    <t>TraesCS2B01G271700;TraesCS3A01G295000;TraesCS3D01G308100;TraesCS6D01G252900;TraesCS6A01G272900</t>
  </si>
  <si>
    <t>cellular response to water deprivation</t>
  </si>
  <si>
    <t>cellular response to water stimulus</t>
  </si>
  <si>
    <t>TraesCS4D01G070700;TraesCS3B01G467500;TraesCS1D01G293400;TraesCS3A01G302600;TraesCS7B01G157600;TraesCS2B01G293700;TraesCS7D01G260600;TraesCS3D01G424900;TraesCS7A01G259600;TraesCS2A01G031200;TraesCS2A01G276000;TraesCS3A01G429600;TraesCS4B01G115200;TraesCS2A01G583700;TraesCS2A01G541100;TraesCS1B01G307200;TraesCS2D01G596000;TraesCS5D01G463900;TraesCS2D01G596100;TraesCS2B01G602900;TraesCS2D01G275000;TraesCS4D01G112900;TraesCS4A01G200100;TraesCS3D01G299200;TraesCS5A01G453100;TraesCS1A01G297800</t>
  </si>
  <si>
    <t>tethering complex</t>
  </si>
  <si>
    <t>TraesCS6D01G083200;TraesCS6A01G216800;TraesCS5A01G058100;TraesCS5B01G065400;TraesCS5D01G069700;TraesCS2D01G301100;TraesCS3D01G502500;TraesCS6B01G127300;TraesCS6B01G246000;TraesCS2A01G302400;TraesCS6D01G198700</t>
  </si>
  <si>
    <t>pyridine-containing compound biosynthetic process</t>
  </si>
  <si>
    <t>TraesCS3B01G123700;TraesCS3A01G105300;TraesCS1D01G405200;TraesCS2B01G275100;TraesCS1A01G159200;TraesCS1A01G396900;TraesCS2A01G303200;TraesCS5A01G403300;TraesCS3B01G272600;TraesCS5B01G465200;TraesCS4A01G148500;TraesCS7B01G346600;TraesCS5A01G456200;TraesCS7B01G296300;TraesCS7D01G389700;TraesCS1D01G327200;TraesCS6B01G423000;TraesCS7A01G182500;TraesCS4A01G130400;TraesCS6B01G423100;TraesCS7D01G435100;TraesCS1B01G425200;TraesCS3A01G246700;TraesCS5D01G467000;TraesCS5D01G467100;TraesCS5B01G408100;TraesCS3D01G244800;TraesCS1D01G156600;TraesCS5A01G205000;TraesCS5A01G093100;TraesCS2B01G381600;TraesCS4D01G176100;TraesCS1A01G112400;TraesCS5B01G099200;TraesCS2A01G225200;TraesCS7B01G087400;TraesCS7D01G183900;TraesCS2A01G363600;TraesCS2D01G361400;TraesCS1D01G404800;TraesCS1D01G152000;TraesCS6A01G383800;TraesCS6D01G368800;TraesCS2D01G250600;TraesCS5D01G413300;TraesCS2B01G260500;TraesCS4B01G174100;TraesCS2D01G231100</t>
  </si>
  <si>
    <t>TraesCS1B01G198000;TraesCS5A01G390300;TraesCS2A01G323000;TraesCS1A01G045300;TraesCS5B01G482400;TraesCS5D01G211300;TraesCS5D01G482800;TraesCS1D01G186100;TraesCS5A01G204800;TraesCS5A01G469800;TraesCS3A01G309800;TraesCS7A01G365600;TraesCS1A01G182700;TraesCS1D01G046000;TraesCS1B01G058600</t>
  </si>
  <si>
    <t>protein acylation</t>
  </si>
  <si>
    <t>TraesCS3A01G107600;TraesCS1D01G346200;TraesCS4D01G104100;TraesCS3B01G423200;TraesCS7D01G506300;TraesCS6D01G039300;TraesCS3D01G432600;TraesCS3A01G124800;TraesCS5A01G092600;TraesCS2A01G548300;TraesCS3A01G189300;TraesCS7D01G071200;TraesCS3D01G192800;TraesCS2A01G121200;TraesCS3A01G439800;TraesCS6A01G302400;TraesCS7A01G075600;TraesCS2B01G187300;TraesCS4A01G203300;TraesCS1A01G344000;TraesCS2D01G123300;TraesCS6B01G331600;TraesCS6D01G281900;TraesCS5A01G100300;TraesCS5D01G104900;TraesCS3B01G126400;TraesCS2B01G308200;TraesCS3B01G311900;TraesCS4B01G335100;TraesCS1D01G074500;TraesCS5B01G225200;TraesCS5B01G244300;TraesCS1D01G123700;TraesCS2B01G350500;TraesCS3D01G278000;TraesCS5A01G505000</t>
  </si>
  <si>
    <t>TraesCS6D01G087700;TraesCS2D01G286300;TraesCS5B01G415400;TraesCS2D01G456900;TraesCS5A01G090100;TraesCS4B01G141500;TraesCS1D01G398400;TraesCS4D01G175700;TraesCS7D01G392800;TraesCS2A01G288000;TraesCS1B01G326600;TraesCS4D01G268100;TraesCS3B01G371200;TraesCS7A01G264800;TraesCS5A01G481300;TraesCS4D01G136500;TraesCS1B01G134500;TraesCS5D01G183100;TraesCS7D01G052600;TraesCS2D01G567000;TraesCS3B01G176200;TraesCS7D01G496100;TraesCS4D01G207500;TraesCS2B01G135600;TraesCS2D01G148700;TraesCS3D01G370800;TraesCS4A01G130600;TraesCS7B01G259000;TraesCS5A01G469000;TraesCS6A01G319600;TraesCS5D01G148900;TraesCS1B01G088500;TraesCS2B01G217500;TraesCS3D01G139300;TraesCS4D01G176000;TraesCS2A01G417200;TraesCS3D01G354100;TraesCS2D01G231600;TraesCS5B01G480900;TraesCS2A01G304000;TraesCS2D01G464400;TraesCS6A01G406700;TraesCS7D01G000200;TraesCS2B01G436300;TraesCS3D01G245500;TraesCS7B01G249200;TraesCS3B01G439600;TraesCS5B01G494500;TraesCS5B01G142100;TraesCS6D01G154400;TraesCS3A01G408000;TraesCS3B01G156600;TraesCS4A01G062800;TraesCS4A01G001300;TraesCS1A01G389500;TraesCS3A01G377700;TraesCS6A01G108800;TraesCS1B01G129800;TraesCS2A01G456600;TraesCS5D01G390700;TraesCS5A01G468300;TraesCS6D01G299000;TraesCS5A01G180800;TraesCS5D01G499000;TraesCS2B01G407600;TraesCS7B01G272900;TraesCS7D01G372500;TraesCS5D01G481200;TraesCS7B01G416100;TraesCS5D01G244800;TraesCS7D01G368000;TraesCS1D01G119500;TraesCS2A01G389400;TraesCS4D01G180200;TraesCS3D01G078900;TraesCS7A01G299600;TraesCS2A01G214400;TraesCS5D01G421100;TraesCS7D01G335500;TraesCS3D01G183900;TraesCS5B01G223600;TraesCS7D01G295100;TraesCS1B01G235100;TraesCS2B01G320700;TraesCS7B01G187600;TraesCS6B01G375400;TraesCS1A01G370600;TraesCS2A01G101400;TraesCS3B01G367500;TraesCS1D01G221000;TraesCS2B01G169700;TraesCS1D01G072600;TraesCS4D01G239600;TraesCS5B01G118200;TraesCS2A01G417300;TraesCS6D01G217800;TraesCS7A01G344100;TraesCS4B01G239700;TraesCS7A01G369500;TraesCS1D01G314800;TraesCS5B01G236900;TraesCS6D01G110400;TraesCS1B01G269600;TraesCS4A01G131000;TraesCS1A01G259200;TraesCS5A01G237900;TraesCS5A01G080300;TraesCS7A01G057800;TraesCS2A01G189600;TraesCS4A01G001400;TraesCS1A01G302700;TraesCS6A01G146200;TraesCS3A01G176500;TraesCS2B01G478700;TraesCS4A01G035400;TraesCS7D01G353800;TraesCS2D01G414500;TraesCS6D01G222600;TraesCS6B01G193200;TraesCS4D01G266400;TraesCS5B01G176300;TraesCS5B01G193200;TraesCS2B01G118500;TraesCS6A01G080500;TraesCS2D01G198200;TraesCS5B01G384500;TraesCS7A01G423800;TraesCS3D01G401200;TraesCS5A01G437500;TraesCS6A01G120600;TraesCS2D01G285300;TraesCS4B01G299700;TraesCS7D01G423600;TraesCS7D01G052400;TraesCS1D01G259000;TraesCS2B01G436100;TraesCS1D01G223600;TraesCS2A01G101900;TraesCS3B01G441600;TraesCS2B01G304800;TraesCS4B01G178600;TraesCS6D01G135500;TraesCS2A01G204500;TraesCS7B01G316600;TraesCS3B01G093300;TraesCS4D01G001200;TraesCS5D01G092000;TraesCS1A01G106600;TraesCS3B01G208300;TraesCS4B01G268100;TraesCS1A01G219400;TraesCS4B01G174000;TraesCS5B01G415700;TraesCS1B01G232300;TraesCS2A01G102000;TraesCS6B01G328300;TraesCS5B01G075300;TraesCS3B01G310500;TraesCS7A01G376100;TraesCS2B01G542300;TraesCS3A01G009400;TraesCS1B01G461600;TraesCS5B01G313000;TraesCS5B01G095900;TraesCS5D01G185300;TraesCS2A01G144800;TraesCS2D01G100900;TraesCS5B01G275200;TraesCS1A01G218100;TraesCS5D01G320800;TraesCS2A01G201800;TraesCS7D01G345200;TraesCS4D01G094400;TraesCS1A01G221900;TraesCS5A01G312000;TraesCS5B01G141900;TraesCS4A01G176200;TraesCS3B01G357500;TraesCS6B01G190100;TraesCS4B01G098200;TraesCS4A01G126300;TraesCS6D01G110600;TraesCS3D01G276600;TraesCS7B01G299200;TraesCS3A01G276500;TraesCS3A01G406000;TraesCS3A01G245900;TraesCS6A01G165800;TraesCS5A01G380900</t>
  </si>
  <si>
    <t>TraesCS1D01G004700;TraesCS6D01G146500;TraesCS3D01G204000;TraesCS1D01G335400;TraesCS1A01G002500;TraesCS1D01G335500;TraesCS1B01G324000;TraesCS5D01G142900;TraesCSU01G003600;TraesCS7A01G480100;TraesCS6D01G153600;TraesCS1A01G332800;TraesCS4A01G130300;TraesCS4D01G176300;TraesCS1A01G047000;TraesCS5B01G135200;TraesCS6B01G192400;TraesCS7A01G419500;TraesCS4D01G176200;TraesCS7D01G467100;TraesCS1D01G312500;TraesCS1D01G047900;TraesCS1A01G312300;TraesCS1B01G001800;TraesCS5A01G136200</t>
  </si>
  <si>
    <t>TraesCS1D01G186500;TraesCS7D01G364900;TraesCS1A01G183000;TraesCS1A01G215500;TraesCS6D01G291800;TraesCS5D01G208900;TraesCS1B01G197900;TraesCS2D01G517200;TraesCS4A01G124800;TraesCS5B01G201100;TraesCS4D01G339400</t>
  </si>
  <si>
    <t>TraesCS3B01G123700;TraesCS3A01G105300;TraesCS1D01G405200;TraesCS1A01G159200;TraesCS1A01G396900;TraesCS2A01G303200;TraesCS5A01G403300;TraesCS3B01G272600;TraesCS7A01G246700;TraesCS4A01G148500;TraesCS1D01G327200;TraesCS7A01G182500;TraesCS4A01G130400;TraesCS1B01G425200;TraesCS3A01G246700;TraesCS5B01G408100;TraesCS3D01G244800;TraesCS1D01G156600;TraesCS5A01G205000;TraesCS7D01G245500;TraesCS2B01G381600;TraesCS4D01G176100;TraesCS1A01G112400;TraesCS7B01G087400;TraesCS7D01G183900;TraesCS2A01G363600;TraesCS2D01G361400;TraesCS7B01G144600;TraesCS1D01G404800;TraesCS1D01G152000;TraesCS2D01G250600;TraesCS5D01G413300;TraesCS2B01G260500;TraesCS4B01G174100</t>
  </si>
  <si>
    <t>TraesCS2D01G284200;TraesCS4B01G100100;TraesCS2A01G033700;TraesCS4A01G216100;TraesCS1D01G074500;TraesCS4D01G096400</t>
  </si>
  <si>
    <t>defense response to bacterium, incompatible interaction</t>
  </si>
  <si>
    <t>TraesCS4B01G237300;TraesCS4B01G100100;TraesCS2D01G392800;TraesCS4A01G216100;TraesCS4D01G238600;TraesCS4D01G096400;TraesCS5D01G397400</t>
  </si>
  <si>
    <t>response to oxygen levels</t>
  </si>
  <si>
    <t>TraesCS2B01G271700;TraesCS7D01G457800;TraesCS5A01G455100;TraesCS5D01G465500;TraesCS7A01G470400;TraesCS5B01G463900;TraesCS7B01G372400</t>
  </si>
  <si>
    <t>stomatal movement</t>
  </si>
  <si>
    <t>TraesCS4B01G237300;TraesCS2A01G384100;TraesCS2B01G208900;TraesCS4B01G100100;TraesCS2D01G392800;TraesCS1A01G295300;TraesCS4A01G216100;TraesCS4D01G238600;TraesCS6D01G039300;TraesCS4D01G096400</t>
  </si>
  <si>
    <t>TraesCS2B01G141900;TraesCS4D01G147600;TraesCS2A01G121000;TraesCS4A01G145300;TraesCS4B01G125700</t>
  </si>
  <si>
    <t>potassium ion homeostasis</t>
  </si>
  <si>
    <t>nucleic acid-templated transcription</t>
  </si>
  <si>
    <t>TraesCS2A01G291900;TraesCS5D01G379700;TraesCS1D01G270500;TraesCS1B01G195800;TraesCS1A01G188000;TraesCS5B01G372500;TraesCS1D01G188500;TraesCS2A01G292000</t>
  </si>
  <si>
    <t>positive regulation of defense response to bacterium</t>
  </si>
  <si>
    <t>TraesCS4D01G064000;TraesCS4A01G249600;TraesCS4B01G065100</t>
  </si>
  <si>
    <t>vitamin transport</t>
  </si>
  <si>
    <t>vitamin transmembrane transporter activity</t>
  </si>
  <si>
    <t>TraesCS4A01G066200;TraesCS4D01G243100;TraesCS5D01G187100</t>
  </si>
  <si>
    <t>monosaccharide transport</t>
  </si>
  <si>
    <t>monosaccharide transmembrane transporter activity</t>
  </si>
  <si>
    <t>TraesCS1D01G314900;TraesCS1A01G314400;TraesCS1B01G326700</t>
  </si>
  <si>
    <t>TFIIIB-type transcription factor activity</t>
  </si>
  <si>
    <t>transcription factor activity, RNA polymerase III transcription factor binding</t>
  </si>
  <si>
    <t>transcription factor activity, core RNA polymerase III binding</t>
  </si>
  <si>
    <t>TraesCS1D01G233800;TraesCS1A01G232500;TraesCS7D01G225200;TraesCS2A01G384100;TraesCS4B01G100100;TraesCS2D01G392800;TraesCS1A01G295300;TraesCS1B01G245700;TraesCS4A01G216100;TraesCS6D01G039300;TraesCS4D01G096400</t>
  </si>
  <si>
    <t>regulation of multi-organism process</t>
  </si>
  <si>
    <t>TraesCS6A01G419200;TraesCS7B01G105600;TraesCS5B01G373000;TraesCS2B01G363000;TraesCS6D01G167300;TraesCS4B01G215100;TraesCS6D01G367600;TraesCS2A01G446500;TraesCS4D01G207500;TraesCS7A01G194900;TraesCS5A01G198800;TraesCS7D01G201600;TraesCS3D01G072000;TraesCS6A01G273100;TraesCS6B01G222200;TraesCS7A01G306800;TraesCS2B01G198100;TraesCS7B01G100600;TraesCS7A01G001900;TraesCS2D01G141100;TraesCS5B01G262900;TraesCS7A01G110500;TraesCS2D01G445500;TraesCS3D01G339600;TraesCS6B01G420600;TraesCS2A01G320200;TraesCS4A01G498700;TraesCS5D01G204700;TraesCS7B01G008400;TraesCS3B01G409400;TraesCS5D01G034700;TraesCS6D01G407400;TraesCS6A01G262200;TraesCS2A01G276400;TraesCS5A01G078400;TraesCS7D01G024200;TraesCS6D01G243000;TraesCS7A01G364200;TraesCS2B01G315100;TraesCS7D01G236600;TraesCS6B01G421400;TraesCS2D01G343000;TraesCS5B01G101200;TraesCS4B01G228700;TraesCS3A01G345800;TraesCS5D01G093700;TraesCS7A01G282200;TraesCS7D01G243700;TraesCS6D01G180400;TraesCS6B01G300500;TraesCS5A01G294600;TraesCS2D01G275400;TraesCS5A01G429000;TraesCS2B01G151100;TraesCS7B01G207100;TraesCS2B01G467400;TraesCS5A01G027000;TraesCS6D01G198600;TraesCS6D01G253100;TraesCS1A01G300000;TraesCS6A01G312600;TraesCS7A01G267200;TraesCS1D01G299400;TraesCS3A01G521300;TraesCS5B01G197400;TraesCS5B01G214500;TraesCS6B01G255500;TraesCS5D01G223800;TraesCS7D01G303700;TraesCS1B01G310100;TraesCS5D01G232100;TraesCS5A01G216000;TraesCS4B01G214200;TraesCS2D01G449900;TraesCS2D01G296700;TraesCS4D01G229900;TraesCS6A01G226100;TraesCS3D01G359000;TraesCS6A01G190700;TraesCS3B01G591000;TraesCS3D01G527900;TraesCS7D01G001600;TraesCS7D01G213600;TraesCS2D01G529500;TraesCS3B01G377600;TraesCS4D01G035300;TraesCS1A01G215100;TraesCS5B01G026200;TraesCS6B01G291800;TraesCS6B01G289500;TraesCS7B01G194100;TraesCS6A01G264800;TraesCS7A01G212000;TraesCS5B01G087500;TraesCS2B01G557100;TraesCSU01G021700;TraesCS2A01G298600</t>
  </si>
  <si>
    <t>TraesCS5D01G069700;TraesCS4B01G283700;TraesCS6A01G177700;TraesCS5B01G482400;TraesCS7D01G392800;TraesCS1B01G456700;TraesCS5B01G426700;TraesCS4B01G125700;TraesCS4D01G096400;TraesCS5D01G397400;TraesCS2B01G175600;TraesCS5D01G207400;TraesCS7B01G259000;TraesCS5A01G205000;TraesCS6B01G383500;TraesCS3B01G141600;TraesCS4A01G145300;TraesCS5B01G200000;TraesCS2D01G077300;TraesCS3D01G324400;TraesCS4B01G335100;TraesCS6D01G332900;TraesCS4A01G019900;TraesCS5A01G469800;TraesCS4B01G237300;TraesCS5B01G262900;TraesCS2A01G080000;TraesCS7A01G110500;TraesCS7B01G249200;TraesCS4D01G141000;TraesCS4A01G062800;TraesCS1D01G349900;TraesCS2B01G367700;TraesCS7D01G548200;TraesCS1B01G238600;TraesCS3A01G289200;TraesCS7B01G008400;TraesCS5D01G482800;TraesCS7A01G470400;TraesCS3D01G344700;TraesCS4D01G045300;TraesCS3A01G124800;TraesCS6D01G257000;TraesCS7A01G412400;TraesCS5D01G433200;TraesCS4B01G045400;TraesCS6D01G239700;TraesCS4B01G100100;TraesCS5D01G244800;TraesCS2A01G121000;TraesCS2D01G211400;TraesCS6D01G252900;TraesCS6A01G258500;TraesCS7A01G270100;TraesCS5D01G362200;TraesCS2A01G155500;TraesCS6B01G383800;TraesCS1A01G045300;TraesCS2B01G213400;TraesCS4D01G239600;TraesCS7D01G243700;TraesCS1D01G074500;TraesCS5B01G156800;TraesCS2B01G271700;TraesCS4B01G239700;TraesCS7A01G369500;TraesCS5A01G375000;TraesCS3A01G299000;TraesCS5A01G237900;TraesCS6A01G272900;TraesCS5A01G424700;TraesCS7D01G506300;TraesCS7D01G353800;TraesCS5B01G428000;TraesCS4D01G238600;TraesCS6D01G039300;TraesCS5B01G152600;TraesCS1A01G245300;TraesCS3D01G308100;TraesCS1B01G219300;TraesCS5B01G315600;TraesCS7D01G106000;TraesCS7B01G372400;TraesCS2D01G285300;TraesCS6B01G192900;TraesCS5A01G337100;TraesCS2A01G381800;TraesCS1A01G221200;TraesCS2B01G308200;TraesCS2D01G392800;TraesCS4A01G216100;TraesCS5B01G357100;TraesCS2A01G204500;TraesCS1A01G205800;TraesCS4D01G267500;TraesCS3B01G156800;TraesCS5A01G505000;TraesCS4D01G074000;TraesCS5B01G236400;TraesCS1A01G423800;TraesCS4D01G282500;TraesCS2B01G180500;TraesCS3D01G289000;TraesCS1D01G077300;TraesCS2D01G378300;TraesCS6D01G333600;TraesCS1B01G461600;TraesCS6A01G250800;TraesCS4A01G174700;TraesCS5B01G426800;TraesCS1D01G046000;TraesCS1B01G058600;TraesCS7D01G345200;TraesCS4B01G142700;TraesCS4D01G147600;TraesCS7D01G146400;TraesCS4A01G277500;TraesCS5B01G502200;TraesCS7A01G561600;TraesCS7D01G457800;TraesCS2B01G141900;TraesCS7B01G299200;TraesCS3A01G295000;TraesCS5D01G333700;TraesCS1A01G295300;TraesCS2B01G201100;TraesCS3B01G490900</t>
  </si>
  <si>
    <t>response to abiotic stimulus</t>
  </si>
  <si>
    <t>TraesCS4D01G316500;TraesCS2B01G208900;TraesCS5B01G482400;TraesCS7A01G246700;TraesCS6A01G201100;TraesCS1A01G275200;TraesCS2D01G534600;TraesCS1D01G082600;TraesCS4D01G207500;TraesCS5A01G041100;TraesCS7A01G182500;TraesCS3B01G361500;TraesCS5A01G177800;TraesCS5D01G207400;TraesCS1D01G156600;TraesCS5A01G469800;TraesCS2A01G080000;TraesCS3A01G056700;TraesCS3D01G524700;TraesCS1B01G164200;TraesCS3B01G156600;TraesCS4D01G315400;TraesCS4A01G232600;TraesCS3B01G306200;TraesCS4D01G045300;TraesCS4D01G326400;TraesCS6D01G257000;TraesCS6D01G155100;TraesCS4B01G045400;TraesCS4B01G100100;TraesCS5D01G244800;TraesCS1D01G119500;TraesCS1D01G082500;TraesCS3A01G135700;TraesCS5D01G022200;TraesCS6D01G252900;TraesCS4B01G104700;TraesCS7A01G033500;TraesCS3D01G290000;TraesCS5D01G097900;TraesCS1A01G045300;TraesCS2D01G394800;TraesCS1D01G074500;TraesCS6B01G174400;TraesCS7B01G087400;TraesCS2B01G271700;TraesCS6D01G246900;TraesCS2A01G384100;TraesCS2B01G350600;TraesCS4B01G306900;TraesCS6A01G272500;TraesCS5B01G530800;TraesCS4A01G001400;TraesCS1A01G184500;TraesCS5A01G315700;TraesCS5B01G381500;TraesCS6A01G146200;TraesCS7D01G030100;TraesCS2A01G106500;TraesCS5B01G327700;TraesCS4A01G035400;TraesCS1B01G158500;TraesCS5A01G204800;TraesCS3D01G308100;TraesCS5B01G214500;TraesCS1B01G347100;TraesCS2B01G189300;TraesCS5A01G085900;TraesCS6A01G268000;TraesCS2A01G551100;TraesCS7B01G372400;TraesCS6A01G107800;TraesCS2D01G107100;TraesCS6B01G300000;TraesCS1A01G215600;TraesCS5D01G211300;TraesCS5D01G387900;TraesCS4A01G216100;TraesCS5D01G183700;TraesCS1D01G185100;TraesCS2D01G226300;TraesCS5A01G216000;TraesCS7B01G316600;TraesCS1A01G205800;TraesCS7A01G344600;TraesCS4D01G001200;TraesCS2B01G415300;TraesCS3B01G156800;TraesCS5B01G217100;TraesCS7D01G334900;TraesCS1A01G159200;TraesCS3B01G102300;TraesCS7D01G229100;TraesCS6D01G095700;TraesCS3D01G136700;TraesCS2B01G180500;TraesCS7B01G274600;TraesCS5D01G531300;TraesCS7B01G194200;TraesCS1A01G015300;TraesCS2A01G121200;TraesCS2A01G532800;TraesCS2B01G202700;TraesCS1D01G046000;TraesCS1B01G058600;TraesCS6D01G302500;TraesCS1A01G080700;TraesCS6B01G381300;TraesCS6A01G166500;TraesCS5B01G392400;TraesCS5A01G377900;TraesCS7B01G299200;TraesCS3A01G517100;TraesCS1D01G144600;TraesCS3A01G247000;TraesCS5B01G102900;TraesCS5B01G175100;TraesCS6A01G135100;TraesCS1A01G333800;TraesCS5B01G217000;TraesCS5D01G226000;TraesCS2D01G183700;TraesCS2D01G097700;TraesCS1D01G398400;TraesCS7D01G392800;TraesCS1B01G456700;TraesCS6A01G278000;TraesCS5B01G373000;TraesCS2A01G397000;TraesCS5B01G533000;TraesCS5D01G225900;TraesCS4D01G312300;TraesCS2B01G246100;TraesCS4A01G455800;TraesCS1D01G082200;TraesCS4D01G096400;TraesCS6B01G295200;TraesCS1A01G080600;TraesCS7B01G259000;TraesCS3D01G244500;TraesCS5B01G200000;TraesCS2D01G077300;TraesCS6B01G306300;TraesCS3D01G139300;TraesCS4B01G237300;TraesCS7A01G110500;TraesCS5B01G014400;TraesCS1A01G389500;TraesCS2B01G174500;TraesCS7D01G548200;TraesCS7B01G008400;TraesCS3B01G272300;TraesCS5D01G482800;TraesCS7A01G470400;TraesCS7A01G412400;TraesCS7B01G272900;TraesCS1D01G013200;TraesCS7A01G264500;TraesCS5D01G179100;TraesCS7D01G368000;TraesCS2A01G488800;TraesCS2B01G114000;TraesCS6B01G163100;TraesCS3D01G315700;TraesCS4A01G071800;TraesCS2A01G155500;TraesCS1A01G080500;TraesCS1B01G229100;TraesCS6D01G258600;TraesCS6A01G116000;TraesCS2A01G176300;TraesCS7A01G369500;TraesCS5A01G375000;TraesCS5B01G236900;TraesCS2A01G150600;TraesCS2A01G231000;TraesCS3A01G299000;TraesCS6D01G104800;TraesCS1D01G274800;TraesCS5A01G237900;TraesCS5D01G321800;TraesCS3D01G056500;TraesCS6A01G272900;TraesCS4A01G171500;TraesCS4A01G043800;TraesCS2B01G124100;TraesCS2D01G284200;TraesCS7A01G011900;TraesCS3A01G124100;TraesCS7D01G353800;TraesCS4D01G238600;TraesCS6D01G039300;TraesCS1A01G245300;TraesCS1B01G219300;TraesCS5D01G223800;TraesCS3B01G153800;TraesCS4D01G264500;TraesCS2B01G175800;TraesCS2D01G285300;TraesCS4A01G407500;TraesCS7D01G245500;TraesCS2D01G392800;TraesCS6D01G330800;TraesCS3D01G272100;TraesCS5B01G316300;TraesCS6D01G135500;TraesCS6B01G280300;TraesCS2D01G296300;TraesCS5D01G182100;TraesCS2D01G235600;TraesCS5B01G217500;TraesCS1D01G073100;TraesCS6D01G226300;TraesCS1A01G308900;TraesCS3B01G310500;TraesCS2A01G220600;TraesCS2D01G123300;TraesCS2B01G257100;TraesCS7A01G561600;TraesCS4D01G305100;TraesCS7D01G183900;TraesCS7D01G457800;TraesCS3D01G276600;TraesCS3A01G295000;TraesCS5A01G218000;TraesCS7B01G144600;TraesCS3A01G276500;TraesCS5D01G333700;TraesCS1A01G295300</t>
  </si>
  <si>
    <t>TraesCS6A01G167300;TraesCS5A01G131300;TraesCS4A01G089700;TraesCS5D01G422000;TraesCS4B01G214600;TraesCS5B01G133500;TraesCS5D01G139800</t>
  </si>
  <si>
    <t>cellular response to toxic substance</t>
  </si>
  <si>
    <t>TraesCS1B01G234500;TraesCS7B01G440900;TraesCS5D01G233800;TraesCS6B01G309400;TraesCS4D01G238800;TraesCS3D01G336900;TraesCS5D01G407400;TraesCS7B01G122500;TraesCS5B01G231600;TraesCS2A01G262800;TraesCS4D01G079900;TraesCS1D01G250900;TraesCS7B01G110400;TraesCS1A01G395100;TraesCS7D01G438600;TraesCS2B01G177500;TraesCS5A01G129500;TraesCS2D01G157800;TraesCS4A01G109200;TraesCS3A01G084700;TraesCS3A01G061600;TraesCS3D01G520900;TraesCS1B01G313400;TraesCS5D01G233700;TraesCS3A01G153000;TraesCS3D01G136900;TraesCS6D01G085100;TraesCS2B01G279200;TraesCS2A01G152500;TraesCS2A01G546600;TraesCS4A01G234100;TraesCS5D01G407500;TraesCS5D01G535700;TraesCS2A01G395000;TraesCS2A01G322500;TraesCS4A01G385300;TraesCS2A01G005100;TraesCS1A01G277400;TraesCS5B01G403000;TraesCS6A01G271300;TraesCS2D01G396300;TraesCS2A01G325100;TraesCS7D01G438700;TraesCS3B01G256400;TraesCS2D01G157900;TraesCS5B01G318100;TraesCS3D01G084900;TraesCS7B01G469000;TraesCS3A01G136100;TraesCS5D01G413200;TraesCS6B01G351600;TraesCS3D01G148300;TraesCS1D01G302500;TraesCS7A01G523400;TraesCS1D01G004500;TraesCS3A01G132000;TraesCS5A01G403200;TraesCS6A01G331400;TraesCS1B01G251600;TraesCS1D01G310000;TraesCS1A01G384000;TraesCS3D01G225800;TraesCS5D01G137000;TraesCS6B01G125800;TraesCS4B01G003300;TraesCS1D01G176400;TraesCS2D01G157600;TraesCS7A01G203200;TraesCS1A01G177300;TraesCS7A01G373100;TraesCS2D01G547700;TraesCS5B01G318200;TraesCS7B01G169500;TraesCS7A01G086000;TraesCS7D01G271600;TraesCS2A01G026800;TraesCS1D01G222800;TraesCS5A01G233100;TraesCS4A01G320100;TraesCS2A01G546400;TraesCS5D01G487900;TraesCS4B01G135200;TraesCS3D01G225900;TraesCS4B01G366800;TraesCS6A01G174900;TraesCS1A01G435400;TraesCS3A01G152500;TraesCS3A01G062200;TraesCS6D01G038500;TraesCS2A01G577800;TraesCS4B01G237600;TraesCS6B01G204400;TraesCS7D01G080700;TraesCS2D01G273700;TraesCS2D01G589200;TraesCS7A01G277500;TraesCS5B01G404800;TraesCS3D01G293800;TraesCS7B01G042100;TraesCS5D01G084300;TraesCS5B01G174200;TraesCS7B01G254100;TraesCS7A01G031700;TraesCS7A01G121400;TraesCS7D01G511700;TraesCS3B01G609400;TraesCS3D01G364300;TraesCS1B01G262000;TraesCS4D01G195700;TraesCS7B01G439400;TraesCS7A01G373300;TraesCS2D01G279500;TraesCS1D01G175500;TraesCS4B01G195000;TraesCS7D01G512800;TraesCS1D01G004600;TraesCS5B01G224800;TraesCS6A01G280100;TraesCS2D01G521700;TraesCS7B01G253700;TraesCS3A01G294000;TraesCS6D01G243800;TraesCS2D01G337800;TraesCS1D01G239600;TraesCS2D01G157500;TraesCS5A01G397800;TraesCS3B01G154000;TraesCS2A01G008100;TraesCS2A01G078100;TraesCS3A01G082900;TraesCS7A01G449600;TraesCS2B01G038500;TraesCS6A01G280000;TraesCS4A01G183600;TraesCS2A01G152400;TraesCS7B01G476100;TraesCS3B01G167400;TraesCS5A01G317600;TraesCS3D01G084600;TraesCS2B01G518400;TraesCS5B01G128100;TraesCS5B01G403100;TraesCS6D01G260200;TraesCS5D01G565100;TraesCS2A01G534600;TraesCS2B01G357200;TraesCS1B01G371900;TraesCS3B01G256500;TraesCS7B01G349100;TraesCS1A01G351600;TraesCS4B01G194900;TraesCS2B01G177300;TraesCS5A01G397900;TraesCS2B01G085500;TraesCS2D01G392800;TraesCSU01G025000;TraesCS6D01G164000;TraesCS7A01G449500;TraesCS1D01G175700;TraesCS1D01G359100;TraesCS6B01G051900;TraesCS1B01G001900;TraesCS3B01G179500;TraesCS4B01G346900;TraesCS5B01G402800;TraesCS4D01G240800;TraesCS6B01G298500;TraesCS2D01G261100;TraesCS4D01G240900;TraesCS1B01G423400;TraesCS2D01G429700;TraesCS1D01G403300;TraesCS6A01G097400;TraesCS3A01G227800;TraesCS3D01G084700;TraesCS5D01G407300;TraesCS6D01G300600;TraesCS2B01G093100;TraesCS1A01G239400;TraesCS4A01G311000;TraesCS7B01G349000;TraesCS1A01G303100;TraesCS2D01G157300;TraesCS4D01G195600;TraesCS7B01G175200;TraesCS5A01G400000;TraesCS2B01G606600;TraesCS4A01G109300;TraesCS1A01G177800;TraesCS2A01G490500;TraesCS2D01G021600;TraesCS4A01G059900;TraesCS6A01G404500;TraesCS2A01G053300;TraesCS3A01G228100;TraesCS5D01G323900;TraesCS5B01G402900</t>
  </si>
  <si>
    <t>oxidoreductase activity, acting on paired donors, with incorporation or reduction of molecular oxygen</t>
  </si>
  <si>
    <t>TraesCS5D01G199800;TraesCS7D01G457800;TraesCS2B01G339600;TraesCS5B01G184100;TraesCS6D01G128900;TraesCS7A01G470400;TraesCS5A01G186000;TraesCS5B01G191900;TraesCS7B01G372400</t>
  </si>
  <si>
    <t>sulfurtransferase activity</t>
  </si>
  <si>
    <t>TraesCS2B01G336000;TraesCS7B01G299200;TraesCS5B01G236900;TraesCS7D01G392800;TraesCS6D01G224700;TraesCS4A01G043800</t>
  </si>
  <si>
    <t>ethylene biosynthetic process</t>
  </si>
  <si>
    <t>alkene biosynthetic process</t>
  </si>
  <si>
    <t>olefin biosynthetic process</t>
  </si>
  <si>
    <t>ethylene metabolic process</t>
  </si>
  <si>
    <t>cellular alkene metabolic process</t>
  </si>
  <si>
    <t>olefin metabolic process</t>
  </si>
  <si>
    <t>TraesCS3B01G467500;TraesCS4A01G207300;TraesCS7B01G157600;TraesCS6D01G393600;TraesCS1B01G456700;TraesCS6A01G240700;TraesCS1D01G149100;TraesCS7B01G327400;TraesCS5D01G303600;TraesCS2A01G423900;TraesCS4D01G031600;TraesCS4B01G125700;TraesCS3B01G304600;TraesCS4D01G203700;TraesCS4D01G207500;TraesCS1D01G055900;TraesCS3A01G429600;TraesCS4B01G167600;TraesCS4B01G115200;TraesCS1B01G197900;TraesCS2A01G583700;TraesCS2A01G541100;TraesCS4A01G145300;TraesCS2D01G077300;TraesCS4B01G335100;TraesCS1D01G209500;TraesCS4D01G069300;TraesCS2D01G079200;TraesCS4B01G237300;TraesCS2D01G361400;TraesCS2A01G080000;TraesCS4A01G049200;TraesCS6D01G248500;TraesCS7D01G069900;TraesCS5A01G453100;TraesCS1B01G164200;TraesCS4D01G032000;TraesCS1D01G198400;TraesCS1D01G216200;TraesCS4D01G070700;TraesCS6A01G148600;TraesCS1A01G182100;TraesCS1B01G198900;TraesCS5D01G386800;TraesCS3D01G432000;TraesCS3A01G363100;TraesCS4D01G326400;TraesCS1A01G206200;TraesCS2B01G293700;TraesCS6B01G176800;TraesCS3B01G429400;TraesCS5B01G097600;TraesCS7D01G024200;TraesCS3D01G523900;TraesCS3A01G516200;TraesCS5D01G085800;TraesCS2A01G121000;TraesCS3D01G424900;TraesCS6D01G252900;TraesCS6D01G138000;TraesCS7A01G259600;TraesCS1D01G199300;TraesCS2A01G031200;TraesCS2A01G276000;TraesCS1A01G265200;TraesCS6B01G293500;TraesCS7D01G419400;TraesCS6A01G246400;TraesCS3A01G290300;TraesCS1D01G185200;TraesCS1B01G210500;TraesCS5D01G463900;TraesCS2A01G141100;TraesCS2B01G271700;TraesCS2A01G384100;TraesCS3B01G395500;TraesCS2B01G266000;TraesCS2D01G275000;TraesCS4A01G200100;TraesCS5B01G408400;TraesCS1A01G213400;TraesCS1A01G425400;TraesCS2B01G096000;TraesCS6A01G272900;TraesCS1A01G297800;TraesCS1B01G198000;TraesCS2D01G284200;TraesCS5A01G229700;TraesCS5D01G237800;TraesCS5A01G497400;TraesCS4A01G372600;TraesCS3A01G302600;TraesCS4D01G108500;TraesCS5B01G228500;TraesCS4D01G238600;TraesCS6D01G039300;TraesCS2A01G433500;TraesCS3A01G140700;TraesCS7D01G260600;TraesCS2B01G288100;TraesCS2B01G454500;TraesCS6A01G266100;TraesCS5D01G187100;TraesCS4B01G255600;TraesCS7A01G427600;TraesCS1B01G226800;TraesCS3B01G247000;TraesCS6A01G107800;TraesCS5B01G380400;TraesCS4B01G033400;TraesCS4B01G333800;TraesCS1D01G265400;TraesCS5A01G337100;TraesCS6A01G281100;TraesCS1A01G248700;TraesCS3B01G579400;TraesCS5B01G131500;TraesCS1B01G307200;TraesCS2A01G081400;TraesCS4D01G176200;TraesCS5D01G104200;TraesCS2A01G363600;TraesCS2D01G596100;TraesCS2B01G602900;TraesCS1D01G248200;TraesCS4D01G112900;TraesCS3D01G299200;TraesCS5A01G505000;TraesCS2D01G277800;TraesCS4A01G066200;TraesCS1D01G186500;TraesCS3D01G178300;TraesCS2D01G431500;TraesCS1D01G293400;TraesCS3D01G204000;TraesCS6D01G095700;TraesCS4D01G255600;TraesCS6B01G456500;TraesCS1D01G186100;TraesCS3D01G246000;TraesCS3B01G287200;TraesCS4D01G243100;TraesCS6A01G000500;TraesCS7A01G427100;TraesCS4D01G169600;TraesCS1B01G182000;TraesCS3B01G416000;TraesCS4D01G176300;TraesCS3D01G104200;TraesCS1A01G183000;TraesCS4D01G147600;TraesCS1D01G108300;TraesCS5B01G166000;TraesCS5B01G458900;TraesCS5A01G169300;TraesCS2D01G596000;TraesCS5B01G155900;TraesCS2B01G141900;TraesCS1D01G144600;TraesCS1A01G295300;TraesCS4D01G330000;TraesCS1A01G182700;TraesCS3A01G245500</t>
  </si>
  <si>
    <t>cell periphery</t>
  </si>
  <si>
    <t>TraesCS3A01G477500;TraesCS1B01G248600;TraesCS5B01G491800;TraesCS1D01G237100;TraesCS3D01G472100;TraesCS5D01G492300;TraesCSU01G150500;TraesCS3D01G472200;TraesCSU01G051800;TraesCS1A01G235000;TraesCS3A01G477400</t>
  </si>
  <si>
    <t>TraesCS1D01G184900;TraesCS2B01G208900;TraesCS5B01G482400;TraesCS7D01G392800;TraesCS7B01G346600;TraesCS7D01G343800;TraesCS7D01G435100;TraesCS4D01G096400;TraesCS6B01G295200;TraesCS5A01G177800;TraesCS5D01G207400;TraesCS2D01G182100;TraesCS3B01G283800;TraesCS1D01G292400;TraesCS5B01G200000;TraesCS2D01G077300;TraesCS2B01G198100;TraesCS6A01G244400;TraesCS5A01G469800;TraesCS7D01G044300;TraesCS2A01G080000;TraesCS4D01G229700;TraesCS7A01G279100;TraesCS1B01G164200;TraesCS3D01G207900;TraesCS6D01G248100;TraesCS3D01G180500;TraesCS7D01G548200;TraesCS2B01G204800;TraesCS4B01G137700;TraesCS5D01G482800;TraesCS7A01G470400;TraesCS1D01G111900;TraesCS4D01G045300;TraesCS5D01G109500;TraesCS1D01G013200;TraesCS4B01G045400;TraesCS7A01G130600;TraesCS5D01G179100;TraesCS4B01G100100;TraesCS1A01G072600;TraesCS5D01G022200;TraesCS2B01G393000;TraesCSU01G076400;TraesCS1A01G298900;TraesCS7D01G278900;TraesCS3A01G175000;TraesCS2A01G155500;TraesCS5A01G425600;TraesCS1B01G229100;TraesCS3A01G505200;TraesCS1A01G045300;TraesCS1D01G368100;TraesCS5B01G156800;TraesCS2A01G384100;TraesCS2B01G350600;TraesCS5B01G102700;TraesCS4B01G306900;TraesCS1A01G251600;TraesCS5B01G530800;TraesCS3D01G056500;TraesCS4D01G360300;TraesCS1B01G158500;TraesCS4A01G072700;TraesCS5A01G424300;TraesCS6D01G039300;TraesCS5A01G096800;TraesCS4D01G098500;TraesCS4D01G132500;TraesCS7B01G372400;TraesCS5A01G534900;TraesCS1A01G215600;TraesCS4A01G407500;TraesCS2D01G392800;TraesCS2A01G174700;TraesCS4A01G216100;TraesCS4D01G176200;TraesCS5B01G427600;TraesCS1D01G198600;TraesCS5B01G316300;TraesCS5D01G182100;TraesCS5D01G432800;TraesCS1D01G073100;TraesCS6D01G226700;TraesCS2B01G180500;TraesCS1B01G308600;TraesCS6B01G280000;TraesCS3D01G252800;TraesCS6A01G266600;TraesCS2B01G223000;TraesCS1A01G363200;TraesCS1D01G046000;TraesCS1B01G058600;TraesCS4D01G176300;TraesCS1D01G108300;TraesCS4D01G300100;TraesCS7A01G561600;TraesCS2D01G224100;TraesCS4D01G305100;TraesCS4B01G367200;TraesCS7D01G457800;TraesCS7B01G299200;TraesCS1D01G144600;TraesCS5B01G175100;TraesCS1A01G295300;TraesCS2B01G201100;TraesCS4B01G101900;TraesCS6B01G294000</t>
  </si>
  <si>
    <t>TraesCS4B01G100100;TraesCS3B01G093300;TraesCS4D01G264500;TraesCS5B01G142100;TraesCS4A01G216100;TraesCS4D01G096400;TraesCS3B01G490900;TraesCS4A01G043800</t>
  </si>
  <si>
    <t>leaf senescence</t>
  </si>
  <si>
    <t>plant organ senescence</t>
  </si>
  <si>
    <t>TraesCS5B01G482400;TraesCS7D01G392800;TraesCS5B01G428000;TraesCS6D01G039300;TraesCS1B01G219300;TraesCS5B01G315600;TraesCS4D01G096400;TraesCS7B01G372400;TraesCS5D01G207400;TraesCS5A01G337100;TraesCS5A01G205000;TraesCS5B01G200000;TraesCS4B01G335100;TraesCS4A01G216100;TraesCS5A01G469800;TraesCS2A01G204500;TraesCS1A01G205800;TraesCS7B01G249200;TraesCS5A01G505000;TraesCS4A01G062800;TraesCS5B01G236400;TraesCS1B01G238600;TraesCS3A01G289200;TraesCS5D01G482800;TraesCS7A01G470400;TraesCS2B01G180500;TraesCS3D01G289000;TraesCS4D01G045300;TraesCS6D01G257000;TraesCS4B01G045400;TraesCS4B01G100100;TraesCS5D01G244800;TraesCS2D01G211400;TraesCS6A01G250800;TraesCS1D01G046000;TraesCS1B01G058600;TraesCS7D01G345200;TraesCS7A01G270100;TraesCS2A01G155500;TraesCS1A01G045300;TraesCS5B01G502200;TraesCS4D01G239600;TraesCS1D01G074500;TraesCS7D01G457800;TraesCS7B01G299200;TraesCS4B01G239700;TraesCS3A01G299000;TraesCS1A01G295300;TraesCS5A01G237900</t>
  </si>
  <si>
    <t>TraesCS6D01G087700;TraesCS2D01G286300;TraesCS5B01G415400;TraesCS2D01G456900;TraesCS5A01G090100;TraesCS4B01G141500;TraesCS1D01G398400;TraesCS4D01G175700;TraesCS7D01G392800;TraesCS2A01G288000;TraesCS1B01G326600;TraesCS4D01G268100;TraesCS3B01G371200;TraesCS7A01G264800;TraesCS5A01G481300;TraesCS4D01G136500;TraesCS1B01G134500;TraesCS5D01G183100;TraesCS7D01G052600;TraesCS2D01G567000;TraesCS3B01G176200;TraesCS7D01G496100;TraesCS4D01G207500;TraesCS2B01G135600;TraesCS2D01G148700;TraesCS3D01G370800;TraesCS4A01G130600;TraesCS7B01G259000;TraesCS5A01G469000;TraesCS6A01G319600;TraesCS5D01G148900;TraesCS1B01G088500;TraesCS2B01G217500;TraesCS3D01G139300;TraesCS4D01G176000;TraesCS2A01G417200;TraesCS3D01G354100;TraesCS2D01G231600;TraesCS5B01G480900;TraesCS2A01G304000;TraesCS2D01G464400;TraesCS6A01G406700;TraesCS7D01G000200;TraesCS2B01G436300;TraesCS3D01G245500;TraesCS7B01G249200;TraesCS3B01G439600;TraesCS5B01G494500;TraesCS5B01G142100;TraesCS6D01G154400;TraesCS3A01G408000;TraesCS3B01G156600;TraesCS4A01G062800;TraesCS4A01G001300;TraesCS1A01G389500;TraesCS3A01G377700;TraesCS6A01G108800;TraesCS1B01G129800;TraesCS2A01G456600;TraesCS5D01G390700;TraesCS5A01G468300;TraesCS6D01G299000;TraesCS5A01G180800;TraesCS5D01G499000;TraesCS2B01G407600;TraesCS7B01G272900;TraesCS7D01G372500;TraesCS5D01G481200;TraesCS7B01G416100;TraesCS5D01G244800;TraesCS7D01G368000;TraesCS1D01G119500;TraesCS2A01G389400;TraesCS4D01G180200;TraesCS3D01G078900;TraesCS7A01G299600;TraesCS2A01G214400;TraesCS5D01G421100;TraesCS7D01G335500;TraesCS3D01G183900;TraesCS5B01G223600;TraesCS7D01G295100;TraesCS1B01G235100;TraesCS2B01G320700;TraesCS7B01G187600;TraesCS6B01G375400;TraesCS1A01G370600;TraesCS2A01G101400;TraesCS3B01G367500;TraesCS1D01G221000;TraesCS2B01G169700;TraesCS1D01G072600;TraesCS4D01G239600;TraesCS5B01G118200;TraesCS2A01G417300;TraesCS6D01G217800;TraesCS7A01G344100;TraesCS4B01G239700;TraesCS7A01G369500;TraesCS1D01G314800;TraesCS5B01G236900;TraesCS6D01G110400;TraesCS1B01G269600;TraesCS4A01G131000;TraesCS1A01G259200;TraesCS5A01G237900;TraesCS5A01G080300;TraesCS7A01G057800;TraesCS2A01G189600;TraesCS4A01G001400;TraesCS1A01G302700;TraesCS6A01G146200;TraesCS3A01G176500;TraesCS2B01G478700;TraesCS4A01G035400;TraesCS7D01G353800;TraesCS2D01G414500;TraesCS6D01G222600;TraesCS6B01G193200;TraesCS4D01G266400;TraesCS5B01G176300;TraesCS5B01G193200;TraesCS2B01G118500;TraesCS6A01G080500;TraesCS2D01G198200;TraesCS5B01G384500;TraesCS7A01G423800;TraesCS3D01G401200;TraesCS5A01G437500;TraesCS6A01G120600;TraesCS2D01G285300;TraesCS4B01G299700;TraesCS7D01G423600;TraesCS7D01G052400;TraesCS1D01G259000;TraesCS2B01G436100;TraesCS1D01G223600;TraesCS2A01G101900;TraesCS3B01G441600;TraesCS2B01G304800;TraesCS4B01G178600;TraesCS6D01G135500;TraesCS2A01G204500;TraesCS7B01G316600;TraesCS3B01G093300;TraesCS4D01G001200;TraesCS5D01G092000;TraesCS1A01G106600;TraesCS3B01G208300;TraesCS4B01G268100;TraesCS1A01G219400;TraesCS4B01G174000;TraesCS5B01G415700;TraesCS1B01G232300;TraesCS2A01G102000;TraesCS5B01G075300;TraesCS3B01G310500;TraesCS7A01G376100;TraesCS2B01G542300;TraesCS3A01G009400;TraesCS1B01G461600;TraesCS5B01G313000;TraesCS5B01G095900;TraesCS5D01G185300;TraesCS2A01G144800;TraesCS2D01G100900;TraesCS5B01G275200;TraesCS1A01G218100;TraesCS5D01G320800;TraesCS2A01G201800;TraesCS7D01G345200;TraesCS4D01G094400;TraesCS1A01G221900;TraesCS5A01G312000;TraesCS5B01G141900;TraesCS4A01G176200;TraesCS3B01G357500;TraesCS6B01G190100;TraesCS4B01G098200;TraesCS4A01G126300;TraesCS6D01G110600;TraesCS3D01G276600;TraesCS7B01G299200;TraesCS3A01G276500;TraesCS3A01G406000;TraesCS3A01G245900;TraesCS6A01G165800;TraesCS5A01G380900</t>
  </si>
  <si>
    <t>transcription, DNA-templated</t>
  </si>
  <si>
    <t>TraesCS2D01G322200;TraesCS4A01G125300;TraesCS2A01G097400;TraesCS2D01G460600;TraesCS7D01G506300;TraesCS2A01G343900;TraesCS2B01G109800;TraesCS2D01G093000;TraesCS3A01G124800;TraesCS2B01G109700;TraesCS6A01G157500;TraesCS2A01G121200;TraesCS1D01G451900;TraesCS1A01G443900;TraesCS2A01G094700;TraesCS5B01G181300;TraesCS2A01G094500;TraesCS4D01G220500;TraesCS2D01G123300;TraesCS2B01G341400;TraesCS4D01G180800;TraesCS1B01G478400;TraesCS4B01G220200;TraesCS4B01G335100;TraesCS5A01G314800;TraesCS1D01G074500;TraesCS5B01G244300;TraesCS4A01G083900;TraesCS4B01G178600;TraesCS5B01G262900;TraesCS5D01G321100;TraesCS5A01G505000;TraesCS2B01G482000</t>
  </si>
  <si>
    <t>TraesCS4D01G064000;TraesCS3B01G532300;TraesCS6B01G231800;TraesCS6D01G226700;TraesCS3A01G217200;TraesCS3D01G219900;TraesCS2A01G305900;TraesCS6A01G244400;TraesCS5B01G079100;TraesCS6B01G280000;TraesCS5A01G073000;TraesCS5D01G031800;TraesCS7D01G452600;TraesCS2D01G304300;TraesCS3B01G247500;TraesCS5D01G085800;TraesCS4A01G110200;TraesCS4A01G249600;TraesCS4B01G065100;TraesCS5A01G025400</t>
  </si>
  <si>
    <t>organic anion transmembrane transporter activity</t>
  </si>
  <si>
    <t>TraesCS7B01G362900;TraesCS7D01G449700</t>
  </si>
  <si>
    <t>trans-octaprenyltranstransferase activity</t>
  </si>
  <si>
    <t>TraesCS7B01G294800;TraesCS7D01G388400</t>
  </si>
  <si>
    <t>L-serine hydro-lyase (adding indole, L-tryptophan-forming) activity</t>
  </si>
  <si>
    <t>nuclear heterochromatin</t>
  </si>
  <si>
    <t>TraesCS7D01G412000;TraesCS7A01G419200</t>
  </si>
  <si>
    <t>lipopolysaccharide core region biosynthetic process</t>
  </si>
  <si>
    <t>lipopolysaccharide core region metabolic process</t>
  </si>
  <si>
    <t>TraesCS7A01G338900;TraesCS7D01G346100</t>
  </si>
  <si>
    <t>pheophytinase activity</t>
  </si>
  <si>
    <t>negative regulation of seed germination</t>
  </si>
  <si>
    <t>TraesCS6A01G116000;TraesCS6D01G104800</t>
  </si>
  <si>
    <t>dolichyl monophosphate biosynthetic process</t>
  </si>
  <si>
    <t>dolichol kinase activity</t>
  </si>
  <si>
    <t>isocitrate hydro-lyase (cis-aconitate-forming) activity</t>
  </si>
  <si>
    <t>positive regulation of camalexin biosynthetic process</t>
  </si>
  <si>
    <t>regulation of camalexin biosynthetic process</t>
  </si>
  <si>
    <t>positive regulation of phytoalexin biosynthetic process</t>
  </si>
  <si>
    <t>positive regulation of phytoalexin metabolic process</t>
  </si>
  <si>
    <t>regulation of phytoalexin biosynthetic process</t>
  </si>
  <si>
    <t>regulation of phytoalexin metabolic process</t>
  </si>
  <si>
    <t>positive regulation of sulfur metabolic process</t>
  </si>
  <si>
    <t>positive regulation of defense response to insect</t>
  </si>
  <si>
    <t>regulation of defense response to insect</t>
  </si>
  <si>
    <t>positive regulation of salicylic acid mediated signaling pathway</t>
  </si>
  <si>
    <t>cellular response to trehalose stimulus</t>
  </si>
  <si>
    <t>response to trehalose</t>
  </si>
  <si>
    <t>TraesCS4A01G066200;TraesCS4D01G243100</t>
  </si>
  <si>
    <t>high-affinity hydrogen:glucose symporter activity</t>
  </si>
  <si>
    <t>hydrogen:glucose symporter activity</t>
  </si>
  <si>
    <t>hexose:proton symporter activity</t>
  </si>
  <si>
    <t>glucose transmembrane transporter activity</t>
  </si>
  <si>
    <t>TraesCS3B01G093300;TraesCS5B01G142100</t>
  </si>
  <si>
    <t>fruit ripening</t>
  </si>
  <si>
    <t>TraesCS2B01G605800;TraesCS2D01G598500</t>
  </si>
  <si>
    <t>oxalate-CoA ligase activity</t>
  </si>
  <si>
    <t>oxalate catabolic process</t>
  </si>
  <si>
    <t>oxalate metabolic process</t>
  </si>
  <si>
    <t>plant ovule morphogenesis</t>
  </si>
  <si>
    <t>seed morphogenesis</t>
  </si>
  <si>
    <t>TraesCS2A01G553500;TraesCS2B01G585100</t>
  </si>
  <si>
    <t>negative regulation of apoptotic process</t>
  </si>
  <si>
    <t>regulation of apoptotic process</t>
  </si>
  <si>
    <t>TraesCS2A01G386000;TraesCS2D01G382500</t>
  </si>
  <si>
    <t>sulfate adenylyltransferase (ADP) activity</t>
  </si>
  <si>
    <t>TraesCS2A01G080000;TraesCS2D01G077300</t>
  </si>
  <si>
    <t>negative regulation of plant-type hypersensitive response</t>
  </si>
  <si>
    <t>TraesCS4A01G232600;TraesCS2D01G555000;TraesCS5B01G430100;TraesCS2D01G248700;TraesCS1D01G220000;TraesCS5A01G059400;TraesCS2B01G585100;TraesCS3D01G266400;TraesCS7B01G214900;TraesCS7D01G311200;TraesCS5A01G182400;TraesCS4D01G054300;TraesCS3B01G268800;TraesCS2A01G553500;TraesCS5A01G428000;TraesCS6A01G353700;TraesCS4B01G097000;TraesCS6A01G080600;TraesCS6B01G108100;TraesCS4B01G062800;TraesCS1D01G106000;TraesCS3D01G240900;TraesCS2B01G339600;TraesCS6D01G195900;TraesCS1D01G414700;TraesCS1B01G285500;TraesCS1B01G231900;TraesCS5D01G436000;TraesCS4B01G335100;TraesCS4A01G218200;TraesCS5D01G070900;TraesCS6D01G074300;TraesCS5D01G436200;TraesCS4A01G251600;TraesCS3A01G266300;TraesCS6A01G211400;TraesCS5B01G180400;TraesCS5A01G505000;TraesCS4D01G093300</t>
  </si>
  <si>
    <t>TraesCS5B01G380400;TraesCS2A01G155500;TraesCS6B01G238900;TraesCS7D01G146400;TraesCS4D01G312300;TraesCS5D01G386800;TraesCS2B01G180500</t>
  </si>
  <si>
    <t>protein serine/threonine/tyrosine kinase activity</t>
  </si>
  <si>
    <t>TraesCS7D01G412000;TraesCS1A01G215500;TraesCS6D01G334000;TraesCS3D01G289100;TraesCS3A01G289300;TraesCS7A01G419200;TraesCS6A01G351300;TraesCS1B01G224300;TraesCS1A01G210400;TraesCS2D01G168200;TraesCS6B01G384500;TraesCS6D01G344600;TraesCS6A01G361100;TraesCS1D01G213700</t>
  </si>
  <si>
    <t>TraesCS4B01G083200;TraesCS2B01G121200;TraesCS7A01G333700;TraesCS4A01G232600;TraesCS6A01G119100;TraesCS2A01G474500;TraesCS3B01G356600;TraesCS4D01G064800;TraesCS2B01G498100;TraesCS3D01G042600;TraesCS6D01G102100;TraesCS3A01G191100;TraesCS3A01G327200;TraesCS4D01G081300;TraesCS6D01G109000;TraesCS3D01G320600;TraesCS6B01G147200;TraesCS6D01G105000;TraesCS4A01G248900;TraesCS3B01G046800;TraesCS3A01G037100;TraesCS4B01G065700;TraesCS7D01G341300;TraesCS6B01G141000</t>
  </si>
  <si>
    <t>TraesCS2B01G174500;TraesCS5D01G207400;TraesCS5B01G307300;TraesCS5D01G244800;TraesCS5B01G200000;TraesCS5A01G237900</t>
  </si>
  <si>
    <t>response to cyclopentenone</t>
  </si>
  <si>
    <t>TraesCS2B01G530300;TraesCS5B01G097600;TraesCS1D01G108300;TraesCS6D01G252900;TraesCS6A01G272900;TraesCS5D01G104200</t>
  </si>
  <si>
    <t>response to molecule of fungal origin</t>
  </si>
  <si>
    <t>TraesCS3A01G288800;TraesCS3D01G288600;TraesCS5A01G366700;TraesCS5A01G229700;TraesCS5D01G237800;TraesCS3B01G532300;TraesCS5B01G228500;TraesCS6B01G231800;TraesCS6D01G226700;TraesCS3A01G217200;TraesCS2A01G305900;TraesCS6A01G244400;TraesCS5B01G079100;TraesCS6B01G280000;TraesCS5A01G073000;TraesCS5D01G031800;TraesCS3B01G323500;TraesCS7D01G452600;TraesCS2D01G304300;TraesCS3B01G247500;TraesCS5D01G085800;TraesCS4A01G110200;TraesCS5A01G025400</t>
  </si>
  <si>
    <t>anion transmembrane transport</t>
  </si>
  <si>
    <t>TraesCS7D01G010000;TraesCS2B01G403000;TraesCS2A01G386100;TraesCS4A01G124800;TraesCS4A01G484800;TraesCS2D01G382600;TraesCS4D01G136800;TraesCS4A01G175900;TraesCS4B01G356800;TraesCS7A01G010200;TraesCS4A01G175800</t>
  </si>
  <si>
    <t>TraesCS3A01G452400;TraesCS4A01G046700;TraesCS6D01G361500;TraesCS4D01G258000;TraesCS3D01G445000;TraesCS1B01G048300;TraesCS5B01G468400;TraesCS3B01G489700;TraesCS6B01G414100;TraesCS6A01G376300;TraesCS3D01G432600;TraesCS1B01G048500;TraesCS1A01G043900;TraesCS1D01G039500;TraesCS3D01G444900;TraesCS3A01G439800;TraesCS1B01G056900;TraesCS2A01G389900;TraesCS2B01G189300;TraesCS1D01G044300;TraesCS6A01G305000;TraesCS6D01G284200</t>
  </si>
  <si>
    <t>TraesCS5A01G131300;TraesCS6D01G225800;TraesCS5B01G133500;TraesCS5D01G139800</t>
  </si>
  <si>
    <t>TraesCS4D01G064000;TraesCS4A01G110200;TraesCS4A01G249600;TraesCS4B01G065100</t>
  </si>
  <si>
    <t>dicarboxylic acid transmembrane transporter activity</t>
  </si>
  <si>
    <t>TraesCS3D01G272100;TraesCS3B01G306200;TraesCS4B01G100100;TraesCS4D01G096400</t>
  </si>
  <si>
    <t>regulation of salicylic acid metabolic process</t>
  </si>
  <si>
    <t>TraesCS4B01G143500;TraesCS3D01G467600;TraesCS3A01G471900;TraesCS4D01G142000</t>
  </si>
  <si>
    <t>xylan catabolic process</t>
  </si>
  <si>
    <t>TraesCS5B01G316300;TraesCS4B01G142700;TraesCS4D01G141000;TraesCS1B01G171400;TraesCS1D01G152000;TraesCS2B01G393000;TraesCS4A01G174700;TraesCS3A01G337500;TraesCS1A01G153600</t>
  </si>
  <si>
    <t>endosome membrane</t>
  </si>
  <si>
    <t>endosomal part</t>
  </si>
  <si>
    <t>TraesCS2D01G538400;TraesCS3B01G490000;TraesCS5D01G359000;TraesCS6A01G419200;TraesCS6D01G358600;TraesCS7D01G092900;TraesCS3D01G042600;TraesCS1B01G454000;TraesCS6D01G102100;TraesCS3B01G295000;TraesCS7B01G229300;TraesCS7B01G473700;TraesCS1B01G375100;TraesCS3B01G455000;TraesCS4A01G252900;TraesCS7A01G188600;TraesCS2B01G359300;TraesCS4D01G207500;TraesCS6A01G124500;TraesCS7B01G445000;TraesCS7A01G163300;TraesCS6B01G052400;TraesCS1A01G217300;TraesCS5A01G253200;TraesCS5D01G314100;TraesCS2B01G236800;TraesCS4D01G210900;TraesCS3D01G072000;TraesCS5A01G469000;TraesCS6B01G222200;TraesCS7A01G528200;TraesCS6A01G319600;TraesCS7D01G318600;TraesCS5D01G148900;TraesCS2D01G079200;TraesCS2A01G190200;TraesCS2A01G417200;TraesCS7A01G476700;TraesCS3A01G138300;TraesCS3A01G276200;TraesCS6D01G291800;TraesCS3D01G049000;TraesCS5B01G494500;TraesCS3A01G033000;TraesCS4B01G088700;TraesCS6D01G360900;TraesCS2A01G456600;TraesCS3A01G342000;TraesCS2D01G219800;TraesCS5B01G182000;TraesCS6B01G225700;TraesCS4D01G366100;TraesCS5D01G204700;TraesCS1A01G182100;TraesCS3D01G340500;TraesCS5B01G526200;TraesCS6A01G052100;TraesCS4B01G376800;TraesCS1A01G206200;TraesCS5A01G350800;TraesCS2A01G170600;TraesCS2D01G255700;TraesCS7A01G130600;TraesCS2D01G297300;TraesCS1D01G119500;TraesCS4B01G054900;TraesCS2A01G316500;TraesCS1A01G367200;TraesCS5B01G101200;TraesCS2A01G182800;TraesCS2A01G216700;TraesCS6B01G398500;TraesCS7B01G187600;TraesCS2A01G537900;TraesCS3B01G305100;TraesCS1A01G045300;TraesCS7D01G444700;TraesCS1A01G370600;TraesCS1D01G221000;TraesCS5A01G402100;TraesCS2B01G477600;TraesCS7A01G287100;TraesCS1D01G074500;TraesCS7B01G047300;TraesCS2A01G157400;TraesCS4B01G077600;TraesCS3D01G467600;TraesCS4B01G210100;TraesCS3D01G270300;TraesCS3A01G274000;TraesCS3A01G163300;TraesCS5B01G371800;TraesCS2B01G151100;TraesCS3D01G316400;TraesCS6D01G198600;TraesCS1D01G100900;TraesCS6A01G238500;TraesCS1A01G184500;TraesCS3A01G344400;TraesCS3A01G048700;TraesCS1B01G385100;TraesCS4A01G213500;TraesCS7D01G118100;TraesCS6A01G119100;TraesCS4A01G089700;TraesCS2B01G182900;TraesCS2B01G478700;TraesCS1D01G363500;TraesCS3A01G034300;TraesCS4B01G238700;TraesCS5D01G328300;TraesCS6D01G289700;TraesCS6A01G078700;TraesCS1D01G207100;TraesCS3B01G113500;TraesCS2B01G454500;TraesCS4A01G050000;TraesCS2B01G118500;TraesCSU01G020500;TraesCS6D01G199500;TraesCS2D01G000300;TraesCS6B01G300000;TraesCS2D01G537100;TraesCSU01G169600;TraesCS5D01G387900;TraesCS5D01G232100;TraesCS2A01G040300;TraesCS2A01G302300;TraesCS5A01G216000;TraesCS2A01G204500;TraesCS2D01G449900;TraesCS5B01G146100;TraesCS2D01G426600;TraesCS3D01G039400;TraesCS7B01G356500;TraesCS1A01G106600;TraesCS6D01G137400;TraesCS4B01G268100;TraesCS5D01G524800;TraesCS3B01G049700;TraesCS3B01G196900;TraesCS3D01G260300;TraesCS5B01G415700;TraesCS5A01G197200;TraesCS7D01G334900;TraesCS4A01G062000;TraesCS1D01G249600;TraesCS4A01G160700;TraesCS7B01G415400;TraesCS2B01G180500;TraesCS3D01G008700;TraesCS6A01G377700;TraesCS1D01G186100;TraesCS2B01G542300;TraesCS3D01G246000;TraesCS2D01G192000;TraesCS6A01G000500;TraesCS1B01G461600;TraesCS2D01G529500;TraesCS3B01G346500;TraesCS2B01G437300;TraesCS4B01G106000;TraesCS5B01G526000;TraesCS7A01G427100;TraesCS7D01G087100;TraesCS3D01G030600;TraesCS4D01G035300;TraesCS5A01G152300;TraesCS2B01G097300;TraesCS4B01G047100;TraesCS1A01G367000;TraesCS1D01G046000;TraesCS5A01G322300;TraesCS5D01G320800;TraesCS2A01G216500;TraesCS7D01G165300;TraesCS3A01G045200;TraesCS7B01G183200;TraesCS5B01G141900;TraesCS2A01G323000;TraesCS7B01G129500;TraesCS2D01G415700;TraesCS5D01G181500;TraesCS6A01G225400;TraesCS7D01G113900;TraesCS2A01G418300;TraesCS7B01G194100;TraesCS1B01G162400;TraesCS7A01G455800;TraesCS7B01G299200;TraesCS3A01G310400;TraesCS1D01G146900;TraesCS5B01G184600;TraesCS6D01G211900;TraesCS3A01G245500;TraesCS6D01G087700;TraesCS1D01G163400;TraesCS1D01G218200;TraesCS2D01G097700;TraesCS7D01G392800;TraesCS7A01G435300;TraesCS5D01G328100;TraesCS2B01G537800;TraesCS2D01G223000;TraesCS3A01G272900;TraesCS3B01G289400;TraesCS5A01G481300;TraesCS6D01G157900;TraesCS2B01G053300;TraesCS3B01G394600;TraesCS7D01G052600;TraesCS2D01G349000;TraesCS5A01G341000;TraesCS7A01G031700;TraesCS2D01G163300;TraesCS2D01G232400;TraesCS2D01G364400;TraesCS3A01G152200;TraesCS5B01G307600;TraesCS7A01G194900;TraesCS2D01G216700;TraesCS3D01G104100;TraesCS1A01G221400;TraesCS2D01G409400;TraesCS6A01G273100;TraesCS7B01G290200;TraesCS2D01G317400;TraesCS1D01G209500;TraesCS1B01G088500;TraesCS1B01G384900;TraesCS2A01G525300;TraesCS3D01G137000;TraesCS2D01G445500;TraesCS3D01G245500;TraesCS3B01G307700;TraesCS1B01G091900;TraesCS6B01G051700;TraesCS2D01G537700;TraesCS6D01G154400;TraesCS7D01G495700;TraesCS4A01G414700;TraesCS1B01G129800;TraesCS5D01G424600;TraesCS5D01G390700;TraesCS5A01G468300;TraesCS4D01G261400;TraesCS3A01G256200;TraesCS5A01G401400;TraesCS5A01G180800;TraesCS5B01G492700;TraesCS5D01G208900;TraesCS2B01G535400;TraesCS5D01G365300;TraesCS5B01G501300;TraesCS2B01G242200;TraesCS6A01G262200;TraesCS7D01G324900;TraesCS3B01G046800;TraesCS3D01G256400;TraesCS2B01G001400;TraesCS6A01G216100;TraesCS6B01G163100;TraesCS6B01G421400;TraesCS2B01G097100;TraesCS5D01G421100;TraesCS1A01G080500;TraesCS1A01G330500;TraesCS6B01G375400;TraesCS3A01G290300;TraesCS7B01G309900;TraesCS2B01G536500;TraesCS6D01G122100;TraesCS1D01G185200;TraesCS7A01G264400;TraesCS1D01G372600;TraesCS5A01G294600;TraesCSU01G111800;TraesCS7A01G369500;TraesCS5D01G063800;TraesCS6B01G204600;TraesCS2B01G096000;TraesCS2A01G189600;TraesCS5B01G538800;TraesCS2A01G479500;TraesCS6B01G412500;TraesCS7D01G248200;TraesCS2B01G229000;TraesCS3A01G094600;TraesCS2B01G124100;TraesCS1A01G304200;TraesCS7B01G107300;TraesCS1D01G218000;TraesCS5D01G098900;TraesCS6A01G312600;TraesCS5B01G117200;TraesCS5A01G424300;TraesCS7B01G069100;TraesCS2A01G433500;TraesCS2A01G493800;TraesCS2A01G458800;TraesCS6A01G155200;TraesCS3A01G309800;TraesCS5A01G297900;TraesCS3D01G290100;TraesCS3B01G153800;TraesCS3A01G261800;TraesCS4A01G029800;TraesCS5B01G384500;TraesCS7B01G395000;TraesCS1D01G219100;TraesCS7D01G052400;TraesCS7A01G528000;TraesCS1D01G223600;TraesCSU01G238700;TraesCS3A01G224400;TraesCS1B01G376000;TraesCS2B01G304800;TraesCS6B01G340300;TraesCS4B01G346100;TraesCS7A01G242800;TraesCS2D01G491600;TraesCS3B01G291900;TraesCS3A01G040800;TraesCS1D01G236900;TraesCS4D01G059300;TraesCS4D01G229900;TraesCS5D01G040500;TraesCS7D01G412000;TraesCS6A01G226100;TraesCS2A01G211200;TraesCS1D01G140300;TraesCS4B01G315400;TraesCS2A01G431100;TraesCS5A01G426500;TraesCS2A01G040900;TraesCS5B01G313000;TraesCS1A01G095800;TraesCS5B01G095900;TraesCS4D01G004400;TraesCS6A01G199000;TraesCS4B01G201600;TraesCS5A01G205500;TraesCS4A01G176200;TraesCS3D01G261800;TraesCS5B01G204900;TraesCS7D01G146400;TraesCS3A01G362200;TraesCS1D01G372400;TraesCS6A01G264800;TraesCS6B01G256200;TraesCS2D01G117200;TraesCS5D01G333700;TraesCS3B01G473100;TraesCS5B01G215900;TraesCS5B01G538600;TraesCS2B01G394700;TraesCS1A01G377900;TraesCS7D01G086900;TraesCS2B01G208900;TraesCS2A01G343100;TraesCS6A01G177700;TraesCS7D01G449500;TraesCS6A01G241000;TraesCS2B01G363000;TraesCS2D01G582800;TraesCS1B01G326600;TraesCS7B01G327400;TraesCS2D01G144500;TraesCS3B01G371200;TraesCS7A01G264800;TraesCS6B01G471400;TraesCS1B01G167700;TraesCS3B01G600300;TraesCS5D01G183100;TraesCS5D01G332200;TraesCS1D01G082600;TraesCS3B01G176200;TraesCS3B01G042700;TraesCS7B01G225500;TraesCS2A01G538200;TraesCS5D01G475900;TraesCS7A01G249400;TraesCS7D01G356200;TraesCS5D01G205100;TraesCS7D01G085800;TraesCS4A01G130600;TraesCS6A01G336600;TraesCS6B01G415700;TraesCS6A01G378000;TraesCS7A01G419200;TraesCS2D01G222300;TraesCS4D01G340500;TraesCS2A01G199700;TraesCS6D01G319900;TraesCS7B01G100600;TraesCS7A01G001900;TraesCS2B01G480300;TraesCS2D01G464400;TraesCS6A01G406700;TraesCS7D01G000200;TraesCS1A01G016100;TraesCS1A01G203700;TraesCS1D01G364000;TraesCS5D01G358600;TraesCS4B01G162700;TraesCS5D01G048600;TraesCS6D01G248500;TraesCS1D01G381800;TraesCS3B01G156600;TraesCS4A01G001300;TraesCS3A01G377700;TraesCS6B01G412400;TraesCS2A01G320200;TraesCS1A01G077500;TraesCS5B01G165100;TraesCS2A01G458100;TraesCS2D01G509300;TraesCS4A01G010000;TraesCS4A01G255400;TraesCS4D01G326400;TraesCS6D01G257000;TraesCS4D01G238900;TraesCS6D01G407400;TraesCS1A01G361100;TraesCS4D01G293200;TraesCS2D01G463100;TraesCS5A01G078400;TraesCS7D01G024200;TraesCS2A01G509900;TraesCS1B01G119600;TraesCS2B01G324900;TraesCS1A01G273600;TraesCS7A01G213000;TraesCS6A01G258900;TraesCS7D01G335500;TraesCS6B01G413500;TraesCS6D01G359100;TraesCS2A01G371600;TraesCS7D01G516100;TraesCS3D01G435400;TraesCS7A01G282200;TraesCS6D01G180400;TraesCS3A01G477300;TraesCS3D01G049700;TraesCS5D01G519800;TraesCS6B01G300500;TraesCS1B01G210500;TraesCS3D01G335700;TraesCS4B01G287300;TraesCS5A01G429000;TraesCS6D01G217800;TraesCS4A01G219500;TraesCS6D01G110400;TraesCS7A01G091400;TraesCS1B01G269600;TraesCS7D01G197300;TraesCS5A01G027000;TraesCS7A01G120000;TraesCS1B01G198000;TraesCS3B01G119600;TraesCS7D01G189700;TraesCS1A01G300000;TraesCS2A01G106500;TraesCS1A01G079700;TraesCS2D01G223600;TraesCS2D01G485300;TraesCS7D01G506300;TraesCS1D01G299400;TraesCS6B01G193200;TraesCS1B01G234700;TraesCS5A01G182400;TraesCS6D01G056600;TraesCS4B01G345400;TraesCS2A01G083300;TraesCS5A01G376700;TraesCS1A01G342600;TraesCS5B01G214500;TraesCS6B01G255500;TraesCS1B01G347100;TraesCS6D01G210100;TraesCS3B01G325100;TraesCS5B01G428400;TraesCS7D01G303700;TraesCS1D01G327000;TraesCS5D01G059300;TraesCS4A01G396700;TraesCS5D01G261000;TraesCS3D01G401200;TraesCS7B01G372400;TraesCS7D01G085600;TraesCS2B01G196400;TraesCS2D01G107100;TraesCSU01G016900;TraesCS4B01G299700;TraesCS5B01G326500;TraesCS1D01G372900;TraesCS2B01G308200;TraesCS2D01G455900;TraesCS2D01G577000;TraesCS3A01G064400;TraesCS4D01G126900;TraesCS3B01G166600;TraesCS3B01G441600;TraesCS4A01G248900;TraesCS3B01G288100;TraesCS5D01G188600;TraesCS7A01G365600;TraesCS2D01G296700;TraesCS7D01G300200;TraesCS3B01G156800;TraesCS1A01G048100;TraesCS6B01G246800;TraesCS7A01G223000;TraesCS1B01G232300;TraesCS2D01G431500;TraesCS3A01G122300;TraesCS5B01G327800;TraesCS6A01G190700;TraesCS7B01G101500;TraesCS3A01G254900;TraesCS3D01G172200;TraesCS6D01G105000;TraesCS3B01G004600;TraesCS3D01G332400;TraesCSU01G047400;TraesCS2D01G314400;TraesCS7D01G265400;TraesCS2B01G109000;TraesCS5D01G185300;TraesCS5D01G288100;TraesCS4A01G323500;TraesCS4D01G352700;TraesCS2D01G513600;TraesCS2A01G201800;TraesCS1D01G384900;TraesCS4D01G098600;TraesCS3A01G477500;TraesCS3D01G345700;TraesCS1A01G080700;TraesCS6A01G277600;TraesCS1A01G215500;TraesCS2B01G035300;TraesCS5B01G026200;TraesCS6B01G291800;TraesCS1D01G076200;TraesCS5B01G208300;TraesCS6B01G289500;TraesCS6D01G110600;TraesCS6B01G152700;TraesCS7A01G321600;TraesCS7D01G451300;TraesCS6A01G301300;TraesCS7D01G029700;TraesCS4A01G322400;TraesCS6B01G059800;TraesCS7D01G325500;TraesCS6D01G158300;TraesCS7B01G115900;TraesCS3D01G287800;TraesCS4B01G007300;TraesCS4D01G089300;TraesCS5A01G090100;TraesCS3D01G472200;TraesCS1D01G398400;TraesCS7A01G328600;TraesCS3D01G138900;TraesCS6A01G245200;TraesCS5B01G373000;TraesCS5B01G520600;TraesCS5D01G346200;TraesCS1A01G086600;TraesCS4D01G136500;TraesCS2B01G047300;TraesCS5B01G474500;TraesCS1A01G296300;TraesCS2B01G240800;TraesCS1D01G239700;TraesCS6A01G327500;TraesCS2D01G148700;TraesCS1D01G082200;TraesCS7B01G301400;TraesCS5A01G198800;TraesCS7D01G201600;TraesCS7D01G463300;TraesCS1D01G032600;TraesCS5B01G078500;TraesCS7B01G259000;TraesCS2D01G222700;TraesCS2D01G564300;TraesCS5A01G152800;TraesCS4B01G171600;TraesCS7A01G306800;TraesCS4A01G384500;TraesCS7D01G224700;TraesCS6A01G375800;TraesCS3B01G156200;TraesCS3D01G272300;TraesCS2D01G528200;TraesCS1B01G109400;TraesCS7B01G249200;TraesCS2B01G241900;TraesCS4B01G132000;TraesCS5B01G406800;TraesCS6D01G328800;TraesCS1A01G389500;TraesCS4B01G216700;TraesCS6D01G335300;TraesCS2A01G324400;TraesCS7D01G357100;TraesCS6D01G299000;TraesCS5B01G056700;TraesCS1A01G073300;TraesCS1B01G385200;TraesCS6A01G243000;TraesCS7B01G008400;TraesCS5A01G398900;TraesCS4B01G055600;TraesCS1B01G251700;TraesCS7A01G131300;TraesCS3A01G439200;TraesCS7D01G372500;TraesCS1B01G375400;TraesCS5A01G513200;TraesCS3B01G352300;TraesCS7D01G368000;TraesCS2B01G539200;TraesCS2A01G488800;TraesCS4D01G180200;TraesCS4D01G312400;TraesCS6A01G258500;TraesCS6D01G243000;TraesCS2B01G315100;TraesCS7A01G423900;TraesCS2A01G182400;TraesCS2A01G339900;TraesCS4A01G071800;TraesCS4B01G083200;TraesCS4B01G228700;TraesCS1A01G112500;TraesCS2B01G198400;TraesCS2B01G320700;TraesCS1B01G157700;TraesCS2A01G101400;TraesCS3D01G542300;TraesCS2B01G169700;TraesCS1A01G248200;TraesCS2D01G098200;TraesCS6B01G069800;TraesCS5A01G138500;TraesCS1D01G314800;TraesCS5A01G222300;TraesCS2A01G150600;TraesCS7A01G537200;TraesCS5A01G080300;TraesCS4A01G171500;TraesCS5A01G048600;TraesCS2A01G401000;TraesCS7D01G474200;TraesCS4A01G211600;TraesCS3D01G262300;TraesCS5D01G212900;TraesCS7A01G384500;TraesCS6D01G362500;TraesCS7B01G025800;TraesCS7D01G015500;TraesCS3A01G124100;TraesCS6A01G148100;TraesCS7A01G267200;TraesCS7D01G353800;TraesCS3A01G191100;TraesCS6D01G316600;TraesCS7A01G118300;TraesCS3D01G273200;TraesCS2A01G117800;TraesCS2D01G190200;TraesCS5D01G158100;TraesCS5D01G223800;TraesCS6A01G266100;TraesCS1B01G398700;TraesCS6A01G080500;TraesCS1D01G199000;TraesCS3A01G338800;TraesCS2A01G209900;TraesCS5A01G173300;TraesCS6A01G120600;TraesCS5A01G196400;TraesCS7D01G524300;TraesCS2A01G323300;TraesCS5A01G152600;TraesCS7D01G444400;TraesCS2A01G023900;TraesCS4D01G229100;TraesCS7D01G037700;TraesCS5A01G463100;TraesCS1D01G229700;TraesCS5D01G070900;TraesCS3A01G419600;TraesCS6D01G050900;TraesCS2B01G480500;TraesCS5A01G514500;TraesCS3B01G376300;TraesCS5A01G210300;TraesCS6D01G047500;TraesCS3D01G182600;TraesCS3D01G337900;TraesCS1B01G257200;TraesCS1D01G073100;TraesCS1D01G237100;TraesCS6D01G381200;TraesCS3B01G253900;TraesCS4D01G173700;TraesCS2D01G509500;TraesCS3B01G356700;TraesCS3B01G310500;TraesCS3B01G295500;TraesCS3D01G136300;TraesCS7D01G130600;TraesCS3A01G009400;TraesCS3B01G053800;TraesCS6A01G374700;TraesCS7D01G213600;TraesCS3B01G377600;TraesCS3A01G034600;TraesCS5B01G084100;TraesCS6D01G115200;TraesCS1A01G215100;TraesCS2D01G178100;TraesCS5B01G437300;TraesCS7D01G203800;TraesCS5A01G312000;TraesCSU01G150500;TraesCS6B01G190100;TraesCS4D01G325500;TraesCS4D01G254500;TraesCS4A01G126300;TraesCS7D01G048600;TraesCS7A01G091200;TraesCS3A01G276500;TraesCS7D01G128300;TraesCS2D01G459200;TraesCS3B01G374100;TraesCS1B01G095600;TraesCS1B01G204700;TraesCS3D01G238000;TraesCS2A01G428500;TraesCS1D01G295800;TraesCS2D01G286300;TraesCS3D01G535700;TraesCS7B01G325900;TraesCS4D01G175700;TraesCS3B01G356600;TraesCS3A01G493100;TraesCS5B01G482400;TraesCS7B01G105600;TraesCS7D01G390900;TraesCS2B01G197000;TraesCS4D01G081300;TraesCS6B01G305600;TraesCS7A01G127100;TraesCS3D01G250800;TraesCS5A01G217000;TraesCS6B01G285900;TraesCS7B01G370700;TraesCS5D01G397400;TraesCS3A01G097800;TraesCS5B01G082500;TraesCS5A01G366000;TraesCS3A01G255600;TraesCS7D01G136700;TraesCS2A01G418200;TraesCS2B01G198100;TraesCS6A01G225300;TraesCS7D01G113800;TraesCS2A01G455600;TraesCS5B01G151600;TraesCS7A01G405600;TraesCS2D01G231600;TraesCS2B01G243000;TraesCS5D01G375600;TraesCS6D01G240100;TraesCS3D01G339600;TraesCS6B01G420600;TraesCS6B01G141000;TraesCS3B01G194400;TraesCS5B01G358900;TraesCS2D01G217500;TraesCS6B01G370000;TraesCS5D01G478700;TraesCS5B01G203100;TraesCS1A01G358600;TraesCS1B01G198900;TraesCS2B01G407600;TraesCS3A01G199600;TraesCS1D01G111900;TraesCS2D01G507800;TraesCS5B01G138600;TraesCS1A01G228100;TraesCS5D01G374300;TraesCS2A01G503800;TraesCS1A01G424200;TraesCS2D01G033100;TraesCS7B01G093500;TraesCS2B01G449200;TraesCS2B01G489700;TraesCS5A01G062600;TraesCS1D01G199300;TraesCS3D01G078900;TraesCS2A01G214400;TraesCS2B01G236900;TraesCS3B01G279900;TraesCS3D01G183900;TraesCS6B01G006600;TraesCS6B01G293500;TraesCS7D01G419400;TraesCSU01G008300;TraesCS3B01G206500;TraesCS5B01G334700;TraesCS2D01G321400;TraesCS3B01G367500;TraesCS1B01G157300;TraesCS2D01G504300;TraesCS2A01G417300;TraesCS2B01G271700;TraesCS2D01G275400;TraesCS7A01G344100;TraesCS7B01G255500;TraesCS1D01G118300;TraesCS2A01G384100;TraesCS2D01G197600;TraesCS1D01G259700;TraesCS6A01G272500;TraesCS7B01G356400;TraesCS4A01G131000;TraesCS3A01G096500;TraesCS2D01G219900;TraesCS5B01G381500;TraesCS6B01G225800;TraesCS7B01G287100;TraesCS6A01G146200;TraesCS2B01G365900;TraesCS5D01G340300;TraesCS3D01G472000;TraesCS2B01G437200;TraesCS2D01G414500;TraesCS4D01G215200;TraesCS3D01G500800;TraesCS4D01G266400;TraesCS3D01G036000;TraesCS5B01G193200;TraesCS5A01G085900;TraesCS5B01G252100;TraesCS5D01G194700;TraesCS7D01G341300;TraesCS1A01G367100;TraesCS2D01G214200;TraesCS5B01G380400;TraesCS1D01G303700;TraesCS2D01G562200;TraesCS2B01G339600;TraesCS2A01G346000;TraesCS5B01G197800;TraesCS5A01G356400;TraesCS2D01G415600;TraesCS5D01G211300;TraesCS7D01G356800;TraesCS2B01G436100;TraesCS7A01G241200;TraesCS1D01G185100;TraesCS7D01G316100;TraesCS1D01G037200;TraesCS2B01G243200;TraesCS4B01G178600;TraesCS6B01G197000;TraesCS3B01G093300;TraesCS4B01G080900;TraesCS4D01G001200;TraesCS2D01G428900;TraesCS3D01G316700;TraesCS5A01G369500;TraesCS1A01G219400;TraesCS3B01G158300;TraesCS2B01G430800;TraesCS4A01G110100;TraesCS4B01G174000;TraesCS5A01G451400;TraesCS4B01G214600;TraesCS1B01G089100;TraesCS4B01G143500;TraesCS3D01G178300;TraesCS2A01G217700;TraesCS5B01G138400;TraesCS2A01G324200;TraesCS5A01G390300;TraesCS1B01G385000;TraesCS3B01G102300;TraesCS3D01G048000;TraesCS3B01G591000;TraesCS3D01G136700;TraesCS5A01G059400;TraesCS1B01G217500;TraesCS3A01G293900;TraesCS5B01G339100;TraesCS3D01G527900;TraesCS7D01G395100;TraesCS5B01G275200;TraesCS1A01G218100;TraesCS1D01G199500;TraesCS1D01G273800;TraesCS1B01G058600;TraesCS6D01G302500;TraesCS2A01G237300;TraesCS6A01G204600;TraesCS2D01G344700;TraesCS3B01G357500;TraesCS7D01G291100;TraesCS4B01G098200;TraesCS5A01G335500;TraesCS4B01G261800;TraesCS4B01G216800;TraesCS3A01G138200;TraesCS6A01G135100;TraesCS3D01G039300;TraesCSU01G021700;TraesCS4D01G055000;TraesCS6D01G360800;TraesCS7D01G124900;TraesCS3A01G256300;TraesCS3D01G046000;TraesCS4B01G141500;TraesCS2B01G210700;TraesCS4D01G064800;TraesCS2B01G535500;TraesCS5B01G201100;TraesCS2A01G288000;TraesCS5B01G321800;TraesCS6A01G132400;TraesCS1B01G241200;TraesCS3A01G471700;TraesCS7B01G179900;TraesCS3B01G155900;TraesCS3B01G306500;TraesCS3D01G256500;TraesCS1A01G141300;TraesCS6D01G367600;TraesCS2D01G567000;TraesCS2D01G572600;TraesCS5A01G307200;TraesCS2A01G446500;TraesCS4D01G096400;TraesCS5D01G225100;TraesCS1A01G080600;TraesCS2B01G532000;TraesCS2B01G536600;TraesCS2D01G315100;TraesCS5B01G191900;TraesCS1D01G372700;TraesCS3D01G139300;TraesCS3D01G320600;TraesCS6D01G145100;TraesCS6D01G220900;TraesCS1A01G259900;TraesCS5D01G434500;TraesCS3B01G240000;TraesCS2A01G304000;TraesCS3D01G467300;TraesCS2D01G493700;TraesCS4A01G100900;TraesCS3A01G408000;TraesCS2B01G174500;TraesCS7B01G031900;TraesCS3D01G212100;TraesCS4A01G207800;TraesCS2D01G458700;TraesCS5D01G499000;TraesCS5D01G482800;TraesCS7A01G470400;TraesCS5D01G216400;TraesCS3B01G409400;TraesCS6D01G109000;TraesCS7B01G272900;TraesCS5D01G357800;TraesCS2B01G114000;TraesCS7D01G028400;TraesCS2A01G255300;TraesCS3B01G304300;TraesCS2B01G189000;TraesCS6A01G124800;TraesCS7A01G299600;TraesCS2A01G155500;TraesCS5B01G223600;TraesCS7D01G295100;TraesCS2A01G512100;TraesCS3A01G345800;TraesCS5D01G089900;TraesCS1B01G229100;TraesCS1B01G182700;TraesCS6D01G363200;TraesCS4B01G098000;TraesCS1D01G072600;TraesCS3B01G141500;TraesCS4D01G239600;TraesCS7D01G243700;TraesCS5A01G076600;TraesCS2A01G141100;TraesCS7D01G321500;TraesCS3B01G370500;TraesCS5B01G236900;TraesCS1D01G114100;TraesCS5D01G157900;TraesCS7B01G333700;TraesCS7D01G380900;TraesCS3A01G037100;TraesCS3A01G050300;TraesCS3D01G104000;TraesCS7B01G356800;TraesCS5A01G321300;TraesCS5D01G531600;TraesCS6A01G310300;TraesCS2A01G211300;TraesCS3A01G176500;TraesCS2A01G198400;TraesCS1B01G230500;TraesCS1D01G130400;TraesCS6D01G039300;TraesCS5A01G206700;TraesCS1A01G245300;TraesCS7D01G261300;TraesCS3A01G471900;TraesCS5B01G197400;TraesCS7B01G015200;TraesCS4A01G226300;TraesCS7D01G041400;TraesCS3D01G355900;TraesCS1A01G070600;TraesCS1B01G314700;TraesCS2B01G112000;TraesCS7A01G427600;TraesCS1B01G310100;TraesCS5A01G437500;TraesCS2B01G175800;TraesCS6D01G122200;TraesCS7D01G417600;TraesCS1D01G133900;TraesCS5D01G329100;TraesCS3A01G049500;TraesCS1D01G372500;TraesCS2A01G081400;TraesCS2A01G101900;TraesCS3B01G038900;TraesCS5B01G244300;TraesCS6D01G135500;TraesCS6B01G256300;TraesCS5D01G092000;TraesCS3B01G208300;TraesCS7B01G247500;TraesCS4A01G102900;TraesCS5B01G188700;TraesCS6B01G328300;TraesCS7D01G248100;TraesCS3A01G101800;TraesCS3D01G359000;TraesCS3D01G048400;TraesCS7A01G376100;TraesCS6B01G238900;TraesCS6B01G385500;TraesCS2A01G144800;TraesCS2D01G100900;TraesCS6D01G191500;TraesCS3A01G261700;TraesCS3B01G289500;TraesCS4D01G094400;TraesCS7B01G261800;TraesCS4B01G203900;TraesCS2A01G233100;TraesCS4A01G094300;TraesCS6D01G307100;TraesCS1A01G305400;TraesCS2B01G452400;TraesCS1A01G215900;TraesCS2B01G511300;TraesCS5B01G458900;TraesCS1B01G210700;TraesCSU01G129000;TraesCS5A01G321500;TraesCS7A01G053400;TraesCS5D01G281200;TraesCS7B01G228900;TraesCS4D01G202300;TraesCS5A01G380900;TraesCS5D01G199800;TraesCS5D01G210800;TraesCS4B01G059700;TraesCS4B01G254700;TraesCS4D01G316500;TraesCS2D01G456900;TraesCS5D01G493200;TraesCS3A01G319800;TraesCS2A01G217200;TraesCS3A01G101700;TraesCS2D01G509400;TraesCS1D01G094700;TraesCS2A01G211900;TraesCS2A01G412200;TraesCS3D01G438800;TraesCS6D01G167300;TraesCS2D01G095000;TraesCS4D01G268100;TraesCS2D01G339600;TraesCS4B01G215100;TraesCS1D01G174700;TraesCS6D01G191400;TraesCS2D01G349400;TraesCS3D01G370800;TraesCS5A01G156200;TraesCS7B01G030400;TraesCS7B01G326200;TraesCS2B01G217500;TraesCS3D01G412400;TraesCS3A01G477400;TraesCS4D01G176000;TraesCS5A01G469800;TraesCS6B01G136100;TraesCS6B01G152800;TraesCS3D01G354100;TraesCS2D01G141100;TraesCS5B01G262900;TraesCS5B01G480900;TraesCS2B01G220900;TraesCS2B01G266900;TraesCS7A01G091500;TraesCS5B01G142100;TraesCS4A01G391100;TraesCS4A01G062800;TraesCS1D01G081400;TraesCS6A01G108800;TraesCS3A01G021600;TraesCS5A01G147500;TraesCS4A01G232600;TraesCS4A01G498700;TraesCS3D01G432000;TraesCS3A01G327200;TraesCS2B01G250100;TraesCS7A01G195800;TraesCS6D01G155100;TraesCS1A01G086100;TraesCS5D01G481200;TraesCS2D01G066900;TraesCS7B01G416100;TraesCS2A01G276400;TraesCS1D01G101300;TraesCS6D01G239700;TraesCS4B01G100100;TraesCS5D01G244800;TraesCS4D01G142000;TraesCS1D01G082500;TraesCS3A01G110400;TraesCS3A01G135700;TraesCS7A01G364200;TraesCS2A01G371700;TraesCS4D01G339400;TraesCS5A01G320600;TraesCS6B01G358800;TraesCS5D01G097900;TraesCS6D01G225300;TraesCS6D01G258200;TraesCS5A01G463000;TraesCS2A01G113100;TraesCS5B01G118200;TraesCS7B01G301100;TraesCS5D01G461600;TraesCS6B01G147200;TraesCS2D01G419700;TraesCS4D01G032900;TraesCS4A01G221700;TraesCS7D01G149300;TraesCS1A01G203600;TraesCS3B01G110500;TraesCS7B01G444800;TraesCS2B01G318100;TraesCS6D01G192500;TraesCS7A01G057800;TraesCS2A01G462700;TraesCS4A01G001400;TraesCS3B01G310000;TraesCS7D01G279900;TraesCS1A01G048000;TraesCS2D01G509200;TraesCS5A01G235300;TraesCS5B01G327700;TraesCS7B01G029200;TraesCS4A01G035400;TraesCS7D01G311200;TraesCS5D01G216300;TraesCS6A01G119900;TraesCS1B01G062200;TraesCS5A01G204800;TraesCS1A01G202300;TraesCS1B01G119700;TraesCSU01G051800;TraesCS1A01G103900;TraesCS2D01G201700;TraesCS3B01G514900;TraesCS1B01G268600;TraesCS5B01G176300;TraesCS6B01G257800;TraesCS3A01G351500;TraesCS2A01G201900;TraesCS2D01G534400;TraesCS6A01G168900;TraesCS2D01G198200;TraesCS1D01G344700;TraesCS2B01G419100;TraesCS5B01G202900;TraesCS3D01G045400;TraesCS1B01G229000;TraesCS2A01G096500;TraesCS6B01G266500;TraesCS1A01G215600;TraesCS7A01G400900;TraesCS4B01G228200;TraesCS4A01G309300;TraesCS7A01G434300;TraesCS5B01G042800;TraesCS5D01G343000;TraesCS4A01G216100;TraesCS1D01G330300;TraesCS2B01G100300;TraesCS2D01G398500;TraesCS5B01G208200;TraesCS2A01G308400;TraesCS6B01G152600;TraesCS5A01G183600;TraesCS7B01G316600;TraesCS7A01G344600;TraesCS7D01G516400;TraesCS2B01G220700;TraesCS2B01G323700;TraesCS3D01G094800;TraesCS6D01G158400;TraesCS3B01G119500;TraesCS2A01G102000;TraesCS7A01G328100;TraesCS2A01G507400;TraesCS2B01G067000;TraesCS2D01G485200;TraesCS5D01G073900;TraesCS7B01G214900;TraesCS7D01G394800;TraesCS1D01G079600;TraesCS3B01G589600;TraesCS7D01G001600;TraesCS5A01G351300;TraesCS5A01G326100;TraesCS1D01G101100;TraesCS3D01G256600;TraesCS5A01G479600;TraesCS5D01G152300;TraesCS5D01G177800;TraesCS7D01G345200;TraesCS1A01G235200;TraesCS2D01G511300;TraesCS3B01G151200;TraesCS5B01G187200;TraesCS5D01G475800;TraesCS2A01G098700;TraesCS3A01G209200;TraesCS7A01G333700;TraesCS6A01G166500;TraesCS1D01G372800;TraesCS1D01G206900;TraesCS4D01G126800;TraesCS2A01G046500;TraesCS5A01G377900;TraesCS7A01G212000;TraesCS4D01G194900;TraesCS1A01G203400;TraesCS7D01G053900;TraesCS1D01G305100;TraesCS3A01G406000;TraesCS4B01G216000;TraesCS2B01G557100;TraesCS2D01G273700;TraesCS1A01G333800;TraesCS5A01G237700;TraesCS4A01G267300;TraesCS3D01G276200;TraesCS6B01G183300;TraesCS5D01G145100;TraesCS2A01G217600;TraesCS5B01G415400;TraesCS2B01G166100;TraesCS1B01G385300;TraesCS2B01G216800;TraesCS1B01G456700;TraesCS5D01G369200;TraesCS1A01G145100;TraesCS1A01G149700;TraesCS2B01G114900;TraesCS5D01G078300;TraesCS1B01G134500;TraesCS4D01G172700;TraesCS4D01G312300;TraesCS7D01G496100;TraesCS2B01G135600;TraesCS1B01G283400;TraesCS3A01G530200;TraesCS3B01G229900;TraesCS1B01G120100;TraesCS2A01G214100;TraesCS5B01G460200;TraesCS2B01G498100;TraesCS2A01G545700;TraesCS3B01G384000;TraesCS6D01G032300;TraesCS5D01G408200;TraesCS5A01G138600;TraesCS3A01G463400;TraesCS5D01G304700;TraesCS2B01G436300;TraesCS7A01G110500;TraesCS1D01G223000;TraesCS5D01G373700;TraesCS2B01G562100;TraesCS1A01G031200;TraesCS3B01G439600;TraesCS2D01G459100;TraesCS5B01G236200;TraesCS7B01G222500;TraesCS2A01G347400;TraesCS3D01G472100;TraesCS3A01G262200;TraesCS2B01G204800;TraesCS2A01G368700;TraesCS5D01G386800;TraesCS7A01G118200;TraesCS1D01G228700;TraesCS5D01G034700;TraesCS1B01G270300;TraesCS2B01G521800;TraesCS7A01G096800;TraesCS6A01G209000;TraesCS5B01G069900;TraesCS2A01G083000;TraesCS2A01G532600;TraesCS2A01G389400;TraesCS6D01G210200;TraesCS1B01G377700;TraesCS7D01G236600;TraesCS1A01G235000;TraesCS1D01G367800;TraesCS2D01G343000;TraesCS4B01G085500;TraesCS2B01G121200;TraesCS1B01G235100;TraesCS5D01G093700;TraesCS4D01G046900;TraesCS6A01G116000;TraesCS7A01G154900;TraesCS4A01G186700;TraesCS5B01G074000;TraesCS4B01G239700;TraesCS1B01G248400;TraesCS2B01G480600;TraesCS2B01G241800;TraesCS7B01G207100;TraesCS1A01G259200;TraesCS2B01G467400;TraesCS3B01G110100;TraesCS6B01G367100;TraesCS1B01G097700;TraesCS3D01G201900;TraesCS5A01G237900;TraesCS3D01G182300;TraesCS1A01G302700;TraesCS2B01G504000;TraesCS5A01G235700;TraesCS6D01G253100;TraesCS2D01G284200;TraesCS5B01G056800;TraesCS2D01G380800;TraesCS2D01G207400;TraesCS6D01G222600;TraesCS4D01G087200;TraesCS2D01G580700;TraesCS5A01G160100;TraesCS7D01G223300;TraesCS2A01G195800;TraesCS3A01G521300;TraesCS3A01G034700;TraesCS2A01G458000;TraesCS3B01G004100;TraesCS4B01G041300;TraesCS7A01G423800;TraesCS6A01G363900;TraesCS2B01G366600;TraesCS2D01G285300;TraesCS7D01G423600;TraesCS2A01G474500;TraesCS3D01G097000;TraesCS1D01G259000;TraesCS2D01G392800;TraesCS7D01G268600;TraesCS7B01G141900;TraesCS3B01G154100;TraesCS5B01G366400;TraesCS4B01G214200;TraesCS3A01G136200;TraesCS7B01G297200;TraesCS1D01G104800;TraesCS7B01G222700;TraesCS6D01G280700;TraesCS1B01G316100;TraesCS2B01G101800;TraesCS3D01G262200;TraesCS4B01G294300;TraesCS5B01G075300;TraesCS3D01G046900;TraesCS7A01G395300;TraesCS3A01G323200;TraesCS4D01G054300;TraesCS7A01G129300;TraesCS2D01G574000;TraesCS2D01G062100;TraesCS4D01G217000;TraesCS5D01G158000;TraesCS7D01G129500;TraesCS4A01G417300;TraesCS6B01G337900;TraesCS2B01G594100;TraesCS3D01G124200;TraesCS1A01G221900;TraesCS2B01G364400;TraesCS3B01G042800;TraesCS2D01G348900;TraesCS7D01G444500;TraesCS6A01G223500;TraesCS1B01G305200;TraesCS1B01G248600;TraesCS6A01G352800;TraesCS7D01G457800;TraesCS3D01G276600;TraesCS6A01G375900;TraesCS4B01G132100;TraesCS5B01G064400;TraesCS1A01G016000;TraesCS5B01G087500;TraesCS3A01G245900;TraesCS2A01G485600;TraesCS7A01G325000;TraesCS1A01G295300;TraesCS4B01G065700;TraesCS5B01G180400;TraesCS6A01G165800;TraesCS2A01G298600;TraesCS1A01G182700;TraesCS2B01G201100;TraesCS7B01G220500;TraesCS1D01G087600;TraesCS7D01G386800</t>
  </si>
  <si>
    <t>TraesCS3D01G252800;TraesCS5B01G427600;TraesCS3A01G175000;TraesCS3D01G180500;TraesCS3B01G283800;TraesCS5B01G102700;TraesCS2D01G224100;TraesCS5D01G109500</t>
  </si>
  <si>
    <t>membrane fusion</t>
  </si>
  <si>
    <t>TraesCS6D01G083200;TraesCS6A01G216800;TraesCS2D01G301100;TraesCS3D01G502500;TraesCS6B01G127300;TraesCS6B01G246000;TraesCS2A01G302400;TraesCS6D01G198700</t>
  </si>
  <si>
    <t>TraesCS3A01G309800;TraesCS1B01G198000;TraesCS1A01G045300;TraesCS5B01G482400;TraesCS5D01G211300;TraesCS5D01G482800;TraesCS1A01G182700;TraesCS1D01G046000;TraesCS1B01G058600;TraesCS1D01G186100;TraesCS5A01G204800;TraesCS5A01G469800</t>
  </si>
  <si>
    <t>N-terminal protein amino acid modification</t>
  </si>
  <si>
    <t>TraesCS4D01G064000;TraesCS3B01G532300;TraesCS6D01G226700;TraesCS3A01G217200;TraesCS2A01G305900;TraesCS6A01G244400;TraesCS5B01G079100;TraesCS6B01G280000;TraesCS5A01G073000;TraesCS5D01G031800;TraesCS7D01G452600;TraesCS2D01G304300;TraesCS3B01G247500;TraesCS5D01G085800;TraesCS4A01G110200;TraesCS4A01G249600;TraesCS4B01G065100;TraesCS5A01G025400</t>
  </si>
  <si>
    <t>TraesCS5A01G137700;TraesCS5D01G154300;TraesCS5B01G136400</t>
  </si>
  <si>
    <t>hydroxymethylglutaryl-CoA lyase activity</t>
  </si>
  <si>
    <t>TraesCS4B01G237300;TraesCS2A01G384100;TraesCS2B01G208900;TraesCS4B01G100100;TraesCS2D01G392800;TraesCS1A01G295300;TraesCS3B01G156800;TraesCS4A01G216100;TraesCS4D01G238600;TraesCS6D01G039300;TraesCS4D01G096400</t>
  </si>
  <si>
    <t>regulation of cofactor metabolic process</t>
  </si>
  <si>
    <t>TraesCS2D01G286300;TraesCS4D01G175700;TraesCS2D01G169000;TraesCS4D01G068200;TraesCS1D01G075500;TraesCS6A01G201100;TraesCS7D01G182700;TraesCS1A01G370700;TraesCS7A01G096500;TraesCS3A01G269900;TraesCS2A01G270200;TraesCS2D01G104600;TraesCS4A01G193600;TraesCS4D01G207500;TraesCS1B01G126600;TraesCS1D01G106100;TraesCS5A01G469000;TraesCS6A01G319600;TraesCS5D01G148900;TraesCS2D01G079200;TraesCS2B01G289000;TraesCS2A01G417200;TraesCS2D01G231600;TraesCS2D01G332300;TraesCS5B01G494500;TraesCS6A01G326000;TraesCS7B01G423100;TraesCS4B01G002000;TraesCS3B01G412500;TraesCS3A01G281900;TraesCS2A01G456600;TraesCS5D01G279100;TraesCS3B01G129900;TraesCS6D01G358700;TraesCS2B01G407600;TraesCS5B01G124200;TraesCS6A01G235100;TraesCS2D01G146100;TraesCS1D01G119500;TraesCS7A01G511800;TraesCS1A01G072600;TraesCS2D01G425700;TraesCS2D01G104500;TraesCS3D01G078900;TraesCS2A01G214400;TraesCS3D01G183900;TraesCS6B01G350400;TraesCS7B01G187600;TraesCS1A01G370600;TraesCS3B01G367500;TraesCS1D01G221000;TraesCS5B01G481300;TraesCS2A01G417300;TraesCS2A01G424900;TraesCS4A01G131000;TraesCS2B01G448100;TraesCS3A01G149000;TraesCS5D01G042300;TraesCS2B01G478700;TraesCS2D01G414500;TraesCS4D01G358900;TraesCS4D01G266400;TraesCS5B01G193200;TraesCS2B01G118500;TraesCS5A01G085900;TraesCS1D01G376700;TraesCS2B01G339600;TraesCS3A01G404400;TraesCS5A01G440400;TraesCS2B01G436100;TraesCS2B01G167900;TraesCS4B01G178600;TraesCS2A01G204500;TraesCS7D01G409700;TraesCS4D01G267500;TraesCS3B01G093300;TraesCS4B01G080900;TraesCS4D01G001200;TraesCS3B01G353000;TraesCS4B01G268100;TraesCS1A01G219400;TraesCS4B01G174000;TraesCS5B01G117700;TraesCS5B01G415700;TraesCS5A01G390300;TraesCS2D01G414600;TraesCS1B01G308200;TraesCS7A01G508700;TraesCS2B01G542300;TraesCS1B01G461600;TraesCS4D01G119700;TraesCS5B01G275200;TraesCS1A01G218100;TraesCS5D01G320800;TraesCS6B01G108000;TraesCS1D01G376600;TraesCS6A01G120300;TraesCS5A01G232700;TraesCS4B01G121500;TraesCS5B01G141900;TraesCS2A01G323000;TraesCS5B01G410000;TraesCS3B01G357500;TraesCS5B01G265400;TraesCS1A01G370400;TraesCS4B01G098200;TraesCS7A01G327700;TraesCS5A01G314700;TraesCS4B01G235300;TraesCS7B01G299200;TraesCS2B01G436200;TraesCS6B01G263800;TraesCS5B01G444100;TraesCS5D01G245300;TraesCS6D01G087700;TraesCS4B01G141500;TraesCS7D01G392800;TraesCS2A01G288000;TraesCS5A01G481300;TraesCS3D01G329400;TraesCS7D01G052600;TraesCS2D01G567000;TraesCS5B01G478300;TraesCS3B01G379200;TraesCS4D01G096400;TraesCS6A01G145600;TraesCS3A01G513200;TraesCS3B01G141600;TraesCS4A01G128100;TraesCS3A01G271700;TraesCS2A01G304000;TraesCS3D01G245500;TraesCS3A01G413700;TraesCS6B01G149000;TraesCS6D01G154400;TraesCS3A01G408000;TraesCS1B01G129800;TraesCS3A01G323800;TraesCS5D01G390700;TraesCS5A01G468300;TraesCS6A01G333600;TraesCS5A01G180800;TraesCS3A01G289200;TraesCS6A01G240400;TraesCS7B01G272900;TraesCS7D01G052500;TraesCS4A01G396400;TraesCS7B01G162100;TraesCS6A01G145500;TraesCS7A01G299600;TraesCS5D01G421100;TraesCS5B01G223600;TraesCS7D01G295100;TraesCS6B01G375400;TraesCS3D01G399600;TraesCS5D01G481700;TraesCS1D01G072600;TraesCS3D01G269600;TraesCS4D01G239600;TraesCS2A01G459700;TraesCS3B01G324400;TraesCS5D01G111300;TraesCS3B01G410500;TraesCS7A01G369500;TraesCS5B01G236900;TraesCS5A01G271500;TraesCS5B01G104200;TraesCS2B01G096000;TraesCS2A01G189600;TraesCS5D01G447500;TraesCS2D01G431000;TraesCS3A01G176500;TraesCS6D01G312800;TraesCS7A01G343000;TraesCS7A01G096300;TraesCS5B01G271800;TraesCS5B01G384500;TraesCS4A01G396300;TraesCS2A01G514300;TraesCS5A01G104900;TraesCS7D01G052400;TraesCS1D01G223600;TraesCS2A01G081400;TraesCS2A01G101900;TraesCS2B01G304800;TraesCS4B01G346100;TraesCS5D01G092000;TraesCS3B01G208300;TraesCS5B01G362600;TraesCS3D01G408100;TraesCS5B01G108500;TraesCS1A01G350400;TraesCS7A01G416400;TraesCS3B01G255400;TraesCS3D01G317400;TraesCS1B01G326700;TraesCS3D01G289000;TraesCS7A01G376100;TraesCS5A01G143100;TraesCS5D01G273600;TraesCS5A01G112600;TraesCS1A01G401800;TraesCS5B01G313000;TraesCS1B01G274300;TraesCS1B01G304800;TraesCS6B01G238900;TraesCS5A01G238400;TraesCS5B01G095900;TraesCS2D01G100900;TraesCS3B01G568300;TraesCS4A01G396200;TraesCS4D01G094400;TraesCS1D01G292700;TraesCS4A01G098900;TraesCS4A01G176200;TraesCS5A01G400000;TraesCS3A01G413600;TraesCS3D01G408000;TraesCS4B01G069500;TraesCS5A01G380900;TraesCS5A01G124600;TraesCS2D01G456900;TraesCS3A01G109300;TraesCS5A01G258100;TraesCS7D01G508800;TraesCS1B01G326600;TraesCS5D01G518700;TraesCS4D01G268100;TraesCS3B01G371200;TraesCS3B01G375800;TraesCS7A01G264800;TraesCS1B01G243100;TraesCS5D01G183100;TraesCS2A01G427700;TraesCS3B01G176200;TraesCS3D01G370800;TraesCS4A01G130600;TraesCS5D01G232700;TraesCS2B01G217500;TraesCS4D01G176000;TraesCS7B01G364600;TraesCS3D01G354100;TraesCS5B01G480900;TraesCS2D01G464400;TraesCS6A01G406700;TraesCS7D01G000200;TraesCS3B01G270500;TraesCS5B01G142100;TraesCS3A01G167200;TraesCS4A01G062800;TraesCS4A01G001300;TraesCS3A01G377700;TraesCS6A01G108800;TraesCS4D01G236600;TraesCS3D01G296100;TraesCS5D01G481200;TraesCS6B01G364000;TraesCS6D01G239700;TraesCS4B01G100100;TraesCS5D01G244800;TraesCS3B01G448000;TraesCS2D01G211400;TraesCS5A01G251800;TraesCS7A01G270100;TraesCS3A01G343900;TraesCS4B01G173600;TraesCS5D01G097900;TraesCS5B01G118200;TraesCS4D01G178400;TraesCS5B01G257300;TraesCS6D01G074200;TraesCS6D01G217800;TraesCS6D01G110400;TraesCS7A01G057800;TraesCS3A01G379900;TraesCS5D01G205000;TraesCS4A01G001400;TraesCS3B01G314600;TraesCS7B01G434700;TraesCS2D01G269200;TraesCS4A01G035400;TraesCS3D01G289500;TraesCS6B01G193200;TraesCS4A01G129400;TraesCS4D01G177000;TraesCS5A01G395100;TraesCS3B01G199000;TraesCS5B01G315600;TraesCS3B01G448100;TraesCS5B01G176300;TraesCS2D01G198200;TraesCS3D01G401200;TraesCS3D01G238300;TraesCS5D01G450500;TraesCS4B01G299700;TraesCS4D01G105100;TraesCS4A01G216100;TraesCS3B01G441600;TraesCS3D01G173300;TraesCS3B01G330700;TraesCS7B01G316600;TraesCS4A01G059600;TraesCS1A01G314400;TraesCS7A01G365600;TraesCS3A01G111200;TraesCS3B01G156800;TraesCS1A01G421900;TraesCS5B01G236400;TraesCS7D01G497400;TraesCS1B01G232300;TraesCS2A01G102000;TraesCS2D01G515900;TraesCS2A01G433000;TraesCS7D01G336400;TraesCS2B01G116900;TraesCS3D01G227400;TraesCS5A01G265700;TraesCS5D01G185300;TraesCS6D01G134800;TraesCS2D01G339900;TraesCS2A01G201800;TraesCS7D01G345200;TraesCS7A01G306100;TraesCS7D01G526100;TraesCS3D01G341100;TraesCS5D01G232800;TraesCS7B01G160900;TraesCS1B01G453300;TraesCS6D01G110600;TraesCS3B01G303800;TraesCS7A01G509000;TraesCS3D01G281900;TraesCS4A01G219700;TraesCS3A01G406000;TraesCS5B01G415400;TraesCS5A01G090100;TraesCS1D01G398400;TraesCS4B01G108000;TraesCS7A01G328600;TraesCS7D01G283800;TraesCS7D01G092500;TraesCS6B01G284300;TraesCS4D01G136500;TraesCS2B01G454300;TraesCS2D01G414300;TraesCS5D01G487600;TraesCS1A01G298600;TraesCS4D01G312300;TraesCS5D01G116100;TraesCS5A01G475300;TraesCS2B01G135600;TraesCS1D01G376500;TraesCS7B01G259000;TraesCS7D01G171300;TraesCS5D01G129400;TraesCS1D01G429800;TraesCS2B01G436300;TraesCS7B01G249200;TraesCS3B01G439600;TraesCS7A01G518800;TraesCS1A01G389500;TraesCS6D01G299000;TraesCS7D01G092600;TraesCS5D01G071800;TraesCS5B01G224000;TraesCS7D01G110600;TraesCS7D01G372500;TraesCS6B01G148700;TraesCS2B01G187500;TraesCS2A01G389400;TraesCS4D01G180200;TraesCS6A01G258500;TraesCS2D01G387300;TraesCS4A01G071800;TraesCS1B01G235100;TraesCS2B01G320700;TraesCS7D01G201700;TraesCS1A01G263700;TraesCS2A01G101400;TraesCS1D01G263800;TraesCS6B01G451300;TraesCS5D01G266300;TraesCS4B01G239700;TraesCS5D01G321000;TraesCS1D01G314800;TraesCS2A01G391700;TraesCS2D01G386100;TraesCS2A01G388300;TraesCS5A01G237900;TraesCS5A01G080300;TraesCS7D01G497300;TraesCS4A01G171500;TraesCS1A01G302700;TraesCS3A01G289700;TraesCS5B01G564100;TraesCS3D01G157100;TraesCS7D01G353800;TraesCS6D01G222600;TraesCS7A01G116000;TraesCS5A01G468800;TraesCS3B01G130000;TraesCS6A01G394300;TraesCS5B01G067700;TraesCS6A01G080500;TraesCS3A01G078400;TraesCS3A01G336500;TraesCS7A01G423800;TraesCS3A01G242500;TraesCS6A01G120600;TraesCS4B01G228600;TraesCS2D01G285300;TraesCS3D01G431700;TraesCS7D01G501000;TraesCS1D01G265800;TraesCS1D01G314900;TraesCS5A01G411900;TraesCS2D01G051000;TraesCS5B01G075300;TraesCS3B01G310500;TraesCS7D01G092400;TraesCS3A01G229300;TraesCS1A01G221900;TraesCS3D01G372900;TraesCS5A01G312000;TraesCS3D01G242500;TraesCS3B01G273600;TraesCS4B01G205400;TraesCS4A01G126300;TraesCS3A01G347500;TraesCS3D01G276600;TraesCS3D01G113300;TraesCS3A01G276500;TraesCS6B01G173900;TraesCS1D01G429900;TraesCS5A01G411800;TraesCS3A01G245900;TraesCS6A01G165800</t>
  </si>
  <si>
    <t>TraesCS2D01G076900;TraesCS3B01G485900;TraesCS5B01G104500;TraesCS2A01G586100;TraesCS5D01G111500;TraesCS3A01G102200;TraesCS3D01G441900;TraesCS3D01G104500;TraesCS3B01G486100;TraesCS3D01G442100;TraesCS3A01G449400;TraesCS6A01G140800</t>
  </si>
  <si>
    <t>sulfur compound binding</t>
  </si>
  <si>
    <t>TraesCS2D01G286300;TraesCS4D01G175700;TraesCS2D01G169000;TraesCS4D01G068200;TraesCS1D01G075500;TraesCS6A01G201100;TraesCS7D01G182700;TraesCS1A01G370700;TraesCS7A01G096500;TraesCS3A01G269900;TraesCS2A01G270200;TraesCS2D01G104600;TraesCS4A01G193600;TraesCS4D01G207500;TraesCS1B01G126600;TraesCS1D01G106100;TraesCS5A01G469000;TraesCS6A01G319600;TraesCS5D01G148900;TraesCS2D01G079200;TraesCS2B01G289000;TraesCS2A01G417200;TraesCS2D01G231600;TraesCS2D01G332300;TraesCS5B01G494500;TraesCS6A01G326000;TraesCS7B01G423100;TraesCS4B01G002000;TraesCS3B01G412500;TraesCS3A01G281900;TraesCS2A01G456600;TraesCS5D01G279100;TraesCS3B01G129900;TraesCS6D01G358700;TraesCS2B01G407600;TraesCS5B01G124200;TraesCS6A01G235100;TraesCS2D01G146100;TraesCS1D01G119500;TraesCS7A01G511800;TraesCS1A01G072600;TraesCS2D01G425700;TraesCS2D01G104500;TraesCS3D01G078900;TraesCS2A01G214400;TraesCS3D01G183900;TraesCS6B01G350400;TraesCS7B01G187600;TraesCS1A01G370600;TraesCS3B01G367500;TraesCS1D01G221000;TraesCS5B01G481300;TraesCS2A01G417300;TraesCS2A01G424900;TraesCS4A01G131000;TraesCS2B01G448100;TraesCS3A01G149000;TraesCS5D01G042300;TraesCS2B01G478700;TraesCS2D01G414500;TraesCS4D01G358900;TraesCS4D01G266400;TraesCS5B01G193200;TraesCS2B01G118500;TraesCS5A01G085900;TraesCS1D01G376700;TraesCS2B01G339600;TraesCS3A01G404400;TraesCS5A01G440400;TraesCS2B01G436100;TraesCS2B01G167900;TraesCS4B01G178600;TraesCS2A01G204500;TraesCS7D01G409700;TraesCS4D01G267500;TraesCS3B01G093300;TraesCS4B01G080900;TraesCS4D01G001200;TraesCS3B01G353000;TraesCS4B01G268100;TraesCS1A01G219400;TraesCS4B01G174000;TraesCS5B01G117700;TraesCS5B01G415700;TraesCS5A01G390300;TraesCS2D01G414600;TraesCS1B01G308200;TraesCS7A01G508700;TraesCS2B01G542300;TraesCS1B01G461600;TraesCS4D01G119700;TraesCS5B01G275200;TraesCS1A01G218100;TraesCS5D01G320800;TraesCS6B01G108000;TraesCS1D01G376600;TraesCS6A01G120300;TraesCS5A01G232700;TraesCS4B01G121500;TraesCS5B01G141900;TraesCS2A01G323000;TraesCS5B01G410000;TraesCS3B01G357500;TraesCS5B01G265400;TraesCS1A01G370400;TraesCS4B01G098200;TraesCS7A01G327700;TraesCS5A01G314700;TraesCS4B01G235300;TraesCS7B01G299200;TraesCS2B01G436200;TraesCS6B01G263800;TraesCS5B01G444100;TraesCS5D01G245300;TraesCS6D01G087700;TraesCS4B01G141500;TraesCS7D01G392800;TraesCS2A01G288000;TraesCS5A01G481300;TraesCS3D01G329400;TraesCS7D01G052600;TraesCS2D01G567000;TraesCS5B01G478300;TraesCS3B01G379200;TraesCS4D01G096400;TraesCS6A01G145600;TraesCS3A01G513200;TraesCS4A01G128100;TraesCS3A01G271700;TraesCS2A01G304000;TraesCS3D01G245500;TraesCS3A01G413700;TraesCS6B01G149000;TraesCS6D01G154400;TraesCS3A01G408000;TraesCS1B01G129800;TraesCS3A01G323800;TraesCS5D01G390700;TraesCS5A01G468300;TraesCS6A01G333600;TraesCS5A01G180800;TraesCS3A01G289200;TraesCS6A01G240400;TraesCS7B01G272900;TraesCS7D01G052500;TraesCS4A01G396400;TraesCS7B01G162100;TraesCS6A01G145500;TraesCS7A01G299600;TraesCS5D01G421100;TraesCS5B01G223600;TraesCS7D01G295100;TraesCS6B01G375400;TraesCS3D01G399600;TraesCS5D01G481700;TraesCS1D01G072600;TraesCS3D01G269600;TraesCS4D01G239600;TraesCS2A01G459700;TraesCS3B01G324400;TraesCS5D01G111300;TraesCS3B01G410500;TraesCS7A01G369500;TraesCS5B01G236900;TraesCS5A01G271500;TraesCS5B01G104200;TraesCS2B01G096000;TraesCS2A01G189600;TraesCS5D01G447500;TraesCS2D01G431000;TraesCS3A01G176500;TraesCS6D01G312800;TraesCS7A01G343000;TraesCS7A01G096300;TraesCS5B01G271800;TraesCS5B01G384500;TraesCS4A01G396300;TraesCS2A01G514300;TraesCS5A01G104900;TraesCS7D01G052400;TraesCS1D01G223600;TraesCS2A01G081400;TraesCS2A01G101900;TraesCS2B01G304800;TraesCS4B01G346100;TraesCS5D01G092000;TraesCS3B01G208300;TraesCS5B01G362600;TraesCS3D01G408100;TraesCS5B01G108500;TraesCS1A01G350400;TraesCS7A01G416400;TraesCS3B01G255400;TraesCS3D01G317400;TraesCS1B01G326700;TraesCS3D01G289000;TraesCS7A01G376100;TraesCS5A01G143100;TraesCS5D01G273600;TraesCS5A01G112600;TraesCS1A01G401800;TraesCS5B01G313000;TraesCS1B01G274300;TraesCS1B01G304800;TraesCS6B01G238900;TraesCS5A01G238400;TraesCS5B01G095900;TraesCS2D01G100900;TraesCS3B01G568300;TraesCS4A01G396200;TraesCS4D01G094400;TraesCS1D01G292700;TraesCS4A01G098900;TraesCS4A01G176200;TraesCS5A01G400000;TraesCS3A01G413600;TraesCS3D01G408000;TraesCS4B01G069500;TraesCS5A01G380900;TraesCS5A01G124600;TraesCS2D01G456900;TraesCS3A01G109300;TraesCS5A01G258100;TraesCS7D01G508800;TraesCS1B01G326600;TraesCS5D01G518700;TraesCS4D01G268100;TraesCS3B01G371200;TraesCS3B01G375800;TraesCS7A01G264800;TraesCS1B01G243100;TraesCS5D01G183100;TraesCS2A01G427700;TraesCS3B01G176200;TraesCS3D01G370800;TraesCS4A01G130600;TraesCS5D01G232700;TraesCS2B01G217500;TraesCS4D01G176000;TraesCS7B01G364600;TraesCS3D01G354100;TraesCS5B01G480900;TraesCS2D01G464400;TraesCS6A01G406700;TraesCS7D01G000200;TraesCS3B01G270500;TraesCS5B01G142100;TraesCS3A01G167200;TraesCS4A01G062800;TraesCS4A01G001300;TraesCS3A01G377700;TraesCS6A01G108800;TraesCS4D01G236600;TraesCS3D01G296100;TraesCS5D01G481200;TraesCS6B01G364000;TraesCS6D01G239700;TraesCS4B01G100100;TraesCS5D01G244800;TraesCS3B01G448000;TraesCS2D01G211400;TraesCS5A01G251800;TraesCS7A01G270100;TraesCS3A01G343900;TraesCS4B01G173600;TraesCS5D01G097900;TraesCS5B01G118200;TraesCS4D01G178400;TraesCS5B01G257300;TraesCS6D01G074200;TraesCS6D01G217800;TraesCS6D01G110400;TraesCS7A01G057800;TraesCS3A01G379900;TraesCS5D01G205000;TraesCS4A01G001400;TraesCS3B01G314600;TraesCS7B01G434700;TraesCS2D01G269200;TraesCS4A01G035400;TraesCS3D01G289500;TraesCS6B01G193200;TraesCS4A01G129400;TraesCS4D01G177000;TraesCS5A01G395100;TraesCS3B01G199000;TraesCS5B01G315600;TraesCS3B01G448100;TraesCS5B01G176300;TraesCS2D01G198200;TraesCS3D01G401200;TraesCS3D01G238300;TraesCS5D01G450500;TraesCS4B01G299700;TraesCS4D01G105100;TraesCS4A01G216100;TraesCS3B01G441600;TraesCS3D01G173300;TraesCS3B01G330700;TraesCS7B01G316600;TraesCS4A01G059600;TraesCS1A01G314400;TraesCS7A01G365600;TraesCS3A01G111200;TraesCS1A01G421900;TraesCS5B01G236400;TraesCS7D01G497400;TraesCS1B01G232300;TraesCS2A01G102000;TraesCS2D01G515900;TraesCS2A01G433000;TraesCS7D01G336400;TraesCS2B01G116900;TraesCS3D01G227400;TraesCS5A01G265700;TraesCS5D01G185300;TraesCS6D01G134800;TraesCS2D01G339900;TraesCS2A01G201800;TraesCS7D01G345200;TraesCS7A01G306100;TraesCS7D01G526100;TraesCS3D01G341100;TraesCS5D01G232800;TraesCS7B01G160900;TraesCS1B01G453300;TraesCS6D01G110600;TraesCS3B01G303800;TraesCS7A01G509000;TraesCS3D01G281900;TraesCS4A01G219700;TraesCS3A01G406000;TraesCS5B01G415400;TraesCS5A01G090100;TraesCS1D01G398400;TraesCS4B01G108000;TraesCS7A01G328600;TraesCS7D01G283800;TraesCS7D01G092500;TraesCS6B01G284300;TraesCS4D01G136500;TraesCS2B01G454300;TraesCS2D01G414300;TraesCS5D01G487600;TraesCS1A01G298600;TraesCS4D01G312300;TraesCS5D01G116100;TraesCS5A01G475300;TraesCS2B01G135600;TraesCS1D01G376500;TraesCS7B01G259000;TraesCS7D01G171300;TraesCS5D01G129400;TraesCS1D01G429800;TraesCS2B01G436300;TraesCS7B01G249200;TraesCS3B01G439600;TraesCS7A01G518800;TraesCS1A01G389500;TraesCS6D01G299000;TraesCS7D01G092600;TraesCS5D01G071800;TraesCS5B01G224000;TraesCS7D01G110600;TraesCS7D01G372500;TraesCS6B01G148700;TraesCS2B01G187500;TraesCS2A01G389400;TraesCS4D01G180200;TraesCS6A01G258500;TraesCS2D01G387300;TraesCS4A01G071800;TraesCS1B01G235100;TraesCS2B01G320700;TraesCS7D01G201700;TraesCS1A01G263700;TraesCS2A01G101400;TraesCS1D01G263800;TraesCS6B01G451300;TraesCS5D01G266300;TraesCS4B01G239700;TraesCS5D01G321000;TraesCS1D01G314800;TraesCS2A01G391700;TraesCS2D01G386100;TraesCS2A01G388300;TraesCS5A01G237900;TraesCS5A01G080300;TraesCS7D01G497300;TraesCS4A01G171500;TraesCS1A01G302700;TraesCS3A01G289700;TraesCS5B01G564100;TraesCS3D01G157100;TraesCS7D01G353800;TraesCS6D01G222600;TraesCS7A01G116000;TraesCS5A01G468800;TraesCS3B01G130000;TraesCS6A01G394300;TraesCS5B01G067700;TraesCS6A01G080500;TraesCS3A01G078400;TraesCS3A01G336500;TraesCS7A01G423800;TraesCS3A01G242500;TraesCS6A01G120600;TraesCS4B01G228600;TraesCS2D01G285300;TraesCS3D01G431700;TraesCS7D01G501000;TraesCS1D01G265800;TraesCS1D01G314900;TraesCS5A01G411900;TraesCS2D01G051000;TraesCS5B01G075300;TraesCS3B01G310500;TraesCS7D01G092400;TraesCS3A01G229300;TraesCS1A01G221900;TraesCS3D01G372900;TraesCS5A01G312000;TraesCS3D01G242500;TraesCS3B01G273600;TraesCS4B01G205400;TraesCS4A01G126300;TraesCS3A01G347500;TraesCS3D01G276600;TraesCS3D01G113300;TraesCS3A01G276500;TraesCS6B01G173900;TraesCS1D01G429900;TraesCS5A01G411800;TraesCS3A01G245900;TraesCS6A01G165800</t>
  </si>
  <si>
    <t>TraesCS4A01G091000;TraesCS3A01G300400;TraesCS5B01G371100;TraesCS5B01G371200;TraesCS4A01G404500;TraesCS3B01G255200;TraesCS5A01G031700;TraesCS7A01G130300;TraesCS2A01G278500;TraesCS1B01G195900;TraesCS4D01G302500;TraesCS6D01G237600;TraesCS3A01G265100;TraesCS2B01G296100;TraesCS5D01G378100;TraesCS6B01G383300;TraesCS2A01G121000;TraesCS3A01G229400;TraesCS4B01G125700;TraesCS2A01G278400;TraesCS3B01G562500;TraesCS5D01G378200;TraesCS3B01G562400;TraesCS7D01G230900;TraesCS5A01G368800;TraesCS3B01G336100;TraesCS5A01G368600;TraesCS4D01G147600;TraesCS7A01G230500;TraesCS1D01G357500;TraesCS1D01G227700;TraesCS3B01G298700;TraesCS7D01G014200;TraesCS4A01G145300;TraesCS5D01G039900;TraesCS3D01G219900;TraesCS5A01G142000;TraesCS2D01G277600;TraesCS2B01G141900;TraesCS2D01G443700;TraesCS2B01G417900;TraesCS4B01G304300;TraesCS5B01G031800</t>
  </si>
  <si>
    <t>TraesCS3D01G272100;TraesCS2A01G384100;TraesCS3A01G517100;TraesCS5A01G375000;TraesCS3B01G306200;TraesCS3D01G524700;TraesCS5D01G183700</t>
  </si>
  <si>
    <t>plant-type hypersensitive response</t>
  </si>
  <si>
    <t>host programmed cell death induced by symbiont</t>
  </si>
  <si>
    <t>TraesCS7A01G187000;TraesCS4B01G225500;TraesCS4A01G068400;TraesCS6A01G177700;TraesCS1A01G413400;TraesCS5A01G424300;TraesCS5B01G373000;TraesCS5D01G346200;TraesCS1A01G275200;TraesCS6A01G306800;TraesCS4D01G035200;TraesCS5A01G341000;TraesCS1D01G420900;TraesCS7A01G186900;TraesCS4B01G037800;TraesCS7D01G188100;TraesCS1A01G406200;TraesCS3B01G357200;TraesCS2B01G339600;TraesCS1D01G414600;TraesCS4B01G194900;TraesCS4A01G122800;TraesCS6A01G359900;TraesCS7A01G339100;TraesCS7B01G254900;TraesCS7D01G350500;TraesCS2B01G198100;TraesCS5D01G183700;TraesCS6A01G244400;TraesCS6A01G073300;TraesCS2D01G279500;TraesCS4D01G296400;TraesCS3D01G077200;TraesCS6B01G422900;TraesCS5D01G432800;TraesCS7D01G346400;TraesCS4A01G091000;TraesCS2D01G393900;TraesCS6D01G226700;TraesCS1D01G111900;TraesCS7D01G351000;TraesCS6B01G280000;TraesCS7A01G412400;TraesCS5B01G339100;TraesCS6B01G392700;TraesCS2B01G414500;TraesCS6B01G207000;TraesCS6D01G239700;TraesCS6D01G369400;TraesCS6B01G423900;TraesCS2D01G517200;TraesCS6B01G335400;TraesCS2B01G393000;TraesCS6A01G258500;TraesCS6D01G342800;TraesCS2A01G396200;TraesCS6B01G098300;TraesCS4B01G037900;TraesCS6D01G166600;TraesCS7D01G488800;TraesCS7B01G250400;TraesCS7D01G188000;TraesCS3A01G077000;TraesCS5A01G375000;TraesCS6B01G105800;TraesCS2B01G333600;TraesCS4A01G221500;TraesCS1D01G274800;TraesCS4A01G009400;TraesCS4D01G183100</t>
  </si>
  <si>
    <t>fatty acid metabolic process</t>
  </si>
  <si>
    <t>TraesCS3A01G477500;TraesCS1B01G248600;TraesCS5B01G491800;TraesCS1D01G237100;TraesCS3D01G472100;TraesCS5D01G492300;TraesCSU01G150500;TraesCS3D01G472200;TraesCSU01G051800;TraesCS1A01G235000;TraesCS5D01G183700;TraesCS3A01G477400</t>
  </si>
  <si>
    <t>TraesCS6B01G292200;TraesCS3B01G146500;TraesCS5B01G291100;TraesCS5D01G342400;TraesCS4A01G068400;TraesCS6A01G177700;TraesCS1A01G413400;TraesCS3D01G434200;TraesCS4A01G259300;TraesCS4A01G295400;TraesCS7A01G002700;TraesCS4B01G263300;TraesCS5A01G433900;TraesCS2D01G276900;TraesCS1A01G406200;TraesCS5B01G303800;TraesCS3D01G267000;TraesCS4B01G018300;TraesCS5A01G337700;TraesCS7B01G254900;TraesCS7D01G350500;TraesCS4D01G055700;TraesCS5B01G209800;TraesCS2A01G420800;TraesCS4D01G296400;TraesCS2A01G277900;TraesCS3D01G113600;TraesCS3A01G111400;TraesCS6B01G422900;TraesCS3A01G220800;TraesCS3A01G413700;TraesCS4D01G263500;TraesCS3A01G266800;TraesCS6A01G144900;TraesCS2D01G554900;TraesCS6D01G224600;TraesCS4B01G137700;TraesCS6B01G022500;TraesCS2D01G527800;TraesCS4A01G295500;TraesCS3B01G138900;TraesCS3B01G448000;TraesCS1B01G411900;TraesCS4A01G042700;TraesCS4D01G222600;TraesCS6A01G015500;TraesCS2B01G606400;TraesCS6D01G353400;TraesCS2D01G417800;TraesCS5B01G288700;TraesCS2A01G525000;TraesCS5A01G222700;TraesCS4D01G055600;TraesCS3A01G119500;TraesCS6D01G133900;TraesCS4B01G225500;TraesCS7A01G225800;TraesCS6A01G039500;TraesCS5D01G210600;TraesCS6D01G203000;TraesCS2A01G041100;TraesCS7D01G003400;TraesCS7D01G090000;TraesCS2B01G554900;TraesCS6B01G288300;TraesCS1A01G088300;TraesCS2B01G439900;TraesCS2A01G362500;TraesCS7D01G263200;TraesCS2D01G039500;TraesCS3B01G448100;TraesCS4D01G132500;TraesCS7A01G406100;TraesCS1D01G420900;TraesCS4B01G222100;TraesCS1D01G414600;TraesCS2D01G490900;TraesCS5D01G297200;TraesCS2D01G581500;TraesCS4D01G291700;TraesCS5D01G310500;TraesCS6A01G260900;TraesCS7D01G352200;TraesCS7D01G228700;TraesCS1D01G089600;TraesCS6A01G073300;TraesCS4A01G081700;TraesCS4D01G055500;TraesCS2A01G057800;TraesCS3D01G408100;TraesCS5A01G304000;TraesCS1A01G385500;TraesCS7A01G537300;TraesCS4D01G016500;TraesCS5D01G342300;TraesCS5A01G313900;TraesCS4B01G055400;TraesCS6B01G173100;TraesCS4A01G259400;TraesCS6D01G018500;TraesCS3D01G360900;TraesCS3B01G300300;TraesCS6D01G241700;TraesCS6B01G207000;TraesCS7A01G318300;TraesCS2D01G339900;TraesCS2A01G354500;TraesCS4A01G495900;TraesCS2A01G570600;TraesCS6B01G406200;TraesCS3A01G097900;TraesCS6A01G298400;TraesCS6B01G098300;TraesCS2A01G323000;TraesCS5B01G307300;TraesCS5D01G299400;TraesCS6D01G166600;TraesCS6B01G249400;TraesCS4A01G003100;TraesCS6A01G265100;TraesCS2D01G359900;TraesCS3A01G413600;TraesCS7A01G112700;TraesCS7B01G193800;TraesCS3D01G121600;TraesCS1D01G081100;TraesCS6A01G232200;TraesCS1D01G142700;TraesCS3D01G440900;TraesCS3D01G408000;TraesCS4B01G086100;TraesCS3A01G448400;TraesCS1D01G089900</t>
  </si>
  <si>
    <t>TraesCS1D01G184900;TraesCS2B01G208900;TraesCS4D01G360300;TraesCS5B01G482400;TraesCS7D01G392800;TraesCS5A01G424300;TraesCS6D01G039300;TraesCS7B01G346600;TraesCS7D01G435100;TraesCS4D01G096400;TraesCS7B01G372400;TraesCS5A01G534900;TraesCS5A01G177800;TraesCS5D01G207400;TraesCS1A01G215600;TraesCS2D01G392800;TraesCS5B01G200000;TraesCS2D01G077300;TraesCS4A01G216100;TraesCS2B01G198100;TraesCS4D01G176200;TraesCS6A01G244400;TraesCS5A01G469800;TraesCS2A01G080000;TraesCS5D01G182100;TraesCS7A01G279100;TraesCS1B01G164200;TraesCS5D01G432800;TraesCS1D01G073100;TraesCS7D01G548200;TraesCS2B01G204800;TraesCS5D01G482800;TraesCS6D01G226700;TraesCS7A01G470400;TraesCS2B01G180500;TraesCS1D01G111900;TraesCS4D01G045300;TraesCS6B01G280000;TraesCS4B01G045400;TraesCS7A01G130600;TraesCS4B01G100100;TraesCS1A01G072600;TraesCS2B01G223000;TraesCS2B01G393000;TraesCS7D01G278900;TraesCS2A01G155500;TraesCS4D01G176300;TraesCS1B01G229100;TraesCS3A01G505200;TraesCS1D01G108300;TraesCS5B01G156800;TraesCS7A01G561600;TraesCS4B01G367200;TraesCS7D01G457800;TraesCS7B01G299200;TraesCS2A01G384100;TraesCS1D01G144600;TraesCS5B01G175100;TraesCS1A01G251600;TraesCS1A01G295300</t>
  </si>
  <si>
    <t>TraesCS1A01G215600;TraesCS1B01G229100;TraesCS6A01G116000;TraesCS2D01G392800;TraesCS4A01G216100;TraesCS4D01G045300;TraesCS6D01G039300;TraesCS4B01G045400;TraesCS2A01G384100;TraesCS4B01G100100;TraesCS6D01G104800;TraesCS1A01G295300;TraesCS4D01G096400</t>
  </si>
  <si>
    <t>phenol-containing compound metabolic process</t>
  </si>
  <si>
    <t>TraesCS4B01G142700;TraesCS7D01G225200;TraesCS4D01G141000;TraesCS4A01G174700</t>
  </si>
  <si>
    <t>multivesicular body</t>
  </si>
  <si>
    <t>TraesCS4A01G207300;TraesCS6D01G393600;TraesCS1B01G456700;TraesCS6A01G240700;TraesCS1D01G149100;TraesCS5D01G303600;TraesCS4B01G125700;TraesCS3B01G304600;TraesCS4D01G203700;TraesCS4D01G207500;TraesCS1D01G055900;TraesCS4B01G167600;TraesCS1B01G197900;TraesCS4A01G145300;TraesCS2D01G077300;TraesCS4B01G335100;TraesCS1D01G209500;TraesCS4D01G069300;TraesCS2D01G079200;TraesCS4B01G237300;TraesCS2D01G361400;TraesCS2A01G080000;TraesCS4A01G049200;TraesCS7D01G069900;TraesCS1B01G164200;TraesCS1D01G198400;TraesCS6A01G148600;TraesCS5D01G386800;TraesCS3D01G432000;TraesCS3A01G363100;TraesCS4D01G326400;TraesCS1A01G206200;TraesCS6B01G176800;TraesCS3B01G429400;TraesCS5B01G097600;TraesCS7D01G024200;TraesCS3D01G523900;TraesCS3A01G516200;TraesCS5D01G085800;TraesCS2A01G121000;TraesCS6D01G252900;TraesCS6D01G138000;TraesCS1A01G265200;TraesCS6A01G246400;TraesCS3A01G290300;TraesCS5D01G463900;TraesCS2A01G141100;TraesCS2B01G271700;TraesCS2A01G384100;TraesCS3B01G395500;TraesCS2B01G266000;TraesCS5B01G408400;TraesCS1A01G425400;TraesCS2B01G096000;TraesCS6A01G272900;TraesCS1B01G198000;TraesCS2D01G284200;TraesCS5A01G229700;TraesCS5D01G237800;TraesCS5A01G497400;TraesCS4A01G372600;TraesCS4D01G108500;TraesCS5B01G228500;TraesCS4D01G238600;TraesCS6D01G039300;TraesCS3A01G140700;TraesCS2B01G288100;TraesCS5D01G187100;TraesCS4B01G255600;TraesCS3B01G247000;TraesCS6A01G107800;TraesCS5B01G380400;TraesCS4B01G333800;TraesCS1D01G265400;TraesCS5A01G337100;TraesCS6A01G281100;TraesCS1A01G248700;TraesCS3B01G579400;TraesCS5B01G131500;TraesCS2A01G081400;TraesCS4D01G176200;TraesCS5D01G104200;TraesCS2A01G363600;TraesCS1D01G248200;TraesCS5A01G505000;TraesCS2D01G277800;TraesCS4A01G066200;TraesCS1D01G186500;TraesCS3D01G178300;TraesCS3D01G204000;TraesCS6D01G095700;TraesCS4D01G255600;TraesCS6B01G456500;TraesCS1D01G186100;TraesCS3D01G246000;TraesCS3B01G287200;TraesCS4D01G243100;TraesCS6A01G000500;TraesCS4D01G169600;TraesCS3B01G416000;TraesCS4D01G176300;TraesCS3D01G104200;TraesCS1A01G183000;TraesCS4D01G147600;TraesCS1D01G108300;TraesCS5B01G166000;TraesCS5A01G169300;TraesCS5B01G155900;TraesCS2B01G141900;TraesCS1D01G144600;TraesCS1A01G295300;TraesCS4D01G330000;TraesCS1A01G182700;TraesCS3A01G245500</t>
  </si>
  <si>
    <t>TraesCS3A01G173000;TraesCS4D01G147400;TraesCS3B01G506700;TraesCS6D01G224700;TraesCS4A01G167700;TraesCS4A01G216100;TraesCS2A01G136100;TraesCS2D01G138800;TraesCS2D01G117100;TraesCS3D01G171800;TraesCS4B01G100100;TraesCS4D01G096400;TraesCS6B01G370900;TraesCS6D01G320400</t>
  </si>
  <si>
    <t>triglyceride lipase activity</t>
  </si>
  <si>
    <t>TraesCS4A01G196000;TraesCS4A01G076900;TraesCS6D01G255200;TraesCS3B01G446800;TraesCS1D01G207100;TraesCS2B01G047300;TraesCS6B01G169700;TraesCS7B01G370700;TraesCS2D01G349000;TraesCSU01G020500;TraesCS6A01G141500;TraesCS6D01G199500;TraesCS6D01G212400;TraesCS1B01G096300;TraesCS5B01G405400;TraesCS2D01G349400;TraesCS1A01G217300;TraesCS2B01G339600;TraesCSU01G169600;TraesCS1D01G219100;TraesCS5B01G468400;TraesCS6D01G130800;TraesCS1D01G039500;TraesCS5D01G408200;TraesCS6B01G258400;TraesCS1A01G203700;TraesCS1A01G077700;TraesCS3D01G260300;TraesCS6B01G246800;TraesCS3B01G446500;TraesCS1A01G182100;TraesCS1D01G249600;TraesCS1B01G198900;TraesCS2D01G033100;TraesCS3B01G354000;TraesCS6A01G216100;TraesCS1D01G080400;TraesCS1B01G096800;TraesCS1D01G080800;TraesCS1D01G080600;TraesCS1A01G078400;TraesCS2D01G348900;TraesCS1A01G078600;TraesCS1B01G048300;TraesCS4D01G325500;TraesCS1A01G078200;TraesCS5B01G246900;TraesCS5B01G458900;TraesCS1D01G185200;TraesCS1B01G048500;TraesCS6B01G258500;TraesCS1A01G203600;TraesCS2B01G595300;TraesCS2B01G614100</t>
  </si>
  <si>
    <t>drug catabolic process</t>
  </si>
  <si>
    <t>TraesCS2D01G286300;TraesCS4D01G175700;TraesCS2D01G169000;TraesCS4D01G068200;TraesCS1D01G075500;TraesCS6A01G201100;TraesCS7D01G182700;TraesCS1A01G370700;TraesCS7A01G096500;TraesCS3A01G269900;TraesCS2A01G270200;TraesCS2D01G104600;TraesCS4A01G193600;TraesCS4D01G207500;TraesCS1B01G126600;TraesCS1D01G106100;TraesCS5A01G469000;TraesCS6A01G319600;TraesCS5D01G148900;TraesCS2D01G079200;TraesCS2B01G289000;TraesCS2A01G417200;TraesCS2D01G231600;TraesCS2D01G332300;TraesCS5B01G494500;TraesCS6A01G326000;TraesCS7B01G423100;TraesCS4B01G002000;TraesCS3B01G412500;TraesCS3A01G281900;TraesCS2A01G456600;TraesCS5D01G279100;TraesCS3B01G129900;TraesCS6D01G358700;TraesCS2B01G407600;TraesCS5B01G124200;TraesCS6A01G235100;TraesCS2D01G146100;TraesCS1D01G119500;TraesCS7A01G511800;TraesCS1A01G072600;TraesCS2D01G425700;TraesCS2D01G104500;TraesCS3D01G078900;TraesCS2A01G214400;TraesCS3D01G183900;TraesCS6B01G350400;TraesCS7B01G187600;TraesCS1A01G370600;TraesCS3B01G367500;TraesCS1D01G221000;TraesCS5B01G481300;TraesCS2A01G417300;TraesCS2A01G384100;TraesCS2A01G424900;TraesCS4A01G131000;TraesCS2B01G448100;TraesCS3A01G149000;TraesCS5D01G042300;TraesCS2B01G478700;TraesCS2D01G414500;TraesCS4D01G358900;TraesCS4D01G266400;TraesCS5B01G193200;TraesCS2B01G118500;TraesCS5A01G085900;TraesCS1D01G376700;TraesCS2B01G339600;TraesCS3A01G404400;TraesCS5A01G440400;TraesCS2B01G436100;TraesCS2B01G167900;TraesCS4B01G178600;TraesCS2A01G204500;TraesCS7D01G409700;TraesCS4D01G267500;TraesCS3B01G093300;TraesCS4B01G080900;TraesCS4D01G001200;TraesCS3B01G353000;TraesCS4B01G268100;TraesCS1A01G219400;TraesCS4B01G174000;TraesCS5B01G117700;TraesCS5B01G415700;TraesCS5A01G390300;TraesCS2D01G414600;TraesCS1B01G308200;TraesCS7A01G508700;TraesCS2B01G542300;TraesCS1B01G461600;TraesCS4D01G119700;TraesCS5B01G275200;TraesCS1A01G218100;TraesCS5D01G320800;TraesCS6B01G108000;TraesCS1D01G376600;TraesCS6A01G120300;TraesCS5A01G232700;TraesCS4B01G121500;TraesCS5B01G141900;TraesCS2A01G323000;TraesCS5B01G410000;TraesCS3B01G357500;TraesCS5B01G265400;TraesCS1A01G370400;TraesCS4B01G098200;TraesCS7A01G327700;TraesCS5A01G314700;TraesCS4B01G235300;TraesCS7B01G299200;TraesCS2B01G436200;TraesCS6B01G263800;TraesCS5B01G444100;TraesCS5D01G245300;TraesCS6D01G087700;TraesCS4B01G141500;TraesCS7D01G392800;TraesCS2A01G288000;TraesCS5A01G481300;TraesCS3D01G329400;TraesCS7D01G052600;TraesCS2D01G567000;TraesCS5B01G478300;TraesCS3B01G379200;TraesCS4D01G096400;TraesCS6A01G145600;TraesCS3A01G513200;TraesCS3B01G141600;TraesCS4A01G128100;TraesCS3A01G271700;TraesCS2A01G304000;TraesCS3D01G245500;TraesCS3A01G413700;TraesCS6B01G149000;TraesCS6D01G154400;TraesCS3A01G408000;TraesCS1B01G129800;TraesCS3A01G323800;TraesCS5D01G390700;TraesCS5A01G468300;TraesCS6A01G333600;TraesCS5A01G180800;TraesCS3A01G289200;TraesCS6A01G240400;TraesCS7B01G272900;TraesCS7D01G052500;TraesCS4A01G396400;TraesCS7B01G162100;TraesCS6A01G145500;TraesCS7A01G299600;TraesCS5D01G421100;TraesCS5B01G223600;TraesCS7D01G295100;TraesCS6B01G375400;TraesCS3D01G399600;TraesCS5D01G481700;TraesCS1D01G072600;TraesCS3D01G269600;TraesCS4D01G239600;TraesCS2A01G459700;TraesCS3B01G324400;TraesCS5D01G111300;TraesCS3B01G410500;TraesCS7A01G369500;TraesCS5B01G236900;TraesCS5A01G271500;TraesCS5B01G104200;TraesCS2B01G096000;TraesCS2A01G189600;TraesCS5D01G447500;TraesCS2D01G431000;TraesCS3A01G176500;TraesCS6D01G312800;TraesCS7A01G343000;TraesCS7A01G096300;TraesCS5B01G271800;TraesCS5B01G384500;TraesCS4A01G396300;TraesCS2A01G514300;TraesCS5A01G104900;TraesCS7D01G052400;TraesCS1D01G223600;TraesCS2A01G081400;TraesCS2A01G101900;TraesCS4D01G176200;TraesCS2B01G304800;TraesCS4B01G346100;TraesCS5D01G092000;TraesCS3B01G208300;TraesCS5B01G362600;TraesCS3D01G408100;TraesCS5B01G108500;TraesCS1A01G350400;TraesCS7A01G416400;TraesCS3B01G255400;TraesCS3D01G317400;TraesCS1B01G326700;TraesCS3D01G289000;TraesCS7A01G376100;TraesCS5A01G143100;TraesCS5D01G273600;TraesCS5A01G112600;TraesCS1A01G401800;TraesCS5B01G313000;TraesCS1B01G274300;TraesCS1B01G304800;TraesCS6B01G238900;TraesCS5A01G238400;TraesCS5B01G095900;TraesCS2D01G100900;TraesCS3B01G568300;TraesCS4A01G396200;TraesCS4D01G094400;TraesCS1D01G292700;TraesCS4D01G176300;TraesCS4A01G098900;TraesCS4A01G176200;TraesCS5A01G400000;TraesCS3A01G413600;TraesCS3D01G408000;TraesCS4B01G069500;TraesCS5A01G380900;TraesCS5A01G124600;TraesCS2D01G456900;TraesCS3A01G109300;TraesCS5A01G258100;TraesCS7D01G508800;TraesCS1B01G326600;TraesCS5D01G518700;TraesCS4D01G268100;TraesCS3B01G371200;TraesCS3B01G375800;TraesCS7A01G264800;TraesCS1B01G243100;TraesCS5D01G183100;TraesCS2A01G427700;TraesCS3B01G176200;TraesCS3D01G370800;TraesCS4A01G130600;TraesCS5D01G232700;TraesCS2B01G217500;TraesCS4D01G176000;TraesCS7B01G364600;TraesCS3D01G354100;TraesCS5B01G480900;TraesCS2D01G464400;TraesCS6A01G406700;TraesCS7D01G000200;TraesCS3B01G270500;TraesCS5B01G142100;TraesCS3A01G167200;TraesCS4A01G062800;TraesCS4A01G001300;TraesCS3A01G377700;TraesCS6A01G108800;TraesCS4D01G236600;TraesCS3D01G296100;TraesCS5D01G481200;TraesCS6B01G364000;TraesCS6D01G239700;TraesCS4B01G100100;TraesCS5D01G244800;TraesCS3B01G448000;TraesCS2D01G211400;TraesCS5A01G251800;TraesCS7A01G270100;TraesCS3A01G343900;TraesCS4B01G173600;TraesCS5D01G097900;TraesCS5B01G118200;TraesCS4D01G178400;TraesCS5B01G257300;TraesCS6D01G074200;TraesCS6D01G217800;TraesCS6D01G110400;TraesCS7A01G057800;TraesCS3A01G379900;TraesCS5D01G205000;TraesCS4A01G001400;TraesCS3B01G314600;TraesCS7B01G434700;TraesCS2D01G269200;TraesCS4A01G035400;TraesCS3D01G289500;TraesCS6B01G193200;TraesCS4A01G129400;TraesCS4D01G177000;TraesCS5A01G395100;TraesCS3B01G199000;TraesCS5B01G315600;TraesCS3B01G448100;TraesCS5B01G176300;TraesCS2D01G198200;TraesCS3D01G401200;TraesCS3D01G238300;TraesCS5D01G450500;TraesCS4B01G299700;TraesCS4D01G105100;TraesCS4A01G216100;TraesCS3B01G441600;TraesCS3D01G173300;TraesCS3B01G330700;TraesCS7B01G316600;TraesCS4A01G059600;TraesCS1A01G314400;TraesCS7A01G365600;TraesCS3A01G111200;TraesCS3B01G156800;TraesCS1A01G421900;TraesCS5B01G236400;TraesCS7D01G497400;TraesCS1B01G232300;TraesCS2A01G102000;TraesCS2D01G515900;TraesCS2A01G433000;TraesCS7D01G336400;TraesCS2B01G116900;TraesCS3D01G227400;TraesCS5A01G265700;TraesCS5D01G185300;TraesCS6D01G134800;TraesCS2D01G339900;TraesCS2A01G201800;TraesCS7D01G345200;TraesCS7A01G306100;TraesCS7D01G526100;TraesCS3D01G341100;TraesCS5D01G232800;TraesCS7B01G160900;TraesCS1B01G453300;TraesCS6D01G110600;TraesCS3B01G303800;TraesCS7A01G509000;TraesCS3D01G281900;TraesCS4A01G219700;TraesCS3A01G406000;TraesCS5B01G415400;TraesCS5A01G090100;TraesCS1D01G398400;TraesCS4B01G108000;TraesCS7A01G328600;TraesCS7D01G283800;TraesCS7D01G092500;TraesCS6B01G284300;TraesCS4D01G136500;TraesCS2B01G454300;TraesCS2D01G414300;TraesCS5D01G487600;TraesCS1A01G298600;TraesCS4D01G312300;TraesCS5D01G116100;TraesCS5A01G475300;TraesCS2B01G135600;TraesCS1D01G376500;TraesCS7B01G259000;TraesCS7D01G171300;TraesCS5D01G129400;TraesCS1D01G429800;TraesCS2B01G436300;TraesCS7B01G249200;TraesCS3B01G439600;TraesCS7A01G518800;TraesCS1A01G389500;TraesCS6D01G299000;TraesCS7D01G092600;TraesCS5D01G071800;TraesCS5B01G224000;TraesCS7D01G110600;TraesCS7D01G372500;TraesCS6B01G148700;TraesCS2B01G187500;TraesCS2A01G389400;TraesCS4D01G180200;TraesCS6A01G258500;TraesCS2D01G387300;TraesCS4A01G071800;TraesCS1B01G235100;TraesCS2B01G320700;TraesCS7D01G201700;TraesCS1A01G263700;TraesCS2A01G101400;TraesCS1D01G263800;TraesCS6B01G451300;TraesCS5D01G266300;TraesCS4B01G239700;TraesCS5D01G321000;TraesCS1D01G314800;TraesCS2A01G391700;TraesCS2D01G386100;TraesCS2A01G388300;TraesCS5A01G237900;TraesCS5A01G080300;TraesCS7D01G497300;TraesCS4A01G171500;TraesCS1A01G302700;TraesCS3A01G289700;TraesCS5B01G564100;TraesCS3D01G157100;TraesCS7D01G353800;TraesCS6D01G222600;TraesCS7A01G116000;TraesCS5A01G468800;TraesCS3B01G130000;TraesCS6A01G394300;TraesCS5B01G067700;TraesCS6A01G080500;TraesCS3A01G078400;TraesCS3A01G336500;TraesCS7A01G423800;TraesCS3A01G242500;TraesCS6A01G120600;TraesCS4B01G228600;TraesCS2D01G285300;TraesCS3D01G431700;TraesCS7D01G501000;TraesCS1D01G265800;TraesCS1D01G314900;TraesCS5A01G411900;TraesCS2D01G051000;TraesCS5B01G075300;TraesCS3B01G310500;TraesCS7D01G092400;TraesCS3A01G229300;TraesCS1A01G221900;TraesCS3D01G372900;TraesCS5A01G312000;TraesCS3D01G242500;TraesCS3B01G273600;TraesCS4B01G205400;TraesCS4A01G126300;TraesCS3A01G347500;TraesCS3D01G276600;TraesCS3D01G113300;TraesCS3A01G276500;TraesCS6B01G173900;TraesCS1D01G429900;TraesCS5A01G411800;TraesCS3A01G245900;TraesCS6A01G165800</t>
  </si>
  <si>
    <t>TraesCS1D01G004700;TraesCS2D01G374600;TraesCS1D01G163400;TraesCS2B01G275100;TraesCS2A01G303200;TraesCS6A01G177700;TraesCS6D01G393600;TraesCS7D01G392800;TraesCS6D01G224700;TraesCS6A01G240700;TraesCS7B01G346600;TraesCS3D01G378700;TraesCS7B01G296300;TraesCS5A01G152400;TraesCS4B01G125700;TraesCS1D01G327200;TraesCS7A01G182500;TraesCS7D01G435100;TraesCS3A01G481000;TraesCS4D01G096400;TraesCS1A01G217300;TraesCS4D01G258000;TraesCS1D01G156600;TraesCS5A01G205000;TraesCS5D01G169300;TraesCS3B01G141600;TraesCS5A01G093100;TraesCS4A01G145300;TraesCS5D01G039900;TraesCS4B01G335100;TraesCS3A01G385600;TraesCS1A01G112400;TraesCS2D01G361400;TraesCS5B01G561300;TraesCS7A01G110500;TraesCS5D01G048600;TraesCS1D01G152000;TraesCS5D01G157600;TraesCS5D01G413300;TraesCS4B01G174200;TraesCS1B01G164200;TraesCS4D01G315400;TraesCS5B01G031800;TraesCS7D01G548200;TraesCS4A01G091000;TraesCS3B01G306200;TraesCS5A01G403300;TraesCS6B01G284000;TraesCS7B01G008400;TraesCS4D01G045300;TraesCS4A01G148500;TraesCS7A01G412400;TraesCS1A01G002500;TraesCS4B01G045400;TraesCS5A01G456200;TraesCS1A01G122800;TraesCS4B01G100100;TraesCS7D01G389700;TraesCS2A01G121000;TraesCS4A01G130300;TraesCS1B01G229100;TraesCS6A01G116000;TraesCS2B01G381600;TraesCS4D01G176100;TraesCS7B01G087400;TraesCS2A01G384100;TraesCS4B01G258200;TraesCS5B01G236900;TraesCS6D01G104800;TraesCS2D01G231100;TraesCS4A01G043800;TraesCS3B01G123700;TraesCS3A01G105300;TraesCS1A01G396900;TraesCS3B01G272600;TraesCS7D01G506300;TraesCS3A01G109500;TraesCS6D01G039300;TraesCS4B01G052700;TraesCS5B01G151000;TraesCS7D01G106000;TraesCS6B01G423000;TraesCS4A01G130400;TraesCS1B01G425200;TraesCS3A01G246700;TraesCS5D01G467000;TraesCS4A01G046700;TraesCS2B01G339600;TraesCS2D01G285300;TraesCS5B01G408100;TraesCS1A01G215600;TraesCS1D01G219100;TraesCS2A01G381800;TraesCS5B01G042800;TraesCS2D01G392800;TraesCS4A01G216100;TraesCS4D01G176200;TraesCS3D01G272100;TraesCS1D01G123700;TraesCS2A01G363600;TraesCS4B01G346100;TraesCS1D01G404800;TraesCS3D01G310200;TraesCS5A01G505000;TraesCS2B01G336000;TraesCS1D01G405200;TraesCS6D01G339300;TraesCS1A01G159200;TraesCS5B01G465200;TraesCS2D01G378300;TraesCS6D01G222900;TraesCS3B01G344600;TraesCS5A01G190400;TraesCS6B01G423100;TraesCS2D01G346200;TraesCS4D01G176300;TraesCS5D01G467100;TraesCS3D01G244800;TraesCS5B01G307300;TraesCS4D01G147600;TraesCS7A01G561600;TraesCS5B01G099200;TraesCS2A01G225200;TraesCS7D01G183900;TraesCS2B01G141900;TraesCS7B01G299200;TraesCS1D01G144600;TraesCS6A01G383800;TraesCS6D01G368800;TraesCS1A01G295300;TraesCS1B01G001800;TraesCS2D01G250600;TraesCS2B01G260500;TraesCS4B01G174100</t>
  </si>
  <si>
    <t>TraesCS7A01G167300;TraesCS7D01G167900;TraesCS3A01G110300;TraesCS5A01G320600;TraesCS3B01G013200</t>
  </si>
  <si>
    <t>TraesCS1D01G314900;TraesCS1A01G314400;TraesCS1B01G326700;TraesCS7A01G376100;TraesCS7D01G372500</t>
  </si>
  <si>
    <t>regulation of transcription from RNA polymerase III promoter</t>
  </si>
  <si>
    <t>TraesCS1D01G186500;TraesCS1A01G183000;TraesCS1B01G197900;TraesCS3A01G113900;TraesCS4A01G124800</t>
  </si>
  <si>
    <t>oligosaccharide catabolic process</t>
  </si>
  <si>
    <t>TraesCS1D01G270500;TraesCS1A01G375800;TraesCS4B01G273500;TraesCS2A01G414700;TraesCS1D01G188500;TraesCS5B01G152600;TraesCS5B01G445100;TraesCS5A01G131300;TraesCS4B01G263300;TraesCS7A01G392800;TraesCS2B01G189300;TraesCS4B01G049100;TraesCS4D01G264500;TraesCS5A01G156200;TraesCS6B01G108100;TraesCS2A01G291900;TraesCS1D01G437700;TraesCS2B01G339600;TraesCS7B01G294800;TraesCS1A01G072200;TraesCS3B01G334900;TraesCS4B01G318900;TraesCS6D01G225800;TraesCS1B01G195800;TraesCS2B01G308200;TraesCS1D01G074600;TraesCS4B01G264500;TraesCS3A01G146800;TraesCS4A01G059800;TraesCS5D01G027600;TraesCS6D01G074300;TraesCS2A01G508900;TraesCS4D01G242100;TraesCS5D01G159100;TraesCS7D01G388400;TraesCS4D01G263500;TraesCS4D01G315400;TraesCS2A01G292000;TraesCS1A01G428400;TraesCS1D01G004400;TraesCS4A01G089800;TraesCS6D01G232300;TraesCS3D01G300200;TraesCS4D01G215100;TraesCS1A01G188000;TraesCS3D01G266400;TraesCS4D01G272500;TraesCS6D01G239700;TraesCS5B01G445200;TraesCS6A01G080600;TraesCS4A01G027800;TraesCS6A01G258500;TraesCS4A01G042700;TraesCS7D01G305300;TraesCS1B01G463100;TraesCS7B01G208700;TraesCS5D01G139800;TraesCS2A01G396400;TraesCS7A01G308600;TraesCS2A01G407900;TraesCS5B01G372500;TraesCS6A01G187300;TraesCS1D01G074500;TraesCS5B01G133500;TraesCS4B01G214500;TraesCS5D01G379700;TraesCS5A01G375000;TraesCS3A01G266300;TraesCS2D01G231100;TraesCS4A01G043800</t>
  </si>
  <si>
    <t>TraesCS4A01G262600;TraesCS5A01G375000;TraesCS4D01G052500;TraesCS3A01G266300;TraesCS4B01G052300;TraesCS4A01G075600;TraesCS4B01G231400;TraesCS3D01G266400;TraesCS4D01G232700</t>
  </si>
  <si>
    <t>TraesCS7A01G441400;TraesCS2D01G038900;TraesCS7D01G430700;TraesCS5D01G078300;TraesCS6A01G223900;TraesCS3B01G304000;TraesCS5B01G074000;TraesCS2A01G040300;TraesCS7B01G340100</t>
  </si>
  <si>
    <t>TraesCS7D01G010000;TraesCS2B01G403000;TraesCS2A01G386100;TraesCS4A01G124800;TraesCS4A01G484800;TraesCS2D01G382600;TraesCS4B01G356800;TraesCS7A01G010200</t>
  </si>
  <si>
    <t>TraesCS1D01G004700;TraesCS1D01G184900;TraesCS2B01G208900;TraesCS7A01G231600;TraesCS5B01G482400;TraesCS7D01G392800;TraesCS1B01G171400;TraesCS7B01G346600;TraesCS3D01G313900;TraesCS1A01G086600;TraesCS7D01G343800;TraesCS2B01G246100;TraesCS5A01G041100;TraesCS6D01G193700;TraesCS7D01G435100;TraesCS4D01G096400;TraesCS6B01G295200;TraesCS5A01G177800;TraesCS5D01G207400;TraesCS2D01G182100;TraesCS3B01G283800;TraesCS5A01G209200;TraesCS7D01G377000;TraesCS1D01G292400;TraesCS3D01G244500;TraesCS5B01G200000;TraesCS6D01G296700;TraesCS2D01G077300;TraesCS3B01G349100;TraesCS1B01G346500;TraesCS2B01G198100;TraesCS6A01G244400;TraesCS5A01G469800;TraesCS7D01G044300;TraesCS2A01G080000;TraesCS3A01G056700;TraesCS4D01G141000;TraesCS4D01G229700;TraesCS6B01G239500;TraesCS1D01G152000;TraesCS7A01G279100;TraesCS5B01G014400;TraesCS4B01G174200;TraesCS1B01G164200;TraesCS3D01G207900;TraesCS6D01G248100;TraesCS5B01G358900;TraesCS3D01G180500;TraesCS7D01G548200;TraesCS4B01G219200;TraesCS2B01G204800;TraesCS4B01G137700;TraesCS1A01G048700;TraesCS5D01G482800;TraesCS7A01G470400;TraesCS1D01G111900;TraesCS4A01G085000;TraesCS4D01G045300;TraesCS5D01G365300;TraesCS5B01G155700;TraesCS1A01G002500;TraesCS5D01G109500;TraesCS1D01G013200;TraesCS4B01G045400;TraesCS7A01G130600;TraesCS5D01G179100;TraesCS4B01G100100;TraesCS1A01G072600;TraesCS5D01G022200;TraesCS2B01G393000;TraesCS3A01G317400;TraesCSU01G076400;TraesCS4A01G130300;TraesCS1A01G298900;TraesCS3D01G290000;TraesCS7D01G278900;TraesCS3A01G175000;TraesCS2A01G155500;TraesCS5A01G425600;TraesCS1B01G229100;TraesCS3A01G505200;TraesCS1D01G368100;TraesCS5A01G463000;TraesCS1D01G074500;TraesCS5B01G156800;TraesCS7D01G510000;TraesCS1A01G192300;TraesCS2A01G384100;TraesCS2B01G350600;TraesCS5B01G102700;TraesCS4B01G306900;TraesCS5D01G463100;TraesCS1A01G251600;TraesCS4B01G174300;TraesCS5B01G530800;TraesCS3D01G056500;TraesCS3A01G337500;TraesCS5D01G531600;TraesCS1D01G002600;TraesCS4D01G125000;TraesCS4D01G360300;TraesCS3D01G193200;TraesCS1B01G158500;TraesCS4A01G072700;TraesCS5A01G424300;TraesCS6D01G039300;TraesCS1D01G050000;TraesCS5A01G096800;TraesCS1A01G153600;TraesCS3B01G218800;TraesCS4D01G219400;TraesCS4D01G098500;TraesCS4D01G132500;TraesCS7B01G372400;TraesCS1A01G005900;TraesCS5A01G534900;TraesCS1A01G215600;TraesCS1A01G005100;TraesCS4A01G407500;TraesCS5A01G356400;TraesCS2D01G392800;TraesCS2A01G174700;TraesCS6A01G353600;TraesCS4A01G216100;TraesCS5D01G163400;TraesCS4D01G176200;TraesCS2D01G226300;TraesCS3A01G252800;TraesCS5B01G427600;TraesCS1D01G198600;TraesCS5B01G316300;TraesCS5D01G182100;TraesCS3B01G288900;TraesCS5D01G432800;TraesCS1D01G073100;TraesCS5B01G073000;TraesCS6D01G226700;TraesCS2B01G180500;TraesCS1B01G308600;TraesCS6B01G280000;TraesCS6D01G335900;TraesCS3D01G252800;TraesCS6A01G266600;TraesCS1A01G015300;TraesCS2B01G223000;TraesCS4A01G268800;TraesCS6A01G210600;TraesCS2A01G220600;TraesCS4A01G174700;TraesCS1A01G363200;TraesCS5D01G475800;TraesCS4D01G176300;TraesCS4B01G142700;TraesCS5B01G307300;TraesCS4D01G044800;TraesCS1D01G108300;TraesCS1B01G063800;TraesCS5D01G215400;TraesCS4D01G300100;TraesCS7A01G520300;TraesCS7A01G561600;TraesCS2D01G224100;TraesCS4D01G305100;TraesCS4B01G367200;TraesCS7D01G457800;TraesCS7B01G299200;TraesCS6B01G386200;TraesCS3D01G253500;TraesCS1D01G144600;TraesCS5B01G175100;TraesCS1A01G295300;TraesCS1B01G001800;TraesCS3B01G284600;TraesCS2B01G201100;TraesCS4B01G101900;TraesCS6B01G294000</t>
  </si>
  <si>
    <t>TraesCS1A01G066800;TraesCS1D01G067800;TraesCS5A01G131300;TraesCS6D01G225800;TraesCS5B01G133500;TraesCS5D01G139800</t>
  </si>
  <si>
    <t>TraesCS4A01G066200;TraesCS4D01G243100;TraesCS1A01G045300;TraesCS1A01G295300;TraesCS1D01G046000;TraesCS1B01G058600</t>
  </si>
  <si>
    <t>amino acid import</t>
  </si>
  <si>
    <t>TraesCS3A01G300400;TraesCS5B01G371100;TraesCS5B01G371200;TraesCS4A01G404500;TraesCS3B01G255200;TraesCS7A01G130300;TraesCS2A01G278500;TraesCS1B01G195900;TraesCS4D01G302500;TraesCS6D01G237600;TraesCS3A01G265100;TraesCS2B01G296100;TraesCS5D01G378100;TraesCS6B01G383300;TraesCS3A01G229400;TraesCS2A01G278400;TraesCS3B01G562500;TraesCS5D01G378200;TraesCS3B01G562400;TraesCS7D01G230900;TraesCS5A01G368800;TraesCS3B01G336100;TraesCS5A01G368600;TraesCS7A01G230500;TraesCS1D01G357500;TraesCS3B01G298700;TraesCS7D01G014200;TraesCS5A01G142000;TraesCS2D01G277600;TraesCS2B01G417900;TraesCS4A01G110200;TraesCS4B01G304300</t>
  </si>
  <si>
    <t>TraesCS2B01G174500;TraesCS3D01G445000;TraesCS6B01G284000;TraesCS6B01G414100;TraesCS5D01G346200;TraesCS6A01G240700;TraesCS3D01G432600;TraesCS5B01G339100;TraesCS6D01G222900;TraesCS3A01G439800;TraesCS1B01G056900;TraesCS2A01G389900;TraesCS5D01G244800;TraesCS2B01G189300;TraesCS1D01G044300;TraesCS5A01G341000;TraesCS3A01G452400;TraesCS4A01G046700;TraesCS2B01G339600;TraesCS5D01G207400;TraesCS6D01G361500;TraesCS4D01G258000;TraesCS4D01G289900;TraesCS5B01G408100;TraesCS5B01G307300;TraesCS7B01G102000;TraesCS1B01G048300;TraesCS5B01G468400;TraesCS6A01G246400;TraesCS3B01G489700;TraesCS5B01G200000;TraesCS6A01G376300;TraesCS1D01G074500;TraesCS1B01G048500;TraesCS1A01G043900;TraesCS1D01G039500;TraesCS3D01G444900;TraesCS6D01G074300;TraesCS6A01G383800;TraesCS6D01G368800;TraesCS5D01G413300;TraesCS5A01G237900;TraesCS6A01G305000;TraesCS6D01G284200</t>
  </si>
  <si>
    <t>TraesCS3B01G194400;TraesCS4D01G261400;TraesCS1D01G163400;TraesCS7B01G107300;TraesCS5B01G327800;TraesCS7D01G506300;TraesCS1D01G094700;TraesCS5A01G160100;TraesCS3D01G136300;TraesCS1A01G145100;TraesCS1D01G101300;TraesCS7D01G395100;TraesCS3B01G113500;TraesCS3B01G455000;TraesCS4B01G054900;TraesCS7A01G031700;TraesCS1A01G235200;TraesCS3A01G097800;TraesCS7B01G301400;TraesCS7D01G203800;TraesCS5B01G042800;TraesCS4B01G261800;TraesCS1B01G162400;TraesCS4D01G032900;TraesCS3A01G419600;TraesCS3A01G310400;TraesCS3A01G163300;TraesCS1B01G248400;TraesCS5D01G048600;TraesCS7D01G300200;TraesCS4D01G055000;TraesCS7B01G222700;TraesCS1B01G204700;TraesCS1D01G236900</t>
  </si>
  <si>
    <t>TraesCS2D01G264400;TraesCS3A01G323800;TraesCS3D01G317400;TraesCS4A01G098900;TraesCS1D01G134600;TraesCS3B01G353000;TraesCS6D01G039300;TraesCS4B01G205400;TraesCS4D01G206300</t>
  </si>
  <si>
    <t>TraesCS7D01G063900;TraesCS6A01G240700;TraesCS7B01G346600;TraesCS1A01G275200;TraesCS2A01G389900;TraesCS3A01G330600;TraesCS3A01G110300;TraesCS6B01G169700;TraesCS7B01G370700;TraesCS6A01G141500;TraesCS2D01G349400;TraesCS7D01G435100;TraesCS5A01G156200;TraesCS1A01G217300;TraesCS5A01G177800;TraesCS3D01G072000;TraesCS1B01G197900;TraesCS6D01G130800;TraesCS3B01G489700;TraesCS4B01G335100;TraesCS7A01G339100;TraesCS2B01G198100;TraesCS3B01G036800;TraesCS3D01G412400;TraesCS6A01G244400;TraesCS5B01G262900;TraesCS6B01G258400;TraesCS2B01G350500;TraesCS1A01G203700;TraesCS6D01G291800;TraesCS3D01G278000;TraesCS4D01G315400;TraesCS7D01G346400;TraesCS4A01G091000;TraesCS7A01G338900;TraesCS4D01G366100;TraesCS1A01G182100;TraesCS6B01G284000;TraesCS1B01G198900;TraesCS3A01G199600;TraesCS1D01G111900;TraesCS2D01G507800;TraesCS3A01G124800;TraesCS2D01G033100;TraesCS4D01G142000;TraesCS1D01G044300;TraesCS5D01G085800;TraesCS4A01G419400;TraesCS2B01G393000;TraesCS6D01G342800;TraesCS4D01G339400;TraesCS6D01G225300;TraesCS3B01G126400;TraesCS3B01G311900;TraesCS7A01G282200;TraesCS1D01G074500;TraesCS3D01G444900;TraesCS3D01G467600;TraesCS2D01G598500;TraesCS1A01G203600;TraesCS2B01G151100;TraesCS6A01G272500;TraesCS5A01G027000;TraesCS6B01G370900;TraesCS3A01G107600;TraesCS1D01G346200;TraesCS7D01G506300;TraesCS5A01G182400;TraesCS3A01G189300;TraesCS7D01G071200;TraesCS5D01G328300;TraesCS3D01G308100;TraesCS6A01G302400;TraesCS7A01G075600;TraesCS1D01G207100;TraesCS1B01G268600;TraesCSU01G020500;TraesCS6D01G199500;TraesCS6D01G212400;TraesCS1A01G361000;TraesCS7B01G372400;TraesCS2B01G196400;TraesCS1B01G229000;TraesCS2B01G339600;TraesCS6B01G300000;TraesCSU01G169600;TraesCS5B01G468400;TraesCS2B01G308200;TraesCS7A01G241200;TraesCS5D01G183700;TraesCS1A01G043900;TraesCS1D01G039500;TraesCS1D01G123700;TraesCS5D01G249800;TraesCS6A01G305000;TraesCS4B01G143500;TraesCS3D01G260300;TraesCS6B01G246800;TraesCS3D01G445000;TraesCS2A01G507400;TraesCS1D01G249600;TraesCS6D01G226700;TraesCS3D01G103900;TraesCS3B01G278200;TraesCS3D01G432600;TraesCS6B01G280000;TraesCS5B01G339100;TraesCS6D01G222900;TraesCS2B01G605800;TraesCS3D01G192800;TraesCS2A01G121200;TraesCS3A01G439800;TraesCS1A01G344000;TraesCS7D01G345200;TraesCS1A01G215500;TraesCS5B01G026200;TraesCS6B01G291800;TraesCS7B01G250400;TraesCS3A01G077000;TraesCS3A01G249300;TraesCS5B01G175100;TraesCSU01G021700;TraesCS4D01G183100;TraesCS4D01G104100;TraesCS2B01G535500;TraesCS5B01G201100;TraesCS6D01G224700;TraesCS6D01G255200;TraesCS5B01G373000;TraesCS5D01G346200;TraesCS1D01G149100;TraesCS2B01G047300;TraesCS2D01G349000;TraesCS5A01G341000;TraesCS3A01G452400;TraesCS3B01G229900;TraesCS4A01G122800;TraesCS6A01G359900;TraesCS5B01G225200;TraesCS5D01G408200;TraesCS2A01G420800;TraesCS3D01G077200;TraesCS7B01G249200;TraesCS6D01G284200;TraesCS6D01G320400;TraesCS3A01G046500;TraesCS2B01G174500;TraesCS3B01G360600;TraesCS5D01G208900;TraesCS6A01G243000;TraesCS7A01G470400;TraesCS2B01G535400;TraesCS5D01G034700;TraesCS7A01G412400;TraesCS5A01G513200;TraesCS1B01G056900;TraesCS4B01G286600;TraesCS2D01G517200;TraesCS6A01G216100;TraesCS6B01G331600;TraesCS4D01G285300;TraesCS1A01G187400;TraesCS5D01G104900;TraesCS1D01G185200;TraesCS2D01G417800;TraesCS1B01G048500;TraesCS5A01G375000;TraesCS1A01G312400;TraesCS1D01G274800;TraesCS3D01G201900;TraesCS7D01G346100;TraesCS1D01G218000;TraesCS5D01G098900;TraesCS3B01G423200;TraesCS5A01G424300;TraesCS6D01G039300;TraesCS5A01G092600;TraesCS5B01G152600;TraesCS1D01G067800;TraesCS3A01G471900;TraesCS7A01G320000;TraesCS4A01G203300;TraesCS3A01G355700;TraesCS4A01G017400;TraesCS1D01G219100;TraesCS1D01G133900;TraesCS6A01G376300;TraesCS5B01G244300;TraesCS1A01G066800;TraesCS1D01G312600;TraesCS5D01G182100;TraesCS3A01G113900;TraesCS5A01G505000;TraesCS5D01G432800;TraesCS1D01G186500;TraesCS6A01G226100;TraesCS6B01G414100;TraesCS6B01G392700;TraesCS2D01G123300;TraesCS1A01G365100;TraesCS6D01G281900;TraesCS6D01G361500;TraesCS7D01G364900;TraesCS1A01G183000;TraesCS2D01G348900;TraesCS1B01G048300;TraesCS4D01G325500;TraesCS4A01G124800;TraesCS5B01G458900;TraesCS3B01G090400;TraesCS6A01G264800;TraesCS7A01G069300;TraesCS7D01G457800;TraesCS6B01G258500;TraesCS3A01G295000;TraesCS6B01G105800;TraesCS5A01G321500;TraesCS2B01G595300;TraesCS5B01G180400</t>
  </si>
  <si>
    <t>TraesCS3A01G107600;TraesCS1D01G346200;TraesCS2B01G350500;TraesCS5D01G104900;TraesCS3D01G278000;TraesCS1A01G344000;TraesCS5A01G092600;TraesCS5B01G225200</t>
  </si>
  <si>
    <t>6-phosphofructokinase complex</t>
  </si>
  <si>
    <t>phenol-containing compound biosynthetic process</t>
  </si>
  <si>
    <t>TraesCS1D01G184900;TraesCS2B01G208900;TraesCS5B01G482400;TraesCS7D01G392800;TraesCS7B01G346600;TraesCS7D01G343800;TraesCS7D01G435100;TraesCS4D01G096400;TraesCS6B01G295200;TraesCS5A01G177800;TraesCS5D01G207400;TraesCS2D01G182100;TraesCS3B01G283800;TraesCS1D01G292400;TraesCS5B01G200000;TraesCS2D01G077300;TraesCS2B01G198100;TraesCS6A01G244400;TraesCS5A01G469800;TraesCS7D01G044300;TraesCS2A01G080000;TraesCS4D01G229700;TraesCS7A01G279100;TraesCS1B01G164200;TraesCS3D01G207900;TraesCS6D01G248100;TraesCS3D01G180500;TraesCS7D01G548200;TraesCS2B01G204800;TraesCS4B01G137700;TraesCS5D01G482800;TraesCS7A01G470400;TraesCS1D01G111900;TraesCS4D01G045300;TraesCS5D01G109500;TraesCS1D01G013200;TraesCS4B01G045400;TraesCS7A01G130600;TraesCS5D01G179100;TraesCS4B01G100100;TraesCS1A01G072600;TraesCS5D01G022200;TraesCS2B01G393000;TraesCSU01G076400;TraesCS1A01G298900;TraesCS7D01G278900;TraesCS3A01G175000;TraesCS2A01G155500;TraesCS5A01G425600;TraesCS1B01G229100;TraesCS3A01G505200;TraesCS1D01G368100;TraesCS5B01G156800;TraesCS2A01G384100;TraesCS2B01G350600;TraesCS5B01G102700;TraesCS4B01G306900;TraesCS1A01G251600;TraesCS5B01G530800;TraesCS3D01G056500;TraesCS4D01G360300;TraesCS1B01G158500;TraesCS4A01G072700;TraesCS5A01G424300;TraesCS6D01G039300;TraesCS5A01G096800;TraesCS4D01G098500;TraesCS4D01G132500;TraesCS7B01G372400;TraesCS5A01G534900;TraesCS1A01G215600;TraesCS4A01G407500;TraesCS2D01G392800;TraesCS2A01G174700;TraesCS4A01G216100;TraesCS4D01G176200;TraesCS5B01G427600;TraesCS1D01G198600;TraesCS5B01G316300;TraesCS5D01G182100;TraesCS5D01G432800;TraesCS1D01G073100;TraesCS6D01G226700;TraesCS2B01G180500;TraesCS1B01G308600;TraesCS6B01G280000;TraesCS3D01G252800;TraesCS6A01G266600;TraesCS2B01G223000;TraesCS1A01G363200;TraesCS4D01G176300;TraesCS1D01G108300;TraesCS4D01G300100;TraesCS7A01G561600;TraesCS2D01G224100;TraesCS4D01G305100;TraesCS4B01G367200;TraesCS7D01G457800;TraesCS7B01G299200;TraesCS1D01G144600;TraesCS5B01G175100;TraesCS1A01G295300;TraesCS2B01G201100;TraesCS4B01G101900;TraesCS6B01G294000</t>
  </si>
  <si>
    <t>TraesCS2B01G336000;TraesCS4A01G046700;TraesCS3A01G295000;TraesCS3D01G308100;TraesCS4D01G258000;TraesCS1A01G425400</t>
  </si>
  <si>
    <t>proline transport</t>
  </si>
  <si>
    <t>neutral amino acid transport</t>
  </si>
  <si>
    <t>TraesCS4B01G142700;TraesCS7B01G259000;TraesCS6D01G258600;TraesCS7D01G146400;TraesCS7D01G229100;TraesCS6A01G278000;TraesCS7A01G470400;TraesCS7D01G353800;TraesCS4B01G335100;TraesCS6B01G306300;TraesCS6D01G257000;TraesCS7B01G194200;TraesCS7D01G457800;TraesCS7A01G369500;TraesCS1A01G205800;TraesCS2A01G121200;TraesCS1B01G219300;TraesCS3A01G299000;TraesCS4D01G141000;TraesCS4A01G174700;TraesCS5A01G505000;TraesCS2D01G123300;TraesCS7B01G372400</t>
  </si>
  <si>
    <t>selenocysteine lyase activity</t>
  </si>
  <si>
    <t>TraesCS6B01G386200;TraesCS6A01G353600;TraesCS6D01G335900</t>
  </si>
  <si>
    <t>phagophore assembly site membrane</t>
  </si>
  <si>
    <t>TraesCS5B01G104500;TraesCS5D01G111500;TraesCS6A01G140800</t>
  </si>
  <si>
    <t>glutathione binding</t>
  </si>
  <si>
    <t>oligopeptide binding</t>
  </si>
  <si>
    <t>TraesCS4B01G033400;TraesCS4D01G031600;TraesCS4D01G032000</t>
  </si>
  <si>
    <t>oxalate oxidase activity</t>
  </si>
  <si>
    <t>oxidoreductase activity, acting on the aldehyde or oxo group of donors, oxygen as acceptor</t>
  </si>
  <si>
    <t>modified amino acid transport</t>
  </si>
  <si>
    <t>phosphatidylinositol-3,5-bisphosphate 5-phosphatase activity</t>
  </si>
  <si>
    <t>phosphatidylinositol-3,5-bisphosphate phosphatase activity</t>
  </si>
  <si>
    <t>phosphatidylinositol bisphosphate phosphatase activity</t>
  </si>
  <si>
    <t>phosphatidylinositol phosphate 5-phosphatase activity</t>
  </si>
  <si>
    <t>TraesCS4B01G100100;TraesCS4A01G216100;TraesCS4D01G096400</t>
  </si>
  <si>
    <t>aerenchyma formation</t>
  </si>
  <si>
    <t>hexose transmembrane transporter activity</t>
  </si>
  <si>
    <t>TraesCS2A01G081400;TraesCS2B01G096000;TraesCS2D01G079200</t>
  </si>
  <si>
    <t>positive regulation of brassinosteroid mediated signaling pathway</t>
  </si>
  <si>
    <t>regulation of brassinosteroid mediated signaling pathway</t>
  </si>
  <si>
    <t>regulation of hydrogen peroxide metabolic process</t>
  </si>
  <si>
    <t>TraesCS4D01G147600;TraesCS4A01G145300;TraesCS5D01G039900;TraesCS4B01G335100;TraesCS7B01G346600;TraesCS2B01G141900;TraesCS4B01G052700;TraesCS5B01G151000;TraesCS5A01G190400;TraesCS2A01G121000;TraesCS5A01G152400;TraesCS5D01G157600;TraesCS4B01G125700;TraesCS5A01G505000;TraesCS7D01G435100;TraesCS5B01G031800</t>
  </si>
  <si>
    <t>TraesCS1D01G004700;TraesCS5B01G520200;TraesCS5D01G231500;TraesCS6A01G177700;TraesCS3D01G344800;TraesCS7B01G346600;TraesCS1D01G335500;TraesCS2D01G540600;TraesCS6A01G201100;TraesCS6B01G324800;TraesCS3A01G414000;TraesCS5D01G142900;TraesCS2D01G362900;TraesCS7A01G480100;TraesCS5A01G118600;TraesCS5A01G152400;TraesCS4B01G125700;TraesCS7D01G435100;TraesCS7D01G328400;TraesCS6D01G302400;TraesCS6D01G275100;TraesCS1D01G112500;TraesCS1D01G296600;TraesCS4D01G258000;TraesCS5A01G224100;TraesCS4A01G206900;TraesCS4A01G145300;TraesCS5D01G039900;TraesCS7D01G467100;TraesCS1D01G074400;TraesCS4B01G268700;TraesCS1A01G312300;TraesCS3B01G213600;TraesCS5D01G157600;TraesCS6A01G043000;TraesCS1B01G164200;TraesCS6D01G049600;TraesCS5B01G031800;TraesCS2D01G540500;TraesCS2B01G451800;TraesCS2D01G540100;TraesCS3B01G383400;TraesCS5B01G222900;TraesCS2B01G451400;TraesCS4A01G035900;TraesCS1A01G002500;TraesCS5B01G261500;TraesCS4D01G268000;TraesCS2B01G569500;TraesCS6D01G153600;TraesCS2A01G121000;TraesCS4A01G130300;TraesCS5A01G213700;TraesCS5A01G492100;TraesCS2D01G520900;TraesCS5B01G135200;TraesCS1B01G264600;TraesCS3A01G183800;TraesCS7A01G335400;TraesCS3B01G487700;TraesCS4A01G352900;TraesCS3A01G380600;TraesCS5B01G156800;TraesCS3A01G383600;TraesCS1D01G253200;TraesCS2A01G064900;TraesCS5D01G218300;TraesCS2B01G271700;TraesCS5D01G519400;TraesCS1D01G312500;TraesCS2B01G266000;TraesCS3D01G188000;TraesCS1A01G071800;TraesCS1A01G425400;TraesCS2D01G063000;TraesCS5A01G136200;TraesCS7D01G388900;TraesCS3D01G373600;TraesCS7D01G342900;TraesCS5A01G424300;TraesCS1A01G111000;TraesCS5B01G117600;TraesCS2D01G118400;TraesCS5A01G263100;TraesCSU01G003600;TraesCS3D01G308100;TraesCS5B01G151000;TraesCS2B01G569600;TraesCS7B01G116700;TraesCS1A01G332800;TraesCS3D01G443400;TraesCS2A01G539500;TraesCS4A01G046700;TraesCS3B01G388400;TraesCS4D01G176200;TraesCS5D01G183700;TraesCS4D01G271200;TraesCS6B01G128000;TraesCS1A01G253600;TraesCS2A01G539100;TraesCS2B01G336000;TraesCS4D01G316400;TraesCS3D01G373700;TraesCS6D01G146500;TraesCS2B01G348900;TraesCS7D01G055700;TraesCS3D01G204000;TraesCS1D01G335400;TraesCS4A01G033400;TraesCS3B01G593700;TraesCS5D01G270600;TraesCS5A01G031700;TraesCS1B01G324000;TraesCS4D01G108200;TraesCS3D01G376700;TraesCS3A01G206100;TraesCS2B01G135900;TraesCS2A01G539600;TraesCS3B01G416000;TraesCS4D01G176300;TraesCS1A01G047000;TraesCS2A01G365000;TraesCS4D01G147600;TraesCS6A01G294200;TraesCS6B01G192400;TraesCS7A01G419500;TraesCS2B01G141900;TraesCS2D01G443700;TraesCS3A01G295000;TraesCS6B01G059000;TraesCS7B01G247000;TraesCS1D01G047900;TraesCS1D01G144600;TraesCS1A01G295300;TraesCS1B01G001800;TraesCS5D01G130000;TraesCS3B01G280000</t>
  </si>
  <si>
    <t>TraesCS1D01G270500;TraesCS1A01G375800;TraesCS4B01G273500;TraesCS2A01G414700;TraesCS1D01G188500;TraesCS5B01G152600;TraesCS5B01G445100;TraesCS5A01G131300;TraesCS4B01G263300;TraesCS7A01G392800;TraesCS4B01G049100;TraesCS4D01G264500;TraesCS5A01G156200;TraesCS2A01G291900;TraesCS1D01G437700;TraesCS2B01G339600;TraesCS7B01G294800;TraesCS1A01G072200;TraesCS4B01G318900;TraesCS6D01G225800;TraesCS1B01G195800;TraesCS1D01G074600;TraesCS4B01G264500;TraesCS3A01G146800;TraesCS5D01G027600;TraesCS2A01G508900;TraesCS4D01G242100;TraesCS5D01G159100;TraesCS7D01G388400;TraesCS4D01G263500;TraesCS4D01G315400;TraesCS2A01G292000;TraesCS1A01G428400;TraesCS4A01G089800;TraesCS6D01G232300;TraesCS4D01G215100;TraesCS1A01G188000;TraesCS3D01G266400;TraesCS4D01G272500;TraesCS6D01G239700;TraesCS5B01G445200;TraesCS4A01G027800;TraesCS6A01G258500;TraesCS4A01G042700;TraesCS7D01G305300;TraesCS1B01G463100;TraesCS7B01G208700;TraesCS5D01G139800;TraesCS2A01G396400;TraesCS7A01G308600;TraesCS5B01G372500;TraesCS6A01G187300;TraesCS1D01G074500;TraesCS5B01G133500;TraesCS4B01G214500;TraesCS5D01G379700;TraesCS5A01G375000;TraesCS3A01G266300;TraesCS2D01G231100;TraesCS4A01G043800</t>
  </si>
  <si>
    <t>TraesCS1D01G351500;TraesCS1B01G363100;TraesCS4A01G262600;TraesCS3D01G285700;TraesCS3B01G334900;TraesCS4B01G052300;TraesCS3D01G300200;TraesCS4A01G075600;TraesCS3D01G266400;TraesCS5D01G031500;TraesCS4D01G232700;TraesCS1A01G122500;TraesCS1D01G123400;TraesCS2B01G605800;TraesCS4B01G264500;TraesCS3B01G128000;TraesCS5A01G375000;TraesCS4D01G052500;TraesCS2D01G598500;TraesCS3A01G266300;TraesCS4B01G231400;TraesCS4D01G264500;TraesCS4A01G043800</t>
  </si>
  <si>
    <t>TraesCS1D01G216200;TraesCS5A01G315700;TraesCS7D01G225200;TraesCS1B01G171400;TraesCS1A01G153600;TraesCS5D01G078300;TraesCS6A01G223900;TraesCS4A01G080300;TraesCS2B01G393000;TraesCS4A01G174700;TraesCS1B01G226800;TraesCS3B01G416000;TraesCS7D01G278900;TraesCS4B01G142700;TraesCS3D01G280400;TraesCS5D01G039900;TraesCS4B01G182300;TraesCS4A01G122400;TraesCS5B01G074000;TraesCS6A01G353200;TraesCS5B01G316300;TraesCS4D01G141000;TraesCS4D01G183500;TraesCS1A01G213400;TraesCS1D01G152000;TraesCS7A01G279100;TraesCS3A01G337500;TraesCS5B01G031800</t>
  </si>
  <si>
    <t>endosome</t>
  </si>
  <si>
    <t>TraesCS2B01G174500;TraesCS5D01G207400;TraesCS4D01G289900;TraesCS5B01G307300;TraesCS6A01G246400;TraesCS5B01G200000;TraesCS5D01G346200;TraesCS1D01G074500;TraesCS5B01G339100;TraesCS5D01G244800;TraesCS5A01G341000;TraesCS6A01G383800;TraesCS6D01G368800;TraesCS5A01G237900</t>
  </si>
  <si>
    <t>toxin metabolic process</t>
  </si>
  <si>
    <t>TraesCS7D01G063900;TraesCS6A01G240700;TraesCS7B01G346600;TraesCS1A01G275200;TraesCS3A01G110300;TraesCS6B01G169700;TraesCS7B01G370700;TraesCS6A01G141500;TraesCS1B01G096300;TraesCS2D01G349400;TraesCS7D01G435100;TraesCS5A01G156200;TraesCS1A01G217300;TraesCS5D01G205100;TraesCS5A01G177800;TraesCS5D01G207400;TraesCS3D01G072000;TraesCS1B01G197900;TraesCS6D01G130800;TraesCS3B01G489700;TraesCS7A01G339100;TraesCS2B01G198100;TraesCS3D01G412400;TraesCS6A01G244400;TraesCS6B01G258400;TraesCS1A01G203700;TraesCS6D01G291800;TraesCS4D01G315400;TraesCS7D01G346400;TraesCS3B01G446500;TraesCS4A01G091000;TraesCS7A01G338900;TraesCS1A01G182100;TraesCS6B01G284000;TraesCS1B01G198900;TraesCS3A01G199600;TraesCS1D01G111900;TraesCS4D01G326400;TraesCS2D01G507800;TraesCS5D01G244800;TraesCS2D01G033100;TraesCS1D01G044300;TraesCS5D01G085800;TraesCS4A01G419400;TraesCS2B01G393000;TraesCS6D01G342800;TraesCS4D01G339400;TraesCS1A01G078600;TraesCS6D01G225300;TraesCS2D01G520100;TraesCS7A01G282200;TraesCS2D01G289800;TraesCS3D01G444900;TraesCS2D01G598500;TraesCS1A01G203600;TraesCS2B01G151100;TraesCS6A01G272500;TraesCS5A01G027000;TraesCS3A01G344400;TraesCS7D01G506300;TraesCS5A01G182400;TraesCS5D01G328300;TraesCS3D01G308100;TraesCS1D01G207100;TraesCS1B01G268600;TraesCSU01G020500;TraesCS6D01G199500;TraesCS6D01G212400;TraesCS1A01G361000;TraesCS7B01G372400;TraesCS2B01G196400;TraesCS2B01G339600;TraesCS6B01G300000;TraesCSU01G169600;TraesCS5B01G197800;TraesCS5B01G468400;TraesCS2B01G308200;TraesCS6A01G353600;TraesCS7A01G241200;TraesCS5D01G163400;TraesCS5D01G183700;TraesCS1A01G043900;TraesCS1D01G039500;TraesCS6A01G305000;TraesCS3D01G260300;TraesCS6B01G246800;TraesCS3D01G445000;TraesCS2A01G507400;TraesCS1D01G249600;TraesCS6D01G226700;TraesCS3D01G103900;TraesCS3B01G278200;TraesCS6B01G280000;TraesCS5B01G339100;TraesCS6D01G222900;TraesCS2A01G224000;TraesCS2B01G605800;TraesCS3B01G354000;TraesCS4D01G035300;TraesCS7D01G345200;TraesCS1D01G080800;TraesCS1A01G078400;TraesCS1A01G215500;TraesCS5B01G307300;TraesCS5B01G026200;TraesCS6B01G291800;TraesCS5B01G246900;TraesCS7B01G250400;TraesCS2D01G229900;TraesCS3A01G077000;TraesCS6B01G386200;TraesCS3A01G249300;TraesCS5B01G175100;TraesCS6A01G383800;TraesCSU01G021700;TraesCS4D01G183100;TraesCS2B01G535500;TraesCS5B01G201100;TraesCS6D01G255200;TraesCS5B01G373000;TraesCS5D01G346200;TraesCS1D01G149100;TraesCS3B01G446800;TraesCS2B01G047300;TraesCS2D01G349000;TraesCS5A01G341000;TraesCS3A01G452400;TraesCS3B01G229900;TraesCS4A01G122800;TraesCS5B01G200000;TraesCS6A01G359900;TraesCS5D01G408200;TraesCS2A01G420800;TraesCS3D01G077200;TraesCS7B01G249200;TraesCS6D01G284200;TraesCS2B01G174500;TraesCS5D01G208900;TraesCS6A01G243000;TraesCS7A01G470400;TraesCS2B01G535400;TraesCS5D01G034700;TraesCS5B01G155700;TraesCS7A01G412400;TraesCS1B01G056900;TraesCS2D01G517200;TraesCS6A01G216100;TraesCS1D01G080600;TraesCS4D01G289900;TraesCS6A01G246400;TraesCS1A01G078200;TraesCS1D01G185200;TraesCS2D01G417800;TraesCS1B01G048500;TraesCS5A01G375000;TraesCS1D01G274800;TraesCS3D01G201900;TraesCS5A01G237900;TraesCS7D01G346100;TraesCS4A01G196000;TraesCS5D01G098900;TraesCS4A01G076900;TraesCS5A01G424300;TraesCS5B01G152600;TraesCS1D01G067800;TraesCS7A01G320000;TraesCS5B01G405400;TraesCS3A01G355700;TraesCS1D01G219100;TraesCS1D01G133900;TraesCS2B01G274200;TraesCS6A01G376300;TraesCS1A01G066800;TraesCS5D01G182100;TraesCS5D01G432800;TraesCS1A01G077700;TraesCS1D01G186500;TraesCS6A01G226100;TraesCS6B01G414100;TraesCS6D01G335900;TraesCS6B01G392700;TraesCS1D01G080400;TraesCS1B01G096800;TraesCS6D01G361500;TraesCS7D01G364900;TraesCS1A01G183000;TraesCS2D01G348900;TraesCS1B01G048300;TraesCS4D01G325500;TraesCS4A01G124800;TraesCS5B01G458900;TraesCS3B01G090400;TraesCS6A01G264800;TraesCS7A01G069300;TraesCS7D01G457800;TraesCS6B01G258500;TraesCS3A01G295000;TraesCS6B01G105800;TraesCS5A01G321500;TraesCS2B01G595300;TraesCS6D01G368800;TraesCS5B01G180400;TraesCS2B01G614100;TraesCS3B01G490900</t>
  </si>
  <si>
    <t>cellular catabolic process</t>
  </si>
  <si>
    <t>TraesCS4B01G142700;TraesCS7D01G225200;TraesCS4D01G141000;TraesCS5D01G039900;TraesCS4A01G174700;TraesCS5B01G031800</t>
  </si>
  <si>
    <t>late endosome</t>
  </si>
  <si>
    <t>TraesCS1A01G186100;TraesCS1D01G191100;TraesCS4B01G059100;TraesCS1D01G094700;TraesCS4B01G059300;TraesCS5D01G432700</t>
  </si>
  <si>
    <t>glutathione transferase activity</t>
  </si>
  <si>
    <t>TraesCS7D01G063900;TraesCS7A01G059500;TraesCS7D01G334900;TraesCS1A01G329500;TraesCS3B01G100600;TraesCS4A01G089800;TraesCS3B01G423200;TraesCS4D01G215100;TraesCS5B01G136400;TraesCS4D01G232700;TraesCS5A01G137700;TraesCS4D01G052500;TraesCS4A01G419400;TraesCS5D01G154300;TraesCS3B01G585400;TraesCS4D01G220500;TraesCS5D01G173900;TraesCS7A01G387000;TraesCS7D01G383600;TraesCS2A01G516800;TraesCS3A01G102200;TraesCS4A01G262600;TraesCS5B01G166300;TraesCS2A01G516500;TraesCS3D01G104500;TraesCS4B01G052300;TraesCS4A01G075600;TraesCS4B01G220200;TraesCS5A01G169500;TraesCS7D01G054000;TraesCS7D01G501700;TraesCS4A01G083900;TraesCS4B01G214500;TraesCS7A01G069300;TraesCS7A01G512300;TraesCS7B01G423900;TraesCS7A01G344600;TraesCS4A01G431500;TraesCS4B01G231400;TraesCS4A01G431600;TraesCSU01G249900</t>
  </si>
  <si>
    <t>N-terminal protein myristoylation</t>
  </si>
  <si>
    <t>protein myristoylation</t>
  </si>
  <si>
    <t>N-terminal protein lipidation</t>
  </si>
  <si>
    <t>TraesCS2D01G286300;TraesCS4D01G175700;TraesCS2D01G169000;TraesCS4D01G068200;TraesCS1D01G075500;TraesCS6A01G201100;TraesCS7D01G182700;TraesCS1A01G370700;TraesCS7A01G096500;TraesCS3A01G269900;TraesCS2A01G270200;TraesCS2D01G104600;TraesCS4A01G193600;TraesCS4D01G207500;TraesCS1B01G126600;TraesCS1D01G106100;TraesCS5A01G469000;TraesCS6A01G319600;TraesCS5D01G148900;TraesCS2D01G079200;TraesCS2B01G289000;TraesCS2A01G417200;TraesCS2D01G231600;TraesCS2D01G332300;TraesCS5B01G494500;TraesCS6A01G326000;TraesCS7B01G423100;TraesCS4B01G002000;TraesCS3B01G412500;TraesCS3A01G281900;TraesCS2A01G456600;TraesCS5D01G279100;TraesCS3B01G129900;TraesCS6D01G358700;TraesCS2B01G407600;TraesCS5B01G124200;TraesCS6A01G235100;TraesCS2D01G146100;TraesCS1D01G119500;TraesCS7A01G511800;TraesCS1A01G072600;TraesCS2D01G425700;TraesCS2D01G104500;TraesCS3D01G078900;TraesCS2A01G214400;TraesCS3D01G183900;TraesCS6B01G350400;TraesCS7B01G187600;TraesCS1A01G370600;TraesCS3B01G367500;TraesCS1D01G221000;TraesCS5B01G481300;TraesCS2A01G417300;TraesCS2A01G424900;TraesCS4A01G131000;TraesCS2B01G448100;TraesCS3A01G149000;TraesCS5D01G042300;TraesCS2B01G478700;TraesCS2D01G414500;TraesCS4D01G358900;TraesCS4D01G266400;TraesCS5B01G193200;TraesCS2B01G118500;TraesCS5A01G085900;TraesCS1D01G376700;TraesCS2B01G339600;TraesCS3A01G404400;TraesCS5A01G440400;TraesCS2B01G436100;TraesCS2B01G167900;TraesCS4B01G178600;TraesCS2A01G204500;TraesCS7D01G409700;TraesCS4D01G267500;TraesCS3B01G093300;TraesCS4B01G080900;TraesCS4D01G001200;TraesCS3B01G353000;TraesCS4B01G268100;TraesCS1A01G219400;TraesCS4B01G174000;TraesCS5B01G117700;TraesCS5B01G415700;TraesCS5A01G390300;TraesCS2D01G414600;TraesCS3B01G102300;TraesCS1B01G308200;TraesCS7A01G508700;TraesCS2B01G542300;TraesCS1B01G461600;TraesCS4D01G119700;TraesCS5B01G275200;TraesCS1A01G218100;TraesCS5D01G320800;TraesCS6B01G108000;TraesCS1D01G376600;TraesCS6A01G120300;TraesCS5A01G232700;TraesCS4B01G121500;TraesCS5B01G141900;TraesCS2A01G323000;TraesCS5B01G410000;TraesCS3B01G357500;TraesCS5B01G265400;TraesCS1A01G370400;TraesCS4B01G098200;TraesCS7A01G327700;TraesCS5A01G314700;TraesCS4B01G235300;TraesCS7B01G299200;TraesCS2B01G436200;TraesCS6B01G263800;TraesCS5B01G444100;TraesCS5D01G245300;TraesCS6D01G087700;TraesCS4B01G141500;TraesCS7D01G392800;TraesCS2A01G288000;TraesCS5A01G481300;TraesCS3D01G329400;TraesCS7D01G052600;TraesCS2D01G567000;TraesCS5B01G478300;TraesCS3B01G379200;TraesCS4D01G096400;TraesCS6A01G145600;TraesCS3A01G513200;TraesCS4A01G128100;TraesCS3A01G271700;TraesCS2A01G304000;TraesCS3D01G245500;TraesCS3A01G413700;TraesCS6B01G149000;TraesCS6D01G154400;TraesCS3A01G408000;TraesCS1B01G129800;TraesCS3A01G323800;TraesCS5D01G390700;TraesCS5A01G468300;TraesCS6A01G333600;TraesCS5A01G180800;TraesCS3A01G289200;TraesCS6A01G240400;TraesCS7B01G272900;TraesCS7D01G052500;TraesCS4A01G396400;TraesCS7B01G162100;TraesCS6A01G145500;TraesCS7A01G299600;TraesCS5D01G421100;TraesCS5B01G223600;TraesCS7D01G295100;TraesCS6B01G375400;TraesCS3D01G399600;TraesCS5D01G481700;TraesCS1D01G072600;TraesCS3D01G269600;TraesCS4D01G239600;TraesCS2A01G459700;TraesCS3B01G324400;TraesCS5D01G111300;TraesCS3B01G410500;TraesCS7A01G369500;TraesCS5B01G236900;TraesCS5A01G271500;TraesCS5B01G104200;TraesCS2B01G096000;TraesCS2A01G189600;TraesCS5D01G447500;TraesCS2D01G431000;TraesCS3A01G176500;TraesCS6D01G312800;TraesCS7A01G343000;TraesCS7A01G096300;TraesCS5B01G271800;TraesCS5B01G384500;TraesCS4A01G396300;TraesCS2A01G514300;TraesCS5A01G104900;TraesCS7D01G052400;TraesCS1D01G223600;TraesCS2A01G081400;TraesCS2A01G101900;TraesCS2B01G304800;TraesCS4B01G346100;TraesCS5D01G092000;TraesCS3B01G208300;TraesCS5B01G362600;TraesCS3D01G408100;TraesCS5B01G108500;TraesCS1A01G350400;TraesCS7A01G416400;TraesCS3B01G255400;TraesCS3D01G317400;TraesCS1B01G326700;TraesCS3D01G289000;TraesCS7A01G376100;TraesCS5A01G143100;TraesCS5D01G273600;TraesCS5A01G112600;TraesCS1A01G401800;TraesCS5B01G313000;TraesCS1B01G274300;TraesCS1B01G304800;TraesCS5A01G238400;TraesCS5B01G095900;TraesCS2D01G100900;TraesCS3B01G568300;TraesCS4A01G396200;TraesCS4D01G094400;TraesCS1D01G292700;TraesCS4A01G098900;TraesCS4A01G176200;TraesCS5A01G400000;TraesCS3A01G413600;TraesCS3D01G408000;TraesCS4B01G069500;TraesCS5A01G380900;TraesCS5A01G124600;TraesCS2D01G456900;TraesCS3A01G109300;TraesCS5A01G258100;TraesCS7D01G508800;TraesCS1B01G326600;TraesCS5D01G518700;TraesCS4D01G268100;TraesCS3B01G371200;TraesCS3B01G375800;TraesCS7A01G264800;TraesCS1B01G243100;TraesCS5D01G183100;TraesCS2A01G427700;TraesCS3B01G176200;TraesCS3D01G370800;TraesCS4A01G130600;TraesCS5D01G232700;TraesCS2B01G217500;TraesCS4D01G176000;TraesCS7B01G364600;TraesCS3D01G354100;TraesCS5B01G480900;TraesCS2D01G464400;TraesCS6A01G406700;TraesCS7D01G000200;TraesCS3B01G270500;TraesCS5B01G142100;TraesCS3A01G167200;TraesCS4A01G062800;TraesCS4A01G001300;TraesCS3A01G377700;TraesCS6A01G108800;TraesCS4D01G236600;TraesCS3D01G296100;TraesCS5D01G481200;TraesCS6B01G364000;TraesCS6D01G239700;TraesCS4B01G100100;TraesCS5D01G244800;TraesCS3B01G448000;TraesCS2D01G211400;TraesCS5A01G251800;TraesCS7A01G270100;TraesCS3A01G343900;TraesCS4B01G173600;TraesCS5D01G097900;TraesCS5B01G118200;TraesCS4D01G178400;TraesCS5B01G257300;TraesCS6D01G074200;TraesCS6D01G217800;TraesCS6D01G110400;TraesCS7A01G057800;TraesCS3A01G379900;TraesCS5D01G205000;TraesCS4A01G001400;TraesCS3B01G314600;TraesCS7B01G434700;TraesCS2D01G269200;TraesCS4A01G035400;TraesCS3D01G289500;TraesCS6B01G193200;TraesCS4A01G129400;TraesCS4D01G177000;TraesCS5A01G395100;TraesCS3B01G199000;TraesCS5B01G315600;TraesCS3B01G448100;TraesCS5B01G176300;TraesCS2D01G198200;TraesCS3D01G401200;TraesCS3D01G238300;TraesCS5D01G450500;TraesCS4B01G299700;TraesCS4D01G105100;TraesCS4A01G216100;TraesCS3B01G441600;TraesCS3D01G173300;TraesCS3B01G330700;TraesCS7B01G316600;TraesCS4A01G059600;TraesCS1A01G314400;TraesCS7A01G365600;TraesCS3A01G111200;TraesCS1A01G421900;TraesCS5B01G236400;TraesCS7D01G497400;TraesCS1B01G232300;TraesCS2A01G102000;TraesCS2D01G515900;TraesCS2A01G433000;TraesCS7D01G336400;TraesCS2B01G116900;TraesCS3D01G227400;TraesCS5A01G265700;TraesCS5D01G185300;TraesCS6D01G134800;TraesCS2D01G339900;TraesCS2A01G201800;TraesCS7D01G345200;TraesCS7A01G306100;TraesCS7D01G526100;TraesCS3D01G341100;TraesCS5D01G232800;TraesCS7B01G160900;TraesCS1B01G453300;TraesCS6D01G110600;TraesCS3B01G303800;TraesCS7A01G509000;TraesCS3D01G281900;TraesCS4A01G219700;TraesCS3A01G406000;TraesCS5B01G415400;TraesCS5A01G090100;TraesCS1D01G398400;TraesCS4B01G108000;TraesCS7A01G328600;TraesCS7D01G283800;TraesCS7D01G092500;TraesCS6B01G284300;TraesCS4D01G136500;TraesCS2B01G454300;TraesCS2D01G414300;TraesCS1A01G298600;TraesCS4D01G312300;TraesCS5D01G116100;TraesCS2B01G135600;TraesCS7D01G551700;TraesCS1D01G376500;TraesCS7B01G259000;TraesCS7D01G171300;TraesCS5D01G129400;TraesCS1D01G429800;TraesCS2B01G436300;TraesCS7B01G249200;TraesCS3B01G439600;TraesCS7A01G518800;TraesCS1A01G389500;TraesCS6D01G299000;TraesCS7D01G092600;TraesCS5D01G071800;TraesCS5B01G224000;TraesCS7D01G110600;TraesCS7D01G372500;TraesCS6B01G148700;TraesCS2B01G187500;TraesCS2A01G389400;TraesCS4D01G180200;TraesCS6A01G258500;TraesCS2D01G387300;TraesCS4A01G071800;TraesCS1B01G235100;TraesCS2B01G320700;TraesCS7D01G201700;TraesCS1A01G263700;TraesCS2A01G101400;TraesCS1D01G263800;TraesCS6B01G451300;TraesCS5D01G266300;TraesCS4B01G239700;TraesCS5D01G321000;TraesCS1D01G314800;TraesCS2A01G391700;TraesCS2D01G386100;TraesCS2A01G388300;TraesCS5A01G237900;TraesCS5A01G080300;TraesCS7D01G497300;TraesCS4A01G171500;TraesCS1A01G302700;TraesCS3A01G289700;TraesCS5B01G564100;TraesCS3D01G157100;TraesCS7D01G353800;TraesCS6D01G222600;TraesCS7A01G116000;TraesCS5A01G468800;TraesCS3B01G130000;TraesCS5B01G067700;TraesCS6A01G080500;TraesCS3A01G078400;TraesCS3A01G336500;TraesCS7A01G423800;TraesCS3A01G242500;TraesCS6A01G120600;TraesCS4B01G228600;TraesCS2D01G285300;TraesCS3D01G431700;TraesCS7D01G501000;TraesCS1D01G265800;TraesCS1D01G314900;TraesCS5A01G411900;TraesCS2D01G051000;TraesCS5B01G075300;TraesCS3B01G310500;TraesCS7D01G092400;TraesCS3A01G229300;TraesCS1A01G221900;TraesCS3D01G372900;TraesCS5A01G312000;TraesCS3D01G242500;TraesCS3B01G273600;TraesCS4B01G205400;TraesCS4A01G126300;TraesCS3A01G347500;TraesCS3D01G276600;TraesCS3D01G113300;TraesCS3A01G276500;TraesCS6B01G173900;TraesCS1D01G429900;TraesCS5A01G411800;TraesCS3A01G245900;TraesCS6A01G165800</t>
  </si>
  <si>
    <t>TraesCS3A01G289200;TraesCS7D01G392800;TraesCS7A01G470400;TraesCS3D01G289000;TraesCS5B01G428000;TraesCS4D01G045300;TraesCS6D01G257000;TraesCS4B01G045400;TraesCS5D01G244800;TraesCS1B01G219300;TraesCS5B01G315600;TraesCS2D01G211400;TraesCS6A01G250800;TraesCS7B01G372400;TraesCS7A01G270100;TraesCS5D01G207400;TraesCS5A01G205000;TraesCS5B01G502200;TraesCS5B01G200000;TraesCS4D01G239600;TraesCS1D01G074500;TraesCS7D01G457800;TraesCS7B01G299200;TraesCS2A01G204500;TraesCS4B01G239700;TraesCS1A01G205800;TraesCS3A01G299000;TraesCS5A01G237900;TraesCS4A01G062800;TraesCS5B01G236400</t>
  </si>
  <si>
    <t>TraesCS6D01G230600;TraesCS4A01G091000;TraesCS1D01G111900;TraesCS5A01G424300;TraesCS5D01G346200;TraesCS7A01G412400;TraesCS5B01G339100;TraesCS5A01G341000;TraesCS6B01G276200;TraesCS3B01G357200;TraesCS5D01G169300;TraesCS4A01G122800;TraesCS6A01G248500;TraesCS7A01G339100;TraesCS2B01G198100;TraesCS7B01G250400;TraesCS3B01G013200;TraesCS3A01G077000;TraesCS6B01G105800;TraesCS3D01G077200;TraesCS4D01G187900;TraesCS2A01G386000;TraesCS6A01G383800;TraesCS6D01G368800;TraesCS2D01G382500;TraesCS4D01G183100;TraesCS5D01G432800;TraesCS7D01G346400</t>
  </si>
  <si>
    <t>TraesCS2A01G158800;TraesCS1D01G266000;TraesCS2A01G158700;TraesCS1A01G021000;TraesCS6B01G095100;TraesCS2A01G270500;TraesCS1A01G021400;TraesCS1D01G265900;TraesCS5B01G280900;TraesCS1A01G265600;TraesCS1A01G265700;TraesCS7D01G392600;TraesCS2B01G184300;TraesCS5D01G289000;TraesCS6A01G071000;TraesCS7B01G299100;TraesCS1D01G020600;TraesCS1B01G276800;TraesCS1B01G276500;TraesCS2B01G289300;TraesCS2D01G165800;TraesCS3A01G093900;TraesCS5D01G288900</t>
  </si>
  <si>
    <t>regulation of hydrolase activity</t>
  </si>
  <si>
    <t>TraesCS2B01G208900;TraesCS1D01G398400;TraesCS6D01G393600;TraesCS5B01G482400;TraesCS7A01G246700;TraesCS7D01G392800;TraesCS1B01G456700;TraesCS1A01G178700;TraesCS5D01G346200;TraesCS3A01G437000;TraesCS1A01G275200;TraesCS1A01G093800;TraesCS5A01G341000;TraesCS4D01G096400;TraesCS4D01G015000;TraesCS3B01G361500;TraesCS4D01G285800;TraesCS5A01G177800;TraesCS5D01G207400;TraesCS7B01G259000;TraesCS3D01G072000;TraesCS5D01G169300;TraesCS5B01G200000;TraesCS2D01G077300;TraesCS3D01G324400;TraesCS3B01G108000;TraesCS3D01G139300;TraesCS5A01G469800;TraesCS4B01G237300;TraesCS2A01G080000;TraesCS7A01G110500;TraesCS4D01G141000;TraesCS1D01G177000;TraesCS1B01G164200;TraesCS3B01G156600;TraesCS1A01G389500;TraesCS2B01G174500;TraesCS2B01G367700;TraesCS7D01G548200;TraesCS3B01G471300;TraesCS4A01G297000;TraesCS7B01G008400;TraesCS5D01G482800;TraesCS7A01G470400;TraesCS4D01G045300;TraesCS7A01G412400;TraesCS7B01G272900;TraesCS1B01G201800;TraesCS4B01G045400;TraesCS7A01G264500;TraesCS5B01G097600;TraesCS6D01G239700;TraesCS4B01G100100;TraesCS5D01G244800;TraesCS7D01G368000;TraesCS1D01G119500;TraesCS6D01G252900;TraesCS6A01G258500;TraesCS2A01G155500;TraesCS2D01G428000;TraesCS4D01G015100;TraesCS1B01G229100;TraesCS6A01G116000;TraesCS7A01G469200;TraesCS2B01G271700;TraesCS5A01G455100;TraesCS7A01G369500;TraesCS2A01G384100;TraesCS5B01G236900;TraesCS2D01G598500;TraesCS6D01G104800;TraesCS1D01G102400;TraesCS1D01G274800;TraesCS5A01G237900;TraesCS6A01G272900;TraesCS4A01G001400;TraesCS4A01G043800;TraesCS6A01G226200;TraesCS4A01G089700;TraesCS4A01G035400;TraesCS7D01G353800;TraesCS4D01G215200;TraesCS4D01G238600;TraesCS6D01G039300;TraesCS3A01G309800;TraesCS1D01G067800;TraesCS6A01G216800;TraesCS5B01G214500;TraesCS5D01G223800;TraesCS4D01G264500;TraesCS7B01G370900;TraesCS7B01G372400;TraesCS2B01G530300;TraesCS2A01G430400;TraesCS4B01G228600;TraesCS2D01G285300;TraesCS1A01G215600;TraesCS4A01G017000;TraesCS7D01G245500;TraesCS2D01G392800;TraesCS4A01G216100;TraesCS5D01G183700;TraesCS5D01G104200;TraesCS1A01G066800;TraesCS5A01G216000;TraesCS7B01G316600;TraesCS7D01G409700;TraesCS4D01G001200;TraesCS5D01G182100;TraesCS5D01G465500;TraesCS5B01G463900;TraesCS6D01G198700;TraesCS2B01G336000;TraesCS7A01G416400;TraesCS1D01G073100;TraesCS1A01G308900;TraesCS2B01G180500;TraesCS3B01G310500;TraesCS6B01G246000;TraesCS7B01G369900;TraesCS5B01G339100;TraesCS2B01G605800;TraesCS7D01G456700;TraesCS6B01G255400;TraesCS4A01G174700;TraesCS3D01G104200;TraesCS4B01G142700;TraesCS5B01G307300;TraesCS1D01G108300;TraesCS5B01G502200;TraesCS7A01G561600;TraesCS5B01G392400;TraesCS7D01G457800;TraesCS3D01G276600;TraesCS7B01G299200;TraesCS7B01G144600;TraesCS3A01G276500;TraesCS1D01G144600;TraesCS5B01G175100;TraesCS7D01G455900;TraesCS1A01G295300;TraesCS4B01G287100</t>
  </si>
  <si>
    <t>response to organic substance</t>
  </si>
  <si>
    <t>TraesCS5B01G392400;TraesCS4B01G100100;TraesCS4A01G216100;TraesCS4D01G096400</t>
  </si>
  <si>
    <t>response to insect</t>
  </si>
  <si>
    <t>TraesCS7D01G063900;TraesCS2D01G374600;TraesCS7B01G241200;TraesCS1A01G428400;TraesCS4A01G089800;TraesCS6B01G284000;TraesCS3A01G109500;TraesCS4D01G215100;TraesCS6A01G240700;TraesCS7A01G412400;TraesCS6D01G222900;TraesCS5B01G445100;TraesCS2A01G389900;TraesCS5B01G445200;TraesCS7A01G392800;TraesCS3B01G344600;TraesCS4A01G419400;TraesCS5D01G173900;TraesCS7D01G305300;TraesCS1B01G463100;TraesCS3A01G481000;TraesCS7B01G208700;TraesCS1D01G437700;TraesCS7A01G308600;TraesCS7B01G294800;TraesCS5B01G166300;TraesCS4B01G318900;TraesCS2B01G347800;TraesCS5D01G031200;TraesCS5A01G169500;TraesCS7D01G501700;TraesCS4B01G214500;TraesCS7A01G069300;TraesCS7A01G512300;TraesCS7B01G423900;TraesCS5B01G561300;TraesCS7D01G388400;TraesCS3D01G310200;TraesCS4D01G315400</t>
  </si>
  <si>
    <t>TraesCS2B01G605800;TraesCS1B01G250600;TraesCS7A01G264500;TraesCS2A01G389900;TraesCS5D01G163400;TraesCS1D01G238900;TraesCS5B01G155700</t>
  </si>
  <si>
    <t>para-aminobenzoic acid metabolic process</t>
  </si>
  <si>
    <t>TraesCS4D01G147600;TraesCS4A01G145300;TraesCS4B01G335100;TraesCS7B01G346600;TraesCS2B01G141900;TraesCS4B01G052700;TraesCS5B01G151000;TraesCS5A01G190400;TraesCS2A01G121000;TraesCS5A01G152400;TraesCS5D01G157600;TraesCS4B01G125700;TraesCS5A01G505000;TraesCS7D01G435100</t>
  </si>
  <si>
    <t>erythrose 4-phosphate/phosphoenolpyruvate family amino acid biosynthetic process</t>
  </si>
  <si>
    <t>TraesCS2D01G538400;TraesCS3B01G490000;TraesCS1A01G218400;TraesCS5D01G359000;TraesCS2D01G022300;TraesCS6D01G358600;TraesCS7D01G092900;TraesCS1D01G167600;TraesCS1B01G454000;TraesCS3B01G295000;TraesCS7B01G473700;TraesCS2A01G389900;TraesCS3B01G455000;TraesCS4D01G207500;TraesCS6A01G124500;TraesCS7A01G163300;TraesCS6B01G052400;TraesCS2D01G479100;TraesCS2B01G236800;TraesCS7D01G318600;TraesCS2D01G079200;TraesCS2A01G190200;TraesCS4B01G157800;TraesCS3B01G485900;TraesCS5B01G104500;TraesCS7A01G476700;TraesCS2B01G350500;TraesCS3A01G276200;TraesCS3D01G049000;TraesCS3D01G278000;TraesCS2D01G380500;TraesCS3A01G033000;TraesCS6D01G360900;TraesCS7B01G245800;TraesCS3A01G342000;TraesCS2D01G219800;TraesCS6B01G225700;TraesCS5B01G526200;TraesCS6A01G052100;TraesCS4B01G376800;TraesCS5A01G447200;TraesCS5A01G350800;TraesCS2A01G170600;TraesCS2D01G255700;TraesCS2D01G297300;TraesCS4B01G054900;TraesCS3D01G351600;TraesCS1A01G367200;TraesCS2A01G182800;TraesCS2A01G216700;TraesCS3D01G234400;TraesCS5B01G135200;TraesCS2A01G537900;TraesCS7D01G444700;TraesCS3B01G126400;TraesCS2B01G477600;TraesCS1D01G074500;TraesCS7B01G047300;TraesCS3D01G270300;TraesCS3A01G274000;TraesCS3A01G163300;TraesCS5B01G371800;TraesCS6B01G145700;TraesCS3D01G316400;TraesCS1A01G343000;TraesCS1D01G100900;TraesCS1A01G184500;TraesCS3A01G344400;TraesCS1A01G243400;TraesCS3A01G048700;TraesCS7B01G239300;TraesCS3A01G107600;TraesCS1B01G385100;TraesCS4A01G089700;TraesCS2A01G479900;TraesCS3A01G034300;TraesCS4B01G238700;TraesCS5D01G328300;TraesCS6A01G078700;TraesCS3B01G113500;TraesCS5B01G183500;TraesCS2D01G537100;TraesCS5D01G387900;TraesCS5B01G146100;TraesCS1D01G439400;TraesCS7B01G356500;TraesCS2A01G384000;TraesCS5D01G524800;TraesCS3B01G049700;TraesCS3B01G196900;TraesCS1A01G182300;TraesCS5A01G197200;TraesCS4A01G062000;TraesCS7B01G415400;TraesCS2B01G180500;TraesCS1D01G335400;TraesCS6A01G377700;TraesCS2B01G605800;TraesCS6A01G000500;TraesCS2B01G437300;TraesCS4B01G106000;TraesCS5B01G526000;TraesCS7D01G087100;TraesCS3B01G306400;TraesCS3D01G030600;TraesCS6A01G250800;TraesCS4B01G047100;TraesCS1A01G367000;TraesCS5A01G322300;TraesCS3A01G357700;TraesCS2A01G216500;TraesCS7D01G165300;TraesCS3A01G045200;TraesCS3B01G390400;TraesCS1B01G231900;TraesCS2D01G415700;TraesCS3B01G401600;TraesCS5D01G181500;TraesCS6A01G225400;TraesCS2A01G418300;TraesCS1B01G162400;TraesCS7A01G455800;TraesCS3A01G310400;TraesCS2D01G057600;TraesCS1D01G146900;TraesCS1D01G345200;TraesCS5B01G184600;TraesCS6D01G211900;TraesCS6A01G140800;TraesCS1D01G243400;TraesCS1D01G163400;TraesCS1D01G218200;TraesCS2D01G097700;TraesCS7A01G118900;TraesCS5B01G188600;TraesCS7A01G435300;TraesCS5D01G328100;TraesCS2B01G537800;TraesCS2D01G223000;TraesCS3A01G272900;TraesCS2B01G485600;TraesCS3B01G289400;TraesCS6D01G157900;TraesCS2B01G053300;TraesCS7A01G480100;TraesCS7A01G031700;TraesCS2D01G364400;TraesCS3A01G152200;TraesCS2D01G216700;TraesCS3D01G104100;TraesCS3A01G257500;TraesCS1B01G384900;TraesCS2A01G525300;TraesCS3B01G307700;TraesCS1B01G091900;TraesCS6B01G051700;TraesCS2D01G537700;TraesCS7D01G495700;TraesCS4A01G414700;TraesCS4D01G261400;TraesCS3A01G256200;TraesCS5A01G401400;TraesCS5B01G501300;TraesCS7D01G097500;TraesCS2B01G242200;TraesCS1D01G419400;TraesCS6A01G178500;TraesCS7D01G324900;TraesCS4A01G098600;TraesCS3D01G256400;TraesCS2B01G001400;TraesCS6B01G163100;TraesCS7A01G333500;TraesCS7A01G167300;TraesCS2B01G045700;TraesCS1A01G080500;TraesCS1A01G330500;TraesCS5D01G104900;TraesCS3A01G290300;TraesCS7B01G309900;TraesCS6B01G300900;TraesCS2B01G536500;TraesCS6D01G122100;TraesCS7A01G264400;TraesCS1D01G372600;TraesCS5A01G294600;TraesCSU01G111800;TraesCS1B01G382500;TraesCS3D01G257500;TraesCS5D01G063800;TraesCS4B01G174300;TraesCS6B01G204600;TraesCS7B01G260800;TraesCS2B01G096000;TraesCS5B01G538800;TraesCS6B01G412500;TraesCS7D01G248200;TraesCS2B01G124100;TraesCS1A01G304200;TraesCS1A01G430100;TraesCS7B01G107300;TraesCS7B01G069100;TraesCS5B01G247700;TraesCS2A01G493800;TraesCS5B01G152600;TraesCS6A01G155200;TraesCS5A01G297900;TraesCS3D01G290100;TraesCS1D01G379000;TraesCS3B01G153800;TraesCS3A01G261800;TraesCS3A01G355700;TraesCS4A01G029800;TraesCS7B01G395000;TraesCS7D01G335800;TraesCS1A01G372400;TraesCS5D01G312800;TraesCSU01G238700;TraesCS3A01G224400;TraesCS6B01G199700;TraesCS1B01G376000;TraesCS6D01G110100;TraesCS7A01G242800;TraesCS2D01G491600;TraesCS3B01G291900;TraesCS3A01G129000;TraesCS7D01G065500;TraesCS1D01G236900;TraesCS4D01G059300;TraesCS6D01G146500;TraesCS2A01G211200;TraesCS1D01G140300;TraesCS4B01G315400;TraesCS2A01G431100;TraesCS5A01G426500;TraesCS1A01G411600;TraesCS2A01G040900;TraesCS5B01G540900;TraesCS1B01G356200;TraesCS6B01G205900;TraesCS5D01G190600;TraesCS2B01G070900;TraesCS4B01G201600;TraesCS4D01G176300;TraesCS5A01G205500;TraesCS3D01G261800;TraesCS5B01G204900;TraesCS7D01G146400;TraesCS1D01G372400;TraesCS5A01G016200;TraesCS6B01G256200;TraesCS2D01G117200;TraesCS3B01G473100;TraesCS1B01G001800;TraesCS5B01G538600;TraesCS2B01G394700;TraesCS7D01G355100;TraesCS7D01G086900;TraesCS2B01G208900;TraesCS2A01G343100;TraesCS7D01G114100;TraesCS7D01G449500;TraesCS6A01G241000;TraesCS2D01G582800;TraesCS2A01G049700;TraesCS2B01G101300;TraesCS6B01G471400;TraesCS1B01G167700;TraesCS3B01G600300;TraesCS1D01G082600;TraesCS2B01G060900;TraesCS7B01G225500;TraesCS2A01G538200;TraesCS5B01G384300;TraesCS5D01G475900;TraesCS7A01G249400;TraesCS7D01G356200;TraesCS6D01G166100;TraesCS7D01G085800;TraesCS6A01G336600;TraesCS6B01G415700;TraesCS6D01G195900;TraesCS6A01G378000;TraesCS2D01G451100;TraesCS2D01G222300;TraesCS4B01G203000;TraesCS4D01G340500;TraesCS2A01G199700;TraesCS1A01G016100;TraesCS1D01G364000;TraesCS5D01G358600;TraesCS4B01G162700;TraesCS5D01G048600;TraesCS1D01G381800;TraesCS1A01G259500;TraesCS6B01G412400;TraesCS2D01G509300;TraesCS4A01G010000;TraesCS4A01G255400;TraesCS6D01G257000;TraesCS4D01G238900;TraesCS4D01G293200;TraesCS3B01G348200;TraesCS2D01G463100;TraesCS2A01G509900;TraesCS1B01G119600;TraesCS2B01G324900;TraesCS1A01G273600;TraesCS2A01G463900;TraesCS7A01G213000;TraesCS6A01G258900;TraesCS6B01G413500;TraesCS6D01G359100;TraesCS2A01G371600;TraesCS7A01G343800;TraesCS5D01G163500;TraesCS3A01G477300;TraesCS3D01G049700;TraesCS5D01G519800;TraesCS3D01G335700;TraesCS4B01G287300;TraesCS5A01G429000;TraesCS7A01G091400;TraesCS3B01G119600;TraesCS2A01G106500;TraesCS1A01G079700;TraesCS2D01G485300;TraesCS7D01G506300;TraesCS2D01G185000;TraesCS4A01G402100;TraesCS6D01G056600;TraesCS4B01G345400;TraesCS3A01G230900;TraesCS5A01G376700;TraesCSU01G003600;TraesCS1A01G342600;TraesCS3D01G441900;TraesCS1B01G347100;TraesCS6D01G210100;TraesCS3B01G325100;TraesCS5B01G428400;TraesCS3A01G317700;TraesCS5D01G059300;TraesCS1A01G332800;TraesCS4A01G396700;TraesCS7D01G085600;TraesCS7A01G226500;TraesCS2D01G107100;TraesCSU01G016900;TraesCS1D01G372900;TraesCS2D01G455900;TraesCS2D01G577000;TraesCS3A01G064400;TraesCS4D01G126900;TraesCS3A01G362500;TraesCS3B01G166600;TraesCS3B01G288100;TraesCS7D01G300200;TraesCS1A01G048100;TraesCS5D01G390500;TraesCS3A01G122300;TraesCS5B01G327800;TraesCS1D01G052000;TraesCS3D01G172200;TraesCS6D01G105000;TraesCS1B01G324000;TraesCSU01G047400;TraesCS7D01G265400;TraesCS4A01G323500;TraesCS4D01G352700;TraesCS3D01G345700;TraesCS1A01G047000;TraesCS1A01G080700;TraesCS6A01G277600;TraesCS6B01G381300;TraesCS2B01G035300;TraesCS3D01G219900;TraesCS1D01G076200;TraesCS5B01G208300;TraesCS2B01G100200;TraesCS6B01G152700;TraesCS7A01G321600;TraesCS7D01G451300;TraesCS1B01G269800;TraesCS6A01G301300;TraesCS1D01G047900;TraesCS6B01G059800;TraesCS6D01G158300;TraesCS4D01G089300;TraesCS5D01G069700;TraesCS5B01G520600;TraesCS1D01G335500;TraesCS5B01G474500;TraesCS1A01G296300;TraesCS2B01G240800;TraesCS1D01G239700;TraesCS6A01G327500;TraesCS1D01G082200;TraesCS7B01G301400;TraesCS7D01G463300;TraesCS1D01G032600;TraesCS2D01G222700;TraesCS2D01G564300;TraesCS5A01G152800;TraesCS3D01G324400;TraesCS4A01G384500;TraesCS5B01G225200;TraesCS6A01G375800;TraesCS3D01G272300;TraesCS2D01G528200;TraesCS1B01G109400;TraesCS2B01G241900;TraesCS2D01G464800;TraesCS4B01G132000;TraesCS5D01G455900;TraesCS6D01G328800;TraesCS4B01G216700;TraesCS6D01G335300;TraesCS7D01G357100;TraesCS5B01G056700;TraesCS1A01G073300;TraesCS1B01G385200;TraesCS4B01G055600;TraesCS1B01G251700;TraesCS7A01G131300;TraesCS3A01G439200;TraesCS1B01G375400;TraesCS3A01G357100;TraesCS3B01G352300;TraesCS2B01G539200;TraesCS4D01G312400;TraesCS2A01G182400;TraesCS3D01G315700;TraesCS4A01G071800;TraesCS3D01G349700;TraesCS1B01G157700;TraesCS1D01G259300;TraesCS3D01G542300;TraesCS2D01G098200;TraesCS6B01G069800;TraesCS7B01G167100;TraesCS5A01G222300;TraesCS2A01G150600;TraesCS5D01G195700;TraesCS4A01G171500;TraesCS5A01G048600;TraesCS4A01G211600;TraesCS3D01G262300;TraesCS5D01G212900;TraesCS7A01G384500;TraesCS6D01G362500;TraesCS3D01G319000;TraesCS6D01G316600;TraesCS3D01G273200;TraesCS2A01G117800;TraesCS2D01G190200;TraesCS5D01G158100;TraesCS6D01G107600;TraesCS2A01G209900;TraesCS7D01G364700;TraesCS5A01G173300;TraesCS7D01G167900;TraesCS7D01G444400;TraesCS2A01G023900;TraesCS4D01G229100;TraesCS7D01G037700;TraesCS3D01G230300;TraesCS5A01G463100;TraesCS1D01G359900;TraesCS2D01G227300;TraesCS1A01G066800;TraesCS5A01G185500;TraesCS3A01G419600;TraesCS6D01G050900;TraesCS5A01G514500;TraesCS3B01G410000;TraesCS3B01G376300;TraesCS5A01G210300;TraesCS6D01G047500;TraesCS3D01G182600;TraesCS3D01G337900;TraesCS1D01G073100;TraesCS6D01G381200;TraesCS3B01G253900;TraesCS1D01G333500;TraesCS2D01G509500;TraesCS2B01G401300;TraesCS3B01G295500;TraesCS3D01G136300;TraesCS7D01G130600;TraesCS3B01G053800;TraesCS6A01G374700;TraesCS2B01G187300;TraesCS3A01G034600;TraesCS2A01G033700;TraesCS6D01G115200;TraesCS4D01G220500;TraesCS2D01G178100;TraesCS5B01G437300;TraesCS7D01G203800;TraesCS1B01G157900;TraesCS7D01G341800;TraesCS3A01G123000;TraesCS4B01G054700;TraesCS4D01G325500;TraesCS2A01G008300;TraesCS7D01G048600;TraesCS7A01G091200;TraesCS7D01G128300;TraesCS1A01G429800;TraesCS4D01G267800;TraesCS2B01G071200;TraesCS6A01G211400;TraesCS3B01G374100;TraesCS1B01G204700;TraesCS2A01G030200;TraesCS3B01G280000;TraesCS1D01G295800;TraesCS3D01G535700;TraesCS7B01G325900;TraesCS3A01G493100;TraesCS1D01G220000;TraesCS2B01G197000;TraesCS6D01G161200;TraesCS6B01G305600;TraesCS7A01G127100;TraesCS2A01G056800;TraesCS3A01G097800;TraesCS1D01G005400;TraesCS4A01G101600;TraesCS3A01G255600;TraesCS7D01G136700;TraesCS1B01G254900;TraesCS2A01G418200;TraesCS5D01G031500;TraesCS6A01G225300;TraesCS2A01G455600;TraesCS5B01G151600;TraesCS2D01G549400;TraesCS2B01G243000;TraesCS4B01G181800;TraesCS6D01G240100;TraesCS5D01G021700;TraesCS3B01G194400;TraesCS2D01G217500;TraesCS5D01G478700;TraesCS1A01G002500;TraesCS5D01G374300;TraesCS2A01G503800;TraesCS1A01G424200;TraesCS6D01G153600;TraesCS2B01G489700;TraesCS5A01G062600;TraesCS2B01G236900;TraesCS3D01G209100;TraesCS6B01G006600;TraesCSU01G008300;TraesCS3B01G206500;TraesCS2D01G321400;TraesCS1B01G157300;TraesCS3B01G311900;TraesCS2D01G504300;TraesCS2B01G271700;TraesCS7B01G255500;TraesCS2A01G384100;TraesCS2D01G197600;TraesCS1D01G259700;TraesCS7B01G356400;TraesCS3A01G096500;TraesCS2D01G219900;TraesCS1D01G346200;TraesCS5B01G381500;TraesCS6B01G225800;TraesCS7B01G287100;TraesCS2B01G365900;TraesCS3D01G472000;TraesCS5D01G480600;TraesCS2B01G437200;TraesCS4D01G215200;TraesCS3D01G500800;TraesCS2D01G031100;TraesCS3D01G036000;TraesCS5A01G085900;TraesCS1A01G367100;TraesCS7D01G366600;TraesCS5B01G380400;TraesCS1D01G303700;TraesCS2D01G562200;TraesCS2A01G346000;TraesCS2D01G415600;TraesCS7D01G316100;TraesCS1D01G037200;TraesCS1D01G123700;TraesCS6B01G197000;TraesCS2D01G428900;TraesCS3D01G316700;TraesCS5A01G369500;TraesCS3B01G158300;TraesCS4B01G214600;TraesCS1B01G089100;TraesCS3D01G178300;TraesCS5B01G138400;TraesCS1B01G385000;TraesCS3D01G048000;TraesCS3D01G136700;TraesCS1B01G217500;TraesCS1B01G198700;TraesCS4D01G184200;TraesCS7D01G395100;TraesCS1D01G273800;TraesCS1A01G344000;TraesCS3D01G053600;TraesCS1D01G301300;TraesCS6A01G204600;TraesCS2D01G344700;TraesCS6B01G153000;TraesCS4B01G261800;TraesCS6A01G135100;TraesCS6D01G383900;TraesCS4D01G055000;TraesCS1D01G439300;TraesCS6D01G360800;TraesCS7D01G124900;TraesCS5B01G572600;TraesCS1D01G004700;TraesCS2B01G044700;TraesCS3A01G256300;TraesCS3D01G046000;TraesCS1D01G140400;TraesCS7A01G231600;TraesCS3B01G321100;TraesCS5B01G321800;TraesCS6A01G132400;TraesCS2B01G326900;TraesCS3B01G306500;TraesCS3D01G256500;TraesCS1A01G141300;TraesCS2D01G572600;TraesCS1B01G447200;TraesCS1B01G392400;TraesCS1A01G080600;TraesCS2B01G532000;TraesCS2B01G536600;TraesCS5A01G186000;TraesCS7D01G467100;TraesCS1D01G372700;TraesCS6D01G145100;TraesCS1B01G441900;TraesCS1A01G259900;TraesCS5D01G434500;TraesCS2D01G493700;TraesCS4B01G174200;TraesCS7B01G031900;TraesCS4A01G207800;TraesCS5D01G216400;TraesCS1A01G122800;TraesCS5D01G357800;TraesCS2B01G114000;TraesCS2A01G255300;TraesCS3B01G304300;TraesCS4A01G130300;TraesCS6A01G124800;TraesCS2A01G155500;TraesCS6D01G363200;TraesCS3B01G141500;TraesCS6A01G266900;TraesCS7D01G321500;TraesCS5D01G157900;TraesCS7B01G333700;TraesCS7D01G380900;TraesCS1B01G311400;TraesCS3A01G050300;TraesCS3D01G104000;TraesCS5A01G380700;TraesCS7B01G356800;TraesCS5A01G321300;TraesCS6A01G171800;TraesCS2A01G211300;TraesCS1D01G130400;TraesCS5B01G428000;TraesCS5A01G206700;TraesCS7D01G261300;TraesCS1B01G356100;TraesCS7D01G041400;TraesCS1A01G070600;TraesCS1B01G314700;TraesCS2B01G175800;TraesCS6A01G311400;TraesCS1D01G185500;TraesCS1A01G049600;TraesCS6D01G122200;TraesCS5D01G329100;TraesCS4B01G220200;TraesCS3A01G049500;TraesCS1D01G372500;TraesCS2A01G081400;TraesCS3B01G038900;TraesCS4D01G176200;TraesCS6B01G256300;TraesCS6B01G145800;TraesCS4A01G102900;TraesCS5B01G184100;TraesCS5B01G188700;TraesCS1A01G430000;TraesCS7D01G248100;TraesCS3A01G101800;TraesCS3B01G148100;TraesCS3D01G048400;TraesCS2A01G548300;TraesCS3A01G272800;TraesCS1A01G342900;TraesCS6B01G238900;TraesCS6B01G385500;TraesCS3B01G524400;TraesCS6D01G191500;TraesCS3A01G261700;TraesCS3B01G289500;TraesCS3A01G217900;TraesCS6D01G307100;TraesCS2B01G452400;TraesCS1A01G215900;TraesCS2B01G511300;TraesCS7B01G271600;TraesCS5D01G111500;TraesCS5A01G321500;TraesCS7A01G053400;TraesCS5D01G281200;TraesCS7B01G228900;TraesCS4D01G202300;TraesCS5D01G210800;TraesCS4B01G059700;TraesCS4D01G316500;TraesCS3A01G285700;TraesCS2A01G217200;TraesCS3A01G101700;TraesCS2D01G509400;TraesCS1D01G094700;TraesCS2A01G211900;TraesCS5D01G142900;TraesCS2D01G534600;TraesCS2B01G504600;TraesCS6D01G191400;TraesCS4B01G068300;TraesCS5A01G156200;TraesCS7D01G417800;TraesCS7B01G030400;TraesCS3D01G412400;TraesCS6B01G136100;TraesCS6B01G152800;TraesCS2B01G220900;TraesCS5D01G159100;TraesCS2B01G266900;TraesCS7A01G091500;TraesCS1A01G257200;TraesCS4A01G391100;TraesCS1D01G081400;TraesCS3A01G021600;TraesCS5A01G147500;TraesCS3D01G432000;TraesCS5D01G166900;TraesCS2B01G435600;TraesCS2D01G066900;TraesCS1D01G101300;TraesCS1D01G082500;TraesCS3A01G110400;TraesCS3A01G135700;TraesCS7A01G364200;TraesCS2A01G371700;TraesCS5A01G320600;TraesCS7B01G225600;TraesCS6B01G358800;TraesCS4D01G180700;TraesCS1B01G430800;TraesCS5D01G097900;TraesCS6D01G258200;TraesCS7B01G301100;TraesCS5A01G467600;TraesCS2D01G419700;TraesCS4D01G032900;TraesCS4A01G221700;TraesCS4D01G168600;TraesCS3B01G110500;TraesCS2A01G462700;TraesCS3B01G310000;TraesCS1A01G048000;TraesCS2D01G509200;TraesCS7B01G029200;TraesCS3D01G193200;TraesCS1B01G062200;TraesCS3B01G290300;TraesCS4D01G203900;TraesCS1B01G119700;TraesCS1A01G103900;TraesCS2D01G201700;TraesCS6B01G257800;TraesCS3A01G351500;TraesCS2D01G534400;TraesCS6A01G168900;TraesCS1D01G344700;TraesCS5B01G202900;TraesCS3D01G045400;TraesCS6B01G266500;TraesCS7A01G400900;TraesCS4B01G228200;TraesCS7A01G434300;TraesCS5B01G042800;TraesCS5D01G343000;TraesCS1D01G330300;TraesCS2B01G100300;TraesCS5B01G208200;TraesCS2A01G308400;TraesCS6B01G152600;TraesCS2B01G220700;TraesCS2B01G323700;TraesCS6D01G158400;TraesCS3B01G119500;TraesCS7A01G328100;TraesCS7D01G114200;TraesCS2B01G067000;TraesCS2D01G485200;TraesCS5D01G073900;TraesCS7D01G394800;TraesCS6B01G169000;TraesCS5A01G351300;TraesCS2A01G532800;TraesCS1D01G101100;TraesCS3D01G256600;TraesCS5D01G152300;TraesCS2A01G031000;TraesCS5D01G177800;TraesCS1A01G235200;TraesCS2D01G511300;TraesCS3B01G151200;TraesCS3A01G479800;TraesCS2A01G098700;TraesCS1D01G372800;TraesCS1D01G206900;TraesCS4D01G126800;TraesCS6B01G415600;TraesCS7A01G419500;TraesCS3B01G013200;TraesCS5A01G377900;TraesCS1A01G203400;TraesCS7D01G053900;TraesCS4B01G216000;TraesCS1A01G333800;TraesCS5A01G237700;TraesCS3B01G359000;TraesCS4A01G267300;TraesCS3D01G276200;TraesCS6B01G183300;TraesCS5D01G145100;TraesCS2A01G217600;TraesCS1B01G385300;TraesCS2B01G216800;TraesCS1B01G456700;TraesCS1A01G145100;TraesCS1A01G149700;TraesCS2B01G114900;TraesCS3B01G587400;TraesCS6D01G247700;TraesCS4D01G172700;TraesCS4D01G312300;TraesCS5D01G452500;TraesCS1B01G283400;TraesCS3A01G530200;TraesCS3B01G361100;TraesCS3B01G388600;TraesCS1B01G120100;TraesCS2A01G214100;TraesCS3B01G384000;TraesCS6D01G032300;TraesCS5A01G138600;TraesCS3A01G463400;TraesCS5D01G304700;TraesCS5A01G249900;TraesCS3B01G238600;TraesCS5D01G373700;TraesCS1A01G312300;TraesCS2B01G562100;TraesCS1A01G031200;TraesCS3B01G248400;TraesCS5B01G236200;TraesCS7B01G222500;TraesCS2A01G347400;TraesCS3A01G262200;TraesCS2A01G368700;TraesCS5D01G386800;TraesCS1B01G270300;TraesCS2B01G521800;TraesCS7A01G096800;TraesCS5B01G069900;TraesCS2A01G532600;TraesCS6D01G210200;TraesCS2D01G517200;TraesCS1D01G367800;TraesCS3D01G286600;TraesCS4D01G046900;TraesCS7A01G154900;TraesCS4A01G186700;TraesCS4A01G083900;TraesCS5D01G564000;TraesCS1D01G312500;TraesCS1B01G248400;TraesCS1D01G439500;TraesCS2B01G241800;TraesCS6B01G367100;TraesCS1B01G097700;TraesCS5A01G136200;TraesCS3A01G054100;TraesCS3D01G182300;TraesCS2D01G284200;TraesCS5B01G056800;TraesCS2D01G380800;TraesCS2D01G207400;TraesCS3A01G325600;TraesCS5A01G160100;TraesCS7D01G227900;TraesCS5A01G092600;TraesCS3B01G218800;TraesCS1D01G067800;TraesCS3A01G034700;TraesCS2B01G244000;TraesCS4B01G041300;TraesCS5B01G457000;TraesCS2B01G366600;TraesCS3D01G097000;TraesCS6D01G330800;TraesCS7B01G141900;TraesCS5B01G366400;TraesCS5A01G409700;TraesCS2D01G055600;TraesCS7B01G222700;TraesCS6D01G280700;TraesCS3D01G262200;TraesCS1A01G325800;TraesCS4B01G294300;TraesCS3D01G046900;TraesCS3A01G323200;TraesCS7A01G129300;TraesCS2D01G574000;TraesCS2D01G062100;TraesCS4D01G217000;TraesCS5D01G158000;TraesCS7D01G129500;TraesCS3B01G354400;TraesCS6D01G159100;TraesCS2B01G594100;TraesCS3B01G585400;TraesCS3D01G124200;TraesCS3D01G313600;TraesCS2B01G364400;TraesCS1A01G301600;TraesCS6A01G116200;TraesCS7D01G444500;TraesCS6B01G192400;TraesCS6A01G223500;TraesCS1B01G305200;TraesCS3D01G356300;TraesCS6A01G352800;TraesCS6A01G375900;TraesCS4B01G132100;TraesCS5B01G064400;TraesCS1A01G016000;TraesCS2D01G380600;TraesCS2A01G485600;TraesCS7A01G325000;TraesCS7B01G220500</t>
  </si>
  <si>
    <t>TraesCS1A01G215600;TraesCS1B01G229100;TraesCS4B01G100100;TraesCS4A01G216100;TraesCS4D01G096400</t>
  </si>
  <si>
    <t>positive regulation of cell death</t>
  </si>
  <si>
    <t>TraesCS2B01G367700;TraesCS7D01G548200;TraesCS5D01G069700;TraesCS6A01G177700;TraesCS7D01G506300;TraesCS1B01G456700;TraesCS7A01G470400;TraesCS2B01G180500;TraesCS3D01G344700;TraesCS3A01G124800;TraesCS7A01G412400;TraesCS5D01G244800;TraesCS2A01G121000;TraesCS4B01G125700;TraesCS1D01G046000;TraesCS1B01G058600;TraesCS7B01G372400;TraesCS5D01G362200;TraesCS2A01G155500;TraesCS2D01G285300;TraesCS5D01G207400;TraesCS4D01G147600;TraesCS1A01G045300;TraesCS2B01G213400;TraesCS4A01G145300;TraesCS5B01G200000;TraesCS1D01G074500;TraesCS5B01G357100;TraesCS7A01G561600;TraesCS7D01G457800;TraesCS2B01G141900;TraesCS5A01G375000;TraesCS5A01G237900</t>
  </si>
  <si>
    <t>response to salt stress</t>
  </si>
  <si>
    <t>TraesCS5A01G229700;TraesCS5D01G237800;TraesCS5B01G371100;TraesCS6D01G393600;TraesCS5B01G228500;TraesCS7A01G130300;TraesCS4D01G302500;TraesCS3A01G265100;TraesCS5D01G187100;TraesCS6B01G383300;TraesCS3A01G229400;TraesCS4B01G125700;TraesCS2A01G278400;TraesCS3B01G562500;TraesCS5D01G378200;TraesCS3D01G288600;TraesCS2A01G373200;TraesCS7A01G230500;TraesCS3B01G298700;TraesCS7D01G014200;TraesCS4A01G145300;TraesCS5D01G039900;TraesCS2D01G277600;TraesCS4B01G304300;TraesCS2D01G369400;TraesCS5B01G031800;TraesCS2A01G047300;TraesCS4A01G066200;TraesCS4A01G091000;TraesCS3A01G300400;TraesCS1B01G288300;TraesCS5B01G371200;TraesCS4A01G404500;TraesCS3B01G255200;TraesCS5A01G460300;TraesCS4D01G243100;TraesCS5A01G031700;TraesCS3B01G323500;TraesCS2A01G278500;TraesCS1B01G195900;TraesCS6D01G237600;TraesCS2B01G296100;TraesCS5D01G085800;TraesCS5D01G378100;TraesCS2A01G121000;TraesCS3B01G562400;TraesCS3A01G288800;TraesCS7D01G230900;TraesCS5A01G366700;TraesCS5A01G368800;TraesCS3B01G336100;TraesCS5A01G368600;TraesCS4D01G147600;TraesCS1D01G357500;TraesCS1D01G227700;TraesCS3D01G219900;TraesCS5A01G142000;TraesCS2B01G141900;TraesCS2D01G443700;TraesCS2B01G266000;TraesCS1A01G295300;TraesCS2B01G417900</t>
  </si>
  <si>
    <t>TraesCS3D01G514900;TraesCS6B01G280300;TraesCS6A01G223900;TraesCS6D01G226300;TraesCS7A01G320000;TraesCS3A01G507500;TraesCS1D01G149100;TraesCS3B01G575600</t>
  </si>
  <si>
    <t>TraesCS1D01G004700;TraesCS4D01G176300;TraesCS1B01G001800;TraesCS4B01G174200;TraesCS4D01G176200;TraesCS4A01G130300;TraesCS1A01G002500</t>
  </si>
  <si>
    <t>regulation of membrane lipid distribution</t>
  </si>
  <si>
    <t>TraesCS6A01G419200;TraesCS6D01G253100;TraesCS1A01G300000;TraesCS6A01G312600;TraesCS7A01G267200;TraesCS7B01G105600;TraesCS1D01G299400;TraesCS5B01G373000;TraesCS2B01G363000;TraesCS6D01G167300;TraesCS3A01G521300;TraesCS5B01G197400;TraesCS5B01G214500;TraesCS4B01G215100;TraesCS6B01G255500;TraesCS5D01G223800;TraesCS7D01G303700;TraesCS6D01G367600;TraesCS2A01G446500;TraesCS4D01G207500;TraesCS1B01G310100;TraesCS7A01G194900;TraesCS5A01G198800;TraesCS7D01G201600;TraesCS3D01G072000;TraesCS6A01G273100;TraesCS6B01G222200;TraesCS7A01G306800;TraesCS5D01G232100;TraesCS2B01G198100;TraesCS7B01G100600;TraesCS7A01G001900;TraesCS5A01G216000;TraesCS2D01G141100;TraesCS5B01G262900;TraesCS4B01G214200;TraesCS2D01G449900;TraesCS7A01G110500;TraesCS2D01G445500;TraesCS2D01G296700;TraesCS3D01G339600;TraesCS6B01G420600;TraesCS4D01G229900;TraesCS2A01G320200;TraesCS6A01G226100;TraesCS4A01G498700;TraesCS5D01G204700;TraesCS6A01G190700;TraesCS3B01G591000;TraesCS7B01G008400;TraesCS3B01G409400;TraesCS3D01G527900;TraesCS6D01G407400;TraesCS6A01G262200;TraesCS7D01G001600;TraesCS7D01G213600;TraesCS2A01G276400;TraesCS2D01G529500;TraesCS5A01G078400;TraesCS3B01G377600;TraesCS4D01G035300;TraesCS6D01G243000;TraesCS7A01G364200;TraesCS2B01G315100;TraesCS7D01G236600;TraesCS6B01G421400;TraesCS2D01G343000;TraesCS5B01G101200;TraesCS1A01G215100;TraesCS4B01G228700;TraesCS3A01G345800;TraesCS5D01G093700;TraesCS7D01G243700;TraesCS6D01G180400;TraesCS6B01G289500;TraesCS6B01G300500;TraesCS7B01G194100;TraesCS5A01G294600;TraesCS2D01G275400;TraesCS5A01G429000;TraesCS7A01G212000;TraesCS5B01G087500;TraesCS2B01G151100;TraesCS2B01G557100;TraesCS7B01G207100;TraesCS2B01G467400;TraesCSU01G021700;TraesCS2A01G298600;TraesCS6D01G198600</t>
  </si>
  <si>
    <t>TraesCS6A01G419200;TraesCS6D01G253100;TraesCS1A01G300000;TraesCS6A01G312600;TraesCS7A01G267200;TraesCS7B01G105600;TraesCS1D01G299400;TraesCS6D01G167300;TraesCS3A01G521300;TraesCS5B01G197400;TraesCS5B01G214500;TraesCS4B01G215100;TraesCS5D01G223800;TraesCS7D01G303700;TraesCS6D01G367600;TraesCS2A01G446500;TraesCS1B01G310100;TraesCS7A01G194900;TraesCS5A01G198800;TraesCS7D01G201600;TraesCS3D01G072000;TraesCS6A01G273100;TraesCS6B01G222200;TraesCS7A01G306800;TraesCS5D01G232100;TraesCS2B01G198100;TraesCS7B01G100600;TraesCS7A01G001900;TraesCS5A01G216000;TraesCS2D01G141100;TraesCS5B01G262900;TraesCS2D01G449900;TraesCS2D01G445500;TraesCS2D01G296700;TraesCS3D01G339600;TraesCS6B01G420600;TraesCS4D01G229900;TraesCS6A01G226100;TraesCS4A01G498700;TraesCS5D01G204700;TraesCS6A01G190700;TraesCS3B01G591000;TraesCS3B01G409400;TraesCS3D01G527900;TraesCS6D01G407400;TraesCS6A01G262200;TraesCS7D01G001600;TraesCS7D01G213600;TraesCS2A01G276400;TraesCS2D01G529500;TraesCS5A01G078400;TraesCS3B01G377600;TraesCS6D01G243000;TraesCS7A01G364200;TraesCS2B01G315100;TraesCS6B01G421400;TraesCS1A01G215100;TraesCS4B01G228700;TraesCS3A01G345800;TraesCS5D01G093700;TraesCS7D01G243700;TraesCS6D01G180400;TraesCS6B01G289500;TraesCS6B01G300500;TraesCS7B01G194100;TraesCS5A01G294600;TraesCS2D01G275400;TraesCS7A01G212000;TraesCS5B01G087500;TraesCS2B01G151100;TraesCS2B01G557100;TraesCS7B01G207100;TraesCS2B01G467400;TraesCSU01G021700;TraesCS2A01G298600;TraesCS6D01G198600</t>
  </si>
  <si>
    <t>TraesCS2D01G538400;TraesCS3B01G490000;TraesCS1A01G218400;TraesCS5D01G359000;TraesCS2D01G022300;TraesCS6D01G358600;TraesCS7D01G092900;TraesCS1B01G454000;TraesCS3B01G295000;TraesCS7B01G473700;TraesCS2A01G389900;TraesCS3B01G455000;TraesCS4D01G207500;TraesCS6A01G124500;TraesCS7A01G163300;TraesCS6B01G052400;TraesCS2D01G479100;TraesCS2B01G236800;TraesCS7D01G318600;TraesCS2D01G079200;TraesCS2A01G190200;TraesCS4B01G157800;TraesCS3B01G485900;TraesCS5B01G104500;TraesCS7A01G476700;TraesCS2B01G350500;TraesCS3A01G276200;TraesCS3D01G049000;TraesCS3D01G278000;TraesCS2D01G380500;TraesCS3A01G033000;TraesCS6D01G360900;TraesCS7B01G245800;TraesCS3A01G342000;TraesCS2D01G219800;TraesCS6B01G225700;TraesCS5B01G526200;TraesCS6A01G052100;TraesCS4B01G376800;TraesCS5A01G447200;TraesCS5A01G350800;TraesCS2A01G170600;TraesCS2D01G255700;TraesCS2D01G297300;TraesCS4B01G054900;TraesCS3D01G351600;TraesCS1A01G367200;TraesCS2A01G182800;TraesCS2A01G216700;TraesCS3D01G234400;TraesCS5B01G135200;TraesCS2A01G537900;TraesCS7D01G444700;TraesCS3B01G126400;TraesCS2B01G477600;TraesCS1D01G074500;TraesCS7B01G047300;TraesCS3D01G270300;TraesCS3A01G274000;TraesCS3A01G163300;TraesCS5B01G371800;TraesCS6B01G145700;TraesCS3D01G316400;TraesCS1A01G343000;TraesCS1D01G100900;TraesCS1A01G184500;TraesCS3A01G344400;TraesCS1A01G243400;TraesCS3A01G048700;TraesCS7B01G239300;TraesCS3A01G107600;TraesCS1B01G385100;TraesCS4A01G089700;TraesCS2A01G479900;TraesCS3A01G034300;TraesCS4B01G238700;TraesCS5D01G328300;TraesCS6A01G078700;TraesCS3B01G113500;TraesCS5B01G183500;TraesCS2D01G537100;TraesCS5D01G387900;TraesCS5B01G146100;TraesCS1D01G439400;TraesCS7B01G356500;TraesCS2A01G384000;TraesCS5D01G524800;TraesCS3B01G049700;TraesCS3B01G196900;TraesCS1A01G182300;TraesCS5A01G197200;TraesCS4A01G062000;TraesCS7B01G415400;TraesCS2B01G180500;TraesCS1D01G335400;TraesCS6A01G377700;TraesCS2B01G605800;TraesCS6A01G000500;TraesCS2B01G437300;TraesCS4B01G106000;TraesCS5B01G526000;TraesCS7D01G087100;TraesCS3B01G306400;TraesCS3D01G030600;TraesCS6A01G250800;TraesCS4B01G047100;TraesCS1A01G367000;TraesCS5A01G322300;TraesCS3A01G357700;TraesCS2A01G216500;TraesCS7D01G165300;TraesCS3A01G045200;TraesCS3B01G390400;TraesCS1B01G231900;TraesCS2D01G415700;TraesCS3B01G401600;TraesCS5D01G181500;TraesCS6A01G225400;TraesCS2A01G418300;TraesCS1B01G162400;TraesCS7A01G455800;TraesCS3A01G310400;TraesCS2D01G057600;TraesCS1D01G146900;TraesCS1D01G345200;TraesCS5B01G184600;TraesCS6D01G211900;TraesCS6A01G140800;TraesCS1D01G243400;TraesCS1D01G163400;TraesCS1D01G218200;TraesCS2D01G097700;TraesCS7A01G118900;TraesCS5B01G188600;TraesCS7A01G435300;TraesCS5D01G328100;TraesCS2B01G537800;TraesCS2D01G223000;TraesCS3A01G272900;TraesCS2B01G485600;TraesCS3B01G289400;TraesCS6D01G157900;TraesCS2B01G053300;TraesCS7A01G480100;TraesCS7A01G031700;TraesCS2D01G364400;TraesCS3A01G152200;TraesCS2D01G216700;TraesCS3D01G104100;TraesCS3A01G257500;TraesCS1B01G384900;TraesCS2A01G525300;TraesCS3B01G307700;TraesCS1B01G091900;TraesCS6B01G051700;TraesCS2D01G537700;TraesCS7D01G495700;TraesCS4A01G414700;TraesCS4D01G261400;TraesCS3A01G256200;TraesCS5A01G401400;TraesCS5B01G501300;TraesCS7D01G097500;TraesCS2B01G242200;TraesCS1D01G419400;TraesCS6A01G178500;TraesCS7D01G324900;TraesCS4A01G098600;TraesCS3D01G256400;TraesCS2B01G001400;TraesCS6B01G163100;TraesCS7A01G333500;TraesCS7A01G167300;TraesCS2B01G045700;TraesCS1A01G080500;TraesCS1A01G330500;TraesCS5D01G104900;TraesCS3A01G290300;TraesCS7B01G309900;TraesCS6B01G300900;TraesCS2B01G536500;TraesCS6D01G122100;TraesCS7A01G264400;TraesCS1D01G372600;TraesCS5A01G294600;TraesCSU01G111800;TraesCS1B01G382500;TraesCS3D01G257500;TraesCS5D01G063800;TraesCS4B01G174300;TraesCS6B01G204600;TraesCS7B01G260800;TraesCS2B01G096000;TraesCS5B01G538800;TraesCS6B01G412500;TraesCS7D01G248200;TraesCS2B01G124100;TraesCS1A01G304200;TraesCS1A01G430100;TraesCS7B01G107300;TraesCS7B01G069100;TraesCS5B01G247700;TraesCS2A01G493800;TraesCS5B01G152600;TraesCS6A01G155200;TraesCS5A01G297900;TraesCS3D01G290100;TraesCS1D01G379000;TraesCS3B01G153800;TraesCS3A01G261800;TraesCS3A01G355700;TraesCS4A01G029800;TraesCS7B01G395000;TraesCS7D01G335800;TraesCS1A01G372400;TraesCS5D01G312800;TraesCSU01G238700;TraesCS3A01G224400;TraesCS6B01G199700;TraesCS1B01G376000;TraesCS6D01G110100;TraesCS7A01G242800;TraesCS2D01G491600;TraesCS3B01G291900;TraesCS3A01G129000;TraesCS7D01G065500;TraesCS1D01G236900;TraesCS4D01G059300;TraesCS6D01G146500;TraesCS2A01G211200;TraesCS1D01G140300;TraesCS4B01G315400;TraesCS2A01G431100;TraesCS5A01G426500;TraesCS1A01G411600;TraesCS2A01G040900;TraesCS5B01G540900;TraesCS1B01G356200;TraesCS6B01G205900;TraesCS5D01G190600;TraesCS2B01G070900;TraesCS4B01G201600;TraesCS4D01G176300;TraesCS5A01G205500;TraesCS3D01G261800;TraesCS5B01G204900;TraesCS7D01G146400;TraesCS1D01G372400;TraesCS5A01G016200;TraesCS6B01G256200;TraesCS2D01G117200;TraesCS3B01G473100;TraesCS1B01G001800;TraesCS5B01G538600;TraesCS2B01G394700;TraesCS7D01G355100;TraesCS7D01G086900;TraesCS2B01G208900;TraesCS2A01G343100;TraesCS7D01G114100;TraesCS7D01G449500;TraesCS6A01G241000;TraesCS2D01G582800;TraesCS2A01G049700;TraesCS2B01G101300;TraesCS6B01G471400;TraesCS1B01G167700;TraesCS3B01G600300;TraesCS1D01G082600;TraesCS2B01G060900;TraesCS7B01G225500;TraesCS2A01G538200;TraesCS5B01G384300;TraesCS5D01G475900;TraesCS7A01G249400;TraesCS7D01G356200;TraesCS6D01G166100;TraesCS7D01G085800;TraesCS6A01G336600;TraesCS6B01G415700;TraesCS6D01G195900;TraesCS6A01G378000;TraesCS2D01G451100;TraesCS2D01G222300;TraesCS4B01G203000;TraesCS4D01G340500;TraesCS2A01G199700;TraesCS1A01G016100;TraesCS1D01G364000;TraesCS5D01G358600;TraesCS4B01G162700;TraesCS5D01G048600;TraesCS1D01G381800;TraesCS1A01G259500;TraesCS6B01G412400;TraesCS2D01G509300;TraesCS4A01G010000;TraesCS4A01G255400;TraesCS6D01G257000;TraesCS4D01G238900;TraesCS4D01G293200;TraesCS3B01G348200;TraesCS2D01G463100;TraesCS2A01G509900;TraesCS1B01G119600;TraesCS2B01G324900;TraesCS1A01G273600;TraesCS2A01G463900;TraesCS7A01G213000;TraesCS6A01G258900;TraesCS6B01G413500;TraesCS6D01G359100;TraesCS2A01G371600;TraesCS7A01G343800;TraesCS5D01G163500;TraesCS3A01G477300;TraesCS3D01G049700;TraesCS5D01G519800;TraesCS3D01G335700;TraesCS4B01G287300;TraesCS5A01G429000;TraesCS7A01G091400;TraesCS3B01G119600;TraesCS2A01G106500;TraesCS1A01G079700;TraesCS2D01G485300;TraesCS7D01G506300;TraesCS4A01G402100;TraesCS6D01G056600;TraesCS4B01G345400;TraesCS3A01G230900;TraesCS5A01G376700;TraesCSU01G003600;TraesCS1A01G342600;TraesCS3D01G441900;TraesCS1B01G347100;TraesCS6D01G210100;TraesCS3B01G325100;TraesCS5B01G428400;TraesCS3A01G317700;TraesCS5D01G059300;TraesCS1A01G332800;TraesCS4A01G396700;TraesCS7D01G085600;TraesCS7A01G226500;TraesCS2D01G107100;TraesCSU01G016900;TraesCS1D01G372900;TraesCS2D01G455900;TraesCS2D01G577000;TraesCS3A01G064400;TraesCS4D01G126900;TraesCS3A01G362500;TraesCS3B01G166600;TraesCS3B01G288100;TraesCS7D01G300200;TraesCS1A01G048100;TraesCS5D01G390500;TraesCS3A01G122300;TraesCS5B01G327800;TraesCS1D01G052000;TraesCS3D01G172200;TraesCS6D01G105000;TraesCS1B01G324000;TraesCSU01G047400;TraesCS7D01G265400;TraesCS4A01G323500;TraesCS4D01G352700;TraesCS3D01G345700;TraesCS1A01G047000;TraesCS1A01G080700;TraesCS6A01G277600;TraesCS6B01G381300;TraesCS2B01G035300;TraesCS3D01G219900;TraesCS1D01G076200;TraesCS5B01G208300;TraesCS2B01G100200;TraesCS6B01G152700;TraesCS7A01G321600;TraesCS7D01G451300;TraesCS1B01G269800;TraesCS6A01G301300;TraesCS1D01G047900;TraesCS6B01G059800;TraesCS6D01G158300;TraesCS4D01G089300;TraesCS5D01G069700;TraesCS5B01G520600;TraesCS1D01G335500;TraesCS5B01G474500;TraesCS1A01G296300;TraesCS2B01G240800;TraesCS1D01G239700;TraesCS6A01G327500;TraesCS1D01G082200;TraesCS7B01G301400;TraesCS7D01G463300;TraesCS1D01G032600;TraesCS2D01G222700;TraesCS2D01G564300;TraesCS5A01G152800;TraesCS3D01G324400;TraesCS4A01G384500;TraesCS5B01G225200;TraesCS6A01G375800;TraesCS3D01G272300;TraesCS2D01G528200;TraesCS1B01G109400;TraesCS2B01G241900;TraesCS2D01G464800;TraesCS4B01G132000;TraesCS5D01G455900;TraesCS6D01G328800;TraesCS4B01G216700;TraesCS6D01G335300;TraesCS7D01G357100;TraesCS5B01G056700;TraesCS1A01G073300;TraesCS1B01G385200;TraesCS4B01G055600;TraesCS1B01G251700;TraesCS7A01G131300;TraesCS3A01G439200;TraesCS1B01G375400;TraesCS3A01G357100;TraesCS3B01G352300;TraesCS2B01G539200;TraesCS4D01G312400;TraesCS2A01G182400;TraesCS3D01G315700;TraesCS4A01G071800;TraesCS3D01G349700;TraesCS1B01G157700;TraesCS1D01G259300;TraesCS3D01G542300;TraesCS2D01G098200;TraesCS6B01G069800;TraesCS7B01G167100;TraesCS5A01G222300;TraesCS2A01G150600;TraesCS5D01G195700;TraesCS4A01G171500;TraesCS5A01G048600;TraesCS4A01G211600;TraesCS3D01G262300;TraesCS5D01G212900;TraesCS7A01G384500;TraesCS6D01G362500;TraesCS3D01G319000;TraesCS6D01G316600;TraesCS3D01G273200;TraesCS2A01G117800;TraesCS2D01G190200;TraesCS5D01G158100;TraesCS6D01G107600;TraesCS2A01G209900;TraesCS7D01G364700;TraesCS5A01G173300;TraesCS7D01G167900;TraesCS7D01G444400;TraesCS2A01G023900;TraesCS4D01G229100;TraesCS7D01G037700;TraesCS3D01G230300;TraesCS5A01G463100;TraesCS1D01G359900;TraesCS2D01G227300;TraesCS1A01G066800;TraesCS5A01G185500;TraesCS3A01G419600;TraesCS6D01G050900;TraesCS5A01G514500;TraesCS3B01G410000;TraesCS3B01G376300;TraesCS5A01G210300;TraesCS6D01G047500;TraesCS3D01G182600;TraesCS3D01G337900;TraesCS1D01G073100;TraesCS6D01G381200;TraesCS3B01G253900;TraesCS1D01G333500;TraesCS2D01G509500;TraesCS2B01G401300;TraesCS3B01G295500;TraesCS3D01G136300;TraesCS7D01G130600;TraesCS3B01G053800;TraesCS6A01G374700;TraesCS2B01G187300;TraesCS3A01G034600;TraesCS2A01G033700;TraesCS6D01G115200;TraesCS4D01G220500;TraesCS2D01G178100;TraesCS5B01G437300;TraesCS7D01G203800;TraesCS1B01G157900;TraesCS7D01G341800;TraesCS3A01G123000;TraesCS4B01G054700;TraesCS4D01G325500;TraesCS2A01G008300;TraesCS7D01G048600;TraesCS7A01G091200;TraesCS7D01G128300;TraesCS1A01G429800;TraesCS4D01G267800;TraesCS2B01G071200;TraesCS6A01G211400;TraesCS3B01G374100;TraesCS1B01G204700;TraesCS2A01G030200;TraesCS3B01G280000;TraesCS1D01G295800;TraesCS3D01G535700;TraesCS7B01G325900;TraesCS3A01G493100;TraesCS1D01G220000;TraesCS2B01G197000;TraesCS6D01G161200;TraesCS6B01G305600;TraesCS7A01G127100;TraesCS2A01G056800;TraesCS3A01G097800;TraesCS1D01G005400;TraesCS4A01G101600;TraesCS3A01G255600;TraesCS7D01G136700;TraesCS1B01G254900;TraesCS2A01G418200;TraesCS5D01G031500;TraesCS6A01G225300;TraesCS2A01G455600;TraesCS5B01G151600;TraesCS2D01G549400;TraesCS2B01G243000;TraesCS4B01G181800;TraesCS6D01G240100;TraesCS5D01G021700;TraesCS3B01G194400;TraesCS2D01G217500;TraesCS5D01G478700;TraesCS1A01G002500;TraesCS5D01G374300;TraesCS2A01G503800;TraesCS1A01G424200;TraesCS6D01G153600;TraesCS2B01G489700;TraesCS5A01G062600;TraesCS2B01G236900;TraesCS3D01G209100;TraesCS6B01G006600;TraesCSU01G008300;TraesCS3B01G206500;TraesCS2D01G321400;TraesCS1B01G157300;TraesCS3B01G311900;TraesCS2D01G504300;TraesCS2B01G271700;TraesCS7B01G255500;TraesCS2A01G384100;TraesCS2D01G197600;TraesCS1D01G259700;TraesCS7B01G356400;TraesCS3A01G096500;TraesCS2D01G219900;TraesCS1D01G346200;TraesCS5B01G381500;TraesCS6B01G225800;TraesCS7B01G287100;TraesCS2B01G365900;TraesCS3D01G472000;TraesCS5D01G480600;TraesCS2B01G437200;TraesCS4D01G215200;TraesCS3D01G500800;TraesCS2D01G031100;TraesCS3D01G036000;TraesCS5A01G085900;TraesCS1A01G367100;TraesCS7D01G366600;TraesCS5B01G380400;TraesCS1D01G303700;TraesCS2D01G562200;TraesCS2A01G346000;TraesCS2D01G415600;TraesCS7D01G316100;TraesCS1D01G037200;TraesCS1D01G123700;TraesCS6B01G197000;TraesCS2D01G428900;TraesCS3D01G316700;TraesCS5A01G369500;TraesCS3B01G158300;TraesCS4B01G214600;TraesCS1B01G089100;TraesCS3D01G178300;TraesCS5B01G138400;TraesCS1B01G385000;TraesCS3D01G048000;TraesCS3D01G136700;TraesCS1B01G217500;TraesCS1B01G198700;TraesCS4D01G184200;TraesCS7D01G395100;TraesCS1D01G273800;TraesCS1A01G344000;TraesCS3D01G053600;TraesCS1D01G301300;TraesCS6A01G204600;TraesCS2D01G344700;TraesCS6B01G153000;TraesCS4B01G261800;TraesCS6A01G135100;TraesCS6D01G383900;TraesCS4D01G055000;TraesCS1D01G439300;TraesCS6D01G360800;TraesCS7D01G124900;TraesCS5B01G572600;TraesCS1D01G004700;TraesCS2B01G044700;TraesCS3A01G256300;TraesCS3D01G046000;TraesCS1D01G140400;TraesCS7A01G231600;TraesCS3B01G321100;TraesCS5B01G321800;TraesCS6A01G132400;TraesCS3B01G306500;TraesCS3D01G256500;TraesCS1A01G141300;TraesCS2D01G572600;TraesCS1B01G447200;TraesCS1B01G392400;TraesCS1A01G080600;TraesCS2B01G532000;TraesCS2B01G536600;TraesCS5A01G186000;TraesCS7D01G467100;TraesCS1D01G372700;TraesCS6D01G145100;TraesCS1B01G441900;TraesCS1A01G259900;TraesCS5D01G434500;TraesCS2D01G493700;TraesCS4B01G174200;TraesCS7B01G031900;TraesCS4A01G207800;TraesCS5D01G216400;TraesCS1A01G122800;TraesCS5D01G357800;TraesCS2B01G114000;TraesCS2A01G255300;TraesCS3B01G304300;TraesCS4A01G130300;TraesCS6A01G124800;TraesCS2A01G155500;TraesCS6D01G363200;TraesCS3B01G141500;TraesCS6A01G266900;TraesCS7D01G321500;TraesCS5D01G157900;TraesCS7B01G333700;TraesCS7D01G380900;TraesCS1B01G311400;TraesCS3A01G050300;TraesCS3D01G104000;TraesCS5A01G380700;TraesCS7B01G356800;TraesCS5A01G321300;TraesCS6A01G171800;TraesCS2A01G211300;TraesCS1D01G130400;TraesCS5B01G428000;TraesCS5A01G206700;TraesCS7D01G261300;TraesCS1B01G356100;TraesCS7D01G041400;TraesCS1A01G070600;TraesCS1B01G314700;TraesCS2B01G175800;TraesCS6A01G311400;TraesCS1D01G185500;TraesCS1A01G049600;TraesCS6D01G122200;TraesCS5D01G329100;TraesCS4B01G220200;TraesCS3A01G049500;TraesCS1D01G372500;TraesCS2A01G081400;TraesCS3B01G038900;TraesCS4D01G176200;TraesCS6B01G256300;TraesCS6B01G145800;TraesCS4A01G102900;TraesCS5B01G184100;TraesCS5B01G188700;TraesCS1A01G430000;TraesCS7D01G248100;TraesCS3A01G101800;TraesCS3B01G148100;TraesCS3D01G048400;TraesCS2A01G548300;TraesCS3A01G272800;TraesCS1A01G342900;TraesCS6B01G238900;TraesCS6B01G385500;TraesCS3B01G524400;TraesCS6D01G191500;TraesCS3A01G261700;TraesCS3B01G289500;TraesCS3A01G217900;TraesCS6D01G307100;TraesCS2B01G452400;TraesCS1A01G215900;TraesCS2B01G511300;TraesCS7B01G271600;TraesCS5D01G111500;TraesCS5A01G321500;TraesCS7A01G053400;TraesCS5D01G281200;TraesCS7B01G228900;TraesCS4D01G202300;TraesCS5D01G210800;TraesCS4B01G059700;TraesCS4D01G316500;TraesCS3A01G285700;TraesCS2A01G217200;TraesCS3A01G101700;TraesCS2D01G509400;TraesCS1D01G094700;TraesCS2A01G211900;TraesCS5D01G142900;TraesCS2D01G534600;TraesCS2B01G504600;TraesCS6D01G191400;TraesCS4B01G068300;TraesCS5A01G156200;TraesCS7D01G417800;TraesCS7B01G030400;TraesCS3D01G412400;TraesCS6B01G136100;TraesCS6B01G152800;TraesCS2B01G220900;TraesCS5D01G159100;TraesCS2B01G266900;TraesCS7A01G091500;TraesCS1A01G257200;TraesCS4A01G391100;TraesCS1D01G081400;TraesCS3A01G021600;TraesCS5A01G147500;TraesCS3D01G432000;TraesCS2B01G435600;TraesCS2D01G066900;TraesCS1D01G101300;TraesCS1D01G082500;TraesCS3A01G110400;TraesCS3A01G135700;TraesCS7A01G364200;TraesCS2A01G371700;TraesCS5A01G320600;TraesCS7B01G225600;TraesCS6B01G358800;TraesCS4D01G180700;TraesCS1B01G430800;TraesCS5D01G097900;TraesCS6D01G258200;TraesCS7B01G301100;TraesCS5A01G467600;TraesCS2D01G419700;TraesCS4D01G032900;TraesCS4A01G221700;TraesCS4D01G168600;TraesCS3B01G110500;TraesCS2A01G462700;TraesCS3B01G310000;TraesCS1A01G048000;TraesCS2D01G509200;TraesCS7B01G029200;TraesCS3D01G193200;TraesCS1B01G062200;TraesCS3B01G290300;TraesCS4D01G203900;TraesCS1B01G119700;TraesCS1A01G103900;TraesCS2D01G201700;TraesCS6B01G257800;TraesCS3A01G351500;TraesCS2D01G534400;TraesCS6A01G168900;TraesCS1D01G344700;TraesCS5B01G202900;TraesCS3D01G045400;TraesCS6B01G266500;TraesCS7A01G400900;TraesCS4B01G228200;TraesCS7A01G434300;TraesCS5B01G042800;TraesCS5D01G343000;TraesCS1D01G330300;TraesCS2B01G100300;TraesCS5B01G208200;TraesCS2A01G308400;TraesCS6B01G152600;TraesCS2B01G220700;TraesCS2B01G323700;TraesCS6D01G158400;TraesCS3B01G119500;TraesCS7A01G328100;TraesCS7D01G114200;TraesCS2B01G067000;TraesCS2D01G485200;TraesCS5D01G073900;TraesCS7D01G394800;TraesCS6B01G169000;TraesCS5A01G351300;TraesCS2A01G532800;TraesCS1D01G101100;TraesCS3D01G256600;TraesCS5D01G152300;TraesCS2A01G031000;TraesCS5D01G177800;TraesCS1A01G235200;TraesCS2D01G511300;TraesCS3B01G151200;TraesCS3A01G479800;TraesCS2A01G098700;TraesCS1D01G372800;TraesCS1D01G206900;TraesCS4D01G126800;TraesCS6B01G415600;TraesCS7A01G419500;TraesCS3B01G013200;TraesCS5A01G377900;TraesCS1A01G203400;TraesCS7D01G053900;TraesCS4B01G216000;TraesCS1A01G333800;TraesCS5A01G237700;TraesCS3B01G359000;TraesCS4A01G267300;TraesCS3D01G276200;TraesCS6B01G183300;TraesCS5D01G145100;TraesCS2A01G217600;TraesCS1B01G385300;TraesCS2B01G216800;TraesCS1B01G456700;TraesCS1A01G145100;TraesCS1A01G149700;TraesCS2B01G114900;TraesCS3B01G587400;TraesCS6D01G247700;TraesCS4D01G172700;TraesCS4D01G312300;TraesCS5D01G452500;TraesCS1B01G283400;TraesCS3A01G530200;TraesCS3B01G361100;TraesCS3B01G388600;TraesCS1B01G120100;TraesCS2A01G214100;TraesCS3B01G384000;TraesCS6D01G032300;TraesCS5A01G138600;TraesCS3A01G463400;TraesCS5D01G304700;TraesCS5A01G249900;TraesCS3B01G238600;TraesCS5D01G373700;TraesCS1A01G312300;TraesCS2B01G562100;TraesCS1A01G031200;TraesCS3B01G248400;TraesCS5B01G236200;TraesCS7B01G222500;TraesCS2A01G347400;TraesCS3A01G262200;TraesCS2A01G368700;TraesCS5D01G386800;TraesCS1B01G270300;TraesCS2B01G521800;TraesCS7A01G096800;TraesCS5B01G069900;TraesCS2A01G532600;TraesCS6D01G210200;TraesCS2D01G517200;TraesCS1D01G367800;TraesCS3D01G286600;TraesCS4D01G046900;TraesCS7A01G154900;TraesCS4A01G186700;TraesCS4A01G083900;TraesCS5D01G564000;TraesCS1D01G312500;TraesCS1B01G248400;TraesCS1D01G439500;TraesCS2B01G241800;TraesCS6B01G367100;TraesCS1B01G097700;TraesCS5A01G136200;TraesCS3A01G054100;TraesCS3D01G182300;TraesCS2D01G284200;TraesCS5B01G056800;TraesCS2D01G380800;TraesCS2D01G207400;TraesCS3A01G325600;TraesCS5A01G160100;TraesCS7D01G227900;TraesCS5A01G092600;TraesCS3B01G218800;TraesCS1D01G067800;TraesCS3A01G034700;TraesCS2B01G244000;TraesCS4B01G041300;TraesCS5B01G457000;TraesCS2B01G366600;TraesCS3D01G097000;TraesCS6D01G330800;TraesCS7B01G141900;TraesCS5B01G366400;TraesCS5A01G409700;TraesCS2D01G055600;TraesCS7B01G222700;TraesCS6D01G280700;TraesCS3D01G262200;TraesCS1A01G325800;TraesCS4B01G294300;TraesCS3D01G046900;TraesCS3A01G323200;TraesCS7A01G129300;TraesCS2D01G574000;TraesCS2D01G062100;TraesCS4D01G217000;TraesCS5D01G158000;TraesCS7D01G129500;TraesCS3B01G354400;TraesCS6D01G159100;TraesCS2B01G594100;TraesCS3B01G585400;TraesCS3D01G124200;TraesCS3D01G313600;TraesCS2B01G364400;TraesCS1A01G301600;TraesCS6A01G116200;TraesCS7D01G444500;TraesCS6B01G192400;TraesCS6A01G223500;TraesCS1B01G305200;TraesCS3D01G356300;TraesCS6A01G352800;TraesCS6A01G375900;TraesCS4B01G132100;TraesCS5B01G064400;TraesCS1A01G016000;TraesCS2D01G380600;TraesCS2A01G485600;TraesCS7A01G325000;TraesCS7B01G220500</t>
  </si>
  <si>
    <t>TraesCS4D01G064000;TraesCS3A01G300400;TraesCS5B01G371100;TraesCS5B01G371200;TraesCS4A01G404500;TraesCS3B01G255200;TraesCS7A01G130300;TraesCS2A01G278500;TraesCS1B01G195900;TraesCS4D01G302500;TraesCS6D01G237600;TraesCS3A01G265100;TraesCS2B01G296100;TraesCS5D01G378100;TraesCS6B01G383300;TraesCS3A01G229400;TraesCS2A01G278400;TraesCS3B01G562500;TraesCS4A01G249600;TraesCS7D01G364700;TraesCS5D01G378200;TraesCS3B01G562400;TraesCS7D01G230900;TraesCS5A01G368800;TraesCS3B01G336100;TraesCS5A01G368600;TraesCS7A01G230500;TraesCS1D01G357500;TraesCS3B01G298700;TraesCS7D01G014200;TraesCS3D01G219900;TraesCS5A01G142000;TraesCS2D01G277600;TraesCS2B01G417900;TraesCS4A01G110200;TraesCS4B01G065100;TraesCS4B01G304300</t>
  </si>
  <si>
    <t>TraesCS7B01G194200;TraesCS7D01G457800;TraesCS2A01G121200;TraesCS6D01G258600;TraesCS7D01G229100;TraesCS6A01G278000;TraesCS7A01G470400;TraesCS6B01G306300;TraesCS2D01G123300;TraesCS7B01G372400</t>
  </si>
  <si>
    <t>TraesCS1A01G184500;TraesCS2A01G155500;TraesCS2B01G208900;TraesCS5B01G482400;TraesCS7D01G392800;TraesCS2D01G392800;TraesCS5D01G482800;TraesCS7A01G470400;TraesCS2B01G180500;TraesCS4A01G216100;TraesCS6D01G039300;TraesCS5A01G469800;TraesCS7D01G457800;TraesCS7B01G299200;TraesCS2A01G384100;TraesCS4B01G100100;TraesCS4D01G312300;TraesCS1A01G295300;TraesCS4D01G096400;TraesCS7B01G372400</t>
  </si>
  <si>
    <t>signal transduction by protein phosphorylation</t>
  </si>
  <si>
    <t>TraesCS5D01G231500;TraesCS3D01G373600;TraesCS7D01G342900;TraesCS6A01G177700;TraesCS5A01G424300;TraesCS1A01G111000;TraesCS7B01G346600;TraesCS1D01G335500;TraesCS2D01G540600;TraesCS6A01G201100;TraesCS6B01G324800;TraesCS2D01G118400;TraesCS3A01G414000;TraesCS5A01G263100;TraesCS5D01G142900;TraesCSU01G003600;TraesCS5B01G151000;TraesCS2B01G569600;TraesCS7A01G480100;TraesCS5A01G152400;TraesCS7B01G116700;TraesCS1A01G332800;TraesCS4B01G125700;TraesCS3D01G443400;TraesCS7D01G435100;TraesCS7D01G328400;TraesCS6D01G275100;TraesCS2A01G539500;TraesCS1D01G112500;TraesCS5A01G224100;TraesCS4A01G145300;TraesCS5D01G039900;TraesCS5D01G183700;TraesCS7D01G467100;TraesCS4B01G268700;TraesCS4D01G271200;TraesCS1A01G312300;TraesCS6B01G128000;TraesCS3B01G213600;TraesCS5D01G157600;TraesCS6A01G043000;TraesCS1B01G164200;TraesCS2A01G539100;TraesCS6D01G049600;TraesCS2D01G540500;TraesCS4D01G316400;TraesCS3D01G373700;TraesCS6D01G146500;TraesCS2D01G540100;TraesCS5B01G222900;TraesCS2B01G348900;TraesCS1D01G335400;TraesCS4A01G033400;TraesCS4A01G035900;TraesCS3B01G593700;TraesCS5D01G270600;TraesCS5B01G261500;TraesCS1B01G324000;TraesCS4D01G268000;TraesCS2B01G569500;TraesCS6D01G153600;TraesCS3D01G376700;TraesCS2A01G121000;TraesCS3A01G206100;TraesCS2B01G135900;TraesCS5A01G213700;TraesCS2A01G539600;TraesCS3B01G416000;TraesCS5A01G492100;TraesCS2D01G520900;TraesCS5B01G135200;TraesCS3A01G183800;TraesCS4D01G147600;TraesCS6A01G294200;TraesCS7A01G335400;TraesCS6B01G192400;TraesCS3B01G487700;TraesCS7A01G419500;TraesCS3A01G380600;TraesCS5B01G156800;TraesCS3A01G383600;TraesCS2A01G064900;TraesCS5D01G218300;TraesCS2B01G271700;TraesCS2B01G141900;TraesCS1D01G312500;TraesCS2D01G443700;TraesCS6B01G059000;TraesCS7B01G247000;TraesCS1D01G144600;TraesCS3D01G188000;TraesCS2D01G063000;TraesCS5A01G136200;TraesCS7D01G388900</t>
  </si>
  <si>
    <t>TraesCS4D01G282500;TraesCS2A01G080000;TraesCS4B01G283700;TraesCS2D01G077300;TraesCS5B01G152600;TraesCS4A01G019900</t>
  </si>
  <si>
    <t>response to absence of light</t>
  </si>
  <si>
    <t>TraesCS2A01G026800;TraesCS1D01G222800;TraesCS5D01G233700;TraesCS1B01G234500;TraesCS3D01G293800;TraesCS5B01G224800;TraesCS5D01G233800;TraesCS2B01G038500;TraesCS4A01G320100;TraesCS7B01G042100;TraesCS6A01G331400;TraesCS4A01G234100;TraesCS2A01G395000;TraesCS3A01G294000;TraesCS1A01G384000;TraesCS6D01G300600;TraesCS5D01G565100;TraesCS4B01G003300;TraesCS4D01G079900;TraesCS7A01G121400;TraesCS1D01G250900;TraesCS7B01G110400;TraesCS4A01G311000;TraesCS7A01G203200;TraesCS1B01G262000;TraesCS4D01G195700;TraesCS5A01G400000;TraesCS2D01G392800;TraesCS4A01G109200;TraesCS6D01G038500;TraesCS2D01G273700;TraesCS4B01G195000;TraesCS4B01G346900;TraesCS6B01G351600;TraesCS5B01G404800</t>
  </si>
  <si>
    <t>oxidoreductase activity, acting on paired donors, with incorporation or reduction of molecular oxygen, 2-oxoglutarate as one donor, and incorporation of one atom each of oxygen into both donors</t>
  </si>
  <si>
    <t>TraesCS5D01G231500;TraesCS1D01G112500;TraesCS5A01G224100;TraesCS5B01G222900;TraesCS7D01G342900;TraesCS7A01G335400;TraesCS6B01G192400;TraesCS4A01G033400;TraesCS1A01G111000;TraesCS5D01G183700;TraesCS7D01G467100;TraesCS7B01G346600;TraesCS6A01G201100;TraesCS5D01G218300;TraesCS5B01G151000;TraesCS4D01G271200;TraesCS6D01G153600;TraesCS5A01G152400;TraesCS5D01G157600;TraesCS7D01G435100;TraesCS5A01G213700</t>
  </si>
  <si>
    <t>transition metal ion transport</t>
  </si>
  <si>
    <t>TraesCS2B01G367700;TraesCS7D01G548200;TraesCS5D01G069700;TraesCS6A01G177700;TraesCS7D01G506300;TraesCS1B01G456700;TraesCS7A01G470400;TraesCS2B01G180500;TraesCS3D01G344700;TraesCS6D01G039300;TraesCS3A01G124800;TraesCS7A01G412400;TraesCS5D01G244800;TraesCS2A01G121000;TraesCS4B01G125700;TraesCS1D01G046000;TraesCS1B01G058600;TraesCS7B01G372400;TraesCS5D01G362200;TraesCS2A01G155500;TraesCS2D01G285300;TraesCS5D01G207400;TraesCS4D01G147600;TraesCS1A01G045300;TraesCS2B01G213400;TraesCS4A01G145300;TraesCS5B01G200000;TraesCS4B01G335100;TraesCS7D01G243700;TraesCS1D01G074500;TraesCS5B01G357100;TraesCS7A01G561600;TraesCS7D01G457800;TraesCS2B01G141900;TraesCS5B01G262900;TraesCS5A01G375000;TraesCS5A01G237900;TraesCS5A01G505000</t>
  </si>
  <si>
    <t>response to osmotic stress</t>
  </si>
  <si>
    <t>phospholipid translocation</t>
  </si>
  <si>
    <t>lipid translocation</t>
  </si>
  <si>
    <t>TraesCS7D01G457800;TraesCS7B01G299200;TraesCS7A01G369500;TraesCS7B01G259000;TraesCS5B01G236900;TraesCS4D01G001200;TraesCS7D01G392800;TraesCS4A01G035400;TraesCS7A01G470400;TraesCS7D01G353800;TraesCS7B01G372400;TraesCS4A01G001400</t>
  </si>
  <si>
    <t>TraesCS2B01G336000;TraesCS7D01G548200;TraesCS6A01G177700;TraesCS6B01G284000;TraesCS6D01G393600;TraesCS7D01G392800;TraesCS6D01G224700;TraesCS4D01G045300;TraesCS6A01G240700;TraesCS6D01G039300;TraesCS7A01G412400;TraesCS6D01G222900;TraesCS4B01G045400;TraesCS4B01G100100;TraesCS4D01G096400;TraesCS2D01G346200;TraesCS4A01G046700;TraesCS2B01G339600;TraesCS2D01G285300;TraesCS4D01G258000;TraesCS1A01G215600;TraesCS1B01G229100;TraesCS6A01G116000;TraesCS3B01G141600;TraesCS2D01G392800;TraesCS4A01G216100;TraesCS7A01G561600;TraesCS7B01G299200;TraesCS2A01G384100;TraesCS5B01G561300;TraesCS4B01G258200;TraesCS5B01G236900;TraesCS6D01G104800;TraesCS1A01G295300;TraesCS4D01G315400;TraesCS4A01G043800</t>
  </si>
  <si>
    <t>hormone biosynthetic process</t>
  </si>
  <si>
    <t>TraesCS2D01G374600;TraesCS6A01G177700;TraesCS6D01G393600;TraesCS7D01G392800;TraesCS3A01G109500;TraesCS6D01G224700;TraesCS6A01G240700;TraesCS6D01G039300;TraesCS7D01G106000;TraesCS3A01G481000;TraesCS4D01G096400;TraesCS4A01G046700;TraesCS2B01G339600;TraesCS2D01G285300;TraesCS4D01G258000;TraesCS1A01G215600;TraesCS5D01G169300;TraesCS2A01G381800;TraesCS3B01G141600;TraesCS2D01G392800;TraesCS4A01G216100;TraesCS3D01G272100;TraesCS5B01G561300;TraesCS7A01G110500;TraesCS3D01G310200;TraesCS4D01G315400;TraesCS2B01G336000;TraesCS7D01G548200;TraesCS3B01G306200;TraesCS6B01G284000;TraesCS7B01G008400;TraesCS4D01G045300;TraesCS2D01G378300;TraesCS7A01G412400;TraesCS6D01G222900;TraesCS4B01G045400;TraesCS4B01G100100;TraesCS3B01G344600;TraesCS2D01G346200;TraesCS1B01G229100;TraesCS6A01G116000;TraesCS7A01G561600;TraesCS7B01G299200;TraesCS2A01G384100;TraesCS4B01G258200;TraesCS5B01G236900;TraesCS6D01G104800;TraesCS1A01G295300;TraesCS4A01G043800</t>
  </si>
  <si>
    <t>regulation of hormone levels</t>
  </si>
  <si>
    <t>molybdenum incorporation into molybdenum-molybdopterin complex</t>
  </si>
  <si>
    <t>metal incorporation into metallo-molybdopterin complex</t>
  </si>
  <si>
    <t>TraesCS6A01G216800;TraesCS6B01G246000;TraesCS6D01G198700</t>
  </si>
  <si>
    <t>nicotinamidase activity</t>
  </si>
  <si>
    <t>TraesCS5A01G341000;TraesCS5D01G346200;TraesCS5B01G339100</t>
  </si>
  <si>
    <t>3R-hydroxyacyl-CoA dehydratase activity</t>
  </si>
  <si>
    <t>fatty acid beta-oxidation, unsaturated, even number</t>
  </si>
  <si>
    <t>folic acid transport</t>
  </si>
  <si>
    <t>folic acid transmembrane transporter activity</t>
  </si>
  <si>
    <t>modified amino acid transmembrane transporter activity</t>
  </si>
  <si>
    <t>inositol-1,3,4,5-tetrakisphosphate 5-phosphatase activity</t>
  </si>
  <si>
    <t>inositol tetrakisphosphate phosphatase activity</t>
  </si>
  <si>
    <t>inositol-1,4,5-trisphosphate 5-phosphatase activity</t>
  </si>
  <si>
    <t>phosphatidylinositol-3,4,5-trisphosphate 5-phosphatase activity</t>
  </si>
  <si>
    <t>phosphatidylinositol trisphosphate phosphatase activity</t>
  </si>
  <si>
    <t>inositol-polyphosphate 5-phosphatase activity</t>
  </si>
  <si>
    <t>inositol trisphosphate phosphatase activity</t>
  </si>
  <si>
    <t>phosphatidylinositol-4,5-bisphosphate 5-phosphatase activity</t>
  </si>
  <si>
    <t>phosphatidylinositol-4,5-bisphosphate phosphatase activity</t>
  </si>
  <si>
    <t>serine C-palmitoyltransferase activity</t>
  </si>
  <si>
    <t>C-palmitoyltransferase activity</t>
  </si>
  <si>
    <t>TraesCS7B01G249200;TraesCS1D01G199000;TraesCS7D01G345200</t>
  </si>
  <si>
    <t>heterochromatin</t>
  </si>
  <si>
    <t>trehalose catabolic process</t>
  </si>
  <si>
    <t>TraesCS1A01G182100;TraesCS1B01G198900;TraesCS1D01G185200</t>
  </si>
  <si>
    <t>defense response to Gram-negative bacterium</t>
  </si>
  <si>
    <t>TraesCS1A01G045300;TraesCS1D01G046000;TraesCS1B01G058600</t>
  </si>
  <si>
    <t>MAP kinase tyrosine/serine/threonine phosphatase activity</t>
  </si>
  <si>
    <t>MAP kinase phosphatase activity</t>
  </si>
  <si>
    <t>TraesCS7A01G187000;TraesCS1D01G270500;TraesCS5D01G069700;TraesCS4B01G273500;TraesCS4A01G068400;TraesCS6A01G177700;TraesCS6D01G393600;TraesCS1A01G413400;TraesCS6A01G240700;TraesCS5B01G445100;TraesCS5A01G131300;TraesCS4B01G263300;TraesCS6A01G306800;TraesCS4B01G049100;TraesCS4B01G068300;TraesCS4D01G096400;TraesCS5A01G156200;TraesCS4B01G037800;TraesCS1A01G406200;TraesCS1D01G437700;TraesCS7B01G294800;TraesCS5A01G058100;TraesCS1A01G072200;TraesCS4B01G318900;TraesCS6D01G225800;TraesCS7B01G254900;TraesCS7D01G350500;TraesCS5D01G031500;TraesCS4B01G264500;TraesCS2D01G279500;TraesCS4A01G059800;TraesCS2A01G508900;TraesCS4D01G242100;TraesCS4D01G296400;TraesCS5D01G159100;TraesCS6B01G422900;TraesCS4D01G263500;TraesCS4D01G315400;TraesCS2A01G292000;TraesCS7A01G235000;TraesCS7D01G548200;TraesCS1A01G428400;TraesCS6B01G284000;TraesCS7A01G470400;TraesCS4D01G045300;TraesCS6B01G175200;TraesCS7D01G351000;TraesCS3A01G124800;TraesCS7A01G412400;TraesCS4B01G045400;TraesCS4D01G272500;TraesCS2B01G414500;TraesCS6D01G239700;TraesCS6D01G369400;TraesCS7B01G362900;TraesCS4B01G100100;TraesCS6A01G080600;TraesCS6B01G335400;TraesCS6A01G258500;TraesCS4A01G042700;TraesCS7D01G305300;TraesCS7B01G208700;TraesCS5D01G139800;TraesCS7A01G308600;TraesCS2A01G396200;TraesCS1B01G229100;TraesCS2A01G407900;TraesCS4B01G037900;TraesCS6A01G116000;TraesCS5B01G372500;TraesCS1D01G074500;TraesCS1B01G048500;TraesCS4A01G083900;TraesCS7D01G235000;TraesCS5D01G379700;TraesCS2A01G384100;TraesCS5A01G375000;TraesCS2B01G333600;TraesCS6D01G104800;TraesCS4A01G009400;TraesCS2D01G231100;TraesCS4A01G043800;TraesCS1D01G073000;TraesCS4B01G225500;TraesCS1A01G375800;TraesCS2A01G414700;TraesCS7D01G449700;TraesCS7D01G506300;TraesCS6D01G039300;TraesCS1D01G188500;TraesCS5B01G152600;TraesCS5B01G065400;TraesCS7A01G392800;TraesCS2B01G189300;TraesCS4D01G035200;TraesCS4D01G264500;TraesCS1D01G420900;TraesCS6B01G108100;TraesCS7B01G372400;TraesCS7A01G186900;TraesCS7D01G188100;TraesCS2A01G291900;TraesCS2B01G339600;TraesCS2D01G285300;TraesCS1D01G414600;TraesCS1A01G215600;TraesCS4B01G194900;TraesCS3B01G334900;TraesCS5B01G468400;TraesCS1B01G195800;TraesCS2B01G308200;TraesCS2D01G392800;TraesCS4B01G220200;TraesCS1D01G074600;TraesCS4A01G216100;TraesCS5D01G183700;TraesCS5B01G244300;TraesCS1D01G039500;TraesCS6A01G073300;TraesCS3A01G146800;TraesCS5D01G027600;TraesCS6D01G074300;TraesCS7D01G388400;TraesCS2B01G336000;TraesCS1D01G004400;TraesCS4A01G089800;TraesCS6D01G232300;TraesCS2D01G393900;TraesCS3D01G300200;TraesCS4D01G215100;TraesCS1A01G188000;TraesCS3D01G266400;TraesCS3D01G432600;TraesCS6D01G222900;TraesCS1B01G461600;TraesCS2A01G121200;TraesCS3A01G439800;TraesCS6B01G207000;TraesCS1B01G304800;TraesCS5B01G445200;TraesCS6B01G423900;TraesCS4A01G027800;TraesCS4D01G220500;TraesCS1B01G463100;TraesCS2D01G123300;TraesCS2A01G396400;TraesCS6B01G098300;TraesCS7B01G133200;TraesCS1B01G048300;TraesCS6D01G166600;TraesCS7D01G488800;TraesCS6A01G187300;TraesCS7A01G561600;TraesCS5B01G133500;TraesCS7D01G188000;TraesCS4B01G214500;TraesCS7D01G457800;TraesCS6B01G105800;TraesCS4A01G221500;TraesCS2B01G302400;TraesCS3A01G266300;TraesCS1A01G295300</t>
  </si>
  <si>
    <t>TraesCS2D01G286300;TraesCS4D01G175700;TraesCS2A01G303200;TraesCS3A01G493100;TraesCS5B01G482400;TraesCS2D01G169000;TraesCS4D01G068200;TraesCS1D01G075500;TraesCS4D01G081300;TraesCS7B01G346600;TraesCS6A01G201100;TraesCS7D01G182700;TraesCS1A01G275200;TraesCS1A01G370700;TraesCS7A01G096500;TraesCS3A01G269900;TraesCS2A01G270200;TraesCS2D01G104600;TraesCS4A01G193600;TraesCS4D01G207500;TraesCS5D01G397400;TraesCS4B01G165300;TraesCS5A01G177800;TraesCS1B01G126600;TraesCS1D01G106100;TraesCS1D01G156600;TraesCS3D01G072000;TraesCS5A01G205000;TraesCS5A01G469000;TraesCS5A01G093100;TraesCS6A01G319600;TraesCS5D01G148900;TraesCS2D01G079200;TraesCS2B01G289000;TraesCS2A01G417200;TraesCS2D01G231600;TraesCS2D01G332300;TraesCS5B01G494500;TraesCS6A01G326000;TraesCS1D01G152000;TraesCS7B01G423100;TraesCS4B01G002000;TraesCS3B01G412500;TraesCS3A01G281900;TraesCS2A01G456600;TraesCS3B01G306200;TraesCS5D01G279100;TraesCS5A01G403300;TraesCS3B01G129900;TraesCS5B01G203100;TraesCS6D01G358700;TraesCS2B01G407600;TraesCS4D01G045300;TraesCS5B01G138600;TraesCS5B01G124200;TraesCS6A01G235100;TraesCS2D01G146100;TraesCS1D01G119500;TraesCS7A01G511800;TraesCS1A01G072600;TraesCS7D01G389700;TraesCS2D01G425700;TraesCS2D01G104500;TraesCS3D01G078900;TraesCS3D01G290000;TraesCS2A01G214400;TraesCS3D01G183900;TraesCS6B01G350400;TraesCS7B01G187600;TraesCS1A01G045300;TraesCS1A01G370600;TraesCS3B01G367500;TraesCS1D01G221000;TraesCS5B01G481300;TraesCS2D01G394800;TraesCS2A01G417300;TraesCS2B01G271700;TraesCS6D01G246900;TraesCS2A01G384100;TraesCS2B01G350600;TraesCS2A01G424900;TraesCS2D01G598500;TraesCS4B01G306900;TraesCS4A01G131000;TraesCS5B01G530800;TraesCS2B01G448100;TraesCS1A01G184500;TraesCS3A01G149000;TraesCS5A01G315700;TraesCS3A01G105300;TraesCS5B01G381500;TraesCS7D01G225200;TraesCS6A01G146200;TraesCS5D01G042300;TraesCS7D01G030100;TraesCS1A01G396900;TraesCS2B01G478700;TraesCS1B01G158500;TraesCS2D01G414500;TraesCS4D01G358900;TraesCS4D01G266400;TraesCS7D01G106000;TraesCS5B01G193200;TraesCS2B01G118500;TraesCS5A01G085900;TraesCS6A01G268000;TraesCS3A01G246700;TraesCS5B01G380400;TraesCS1D01G376700;TraesCS4B01G222100;TraesCS2B01G339600;TraesCS3A01G404400;TraesCS5A01G440400;TraesCS5D01G387900;TraesCS2B01G436100;TraesCS7A01G241200;TraesCS2B01G167900;TraesCS2D01G226300;TraesCS5A01G216000;TraesCS7B01G299100;TraesCS4B01G178600;TraesCS2A01G204500;TraesCS7D01G409700;TraesCS4D01G267500;TraesCS3B01G093300;TraesCS4B01G080900;TraesCS4D01G001200;TraesCS2B01G415300;TraesCS3B01G353000;TraesCS4B01G268100;TraesCS5B01G217100;TraesCS1A01G219400;TraesCS4B01G174000;TraesCS5B01G117700;TraesCS5B01G415700;TraesCS1D01G405200;TraesCS5A01G390300;TraesCS1A01G159200;TraesCS2D01G414600;TraesCS3B01G102300;TraesCS6D01G095700;TraesCS1B01G308200;TraesCS3D01G136700;TraesCS2B01G180500;TraesCS2B01G585100;TraesCS7A01G508700;TraesCS5D01G531300;TraesCS2B01G542300;TraesCS3D01G250500;TraesCS2B01G605800;TraesCS1B01G461600;TraesCS4D01G119700;TraesCS2B01G202700;TraesCS5B01G275200;TraesCS1A01G218100;TraesCS1D01G046000;TraesCS5D01G320800;TraesCS1B01G058600;TraesCS6B01G108000;TraesCS1D01G376600;TraesCS6A01G120300;TraesCS5A01G232700;TraesCS4B01G121500;TraesCS5B01G141900;TraesCS2A01G323000;TraesCS5B01G410000;TraesCS3B01G357500;TraesCS5B01G265400;TraesCS5A01G142400;TraesCS1A01G370400;TraesCS4B01G098200;TraesCS5B01G246900;TraesCS7A01G327700;TraesCS5A01G314700;TraesCS2A01G225200;TraesCS5B01G392400;TraesCS1A01G232500;TraesCS4B01G235300;TraesCS7B01G299200;TraesCS2B01G436200;TraesCS6B01G263800;TraesCS5B01G444100;TraesCS1D01G144600;TraesCS6A01G135100;TraesCS4B01G174100;TraesCS5B01G217000;TraesCS5B01G404800;TraesCS5D01G245300;TraesCS6D01G087700;TraesCS1D01G218200;TraesCS2B01G275100;TraesCS2D01G097700;TraesCS4B01G141500;TraesCS4D01G064800;TraesCS7D01G392800;TraesCS2A01G288000;TraesCS3A01G272900;TraesCS5A01G481300;TraesCS3D01G329400;TraesCS2B01G326900;TraesCS5B01G533000;TraesCS7D01G052600;TraesCS2D01G567000;TraesCS5B01G478300;TraesCS1D01G327200;TraesCS3B01G379200;TraesCS4D01G096400;TraesCS6A01G145600;TraesCS1A01G080600;TraesCS3A01G513200;TraesCS3B01G141600;TraesCS5B01G200000;TraesCS4A01G128100;TraesCS3A01G271700;TraesCS3D01G139300;TraesCS2A01G304000;TraesCS3D01G245500;TraesCS3A01G413700;TraesCS5B01G014400;TraesCS6B01G149000;TraesCS6D01G154400;TraesCS3A01G408000;TraesCS1B01G129800;TraesCS3A01G323800;TraesCS2B01G174500;TraesCS5D01G390700;TraesCS5A01G468300;TraesCS6A01G333600;TraesCS5A01G180800;TraesCS3A01G289200;TraesCS5D01G482800;TraesCS7A01G470400;TraesCS2B01G439000;TraesCS6A01G240400;TraesCS7B01G272900;TraesCS1D01G013200;TraesCS6A01G262200;TraesCS7A01G264500;TraesCS5A01G456200;TraesCS7D01G052500;TraesCS2B01G114000;TraesCS4A01G396400;TraesCS7B01G162100;TraesCS1B01G245700;TraesCS6B01G163100;TraesCS6A01G145500;TraesCS7A01G299600;TraesCS5D01G421100;TraesCS2A01G155500;TraesCS5B01G223600;TraesCS7D01G295100;TraesCS1A01G080500;TraesCS1B01G229100;TraesCS6B01G375400;TraesCS3D01G399600;TraesCS5D01G481700;TraesCS1D01G072600;TraesCS2B01G381600;TraesCS3D01G269600;TraesCS4D01G239600;TraesCS2A01G176300;TraesCS2A01G459700;TraesCS5B01G156800;TraesCS3B01G324400;TraesCS5D01G111300;TraesCS3B01G410500;TraesCS7A01G369500;TraesCS5B01G236900;TraesCS5A01G271500;TraesCS2A01G231000;TraesCS3A01G299000;TraesCS6D01G104800;TraesCS5B01G104200;TraesCS5D01G321800;TraesCS2B01G096000;TraesCS2A01G189600;TraesCS2D01G231100;TraesCS4A01G043800;TraesCS5D01G447500;TraesCS2B01G124100;TraesCS2D01G431000;TraesCS3A01G176500;TraesCS7A01G011900;TraesCS5D01G098900;TraesCS4D01G238600;TraesCS6D01G039300;TraesCS6D01G312800;TraesCS7A01G343000;TraesCSU01G007800;TraesCS7A01G096300;TraesCS5A01G297900;TraesCS3B01G153800;TraesCS5B01G271800;TraesCS5B01G384500;TraesCS4A01G396300;TraesCS2B01G175800;TraesCS5D01G467000;TraesCS2A01G514300;TraesCS5A01G104900;TraesCS5B01G408100;TraesCS5D01G329100;TraesCS7D01G052400;TraesCS1D01G223600;TraesCS2A01G081400;TraesCS2A01G101900;TraesCS4D01G176200;TraesCS5B01G244300;TraesCS2B01G304800;TraesCS5B01G316300;TraesCS6D01G135500;TraesCS2A01G363600;TraesCS6B01G280300;TraesCS4B01G346100;TraesCS2D01G235600;TraesCS5D01G092000;TraesCS3B01G114200;TraesCS3B01G208300;TraesCS5B01G362600;TraesCS3D01G408100;TraesCS5B01G108500;TraesCS1A01G350400;TraesCS7A01G416400;TraesCS3B01G255400;TraesCS3D01G317400;TraesCS6D01G226300;TraesCS4B01G315400;TraesCS1B01G326700;TraesCS3D01G289000;TraesCS5B01G465200;TraesCS7A01G376100;TraesCS5A01G143100;TraesCS5D01G273600;TraesCS5A01G112600;TraesCS1A01G401800;TraesCS5B01G313000;TraesCS1B01G274300;TraesCS1B01G304800;TraesCS6B01G238900;TraesCS5A01G238400;TraesCS5B01G095900;TraesCS2D01G100900;TraesCS3B01G568300;TraesCS4A01G396200;TraesCS4D01G094400;TraesCS1D01G292700;TraesCS4D01G176300;TraesCS5D01G467100;TraesCS4A01G098900;TraesCS4A01G176200;TraesCS5B01G502200;TraesCS5A01G400000;TraesCS4D01G305100;TraesCS7D01G183900;TraesCS3A01G413600;TraesCS6D01G368800;TraesCS3D01G408000;TraesCS4B01G069500;TraesCS5A01G380900;TraesCS5A01G124600;TraesCS4D01G316500;TraesCS2D01G456900;TraesCS2B01G208900;TraesCS3A01G109300;TraesCS5A01G258100;TraesCS7D01G508800;TraesCS1B01G326600;TraesCS5D01G518700;TraesCS4D01G268100;TraesCS3B01G371200;TraesCS3B01G375800;TraesCS7A01G264800;TraesCS4B01G215100;TraesCS1B01G243100;TraesCS5D01G183100;TraesCS2D01G534600;TraesCS2A01G427700;TraesCS1D01G082600;TraesCS3B01G176200;TraesCS5A01G041100;TraesCS7A01G182500;TraesCS3D01G370800;TraesCS7D01G435100;TraesCS3B01G361500;TraesCS4A01G130600;TraesCS5D01G207400;TraesCS5D01G232700;TraesCS2B01G217500;TraesCS3D01G412400;TraesCS4D01G176000;TraesCS5A01G469800;TraesCS7B01G364600;TraesCS3D01G354100;TraesCS2D01G361400;TraesCS5B01G480900;TraesCS2D01G464400;TraesCS6A01G406700;TraesCS7D01G000200;TraesCS2A01G080000;TraesCS3A01G056700;TraesCS3B01G270500;TraesCS1A01G016100;TraesCS5B01G142100;TraesCS3A01G167200;TraesCS5D01G413300;TraesCS1B01G164200;TraesCS3B01G156600;TraesCS4A01G062800;TraesCS4A01G001300;TraesCS3A01G377700;TraesCS6A01G108800;TraesCS4D01G236600;TraesCS3D01G296100;TraesCS4D01G293200;TraesCS5D01G481200;TraesCS4B01G045400;TraesCS6B01G364000;TraesCS6D01G239700;TraesCS4B01G100100;TraesCS5D01G244800;TraesCS3B01G448000;TraesCS1D01G082500;TraesCS2D01G211400;TraesCS3A01G135700;TraesCS5A01G251800;TraesCS5D01G022200;TraesCS4B01G104700;TraesCS7A01G033500;TraesCS7A01G270100;TraesCS3A01G343900;TraesCS4B01G173600;TraesCS5D01G097900;TraesCS5B01G118200;TraesCS4D01G176100;TraesCS4D01G178400;TraesCS6B01G174400;TraesCS7B01G087400;TraesCS5B01G257300;TraesCS6D01G074200;TraesCS6D01G217800;TraesCS6D01G110400;TraesCS7A01G057800;TraesCS3A01G379900;TraesCS5D01G205000;TraesCS4A01G001400;TraesCS3B01G314600;TraesCS2A01G106500;TraesCS7B01G434700;TraesCS2D01G269200;TraesCS7B01G029200;TraesCS4A01G035400;TraesCS3D01G289500;TraesCS6B01G193200;TraesCS4A01G129400;TraesCS4D01G177000;TraesCS7D01G392600;TraesCS1D01G233800;TraesCS5A01G395100;TraesCS5B01G214500;TraesCS3B01G199000;TraesCS1B01G347100;TraesCS5B01G315600;TraesCS3B01G448100;TraesCS5B01G176300;TraesCS2D01G198200;TraesCS2A01G551100;TraesCS6B01G423000;TraesCS4A01G130400;TraesCS1B01G425200;TraesCS3D01G401200;TraesCS7B01G372400;TraesCS6A01G107800;TraesCS2D01G107100;TraesCS3D01G238300;TraesCS5D01G450500;TraesCS1A01G215600;TraesCS4B01G299700;TraesCS5A01G337100;TraesCS4D01G105100;TraesCS2B01G308200;TraesCS4A01G216100;TraesCS3B01G441600;TraesCS3D01G173300;TraesCS3B01G330700;TraesCS4A01G248900;TraesCS7B01G316600;TraesCS1D01G404800;TraesCS4A01G059600;TraesCS1A01G314400;TraesCS7A01G365600;TraesCS3A01G111200;TraesCS3B01G156800;TraesCS1A01G421900;TraesCS5B01G236400;TraesCS7D01G497400;TraesCS1B01G232300;TraesCS2A01G102000;TraesCS2D01G515900;TraesCS6D01G339300;TraesCS2A01G433000;TraesCS7B01G274600;TraesCS7D01G336400;TraesCS1A01G015300;TraesCS2B01G116900;TraesCS2A01G553500;TraesCS2A01G532800;TraesCS3D01G227400;TraesCS5A01G265700;TraesCS5D01G185300;TraesCS6D01G134800;TraesCS2D01G339900;TraesCS6B01G423100;TraesCS2A01G201800;TraesCS7D01G345200;TraesCS7A01G306100;TraesCS1A01G080700;TraesCS7D01G526100;TraesCS3D01G341100;TraesCS6B01G381300;TraesCS5D01G232800;TraesCS7B01G160900;TraesCS6B01G289500;TraesCS1B01G453300;TraesCS5B01G099200;TraesCS6D01G110600;TraesCS3B01G303800;TraesCS5A01G377900;TraesCS7A01G509000;TraesCS3D01G281900;TraesCS4A01G219700;TraesCS3A01G247000;TraesCS5B01G102900;TraesCS5B01G175100;TraesCS3A01G406000;TraesCS1A01G333800;TraesCS6A01G383800;TraesCS2D01G250600;TraesCS4A01G267300;TraesCS5D01G226000;TraesCS2D01G183700;TraesCS2A01G217600;TraesCS5B01G415400;TraesCS5A01G090100;TraesCS1D01G398400;TraesCS4B01G108000;TraesCS7A01G328600;TraesCS7D01G283800;TraesCS1B01G456700;TraesCS7D01G092500;TraesCS6B01G284300;TraesCS2A01G397000;TraesCS1A01G086600;TraesCS4D01G136500;TraesCS2B01G454300;TraesCS2D01G414300;TraesCS5D01G487600;TraesCS5D01G225900;TraesCS1A01G298600;TraesCS7B01G296300;TraesCS4D01G312300;TraesCS5D01G116100;TraesCS2B01G246100;TraesCS5A01G475300;TraesCS4A01G455800;TraesCS2B01G135600;TraesCS1D01G082200;TraesCS6B01G295200;TraesCS7D01G551700;TraesCS1D01G376500;TraesCS7B01G259000;TraesCS7D01G171300;TraesCS3D01G244500;TraesCS5D01G129400;TraesCS1D01G429800;TraesCS2D01G077300;TraesCS3D01G324400;TraesCS1A01G112400;TraesCS4B01G237300;TraesCS3D01G272300;TraesCS5D01G304700;TraesCS2B01G436300;TraesCS7A01G110500;TraesCS7B01G249200;TraesCS3B01G439600;TraesCS7A01G518800;TraesCS1A01G389500;TraesCS7D01G548200;TraesCS6D01G299000;TraesCS5B01G134400;TraesCS7B01G008400;TraesCS3B01G272300;TraesCS7D01G092600;TraesCS5D01G071800;TraesCS4A01G148500;TraesCS5B01G224000;TraesCS7A01G412400;TraesCS7D01G110600;TraesCS7D01G372500;TraesCS6B01G148700;TraesCS5D01G179100;TraesCS7D01G368000;TraesCS2B01G187500;TraesCS2A01G389400;TraesCS4D01G180200;TraesCS6A01G258500;TraesCS6D01G243000;TraesCS2D01G387300;TraesCS4D01G222600;TraesCS3D01G315700;TraesCS4A01G071800;TraesCS4B01G083200;TraesCS1B01G235100;TraesCS2B01G320700;TraesCS7D01G201700;TraesCS6A01G116000;TraesCS1A01G263700;TraesCS2A01G101400;TraesCS1D01G263800;TraesCS6B01G451300;TraesCS5D01G266300;TraesCS4B01G239700;TraesCS5A01G138500;TraesCS5D01G321000;TraesCS1D01G314800;TraesCS2A01G150600;TraesCS2A01G391700;TraesCS2D01G386100;TraesCS1D01G274800;TraesCS2A01G388300;TraesCS5A01G237900;TraesCS3D01G056500;TraesCS5A01G080300;TraesCS7D01G497300;TraesCS4A01G171500;TraesCS3B01G123700;TraesCS1A01G302700;TraesCS2D01G284200;TraesCS3A01G289700;TraesCS3A01G124100;TraesCS5B01G564100;TraesCS3D01G157100;TraesCS3B01G272600;TraesCS7D01G353800;TraesCS6D01G222600;TraesCS7A01G116000;TraesCS5A01G468800;TraesCS3B01G130000;TraesCS3D01G273200;TraesCS6A01G394300;TraesCS5B01G067700;TraesCS5D01G223800;TraesCS6A01G080500;TraesCS4D01G264500;TraesCS1D01G199000;TraesCS3A01G078400;TraesCS3A01G336500;TraesCS7A01G423800;TraesCS3A01G242500;TraesCS6A01G120600;TraesCS4B01G228600;TraesCS2D01G285300;TraesCS3D01G431700;TraesCS7D01G501000;TraesCS4A01G407500;TraesCS1D01G265800;TraesCS2D01G392800;TraesCS6D01G330800;TraesCS3D01G272100;TraesCS5B01G366400;TraesCS4A01G081700;TraesCS1D01G314900;TraesCS2D01G296300;TraesCS5A01G411900;TraesCS5D01G182100;TraesCS5B01G217500;TraesCS6D01G047500;TraesCS1D01G073100;TraesCS2D01G051000;TraesCS5B01G075300;TraesCS3B01G310500;TraesCS7D01G092400;TraesCS2B01G007700;TraesCS2A01G419900;TraesCS3A01G229300;TraesCS2A01G220600;TraesCS1A01G221900;TraesCS3D01G372900;TraesCS5A01G312000;TraesCS2B01G257100;TraesCS3D01G244800;TraesCS3D01G242500;TraesCS3B01G273600;TraesCS4B01G205400;TraesCS4A01G126300;TraesCS7A01G561600;TraesCS3A01G347500;TraesCS7D01G457800;TraesCS3D01G276600;TraesCS3D01G113300;TraesCS5A01G218000;TraesCS3A01G276500;TraesCS6B01G173900;TraesCS1D01G429900;TraesCS5A01G411800;TraesCS3A01G245900;TraesCS1A01G295300;TraesCS4B01G065700;TraesCS6A01G165800;TraesCS2B01G260500</t>
  </si>
  <si>
    <t>regulation of biological process</t>
  </si>
  <si>
    <t>TraesCS2B01G605800;TraesCS6D01G193100;TraesCS6A01G209900;TraesCS6B01G238800;TraesCS1D01G144600;TraesCS6B01G238700;TraesCS6A01G210000;TraesCS6D01G039300;TraesCS1B01G164200;TraesCS5D01G183700;TraesCS6A01G201100</t>
  </si>
  <si>
    <t>TraesCS2B01G174500;TraesCS5D01G207400;TraesCS4D01G289900;TraesCS5B01G307300;TraesCS6A01G246400;TraesCS5B01G200000;TraesCS5D01G346200;TraesCS5B01G339100;TraesCS5D01G244800;TraesCS5A01G341000;TraesCS6A01G383800;TraesCS6D01G368800;TraesCS5A01G237900</t>
  </si>
  <si>
    <t>toxin catabolic process</t>
  </si>
  <si>
    <t>secondary metabolite catabolic process</t>
  </si>
  <si>
    <t>TraesCS3A01G107600;TraesCS1D01G346200;TraesCS4D01G104100;TraesCS1D01G218000;TraesCS3B01G423200;TraesCS7D01G506300;TraesCS5B01G201100;TraesCS6D01G039300;TraesCS5A01G092600;TraesCS3A01G189300;TraesCS7D01G071200;TraesCS3A01G471900;TraesCS6A01G302400;TraesCS7A01G075600;TraesCS4A01G203300;TraesCS1B01G229000;TraesCS1B01G197900;TraesCS4B01G335100;TraesCS5B01G225200;TraesCS5B01G244300;TraesCS1D01G123700;TraesCS5B01G262900;TraesCS2B01G350500;TraesCS6D01G291800;TraesCS3A01G113900;TraesCS3D01G278000;TraesCS5A01G505000;TraesCS4B01G143500;TraesCS1D01G186500;TraesCS1A01G182100;TraesCS5D01G208900;TraesCS1B01G198900;TraesCS3D01G432600;TraesCS3A01G124800;TraesCS3D01G192800;TraesCS2A01G121200;TraesCS3A01G439800;TraesCS5A01G513200;TraesCS4D01G142000;TraesCS2D01G517200;TraesCS1A01G344000;TraesCS2D01G123300;TraesCS4D01G339400;TraesCS6B01G331600;TraesCS6D01G281900;TraesCS7D01G364900;TraesCS1A01G183000;TraesCS1A01G215500;TraesCS5D01G104900;TraesCS3B01G126400;TraesCS3B01G311900;TraesCS4A01G124800;TraesCS5B01G458900;TraesCS1D01G185200;TraesCS1D01G074500;TraesCS3D01G467600</t>
  </si>
  <si>
    <t>TraesCS7D01G278900;TraesCS1A01G005900;TraesCS4B01G142700;TraesCS1D01G002600;TraesCS7D01G377000;TraesCS1D01G108300;TraesCS1A01G005100;TraesCS1B01G171400;TraesCS1D01G111900;TraesCS7A01G520300;TraesCS1A01G153600;TraesCS7D01G510000;TraesCS1A01G072600;TraesCS2B01G223000;TraesCS4D01G141000;TraesCS6B01G239500;TraesCS1D01G152000;TraesCS6A01G210600;TraesCS7A01G279100;TraesCS1A01G251600;TraesCS4A01G174700;TraesCS6D01G193700</t>
  </si>
  <si>
    <t>TraesCS7A01G187000;TraesCS4A01G068400;TraesCS6A01G177700;TraesCS1A01G413400;TraesCS1B01G383400;TraesCS5B01G373000;TraesCS5D01G346200;TraesCS6A01G240700;TraesCS5D01G277500;TraesCS1D01G149100;TraesCS1D01G258900;TraesCS4A01G080400;TraesCS1D01G361000;TraesCS1A01G275200;TraesCS6A01G306800;TraesCS5A01G341000;TraesCS7B01G225500;TraesCS4B01G037800;TraesCS1A01G406200;TraesCS7B01G347000;TraesCS4D01G258000;TraesCS3B01G361100;TraesCS6D01G258300;TraesCS4A01G122800;TraesCS7A01G419200;TraesCS6A01G359900;TraesCS3D01G324400;TraesCS3D01G267000;TraesCS4D01G069300;TraesCS7A01G339100;TraesCS7B01G254900;TraesCS7D01G350500;TraesCS2B01G198100;TraesCS6A01G244400;TraesCS4B01G157800;TraesCS1B01G382600;TraesCS2D01G279500;TraesCS4A01G244500;TraesCS4B01G070500;TraesCS1B01G269500;TraesCS2A01G420800;TraesCS4D01G296400;TraesCS3D01G077200;TraesCS1A01G381500;TraesCS4D01G059100;TraesCS6B01G422900;TraesCS3A01G266800;TraesCS7D01G346400;TraesCS1D01G216200;TraesCS4A01G091000;TraesCS4B01G137700;TraesCS7A01G470400;TraesCS4D01G196500;TraesCS1D01G111900;TraesCS7D01G351000;TraesCS7A01G412400;TraesCS4B01G059400;TraesCS1B01G241100;TraesCS1B01G373100;TraesCS2B01G414500;TraesCS6D01G239700;TraesCS6D01G369400;TraesCS7B01G362900;TraesCS1B01G404000;TraesCS1B01G411900;TraesCS5B01G233800;TraesCS2D01G517200;TraesCS6B01G335400;TraesCS6D01G252900;TraesCS2B01G393000;TraesCS6A01G258500;TraesCS5A01G269300;TraesCS6D01G342800;TraesCS6A01G277800;TraesCS4D01G222600;TraesCS7B01G225600;TraesCS2A01G396200;TraesCS1A01G187400;TraesCS4B01G037900;TraesCS6A01G116000;TraesCS7B01G277900;TraesCS2D01G417800;TraesCS2B01G271700;TraesCS7D01G321500;TraesCS5A01G455100;TraesCS5A01G375000;TraesCS4A01G251600;TraesCS4B01G258200;TraesCS2B01G333600;TraesCS1D01G389300;TraesCS7A01G101500;TraesCS1A01G213400;TraesCS6D01G104800;TraesCS1D01G274800;TraesCS3A01G507500;TraesCS4A01G009400;TraesCS6A01G272900;TraesCS4B01G225500;TraesCS6D01G358000;TraesCS7A01G225800;TraesCS7D01G449700;TraesCS5A01G424300;TraesCS3D01G308100;TraesCS7A01G320000;TraesCS4D01G035200;TraesCS4D01G132500;TraesCS7A01G406100;TraesCS1D01G420900;TraesCS7A01G461500;TraesCS1B01G226800;TraesCS7B01G372400;TraesCS7A01G186900;TraesCS4B01G062800;TraesCS7D01G188100;TraesCS3B01G357200;TraesCS4A01G046700;TraesCS4B01G222100;TraesCS2B01G339600;TraesCS1D01G414600;TraesCS5A01G337100;TraesCS4B01G194900;TraesCS1A01G357300;TraesCS5D01G183700;TraesCS1D01G189300;TraesCS1D01G370600;TraesCS3B01G575600;TraesCS5B01G244300;TraesCS7D01G228700;TraesCS6A01G073300;TraesCS4A01G081700;TraesCS6B01G280300;TraesCS7A01G344600;TraesCS5D01G465500;TraesCS5B01G463900;TraesCS1A01G385500;TraesCS5D01G432800;TraesCS3D01G514900;TraesCS7D01G412000;TraesCS7D01G334900;TraesCS5A01G235400;TraesCS6D01G226300;TraesCS2D01G393900;TraesCS4A01G255600;TraesCS6D01G226700;TraesCS6B01G280000;TraesCS5B01G339100;TraesCS3B01G300300;TraesCS6B01G392700;TraesCS6B01G207000;TraesCS6A01G223900;TraesCS6B01G423900;TraesCS3B01G585400;TraesCS1B01G316500;TraesCS1A01G365100;TraesCS1A01G305800;TraesCS6B01G098300;TraesCS1A01G259000;TraesCS6D01G166600;TraesCS7D01G488800;TraesCS3A01G477100;TraesCS3B01G275500;TraesCS4D01G300100;TraesCS4A01G073900;TraesCS7B01G250400;TraesCS7D01G188000;TraesCS7D01G457800;TraesCS3A01G077000;TraesCS3A01G295000;TraesCS4D01G223900;TraesCS6B01G105800;TraesCS2D01G199700;TraesCS4A01G221500;TraesCS2B01G302400;TraesCS7A01G325000;TraesCS2A01G187900;TraesCS4D01G183100</t>
  </si>
  <si>
    <t>cellular lipid metabolic process</t>
  </si>
  <si>
    <t>TraesCS2D01G538400;TraesCS3B01G490000;TraesCS1A01G218400;TraesCS5D01G359000;TraesCS2D01G022300;TraesCS5D01G038000;TraesCS6D01G358600;TraesCS7D01G092900;TraesCS1D01G167600;TraesCS1B01G454000;TraesCS3B01G295000;TraesCS7B01G473700;TraesCS2A01G389900;TraesCS3B01G455000;TraesCS4D01G207500;TraesCS6A01G124500;TraesCS7A01G163300;TraesCS6B01G052400;TraesCS2D01G479100;TraesCS2B01G236800;TraesCS7D01G318600;TraesCS2D01G079200;TraesCS2A01G190200;TraesCS5D01G383100;TraesCS4B01G157800;TraesCS3B01G485900;TraesCS5B01G104500;TraesCS7A01G476700;TraesCS2B01G350500;TraesCS3A01G276200;TraesCS3D01G049000;TraesCS3D01G278000;TraesCS2D01G380500;TraesCS3A01G033000;TraesCS6D01G360900;TraesCS7B01G245800;TraesCS3A01G342000;TraesCS2D01G219800;TraesCS6B01G225700;TraesCS5B01G526200;TraesCS6A01G052100;TraesCS4B01G376800;TraesCS5A01G447200;TraesCS5A01G350800;TraesCS2A01G170600;TraesCS2D01G255700;TraesCS2D01G297300;TraesCS4B01G054900;TraesCS3D01G351600;TraesCS1A01G367200;TraesCS2A01G182800;TraesCS2A01G216700;TraesCS3D01G234400;TraesCS5B01G135200;TraesCS2A01G537900;TraesCS7D01G444700;TraesCS3B01G126400;TraesCS2B01G477600;TraesCS1D01G074500;TraesCS7B01G047300;TraesCS3D01G270300;TraesCS3A01G274000;TraesCS3A01G163300;TraesCS5B01G371800;TraesCS4B01G306900;TraesCS6B01G145700;TraesCS3D01G316400;TraesCS1A01G343000;TraesCS1D01G100900;TraesCS1A01G184500;TraesCS3A01G344400;TraesCS1A01G243400;TraesCS3A01G048700;TraesCS7B01G239300;TraesCS3A01G107600;TraesCS1B01G385100;TraesCS4A01G089700;TraesCS1B01G158500;TraesCS2A01G479900;TraesCS3A01G034300;TraesCS4B01G238700;TraesCS5D01G328300;TraesCS6A01G078700;TraesCS3B01G113500;TraesCS5B01G183500;TraesCS2D01G537100;TraesCS5D01G387900;TraesCS2D01G226300;TraesCS5B01G146100;TraesCS1D01G439400;TraesCS7B01G356500;TraesCS2A01G384000;TraesCS5D01G524800;TraesCS3B01G049700;TraesCS3B01G196900;TraesCS1A01G182300;TraesCS5A01G197200;TraesCS4A01G062000;TraesCS7B01G415400;TraesCS2B01G180500;TraesCS1D01G335400;TraesCS6A01G377700;TraesCS2B01G605800;TraesCS6A01G000500;TraesCS2B01G437300;TraesCS4B01G106000;TraesCS5B01G526000;TraesCS7D01G087100;TraesCS3B01G306400;TraesCS3D01G030600;TraesCS6A01G250800;TraesCS2B01G097300;TraesCS4B01G047100;TraesCS1A01G367000;TraesCS5A01G322300;TraesCS3A01G357700;TraesCS2A01G216500;TraesCS7D01G165300;TraesCS3A01G045200;TraesCS3B01G390400;TraesCS1B01G231900;TraesCS2D01G415700;TraesCS3B01G401600;TraesCS5D01G181500;TraesCS6A01G225400;TraesCS2A01G418300;TraesCS6B01G020800;TraesCS1B01G162400;TraesCS7A01G455800;TraesCS3A01G310400;TraesCS2D01G057600;TraesCS1D01G146900;TraesCS1D01G345200;TraesCS5B01G184600;TraesCS6D01G211900;TraesCS6A01G140800;TraesCS1D01G243400;TraesCS1D01G163400;TraesCS1D01G218200;TraesCS2D01G097700;TraesCS7A01G118900;TraesCS5B01G188600;TraesCS7A01G435300;TraesCS5D01G328100;TraesCS2B01G537800;TraesCS2D01G223000;TraesCS3A01G272900;TraesCS2B01G485600;TraesCS3B01G289400;TraesCS6D01G157900;TraesCS2B01G053300;TraesCS7A01G480100;TraesCS7A01G031700;TraesCS2D01G364400;TraesCS3A01G152200;TraesCS2D01G216700;TraesCS3D01G104100;TraesCS3A01G257500;TraesCS1B01G384900;TraesCS5A01G370800;TraesCS2A01G525300;TraesCS3B01G307700;TraesCS1B01G091900;TraesCS6B01G051700;TraesCS2D01G537700;TraesCS7D01G495700;TraesCS4A01G414700;TraesCS4D01G261400;TraesCS3A01G256200;TraesCS5A01G401400;TraesCS5B01G501300;TraesCS7D01G097500;TraesCS2B01G242200;TraesCS1D01G419400;TraesCS6A01G178500;TraesCS7D01G324900;TraesCS4A01G098600;TraesCS3D01G256400;TraesCS2B01G001400;TraesCS6B01G163100;TraesCS2B01G097100;TraesCS7A01G333500;TraesCS7A01G167300;TraesCS2B01G045700;TraesCS1A01G080500;TraesCS1A01G330500;TraesCS5D01G104900;TraesCS3A01G290300;TraesCS7B01G309900;TraesCS6B01G300900;TraesCS2B01G536500;TraesCS5B01G028700;TraesCS6D01G122100;TraesCS7A01G264400;TraesCS1D01G372600;TraesCS5A01G294600;TraesCSU01G111800;TraesCS1B01G382500;TraesCS3D01G257500;TraesCS5D01G063800;TraesCS4B01G174300;TraesCS6B01G204600;TraesCS7B01G260800;TraesCS2B01G096000;TraesCS5B01G538800;TraesCS6B01G412500;TraesCS7D01G248200;TraesCS2B01G124100;TraesCS7A01G011900;TraesCS1A01G304200;TraesCS1A01G430100;TraesCS7B01G107300;TraesCS7B01G069100;TraesCS5B01G247700;TraesCS2A01G493800;TraesCS5B01G152600;TraesCS6A01G155200;TraesCS5A01G297900;TraesCS3D01G290100;TraesCS1D01G379000;TraesCS3B01G153800;TraesCS3A01G261800;TraesCS3A01G355700;TraesCS4A01G029800;TraesCS7B01G395000;TraesCS7D01G335800;TraesCS1A01G372400;TraesCS5D01G312800;TraesCSU01G238700;TraesCS3A01G224400;TraesCS6B01G199700;TraesCS1B01G376000;TraesCS5B01G316300;TraesCS6D01G110100;TraesCS7A01G242800;TraesCS2D01G491600;TraesCS3B01G291900;TraesCS3A01G129000;TraesCS7D01G065500;TraesCS1D01G236900;TraesCS4D01G059300;TraesCS6D01G146500;TraesCS2A01G211200;TraesCS1D01G140300;TraesCS4B01G315400;TraesCS2A01G431100;TraesCS5A01G426500;TraesCS1A01G411600;TraesCS2A01G040900;TraesCS5B01G540900;TraesCS1B01G356200;TraesCS6B01G205900;TraesCS5D01G190600;TraesCS5D01G509800;TraesCS2B01G070900;TraesCS4B01G201600;TraesCS4D01G176300;TraesCS5A01G205500;TraesCS3D01G261800;TraesCS5B01G204900;TraesCS7D01G146400;TraesCS1D01G372400;TraesCS4D01G305100;TraesCS5A01G016200;TraesCS6B01G256200;TraesCS2D01G117200;TraesCS3B01G473100;TraesCS1B01G001800;TraesCS5B01G538600;TraesCS2B01G394700;TraesCS7D01G355100;TraesCS7D01G086900;TraesCS2B01G208900;TraesCS2A01G343100;TraesCS7D01G114100;TraesCS7D01G449500;TraesCS6A01G241000;TraesCS2D01G582800;TraesCS2A01G049700;TraesCS2B01G101300;TraesCS6B01G471400;TraesCS1B01G167700;TraesCS3B01G600300;TraesCS1D01G082600;TraesCS2B01G060900;TraesCS7B01G225500;TraesCS2A01G538200;TraesCS5B01G384300;TraesCS5D01G475900;TraesCS7A01G249400;TraesCS7D01G356200;TraesCS6D01G166100;TraesCS7D01G085800;TraesCS6A01G336600;TraesCS6B01G415700;TraesCS6D01G195900;TraesCS6A01G378000;TraesCS2D01G451100;TraesCS2D01G222300;TraesCS4B01G203000;TraesCS4D01G340500;TraesCS2A01G199700;TraesCS5D01G380500;TraesCS1A01G016100;TraesCS1D01G364000;TraesCS5D01G358600;TraesCS4B01G162700;TraesCS5D01G048600;TraesCS1D01G381800;TraesCS1A01G259500;TraesCS6B01G412400;TraesCS2D01G509300;TraesCS4A01G010000;TraesCS5B01G375600;TraesCS4A01G255400;TraesCS6D01G257000;TraesCS4D01G238900;TraesCS4D01G293200;TraesCS3B01G348200;TraesCS2D01G463100;TraesCS2A01G509900;TraesCS1B01G119600;TraesCS2B01G324900;TraesCS1A01G273600;TraesCS2A01G463900;TraesCS5D01G022200;TraesCS7A01G213000;TraesCS7A01G033500;TraesCS6A01G258900;TraesCS6B01G413500;TraesCS6D01G359100;TraesCS2A01G371600;TraesCS7A01G343800;TraesCS5D01G163500;TraesCS3A01G477300;TraesCS3D01G049700;TraesCS5D01G519800;TraesCS3D01G335700;TraesCS4B01G287300;TraesCS5A01G429000;TraesCS7A01G091400;TraesCS2D01G112700;TraesCS3B01G119600;TraesCS2A01G106500;TraesCS1A01G079700;TraesCS2D01G485300;TraesCS4D01G360300;TraesCS7D01G506300;TraesCS2D01G185000;TraesCS4A01G402100;TraesCS5A01G030000;TraesCS6D01G056600;TraesCS4B01G345400;TraesCS3A01G230900;TraesCS2A01G083300;TraesCS5A01G376700;TraesCSU01G003600;TraesCS1A01G342600;TraesCS3D01G441900;TraesCS1B01G347100;TraesCS6D01G210100;TraesCS3B01G325100;TraesCS5B01G428400;TraesCS3A01G317700;TraesCS5D01G059300;TraesCS1A01G332800;TraesCS4A01G396700;TraesCS7D01G085600;TraesCS7A01G226500;TraesCS2D01G107100;TraesCSU01G016900;TraesCS1D01G372900;TraesCS2D01G455900;TraesCS2D01G577000;TraesCS3A01G064400;TraesCS4D01G126900;TraesCS3A01G362500;TraesCS3B01G166600;TraesCS3B01G288100;TraesCS7D01G300200;TraesCS3D01G220900;TraesCS1A01G048100;TraesCS5D01G390500;TraesCS3A01G122300;TraesCS5B01G327800;TraesCS1D01G052000;TraesCS3D01G172200;TraesCS6D01G105000;TraesCS1B01G324000;TraesCSU01G047400;TraesCS7D01G265400;TraesCS4A01G323500;TraesCS4D01G352700;TraesCS3D01G345700;TraesCS1A01G047000;TraesCS1A01G080700;TraesCS6A01G277600;TraesCS6B01G381300;TraesCS2B01G035300;TraesCS3D01G219900;TraesCS1D01G076200;TraesCS5B01G208300;TraesCS2B01G100200;TraesCS4B01G367200;TraesCS6B01G152700;TraesCS7A01G321600;TraesCS7D01G451300;TraesCS1B01G269800;TraesCS6A01G301300;TraesCS1D01G047900;TraesCS6B01G059800;TraesCS6D01G158300;TraesCS4D01G089300;TraesCS5D01G069700;TraesCS2A01G112300;TraesCS5B01G520600;TraesCS5D01G514500;TraesCS1D01G335500;TraesCS5B01G474500;TraesCS1A01G296300;TraesCS2B01G240800;TraesCS1D01G239700;TraesCS2B01G246100;TraesCS6A01G327500;TraesCS1D01G082200;TraesCS7B01G301400;TraesCS7D01G463300;TraesCS1D01G032600;TraesCS2D01G222700;TraesCS2D01G564300;TraesCS5A01G152800;TraesCS3D01G244500;TraesCS3D01G324400;TraesCS4A01G384500;TraesCS5B01G225200;TraesCS6A01G375800;TraesCS3D01G272300;TraesCS2D01G528200;TraesCS1B01G109400;TraesCS2B01G241900;TraesCS2D01G464800;TraesCS4B01G132000;TraesCS5D01G455900;TraesCS6D01G328800;TraesCS4B01G216700;TraesCS6D01G335300;TraesCS7D01G357100;TraesCS5B01G056700;TraesCS1A01G073300;TraesCS1B01G385200;TraesCS4B01G055600;TraesCS5A01G373600;TraesCS1B01G251700;TraesCS7A01G131300;TraesCS3A01G439200;TraesCS1B01G375400;TraesCS3A01G357100;TraesCS3B01G352300;TraesCS2B01G539200;TraesCS4D01G312400;TraesCS2A01G182400;TraesCS3D01G315700;TraesCS4A01G071800;TraesCS3D01G349700;TraesCS1B01G157700;TraesCS1D01G259300;TraesCS3D01G542300;TraesCS2D01G098200;TraesCS6B01G069800;TraesCS7B01G167100;TraesCS5A01G222300;TraesCS2A01G150600;TraesCS5D01G195700;TraesCS4A01G171500;TraesCS5A01G048600;TraesCS4A01G211600;TraesCS3D01G262300;TraesCS5D01G212900;TraesCS7A01G384500;TraesCS6D01G362500;TraesCS3D01G319000;TraesCS6D01G316600;TraesCS3D01G273200;TraesCS2A01G117800;TraesCS2D01G190200;TraesCS5D01G158100;TraesCS6D01G107600;TraesCS2A01G209900;TraesCS7D01G364700;TraesCS5A01G173300;TraesCS7D01G167900;TraesCS7D01G444400;TraesCS2A01G023900;TraesCS4D01G229100;TraesCS7D01G037700;TraesCS3D01G230300;TraesCS5A01G463100;TraesCS5D01G070900;TraesCS1D01G359900;TraesCS2D01G227300;TraesCS1A01G066800;TraesCS5A01G185500;TraesCS3A01G419600;TraesCS6D01G050900;TraesCS5A01G514500;TraesCS3B01G410000;TraesCS3B01G376300;TraesCS5A01G210300;TraesCS6D01G047500;TraesCS3D01G182600;TraesCS3D01G337900;TraesCS1D01G073100;TraesCS6D01G381200;TraesCS3B01G253900;TraesCS1D01G333500;TraesCS2D01G509500;TraesCS2B01G401300;TraesCS3B01G295500;TraesCS3D01G136300;TraesCS7D01G130600;TraesCS3B01G053800;TraesCS6A01G374700;TraesCS2B01G187300;TraesCS3A01G034600;TraesCS2A01G033700;TraesCS6D01G115200;TraesCS4D01G220500;TraesCS2D01G178100;TraesCS5B01G437300;TraesCS7D01G203800;TraesCS1B01G157900;TraesCS7D01G341800;TraesCS3A01G123000;TraesCS4B01G054700;TraesCS4D01G325500;TraesCS2A01G008300;TraesCS7D01G048600;TraesCS7A01G091200;TraesCS7D01G128300;TraesCS1A01G429800;TraesCS4D01G267800;TraesCS2B01G071200;TraesCS6A01G211400;TraesCS3B01G374100;TraesCS1B01G204700;TraesCS2A01G030200;TraesCS3B01G280000;TraesCS1D01G295800;TraesCS3D01G535700;TraesCS7B01G325900;TraesCS3A01G493100;TraesCS1D01G220000;TraesCS2B01G197000;TraesCS6D01G161200;TraesCS6B01G305600;TraesCS7A01G127100;TraesCS2A01G056800;TraesCS3A01G097800;TraesCS1D01G005400;TraesCS4A01G101600;TraesCS3A01G255600;TraesCS7D01G136700;TraesCS1B01G254900;TraesCS2A01G418200;TraesCS5D01G031500;TraesCS6A01G225300;TraesCS2A01G455600;TraesCS5B01G151600;TraesCS2D01G549400;TraesCS2B01G243000;TraesCS4B01G181800;TraesCS6D01G240100;TraesCS5D01G021700;TraesCS3B01G194400;TraesCS2D01G217500;TraesCS5D01G478700;TraesCS1A01G002500;TraesCS5D01G374300;TraesCS2A01G503800;TraesCS1A01G424200;TraesCS6D01G153600;TraesCS2B01G489700;TraesCS5A01G062600;TraesCS3D01G290000;TraesCS2B01G236900;TraesCS3D01G209100;TraesCS6B01G006600;TraesCSU01G008300;TraesCS3B01G206500;TraesCS2D01G321400;TraesCS1B01G157300;TraesCS3B01G311900;TraesCS2D01G504300;TraesCS2B01G271700;TraesCS6D01G246900;TraesCS7B01G255500;TraesCS2A01G384100;TraesCS2B01G350600;TraesCS2D01G197600;TraesCS1D01G259700;TraesCS7B01G356400;TraesCS5B01G530800;TraesCS3A01G096500;TraesCS2D01G219900;TraesCS5A01G315700;TraesCS1D01G346200;TraesCS5B01G381500;TraesCS6B01G225800;TraesCS7B01G287100;TraesCS2B01G365900;TraesCS7D01G030100;TraesCS3D01G472000;TraesCS5D01G480600;TraesCS2B01G437200;TraesCS4D01G215200;TraesCS3D01G500800;TraesCS2D01G031100;TraesCS3D01G036000;TraesCS5A01G085900;TraesCS6A01G268000;TraesCS1A01G367100;TraesCS7D01G366600;TraesCS5B01G380400;TraesCS1D01G303700;TraesCS2D01G562200;TraesCS2A01G346000;TraesCS2D01G415600;TraesCS3A01G232300;TraesCS7D01G316100;TraesCS1D01G037200;TraesCS1D01G123700;TraesCS6B01G197000;TraesCS2D01G428900;TraesCS3D01G316700;TraesCS5A01G369500;TraesCS3B01G158300;TraesCS4B01G214600;TraesCS1B01G089100;TraesCS3D01G178300;TraesCS5B01G138400;TraesCS1B01G385000;TraesCS3D01G048000;TraesCS3D01G136700;TraesCS1B01G217500;TraesCS1B01G198700;TraesCS4D01G184200;TraesCS7D01G395100;TraesCS1D01G273800;TraesCS1A01G344000;TraesCS3D01G053600;TraesCS1D01G301300;TraesCS6A01G204600;TraesCS2D01G344700;TraesCS6B01G153000;TraesCS4B01G261800;TraesCS6A01G135100;TraesCS6D01G383900;TraesCS4D01G055000;TraesCS1D01G439300;TraesCS6D01G360800;TraesCS7D01G124900;TraesCS5B01G572600;TraesCS1D01G004700;TraesCS2B01G044700;TraesCS3A01G256300;TraesCS3D01G046000;TraesCS1D01G140400;TraesCS7A01G231600;TraesCS3B01G321100;TraesCS5B01G321800;TraesCS6A01G132400;TraesCS2B01G326900;TraesCS3B01G306500;TraesCS3D01G256500;TraesCS1A01G141300;TraesCS2D01G572600;TraesCS1B01G447200;TraesCS1B01G392400;TraesCS1A01G080600;TraesCS2B01G532000;TraesCS2B01G536600;TraesCS5A01G186000;TraesCS7D01G467100;TraesCS1D01G372700;TraesCS6D01G145100;TraesCS1B01G441900;TraesCS1A01G259900;TraesCS5D01G434500;TraesCS1A01G213900;TraesCS2D01G493700;TraesCS5B01G014400;TraesCS4B01G174200;TraesCS7B01G031900;TraesCS4A01G207800;TraesCS5D01G216400;TraesCS1D01G013200;TraesCS1A01G122800;TraesCS5D01G357800;TraesCS2B01G114000;TraesCS2A01G255300;TraesCS3B01G304300;TraesCS4A01G130300;TraesCS6A01G124800;TraesCS2A01G155500;TraesCS6D01G363200;TraesCS3B01G141500;TraesCS6A01G266900;TraesCS7D01G321500;TraesCS5D01G157900;TraesCS7B01G333700;TraesCS7D01G380900;TraesCS1B01G311400;TraesCS3A01G050300;TraesCS5D01G321800;TraesCS3D01G104000;TraesCS5A01G380700;TraesCS7B01G356800;TraesCS5A01G321300;TraesCS6A01G171800;TraesCS2B01G130900;TraesCS2A01G211300;TraesCS1D01G130400;TraesCS5B01G428000;TraesCS5A01G206700;TraesCS7D01G261300;TraesCS1B01G356100;TraesCS7D01G041400;TraesCS1A01G070600;TraesCS1B01G314700;TraesCS2B01G175800;TraesCS5A01G534900;TraesCS6A01G311400;TraesCS1D01G185500;TraesCS1A01G049600;TraesCS6D01G122200;TraesCS5D01G329100;TraesCS4B01G220200;TraesCS3A01G049500;TraesCS1D01G372500;TraesCS2A01G081400;TraesCS3B01G038900;TraesCS4D01G176200;TraesCS6B01G256300;TraesCS7D01G430800;TraesCS6B01G145800;TraesCS4A01G102900;TraesCS5B01G184100;TraesCS5B01G188700;TraesCS1A01G430000;TraesCS7D01G248100;TraesCS3A01G101800;TraesCS3B01G148100;TraesCS3D01G048400;TraesCS2A01G548300;TraesCS3A01G272800;TraesCS1A01G342900;TraesCS6B01G238900;TraesCS6B01G385500;TraesCS3B01G524400;TraesCS6D01G191500;TraesCS3A01G261700;TraesCS3B01G289500;TraesCS3A01G217900;TraesCS6D01G307100;TraesCS2B01G452400;TraesCS1A01G215900;TraesCS2B01G511300;TraesCS7B01G271600;TraesCS1D01G338400;TraesCS5D01G111500;TraesCS5A01G321500;TraesCS7A01G053400;TraesCS5D01G281200;TraesCS7B01G228900;TraesCS4D01G202300;TraesCS5D01G210800;TraesCS4B01G059700;TraesCS4D01G316500;TraesCS3A01G285700;TraesCS2A01G217200;TraesCS3A01G101700;TraesCS2D01G509400;TraesCS1D01G094700;TraesCS2A01G211900;TraesCS5D01G142900;TraesCS2D01G534600;TraesCS2B01G504600;TraesCS6D01G191400;TraesCS4B01G068300;TraesCS5A01G156200;TraesCS7D01G417800;TraesCS7B01G030400;TraesCS3D01G412400;TraesCS6B01G136100;TraesCS6B01G152800;TraesCS2B01G220900;TraesCS3A01G056700;TraesCS5D01G159100;TraesCS2B01G266900;TraesCS7A01G091500;TraesCS1A01G257200;TraesCS4A01G391100;TraesCS1D01G081400;TraesCS3A01G021600;TraesCS5A01G147500;TraesCS3D01G432000;TraesCS5D01G166900;TraesCS2B01G435600;TraesCS2D01G066900;TraesCS1D01G101300;TraesCS1D01G082500;TraesCS3A01G110400;TraesCS3A01G135700;TraesCS7A01G364200;TraesCS2A01G371700;TraesCS5A01G320600;TraesCS7B01G225600;TraesCS6B01G358800;TraesCS4D01G180700;TraesCS1B01G430800;TraesCS5D01G097900;TraesCS6D01G258200;TraesCS7B01G301100;TraesCS5A01G467600;TraesCS2D01G419700;TraesCS4D01G032900;TraesCS4A01G221700;TraesCS4D01G168600;TraesCS3B01G110500;TraesCS2A01G462700;TraesCS3B01G310000;TraesCS1A01G048000;TraesCS2D01G509200;TraesCS7B01G029200;TraesCS3D01G193200;TraesCS1B01G062200;TraesCS3B01G290300;TraesCS4D01G203900;TraesCS1B01G119700;TraesCS1A01G103900;TraesCS2D01G201700;TraesCS6B01G257800;TraesCS3A01G351500;TraesCS2D01G534400;TraesCS6A01G168900;TraesCS1D01G344700;TraesCS5B01G202900;TraesCS3D01G045400;TraesCS6B01G266500;TraesCS7A01G400900;TraesCS4B01G228200;TraesCS7A01G434300;TraesCS5B01G042800;TraesCS5D01G343000;TraesCS1D01G330300;TraesCS2B01G100300;TraesCS5B01G208200;TraesCS2A01G308400;TraesCS6B01G152600;TraesCS2B01G220700;TraesCS2B01G323700;TraesCS6D01G158400;TraesCS3B01G119500;TraesCS7A01G328100;TraesCS7D01G114200;TraesCS2B01G067000;TraesCS2D01G485200;TraesCS5D01G073900;TraesCS7D01G394800;TraesCS6B01G169000;TraesCS1A01G015300;TraesCS5A01G351300;TraesCS2A01G532800;TraesCS1D01G101100;TraesCS3D01G256600;TraesCS5D01G152300;TraesCS2A01G031000;TraesCS5D01G177800;TraesCS1A01G235200;TraesCS2D01G511300;TraesCS3B01G151200;TraesCS3A01G479800;TraesCS2A01G098700;TraesCS1D01G372800;TraesCS1D01G206900;TraesCS4D01G126800;TraesCS6B01G415600;TraesCS7A01G419500;TraesCS3B01G013200;TraesCS5A01G377900;TraesCS1A01G203400;TraesCS7D01G053900;TraesCS3A01G247000;TraesCS4B01G216000;TraesCS1A01G333800;TraesCS5A01G237700;TraesCS3B01G359000;TraesCS4A01G267300;TraesCS3D01G276200;TraesCS6B01G183300;TraesCS5D01G145100;TraesCS2A01G217600;TraesCS1B01G385300;TraesCS2B01G216800;TraesCS1B01G456700;TraesCS1A01G145100;TraesCS1A01G149700;TraesCS7A01G479800;TraesCS2B01G114900;TraesCS3B01G587400;TraesCS1A01G088900;TraesCS6D01G247700;TraesCS4D01G172700;TraesCS4D01G312300;TraesCS5D01G452500;TraesCS4A01G455800;TraesCS1D01G216700;TraesCS6B01G295200;TraesCS1B01G283400;TraesCS3A01G530200;TraesCS3B01G361100;TraesCS3B01G388600;TraesCS1B01G120100;TraesCS2A01G214100;TraesCS4A01G363700;TraesCS3B01G384000;TraesCS6D01G032300;TraesCS5A01G138600;TraesCS3A01G463400;TraesCS5D01G304700;TraesCS5A01G249900;TraesCS3B01G238600;TraesCS5D01G373700;TraesCS1A01G312300;TraesCS2B01G562100;TraesCS1A01G031200;TraesCS3B01G248400;TraesCS5B01G236200;TraesCS7B01G222500;TraesCS2A01G347400;TraesCS3A01G262200;TraesCS2A01G368700;TraesCS3B01G272300;TraesCS5D01G386800;TraesCS5B01G509700;TraesCS1B01G270300;TraesCS2B01G521800;TraesCS7A01G096800;TraesCS5D01G179100;TraesCS5B01G069900;TraesCS2A01G083000;TraesCS2A01G532600;TraesCS6D01G210200;TraesCS2D01G517200;TraesCS1D01G367800;TraesCS3D01G286600;TraesCS4D01G046900;TraesCS7A01G154900;TraesCS4A01G186700;TraesCS4A01G083900;TraesCS5D01G564000;TraesCS1D01G312500;TraesCS1B01G248400;TraesCS1D01G439500;TraesCS2B01G241800;TraesCS6B01G367100;TraesCS1B01G097700;TraesCS3D01G056500;TraesCS5A01G136200;TraesCS3A01G054100;TraesCS3D01G182300;TraesCS2D01G284200;TraesCS5B01G056800;TraesCS2D01G380800;TraesCS2D01G207400;TraesCS3A01G325600;TraesCS5A01G160100;TraesCS7D01G227900;TraesCS5A01G092600;TraesCS3B01G218800;TraesCS1D01G067800;TraesCS3A01G034700;TraesCS2B01G244000;TraesCS4B01G041300;TraesCS5B01G457000;TraesCS2B01G366600;TraesCS3D01G097000;TraesCS4A01G407500;TraesCS6D01G330800;TraesCS7B01G141900;TraesCS5B01G366400;TraesCS5A01G409700;TraesCS2D01G055600;TraesCS7B01G222700;TraesCS6D01G280700;TraesCS3D01G262200;TraesCS1A01G325800;TraesCS4B01G294300;TraesCS3D01G046900;TraesCS3A01G323200;TraesCS7A01G129300;TraesCS2D01G574000;TraesCS2D01G062100;TraesCS4D01G217000;TraesCS5D01G158000;TraesCS7D01G129500;TraesCS3B01G354400;TraesCS6D01G159100;TraesCS2B01G594100;TraesCS2A01G220600;TraesCS3B01G585400;TraesCS3D01G124200;TraesCS3D01G313600;TraesCS2B01G364400;TraesCS1A01G301600;TraesCS6A01G116200;TraesCS7D01G444500;TraesCS6B01G192400;TraesCS6A01G223500;TraesCS1B01G305200;TraesCS3D01G356300;TraesCS6A01G352800;TraesCS6A01G375900;TraesCS4B01G132100;TraesCS5B01G064400;TraesCS1A01G016000;TraesCS2D01G380600;TraesCS2A01G485600;TraesCS7A01G325000;TraesCS7B01G220500</t>
  </si>
  <si>
    <t>TraesCS2D01G538400;TraesCS3B01G490000;TraesCS1A01G218400;TraesCS5D01G359000;TraesCS2D01G022300;TraesCS5D01G038000;TraesCS6D01G358600;TraesCS7D01G092900;TraesCS1D01G167600;TraesCS1B01G454000;TraesCS3B01G295000;TraesCS7B01G083600;TraesCS7B01G473700;TraesCS2A01G389900;TraesCS3B01G455000;TraesCS4B01G049100;TraesCS4D01G207500;TraesCS6A01G124500;TraesCS7A01G163300;TraesCS3A01G481000;TraesCS6B01G052400;TraesCS2D01G479100;TraesCS3A01G349900;TraesCS2B01G236800;TraesCS5B01G160200;TraesCS7D01G318600;TraesCS2D01G079200;TraesCS2A01G190200;TraesCS5D01G383100;TraesCS4B01G157800;TraesCS3B01G485900;TraesCS5B01G104500;TraesCS7A01G131700;TraesCS7A01G476700;TraesCS2B01G350500;TraesCS3A01G276200;TraesCS3D01G049000;TraesCS3D01G278000;TraesCS2D01G380500;TraesCS3A01G033000;TraesCS6D01G360900;TraesCS7B01G245800;TraesCS3A01G342000;TraesCS2D01G219800;TraesCS6B01G225700;TraesCS5B01G526200;TraesCS6A01G052100;TraesCS4B01G376800;TraesCS5A01G447200;TraesCS5A01G350800;TraesCS2A01G170600;TraesCS2D01G255700;TraesCS2D01G297300;TraesCS4B01G054900;TraesCS3D01G351600;TraesCS2A01G467700;TraesCS1A01G367200;TraesCS2D01G264400;TraesCS2A01G182800;TraesCS2A01G216700;TraesCS3D01G234400;TraesCS5B01G135200;TraesCS2A01G537900;TraesCS7D01G444700;TraesCS3B01G126400;TraesCS2B01G477600;TraesCS2D01G506600;TraesCS1D01G074500;TraesCS7B01G047300;TraesCS3D01G270300;TraesCS3A01G274000;TraesCS3A01G163300;TraesCS5B01G371800;TraesCS4B01G306900;TraesCS6B01G145700;TraesCS3D01G316400;TraesCS1A01G343000;TraesCS1D01G100900;TraesCS7B01G207500;TraesCS1A01G184500;TraesCS3A01G344400;TraesCS1A01G243400;TraesCS3A01G048700;TraesCS7B01G239300;TraesCS3A01G107600;TraesCS1B01G385100;TraesCS4A01G089700;TraesCS1B01G158500;TraesCS2A01G479900;TraesCS3A01G034300;TraesCS4B01G238700;TraesCS5D01G328300;TraesCS6A01G078700;TraesCS3B01G113500;TraesCS5B01G183500;TraesCS2D01G537100;TraesCS2D01G151500;TraesCS5D01G387900;TraesCS2D01G226300;TraesCS5B01G146100;TraesCS1D01G439400;TraesCS7B01G356500;TraesCS3B01G353000;TraesCS2A01G384000;TraesCS5D01G524800;TraesCS3B01G049700;TraesCS3B01G196900;TraesCS1A01G182300;TraesCS5A01G197200;TraesCS4A01G062000;TraesCS5A01G252300;TraesCS7B01G415400;TraesCS2B01G180500;TraesCS1D01G335400;TraesCS6A01G377700;TraesCS6D01G297300;TraesCS2B01G605800;TraesCS6A01G000500;TraesCS7B01G311600;TraesCS2B01G437300;TraesCS4B01G106000;TraesCS5B01G526000;TraesCS7D01G087100;TraesCS3B01G306400;TraesCS3D01G030600;TraesCS6A01G250800;TraesCS2B01G097300;TraesCS4B01G047100;TraesCS1A01G367000;TraesCS5A01G322300;TraesCS6B01G050200;TraesCS3A01G357700;TraesCS4B01G366800;TraesCS2A01G216500;TraesCS7D01G165300;TraesCS3A01G045200;TraesCS3B01G390400;TraesCS1B01G231900;TraesCS2D01G415700;TraesCS3B01G401600;TraesCS5D01G181500;TraesCS6A01G225400;TraesCS2A01G418300;TraesCS6B01G020800;TraesCS1B01G162400;TraesCS7A01G455800;TraesCS3A01G310400;TraesCS2D01G057600;TraesCS1D01G146900;TraesCS1D01G345200;TraesCS5B01G184600;TraesCS6D01G211900;TraesCS7D01G122600;TraesCS6A01G140800;TraesCS1D01G243400;TraesCS1D01G163400;TraesCS1D01G218200;TraesCS2D01G097700;TraesCS7A01G118900;TraesCS5B01G188600;TraesCS7A01G435300;TraesCS5D01G328100;TraesCS2B01G537800;TraesCS2D01G223000;TraesCS3A01G272900;TraesCS6A01G318100;TraesCS2B01G485600;TraesCS3B01G289400;TraesCS6D01G157900;TraesCS2B01G053300;TraesCS7A01G480100;TraesCS7D01G179700;TraesCS7A01G031700;TraesCS2D01G364400;TraesCS7D01G368700;TraesCS3A01G152200;TraesCS2D01G216700;TraesCS3D01G104100;TraesCS3A01G257500;TraesCS1B01G384900;TraesCS5D01G167800;TraesCS5A01G370800;TraesCS2A01G525300;TraesCS3B01G307700;TraesCS1B01G091900;TraesCS6B01G051700;TraesCS2D01G537700;TraesCS7D01G495700;TraesCS4A01G414700;TraesCS3B01G360600;TraesCS4D01G261400;TraesCS3A01G256200;TraesCS5A01G401400;TraesCS5B01G501300;TraesCS7D01G097500;TraesCS2B01G242200;TraesCS1D01G419400;TraesCS6A01G178500;TraesCS7D01G324900;TraesCS3A01G280500;TraesCS4A01G098600;TraesCS3D01G256400;TraesCS2B01G001400;TraesCS6B01G163100;TraesCS2B01G097100;TraesCS7A01G333500;TraesCS7A01G167300;TraesCS2B01G045700;TraesCS1A01G080500;TraesCS1A01G330500;TraesCS5D01G104900;TraesCS3A01G290300;TraesCS7B01G309900;TraesCS6B01G300900;TraesCS2B01G381600;TraesCS2B01G536500;TraesCS5B01G028700;TraesCS6D01G122100;TraesCS7A01G264400;TraesCS1D01G372600;TraesCS7B01G299000;TraesCS5A01G294600;TraesCSU01G111800;TraesCS1B01G382500;TraesCS3D01G257500;TraesCS5D01G063800;TraesCS4B01G174300;TraesCS6B01G204600;TraesCS7B01G260800;TraesCS2B01G096000;TraesCS5B01G538800;TraesCS6B01G412500;TraesCS7D01G248200;TraesCS2B01G124100;TraesCS7A01G011900;TraesCS1A01G304200;TraesCS1A01G430100;TraesCS7B01G107300;TraesCS7B01G069100;TraesCS7B01G476100;TraesCS5B01G247700;TraesCS2A01G493800;TraesCS5B01G152600;TraesCS6A01G155200;TraesCS5A01G297900;TraesCS3D01G290100;TraesCS1D01G379000;TraesCS3B01G153800;TraesCS3A01G261800;TraesCS3A01G355700;TraesCS4A01G029800;TraesCS7A01G354000;TraesCS7B01G395000;TraesCS3B01G357200;TraesCS7D01G335800;TraesCS1A01G372400;TraesCS5B01G363800;TraesCS5D01G312800;TraesCS4B01G222500;TraesCSU01G238700;TraesCS3A01G224400;TraesCS6B01G199700;TraesCS1B01G376000;TraesCS7D01G176000;TraesCS5B01G316300;TraesCS3A01G146800;TraesCS6D01G110100;TraesCS7A01G242800;TraesCS2D01G491600;TraesCS3B01G291900;TraesCS3A01G129000;TraesCS7D01G065500;TraesCS1D01G236900;TraesCS4D01G059300;TraesCS6D01G146500;TraesCS2A01G211200;TraesCS1D01G140300;TraesCS4B01G315400;TraesCS2A01G431100;TraesCS5A01G426500;TraesCS1A01G411600;TraesCS2A01G040900;TraesCS5B01G540900;TraesCS1B01G356200;TraesCS6B01G205900;TraesCS5D01G190600;TraesCS5D01G509800;TraesCS2B01G070900;TraesCS4B01G201600;TraesCS4D01G176300;TraesCS5A01G205500;TraesCS3D01G261800;TraesCS5B01G204900;TraesCS7D01G146400;TraesCS5A01G097600;TraesCS1D01G372400;TraesCS4D01G305100;TraesCS5A01G016200;TraesCS6B01G256200;TraesCS2D01G117200;TraesCS3B01G473100;TraesCS6D01G368800;TraesCS1B01G001800;TraesCS5B01G538600;TraesCS2B01G394700;TraesCS7D01G355100;TraesCS7D01G086900;TraesCS2B01G208900;TraesCS2A01G343100;TraesCS7D01G114100;TraesCS7D01G449500;TraesCS6A01G241000;TraesCS2D01G582800;TraesCS2A01G049700;TraesCS2B01G101300;TraesCS1A01G122500;TraesCS6B01G471400;TraesCS1B01G167700;TraesCS3B01G600300;TraesCS1D01G082600;TraesCS2B01G060900;TraesCS7B01G225500;TraesCS2A01G538200;TraesCS5B01G384300;TraesCS5D01G475900;TraesCS7A01G249400;TraesCS7D01G356200;TraesCS5D01G205100;TraesCS6D01G166100;TraesCS7D01G085800;TraesCS6A01G336600;TraesCS6B01G415700;TraesCS6D01G195900;TraesCS6A01G378000;TraesCS2D01G451100;TraesCS5A01G261400;TraesCS6D01G258300;TraesCS2D01G222300;TraesCS4B01G203000;TraesCS4D01G340500;TraesCS7A01G339100;TraesCS2A01G199700;TraesCS5D01G380500;TraesCS1A01G016100;TraesCS1D01G364000;TraesCS5D01G358600;TraesCS4B01G162700;TraesCS5D01G048600;TraesCS1D01G381800;TraesCS1A01G259500;TraesCS7D01G346400;TraesCS6B01G412400;TraesCS2D01G509300;TraesCS4A01G010000;TraesCS5B01G375600;TraesCS4A01G255400;TraesCS6D01G257000;TraesCS4D01G238900;TraesCS4D01G293200;TraesCS3B01G348200;TraesCS2D01G463100;TraesCS2A01G509900;TraesCS1B01G119600;TraesCS2D01G467700;TraesCS2B01G324900;TraesCS1A01G273600;TraesCS2A01G463900;TraesCS5D01G022200;TraesCS7A01G213000;TraesCS7A01G033500;TraesCS6A01G258900;TraesCS6B01G413500;TraesCS6D01G359100;TraesCS2A01G371600;TraesCS7A01G343800;TraesCS5D01G163500;TraesCS2B01G127700;TraesCS3A01G477300;TraesCS3D01G049700;TraesCS5D01G519800;TraesCS3D01G335700;TraesCS4B01G287300;TraesCS5A01G429000;TraesCS7A01G091400;TraesCS6D01G041300;TraesCS2D01G112700;TraesCS3B01G119600;TraesCS2A01G106500;TraesCS1A01G079700;TraesCS2D01G485300;TraesCS4D01G360300;TraesCS7D01G506300;TraesCS2D01G185000;TraesCS4A01G402100;TraesCS5A01G030000;TraesCS6D01G056600;TraesCS4B01G345400;TraesCS3A01G230900;TraesCS2A01G083300;TraesCS5A01G376700;TraesCSU01G003600;TraesCS1A01G342600;TraesCS3D01G441900;TraesCS1B01G347100;TraesCS6D01G210100;TraesCS3B01G325100;TraesCS5B01G428400;TraesCS3A01G317700;TraesCS5D01G059300;TraesCS1A01G332800;TraesCS4A01G396700;TraesCS7D01G085600;TraesCS7A01G226500;TraesCS2D01G107100;TraesCSU01G016900;TraesCS1D01G372900;TraesCS2D01G455900;TraesCS2D01G577000;TraesCS3A01G064400;TraesCS4D01G126900;TraesCS3A01G362500;TraesCS3B01G166600;TraesCS4A01G248900;TraesCS3B01G288100;TraesCS6D01G328200;TraesCS7D01G300200;TraesCS3D01G220900;TraesCS1A01G048100;TraesCS5D01G390500;TraesCS3A01G122300;TraesCS5B01G327800;TraesCS1D01G052000;TraesCS7D01G392500;TraesCS3D01G172200;TraesCS6D01G105000;TraesCS1B01G324000;TraesCSU01G047400;TraesCS7D01G265400;TraesCS4A01G323500;TraesCS4D01G352700;TraesCS6B01G423100;TraesCS3D01G345700;TraesCS1A01G047000;TraesCS1A01G080700;TraesCS6A01G277600;TraesCS6B01G381300;TraesCS2B01G035300;TraesCS3D01G219900;TraesCS1D01G076200;TraesCS7B01G250400;TraesCS5B01G208300;TraesCS2B01G100200;TraesCS4B01G367200;TraesCS6B01G152700;TraesCS7A01G321600;TraesCS7D01G451300;TraesCS1B01G269800;TraesCS6A01G301300;TraesCS1D01G047900;TraesCS4A01G322400;TraesCS6A01G383800;TraesCS6B01G059800;TraesCS6D01G158300;TraesCS4D01G089300;TraesCS5D01G069700;TraesCS3B01G293100;TraesCS2A01G112300;TraesCS6D01G255200;TraesCS5B01G520600;TraesCS5D01G514500;TraesCS1D01G335500;TraesCS5B01G474500;TraesCS1A01G296300;TraesCS2B01G240800;TraesCS1D01G239700;TraesCS2B01G246100;TraesCS6A01G327500;TraesCS1D01G082200;TraesCS7B01G301400;TraesCS7D01G463300;TraesCS1D01G032600;TraesCS5A01G387800;TraesCS2D01G222700;TraesCS2D01G564300;TraesCS5A01G152800;TraesCS3D01G244500;TraesCS7D01G175900;TraesCS3D01G324400;TraesCS4A01G384500;TraesCS5B01G225200;TraesCS6A01G375800;TraesCS3D01G272300;TraesCS2D01G528200;TraesCS1B01G109400;TraesCS2B01G241900;TraesCS2D01G464800;TraesCS4B01G132000;TraesCS5D01G455900;TraesCS6D01G328800;TraesCS7B01G079400;TraesCS4B01G216700;TraesCS6D01G335300;TraesCS7D01G357100;TraesCS5B01G056700;TraesCS1A01G073300;TraesCS1B01G385200;TraesCS4B01G055600;TraesCS5A01G373600;TraesCS1B01G251700;TraesCS7A01G131300;TraesCS3A01G439200;TraesCS7A01G412400;TraesCS1B01G375400;TraesCS3A01G357100;TraesCS3B01G352300;TraesCS2B01G539200;TraesCS4D01G312400;TraesCS5D01G370100;TraesCS2A01G182400;TraesCS3D01G315700;TraesCS4A01G071800;TraesCS4B01G083200;TraesCS3D01G349700;TraesCS1B01G157700;TraesCS1D01G259300;TraesCS3D01G542300;TraesCS2D01G098200;TraesCS6B01G069800;TraesCS7B01G167100;TraesCS5A01G222300;TraesCS1A01G312400;TraesCS2A01G150600;TraesCS5D01G195700;TraesCS4A01G171500;TraesCS5A01G048600;TraesCS4A01G211600;TraesCS3D01G262300;TraesCS5D01G212900;TraesCS7A01G384500;TraesCS6D01G362500;TraesCS3D01G319000;TraesCS6D01G316600;TraesCS2D01G307000;TraesCS3D01G273200;TraesCS2A01G117800;TraesCS2D01G190200;TraesCS1A01G424100;TraesCS5D01G158100;TraesCS6D01G107600;TraesCS2A01G209900;TraesCS7D01G364700;TraesCS5A01G173300;TraesCS7D01G167900;TraesCS7D01G444400;TraesCS6D01G258900;TraesCS2A01G023900;TraesCS4D01G229100;TraesCS7D01G037700;TraesCS1A01G418900;TraesCS3D01G230300;TraesCS7D01G314200;TraesCS5A01G463100;TraesCS5D01G070900;TraesCS7A01G177900;TraesCS1D01G359900;TraesCS2D01G227300;TraesCS1A01G066800;TraesCS5A01G185500;TraesCS1D01G312600;TraesCS3A01G419600;TraesCS6D01G050900;TraesCS5A01G514500;TraesCS3B01G410000;TraesCS3B01G376300;TraesCS5A01G210300;TraesCS3D01G310200;TraesCS6D01G047500;TraesCS3D01G182600;TraesCS3D01G337900;TraesCS1D01G073100;TraesCS6D01G381200;TraesCS3B01G253900;TraesCS1D01G333500;TraesCS2D01G509500;TraesCS2B01G401300;TraesCS3B01G295500;TraesCS3D01G136300;TraesCS7D01G130600;TraesCS3B01G053800;TraesCS6A01G374700;TraesCS2B01G187300;TraesCS3A01G034600;TraesCS2A01G033700;TraesCS6D01G115200;TraesCS4D01G220500;TraesCS2D01G178100;TraesCS5B01G437300;TraesCS7D01G203800;TraesCS1B01G157900;TraesCS7D01G341800;TraesCS3A01G123000;TraesCS4B01G054700;TraesCS4D01G325500;TraesCS4B01G205400;TraesCS2A01G008300;TraesCS7D01G048600;TraesCS1D01G123400;TraesCS4A01G059900;TraesCS7A01G091200;TraesCS7A01G317500;TraesCS7D01G128300;TraesCS1A01G429800;TraesCS4D01G267800;TraesCS2B01G071200;TraesCS6A01G211400;TraesCS3B01G374100;TraesCS1B01G204700;TraesCS2A01G030200;TraesCS3B01G280000;TraesCS1D01G295800;TraesCS3D01G535700;TraesCS7B01G325900;TraesCS5B01G241400;TraesCS3A01G493100;TraesCS1D01G220000;TraesCS2B01G197000;TraesCS4D01G081300;TraesCS6D01G161200;TraesCS6B01G305600;TraesCS7A01G127100;TraesCS7D01G131000;TraesCS2A01G056800;TraesCS7A01G012000;TraesCS3A01G097800;TraesCS7B01G024500;TraesCS1D01G005400;TraesCS4A01G101600;TraesCS5A01G366000;TraesCS3A01G255600;TraesCS7D01G136700;TraesCS1B01G254900;TraesCS2A01G418200;TraesCS5D01G031500;TraesCS6A01G225300;TraesCS2A01G455600;TraesCS5B01G151600;TraesCS2D01G549400;TraesCS2B01G243000;TraesCS5D01G375600;TraesCS4B01G181800;TraesCS6D01G240100;TraesCS5D01G021700;TraesCS3B01G194400;TraesCS2D01G217500;TraesCS5D01G478700;TraesCS1D01G111900;TraesCS1A01G002500;TraesCS5D01G374300;TraesCS2A01G503800;TraesCS1A01G424200;TraesCS6D01G153600;TraesCS2B01G489700;TraesCS5A01G062600;TraesCS3D01G290000;TraesCS2B01G236900;TraesCS3D01G209100;TraesCS6B01G006600;TraesCSU01G008300;TraesCS3B01G206500;TraesCS2D01G321400;TraesCS1B01G157300;TraesCS3B01G311900;TraesCS2D01G504300;TraesCS2B01G271700;TraesCS5A01G243500;TraesCS6D01G246900;TraesCS7B01G255500;TraesCS2A01G384100;TraesCS2B01G350600;TraesCS2D01G197600;TraesCS1D01G259700;TraesCS7B01G356400;TraesCS5B01G530800;TraesCS7A01G030900;TraesCS4D01G206300;TraesCS3A01G096500;TraesCS2D01G219900;TraesCS5A01G315700;TraesCS1D01G346200;TraesCS5B01G381500;TraesCS6B01G225800;TraesCS7B01G287100;TraesCS3D01G285700;TraesCS1D01G134600;TraesCS2B01G365900;TraesCS7D01G030100;TraesCS3D01G472000;TraesCS5D01G480600;TraesCS7D01G281300;TraesCS2B01G437200;TraesCS4D01G215200;TraesCS3D01G500800;TraesCS2D01G031100;TraesCS3D01G036000;TraesCS5A01G085900;TraesCS6A01G268000;TraesCS1A01G367100;TraesCS7D01G366600;TraesCS5B01G380400;TraesCS1D01G303700;TraesCS2D01G562200;TraesCS2A01G346000;TraesCS2D01G415600;TraesCS3A01G232300;TraesCS7D01G316100;TraesCS1D01G037200;TraesCS1D01G123700;TraesCS4B01G178600;TraesCS6B01G197000;TraesCS2D01G428900;TraesCS3D01G316700;TraesCS5A01G369500;TraesCS3B01G158300;TraesCS4B01G214600;TraesCS1B01G089100;TraesCS3D01G178300;TraesCS5B01G138400;TraesCS1B01G385000;TraesCS3B01G102300;TraesCS3D01G048000;TraesCS3D01G136700;TraesCS1B01G217500;TraesCS1B01G198700;TraesCS3A01G293900;TraesCS4D01G184200;TraesCS7D01G395100;TraesCS1D01G273800;TraesCS1A01G344000;TraesCS3D01G053600;TraesCS1D01G301300;TraesCS6A01G204600;TraesCS2D01G344700;TraesCS6B01G153000;TraesCS4B01G261800;TraesCS4D01G269700;TraesCS6A01G135100;TraesCS3A01G266300;TraesCS6D01G383900;TraesCS4D01G055000;TraesCS1D01G439300;TraesCS6D01G360800;TraesCS7D01G124900;TraesCS5B01G572600;TraesCS1D01G004700;TraesCS2B01G044700;TraesCS3A01G256300;TraesCS3D01G046000;TraesCS1D01G140400;TraesCS7A01G231600;TraesCS4D01G064800;TraesCS2A01G505800;TraesCS3B01G321100;TraesCS5B01G321800;TraesCS6A01G132400;TraesCS2B01G326900;TraesCS3B01G306500;TraesCS3D01G256500;TraesCS1A01G141300;TraesCS2D01G572600;TraesCS1B01G447200;TraesCS2B01G230300;TraesCS1B01G392400;TraesCS1A01G080600;TraesCS2B01G532000;TraesCS2B01G536600;TraesCS5A01G186000;TraesCS7D01G467100;TraesCS1D01G372700;TraesCS6D01G145100;TraesCS1B01G441900;TraesCS1A01G259900;TraesCS5D01G434500;TraesCS1A01G213900;TraesCS2D01G493700;TraesCS5B01G014400;TraesCS4B01G174200;TraesCS3A01G323800;TraesCS7B01G031900;TraesCS4A01G207800;TraesCS5D01G216400;TraesCS1D01G013200;TraesCS1A01G122800;TraesCS5D01G357800;TraesCS2B01G114000;TraesCS2A01G255300;TraesCS3B01G304300;TraesCS5A01G269300;TraesCS5B01G103100;TraesCS6A01G277800;TraesCS4A01G130300;TraesCS6A01G124800;TraesCS2A01G155500;TraesCS6D01G363200;TraesCS3B01G141500;TraesCS6A01G266900;TraesCS7D01G321500;TraesCS5D01G157900;TraesCS7B01G333700;TraesCS7D01G380900;TraesCS1B01G311400;TraesCS3A01G050300;TraesCS5D01G321800;TraesCS3D01G104000;TraesCS5A01G380700;TraesCS7B01G356800;TraesCS5A01G321300;TraesCS6A01G171800;TraesCS2B01G130900;TraesCS2A01G211300;TraesCS1D01G130400;TraesCS2A01G250900;TraesCS3A01G109500;TraesCS5B01G428000;TraesCS5A01G206700;TraesCS1A01G245300;TraesCS6A01G157500;TraesCS7D01G261300;TraesCS1B01G356100;TraesCS7D01G041400;TraesCS1A01G070600;TraesCS1B01G314700;TraesCS2B01G175800;TraesCS5A01G534900;TraesCS6A01G311400;TraesCS1D01G185500;TraesCS1A01G049600;TraesCS6D01G122200;TraesCS5D01G329100;TraesCS4B01G220200;TraesCS3A01G049500;TraesCS1D01G372500;TraesCS2A01G081400;TraesCS3B01G038900;TraesCS4D01G176200;TraesCS3D01G343900;TraesCS6B01G256300;TraesCS7D01G430800;TraesCS2B01G325600;TraesCS4D01G223000;TraesCS6B01G145800;TraesCS7D01G027100;TraesCS3D01G317400;TraesCS4A01G102900;TraesCS5B01G184100;TraesCS5B01G188700;TraesCS6B01G328300;TraesCS1A01G430000;TraesCS7D01G248100;TraesCS3A01G101800;TraesCS5B01G430100;TraesCS3B01G148100;TraesCS3D01G048400;TraesCS2A01G548300;TraesCS3A01G272800;TraesCS1A01G342900;TraesCS6B01G238900;TraesCS6B01G385500;TraesCS3B01G524400;TraesCS6D01G191500;TraesCS3A01G261700;TraesCS3B01G289500;TraesCS1A01G267300;TraesCS3A01G217900;TraesCS4A01G098900;TraesCS6D01G307100;TraesCS2B01G452400;TraesCS1A01G215900;TraesCS2B01G511300;TraesCS7B01G271600;TraesCS4D01G269300;TraesCS1D01G338400;TraesCS5D01G111500;TraesCS5A01G321500;TraesCS7A01G053400;TraesCS5D01G281200;TraesCS7B01G228900;TraesCS4D01G202300;TraesCS5D01G210800;TraesCS4B01G059700;TraesCS4D01G316500;TraesCS2D01G374600;TraesCS3A01G285700;TraesCS2A01G217200;TraesCS2D01G215900;TraesCS2D01G248700;TraesCS3A01G101700;TraesCS2D01G509400;TraesCS1D01G094700;TraesCS5D01G277500;TraesCS2A01G211900;TraesCS5D01G142900;TraesCS3A01G330600;TraesCS2D01G534600;TraesCS7A01G125600;TraesCS1B01G278200;TraesCS2B01G504600;TraesCS6D01G191400;TraesCS4B01G068300;TraesCS5A01G156200;TraesCS7D01G417800;TraesCS7B01G030400;TraesCS3D01G412400;TraesCS6B01G136100;TraesCS6B01G152800;TraesCS3B01G128000;TraesCS2A01G508900;TraesCS2B01G220900;TraesCS3A01G056700;TraesCS5D01G159100;TraesCS2B01G266900;TraesCS7A01G091500;TraesCS1A01G257200;TraesCS4A01G391100;TraesCS1D01G081400;TraesCS3A01G021600;TraesCS5A01G147500;TraesCS4A01G232600;TraesCS3D01G432000;TraesCS6A01G224800;TraesCS5D01G166900;TraesCS2B01G435600;TraesCS2D01G066900;TraesCS1D01G101300;TraesCS1D01G082500;TraesCS3A01G110400;TraesCS3A01G135700;TraesCS7A01G364200;TraesCS2A01G371700;TraesCS5A01G320600;TraesCS7B01G225600;TraesCS6B01G358800;TraesCS4D01G180700;TraesCS1B01G430800;TraesCS5D01G097900;TraesCS7A01G398200;TraesCS6D01G258200;TraesCS5A01G205700;TraesCS7B01G301100;TraesCS5A01G467600;TraesCS2D01G419700;TraesCS4D01G032900;TraesCS4A01G221700;TraesCS4D01G168600;TraesCS3B01G110500;TraesCS2A01G462700;TraesCS3B01G310000;TraesCS1A01G048000;TraesCS1B01G456900;TraesCS2D01G509200;TraesCS7B01G029200;TraesCS3D01G193200;TraesCS1B01G062200;TraesCS3B01G290300;TraesCS4D01G203900;TraesCS1B01G119700;TraesCS7A01G345700;TraesCS1A01G103900;TraesCS2D01G201700;TraesCS6B01G257800;TraesCS3A01G351500;TraesCS2D01G534400;TraesCS6A01G168900;TraesCS3B01G174100;TraesCS6B01G423000;TraesCS1D01G344700;TraesCS5B01G202900;TraesCS3D01G045400;TraesCS6B01G266500;TraesCS7A01G400900;TraesCS4B01G228200;TraesCS7A01G434300;TraesCS5B01G042800;TraesCS5D01G343000;TraesCS7B01G273600;TraesCS1D01G330300;TraesCS2B01G100300;TraesCS5B01G208200;TraesCS2A01G308400;TraesCS6B01G152600;TraesCS5D01G436200;TraesCS2B01G220700;TraesCS7D01G351900;TraesCS4A01G081300;TraesCS2B01G323700;TraesCS2D01G239800;TraesCS6D01G158400;TraesCS5A01G361100;TraesCS3B01G119500;TraesCS7A01G328100;TraesCS7D01G114200;TraesCS2B01G067000;TraesCS2D01G485200;TraesCS5D01G073900;TraesCS3D01G266400;TraesCS7D01G394800;TraesCS6A01G209600;TraesCS7A01G174700;TraesCS6B01G169000;TraesCS1A01G015300;TraesCS5A01G351300;TraesCS2A01G532800;TraesCS1D01G101100;TraesCS3D01G256600;TraesCS5D01G152300;TraesCS2A01G031000;TraesCS5D01G177800;TraesCS1A01G235200;TraesCS2D01G511300;TraesCS3B01G151200;TraesCS3A01G479800;TraesCS2A01G098700;TraesCS1D01G372800;TraesCS1D01G206900;TraesCS4D01G126800;TraesCS6B01G415600;TraesCS7A01G419500;TraesCS3B01G013200;TraesCS5A01G377900;TraesCS1A01G203400;TraesCS7D01G053900;TraesCS3A01G247000;TraesCS4B01G216000;TraesCS1A01G333800;TraesCS5A01G237700;TraesCS2A01G445100;TraesCS3B01G359000;TraesCS4A01G267300;TraesCS3D01G276200;TraesCS6B01G183300;TraesCS3D01G260200;TraesCS5D01G145100;TraesCS2A01G217600;TraesCS1B01G385300;TraesCS3A01G260000;TraesCS2B01G216800;TraesCS1B01G456700;TraesCS1A01G145100;TraesCS1A01G149700;TraesCS7A01G479800;TraesCS2B01G114900;TraesCS3B01G587400;TraesCS1A01G088900;TraesCS2A01G203200;TraesCS6D01G247700;TraesCS4D01G172700;TraesCS4D01G312300;TraesCS5D01G452500;TraesCS4A01G455800;TraesCS1D01G216700;TraesCS6B01G295200;TraesCS1B01G283400;TraesCS3A01G530200;TraesCS3B01G361100;TraesCS3B01G388600;TraesCS1B01G120100;TraesCS2A01G214100;TraesCS4A01G363700;TraesCS5D01G436000;TraesCS3B01G384000;TraesCS6D01G032300;TraesCS5A01G138600;TraesCS3A01G463400;TraesCS5D01G304700;TraesCS5A01G249900;TraesCS3B01G238600;TraesCS5D01G373700;TraesCS1A01G312300;TraesCS2B01G562100;TraesCS1A01G031200;TraesCS3B01G248400;TraesCS7A01G537100;TraesCS5B01G236200;TraesCS7B01G222500;TraesCS2A01G347400;TraesCS3A01G262200;TraesCS2A01G368700;TraesCS3B01G272300;TraesCS5D01G386800;TraesCS5B01G509700;TraesCS1B01G270300;TraesCS2B01G521800;TraesCS7A01G096800;TraesCS5D01G179100;TraesCS5B01G069900;TraesCS2A01G083000;TraesCS2A01G532600;TraesCS6D01G210200;TraesCS2D01G517200;TraesCS1D01G367800;TraesCS3D01G286600;TraesCS6D01G258600;TraesCS4D01G046900;TraesCS7D01G175800;TraesCS7A01G154900;TraesCS4A01G186700;TraesCS6B01G302400;TraesCS4A01G083900;TraesCS5D01G564000;TraesCS1D01G312500;TraesCS1B01G248400;TraesCS1D01G439500;TraesCS2B01G241800;TraesCS6B01G367100;TraesCS1B01G097700;TraesCS3D01G056500;TraesCS5A01G136200;TraesCS3A01G054100;TraesCS3D01G182300;TraesCS7B01G079500;TraesCS3D01G367200;TraesCS2D01G284200;TraesCS5B01G056800;TraesCS2D01G380800;TraesCS5D01G210600;TraesCS2D01G207400;TraesCS3A01G325600;TraesCS5A01G160100;TraesCS7D01G227900;TraesCS5A01G092600;TraesCS3B01G218800;TraesCS1D01G067800;TraesCS3A01G034700;TraesCS2B01G244000;TraesCS4B01G041300;TraesCS5B01G457000;TraesCS2B01G366600;TraesCS3D01G097000;TraesCS4A01G407500;TraesCS2B01G085500;TraesCS6D01G330800;TraesCS7B01G141900;TraesCS5B01G366400;TraesCS5A01G409700;TraesCS2D01G055600;TraesCS2A01G311200;TraesCS7B01G222700;TraesCS6D01G280700;TraesCS3D01G262200;TraesCS1A01G325800;TraesCS4B01G294300;TraesCS3D01G046900;TraesCS3A01G323200;TraesCS7A01G129300;TraesCS2D01G574000;TraesCS5A01G428000;TraesCS2D01G062100;TraesCS4D01G217000;TraesCS5D01G158000;TraesCS7D01G129500;TraesCS3B01G354400;TraesCS3B01G344600;TraesCS7B01G032400;TraesCS6D01G159100;TraesCS2B01G594100;TraesCS2A01G220600;TraesCS3B01G585400;TraesCS3D01G124200;TraesCS3D01G313600;TraesCS2B01G364400;TraesCS1A01G301600;TraesCS6A01G116200;TraesCS7D01G444500;TraesCS6B01G192400;TraesCS6A01G223500;TraesCS1B01G305200;TraesCS3D01G356300;TraesCS6A01G352800;TraesCS6A01G375900;TraesCS4B01G132100;TraesCS5B01G064400;TraesCS1A01G016000;TraesCS2D01G380600;TraesCS2A01G485600;TraesCS7A01G325000;TraesCS4B01G065700;TraesCS5D01G268800;TraesCS7B01G220500</t>
  </si>
  <si>
    <t>TraesCS3A01G094600;TraesCS3B01G304000;TraesCS7A01G489600;TraesCS3D01G140900;TraesCS7B01G340100;TraesCS2B01G109700;TraesCS2B01G271500;TraesCS5D01G078300;TraesCS3D01G258800;TraesCS6D01G344600;TraesCS2A01G094700;TraesCS5B01G252100;TraesCS2A01G094500;TraesCS6A01G361100;TraesCS5D01G261000;TraesCS2D01G270400;TraesCS5A01G253200;TraesCS4D01G180800;TraesCS2A01G040300;TraesCS2A01G302300;TraesCS7A01G320800;TraesCS7D01G348700;TraesCS7D01G476000;TraesCS7A01G374700;TraesCS2D01G250900;TraesCS2D01G428700;TraesCS3D01G094800;TraesCS3B01G158500;TraesCS4A01G125300;TraesCS7A01G441400;TraesCS2A01G097400;TraesCS6A01G419900;TraesCS1D01G394500;TraesCS3D01G042700;TraesCS3A01G258700;TraesCS7D01G317600;TraesCS2B01G109800;TraesCS2D01G093000;TraesCS2B01G290000;TraesCS3D01G246000;TraesCS6A01G209000;TraesCS5A01G010800;TraesCS6A01G223900;TraesCS3A01G313400;TraesCS1D01G199500;TraesCS7B01G221700;TraesCS2B01G452200;TraesCS1B01G210700;TraesCS5B01G074000;TraesCS7B01G252700;TraesCS7A01G158900;TraesCS2D01G038900;TraesCS7D01G430700;TraesCS7D01G029700;TraesCS2B01G318100;TraesCS3B01G110100;TraesCS6D01G192500;TraesCS3A01G245500;TraesCS7B01G392700</t>
  </si>
  <si>
    <t>TraesCS2B01G336000;TraesCS7D01G548200;TraesCS2D01G374600;TraesCS6A01G177700;TraesCS6B01G284000;TraesCS6D01G393600;TraesCS7D01G392800;TraesCS3A01G109500;TraesCS6D01G224700;TraesCS4D01G045300;TraesCS6A01G240700;TraesCS6D01G039300;TraesCS7A01G412400;TraesCS6D01G222900;TraesCS4B01G045400;TraesCS4B01G100100;TraesCS3B01G344600;TraesCS3A01G481000;TraesCS4D01G096400;TraesCS2D01G346200;TraesCS4A01G046700;TraesCS2B01G339600;TraesCS2D01G285300;TraesCS4D01G258000;TraesCS1A01G215600;TraesCS1B01G229100;TraesCS5D01G169300;TraesCS6A01G116000;TraesCS3B01G141600;TraesCS2D01G392800;TraesCS4A01G216100;TraesCS7A01G561600;TraesCS7B01G299200;TraesCS2A01G384100;TraesCS5B01G561300;TraesCS4B01G258200;TraesCS5B01G236900;TraesCS6D01G104800;TraesCS1A01G295300;TraesCS3D01G310200;TraesCS4D01G315400;TraesCS4A01G043800</t>
  </si>
  <si>
    <t>hormone metabolic process</t>
  </si>
  <si>
    <t>salicylic acid biosynthetic process</t>
  </si>
  <si>
    <t>salicylic acid metabolic process</t>
  </si>
  <si>
    <t>TraesCS7D01G225200;TraesCS2D01G284200;TraesCS2B01G208900;TraesCS4A01G089700;TraesCS6D01G393600;TraesCS5B01G482400;TraesCS7A01G246700;TraesCS7D01G392800;TraesCS4D01G215200;TraesCS4D01G238600;TraesCS5B01G373000;TraesCS6A01G240700;TraesCS6D01G039300;TraesCS5A01G204800;TraesCS6A01G201100;TraesCS3D01G308100;TraesCS2B01G189300;TraesCS4D01G264500;TraesCS3B01G304600;TraesCS4D01G096400;TraesCS7B01G372400;TraesCS2B01G530300;TraesCS2D01G285300;TraesCS1A01G072200;TraesCS6B01G222200;TraesCS7D01G245500;TraesCS1A01G221200;TraesCS2D01G392800;TraesCS1D01G074600;TraesCS4A01G216100;TraesCS5D01G183700;TraesCS5A01G469800;TraesCS5D01G104200;TraesCS4B01G237300;TraesCS7A01G110500;TraesCS3D01G524700;TraesCS7A01G365600;TraesCS5B01G142100;TraesCS4D01G315400;TraesCS2B01G336000;TraesCS7D01G548200;TraesCS1A01G182100;TraesCS6A01G190700;TraesCS6B01G284000;TraesCS7B01G008400;TraesCS1B01G198900;TraesCS5D01G482800;TraesCS7A01G470400;TraesCS1A01G308900;TraesCS2B01G180500;TraesCS4D01G045300;TraesCS4D01G326400;TraesCS1D01G077300;TraesCS6D01G257000;TraesCS6D01G222900;TraesCS2B01G605800;TraesCS4B01G045400;TraesCS7A01G264500;TraesCS5B01G097600;TraesCS4B01G100100;TraesCS2D01G517200;TraesCS6D01G252900;TraesCS2A01G033700;TraesCS2A01G551000;TraesCS2A01G155500;TraesCS1D01G108300;TraesCS7A01G327700;TraesCS1D01G185200;TraesCS1D01G074500;TraesCS6D01G180400;TraesCS2B01G127700;TraesCS7A01G561600;TraesCS5B01G392400;TraesCS2B01G271700;TraesCS5A01G266400;TraesCS7D01G457800;TraesCS7B01G299200;TraesCS3A01G295000;TraesCS2A01G384100;TraesCS2D01G552100;TraesCS3A01G517100;TraesCS7B01G144600;TraesCS2D01G598500;TraesCS5A01G329100;TraesCS1A01G295300;TraesCS6A01G272900;TraesCS3B01G490900;TraesCS4A01G043800</t>
  </si>
  <si>
    <t>response to external stimulus</t>
  </si>
  <si>
    <t>TraesCS7A01G187000;TraesCS4B01G225500;TraesCS4A01G068400;TraesCS6A01G177700;TraesCS6D01G393600;TraesCS1A01G413400;TraesCS6A01G240700;TraesCS6D01G039300;TraesCS5B01G152600;TraesCS6A01G306800;TraesCS4D01G035200;TraesCS1D01G420900;TraesCS4D01G096400;TraesCS7B01G372400;TraesCS7A01G186900;TraesCS4B01G037800;TraesCS7D01G188100;TraesCS1A01G406200;TraesCS2B01G339600;TraesCS2D01G285300;TraesCS1D01G414600;TraesCS1A01G215600;TraesCS4B01G194900;TraesCS5B01G468400;TraesCS2D01G392800;TraesCS4A01G216100;TraesCS7B01G254900;TraesCS7D01G350500;TraesCS5D01G183700;TraesCS1D01G039500;TraesCS6A01G073300;TraesCS2D01G279500;TraesCS4D01G296400;TraesCS5D01G159100;TraesCS6B01G422900;TraesCS4D01G315400;TraesCS2B01G336000;TraesCS7D01G548200;TraesCS6B01G284000;TraesCS2D01G393900;TraesCS7A01G470400;TraesCS4D01G045300;TraesCS3D01G432600;TraesCS7D01G351000;TraesCS7A01G412400;TraesCS6D01G222900;TraesCS4B01G045400;TraesCS2B01G414500;TraesCS3A01G439800;TraesCS6B01G207000;TraesCS6D01G239700;TraesCS6D01G369400;TraesCS4B01G100100;TraesCS6B01G423900;TraesCS6B01G335400;TraesCS6A01G258500;TraesCS2A01G396400;TraesCS2A01G396200;TraesCS6B01G098300;TraesCS1B01G229100;TraesCS4B01G037900;TraesCS6A01G116000;TraesCS1B01G048300;TraesCS6D01G166600;TraesCS7D01G488800;TraesCS1B01G048500;TraesCS7A01G561600;TraesCS7D01G188000;TraesCS7D01G457800;TraesCS2A01G384100;TraesCS6B01G105800;TraesCS2B01G333600;TraesCS4A01G221500;TraesCS6D01G104800;TraesCS1A01G295300;TraesCS4A01G009400</t>
  </si>
  <si>
    <t>monocarboxylic acid biosynthetic process</t>
  </si>
  <si>
    <t>TraesCS7D01G063900;TraesCS3A01G050700;TraesCS6D01G232300;TraesCS3A01G050500;TraesCS2A01G414700;TraesCS3D01G266400;TraesCS4D01G232700;TraesCS5B01G152600;TraesCS1A01G411600;TraesCS1D01G419400;TraesCS4D01G052500;TraesCS4A01G419400;TraesCS5A01G156200;TraesCS4A01G262600;TraesCS1A01G072200;TraesCS4B01G052300;TraesCS4A01G075600;TraesCS5D01G031200;TraesCS1D01G074600;TraesCS1B01G441900;TraesCS7A01G069300;TraesCS5A01G375000;TraesCS3A01G266300;TraesCS3D01G050100;TraesCS4B01G231400</t>
  </si>
  <si>
    <t>TraesCS6B01G292200;TraesCS3B01G146500;TraesCS5B01G291100;TraesCS5D01G342400;TraesCS4A01G068400;TraesCS5D01G422000;TraesCS6A01G177700;TraesCS1A01G413400;TraesCS3D01G434200;TraesCS4A01G259300;TraesCS4A01G295400;TraesCS7A01G002700;TraesCS5A01G131300;TraesCS4B01G263300;TraesCS5A01G433900;TraesCS4A01G323800;TraesCS2D01G276900;TraesCS1A01G406200;TraesCS5B01G303800;TraesCS3D01G267000;TraesCS4B01G018300;TraesCS5A01G337700;TraesCS7B01G254900;TraesCS7D01G350500;TraesCS4D01G055700;TraesCS5B01G209800;TraesCS2A01G420800;TraesCS4D01G296400;TraesCS2A01G277900;TraesCS3D01G113600;TraesCS3A01G111400;TraesCS6B01G422900;TraesCS3A01G220800;TraesCS3A01G413700;TraesCS4D01G263500;TraesCS3A01G266800;TraesCS6A01G144900;TraesCS2D01G554900;TraesCS6D01G224600;TraesCS4B01G137700;TraesCS6B01G022500;TraesCS2D01G527800;TraesCS4A01G295500;TraesCS1B01G241100;TraesCS3B01G138900;TraesCS3B01G448000;TraesCS1B01G411900;TraesCS7D01G028400;TraesCS4A01G042700;TraesCS4D01G222600;TraesCS5D01G139800;TraesCS6A01G015500;TraesCS7B01G102000;TraesCS2B01G606400;TraesCS3D01G435400;TraesCS6D01G353400;TraesCS2D01G417800;TraesCS5B01G288700;TraesCS2A01G525000;TraesCS1A01G227000;TraesCS5A01G222700;TraesCS1B01G292200;TraesCS4D01G055600;TraesCS1D01G282300;TraesCS3A01G119500;TraesCS6D01G133900;TraesCS4B01G225500;TraesCS6A01G167300;TraesCS7A01G225800;TraesCS6A01G039500;TraesCS5D01G210600;TraesCS4A01G089700;TraesCS6D01G203000;TraesCS2A01G041100;TraesCS7D01G003400;TraesCS1D01G228600;TraesCS7D01G090000;TraesCS2B01G554900;TraesCS6B01G288300;TraesCS1A01G088300;TraesCS2B01G439900;TraesCS2A01G362500;TraesCS7D01G263200;TraesCS2D01G039500;TraesCS3B01G448100;TraesCS4D01G132500;TraesCS7A01G406100;TraesCS1D01G420900;TraesCS4B01G222100;TraesCS1D01G414600;TraesCS5B01G204800;TraesCS2D01G490900;TraesCS5D01G297200;TraesCS2D01G581500;TraesCS4D01G291700;TraesCS5D01G310500;TraesCS6A01G260900;TraesCS7D01G352200;TraesCS7D01G228700;TraesCS1D01G089600;TraesCS6A01G073300;TraesCS4A01G081700;TraesCS4D01G055500;TraesCS2A01G057800;TraesCS3D01G408100;TraesCS5A01G304000;TraesCS1A01G385500;TraesCS7A01G537300;TraesCS4B01G214600;TraesCS5D01G554300;TraesCS5A01G206600;TraesCS4D01G016500;TraesCS5D01G212800;TraesCS5D01G342300;TraesCS5A01G313900;TraesCS4B01G055400;TraesCS6B01G173100;TraesCS4A01G259400;TraesCS6D01G018500;TraesCS3D01G360900;TraesCS3B01G300300;TraesCS6D01G241700;TraesCS6B01G207000;TraesCS7A01G318300;TraesCS2D01G339900;TraesCS2A01G354500;TraesCS4A01G495900;TraesCS2A01G570600;TraesCS6B01G406200;TraesCS3A01G097900;TraesCS6A01G298400;TraesCS6B01G098300;TraesCS2A01G323000;TraesCS5B01G307300;TraesCS5D01G299400;TraesCS6D01G166600;TraesCS3B01G090400;TraesCS6B01G249400;TraesCS5B01G133500;TraesCS4A01G003100;TraesCS6A01G265100;TraesCS2D01G359900;TraesCS3A01G413600;TraesCS3D01G333200;TraesCS7A01G112700;TraesCS7B01G193800;TraesCS3D01G121600;TraesCS1D01G081100;TraesCS6A01G232200;TraesCS1D01G142700;TraesCS3D01G440900;TraesCS3D01G408000;TraesCS4B01G086100;TraesCS3A01G448400;TraesCS1D01G089900</t>
  </si>
  <si>
    <t>TraesCS2D01G538400;TraesCS3B01G490000;TraesCS1A01G218400;TraesCS5D01G359000;TraesCS2D01G022300;TraesCS5D01G038000;TraesCS6D01G358600;TraesCS7D01G092900;TraesCS1B01G454000;TraesCS3B01G295000;TraesCS7B01G473700;TraesCS2A01G389900;TraesCS3B01G455000;TraesCS4D01G207500;TraesCS6A01G124500;TraesCS7A01G163300;TraesCS6B01G052400;TraesCS2D01G479100;TraesCS2B01G236800;TraesCS7D01G318600;TraesCS2D01G079200;TraesCS2A01G190200;TraesCS5D01G383100;TraesCS4B01G157800;TraesCS3B01G485900;TraesCS5B01G104500;TraesCS7A01G476700;TraesCS2B01G350500;TraesCS3A01G276200;TraesCS3D01G049000;TraesCS3D01G278000;TraesCS2D01G380500;TraesCS3A01G033000;TraesCS6D01G360900;TraesCS7B01G245800;TraesCS3A01G342000;TraesCS2D01G219800;TraesCS6B01G225700;TraesCS5B01G526200;TraesCS6A01G052100;TraesCS4B01G376800;TraesCS5A01G447200;TraesCS5A01G350800;TraesCS2A01G170600;TraesCS2D01G255700;TraesCS2D01G297300;TraesCS4B01G054900;TraesCS3D01G351600;TraesCS1A01G367200;TraesCS2A01G182800;TraesCS2A01G216700;TraesCS3D01G234400;TraesCS5B01G135200;TraesCS2A01G537900;TraesCS7D01G444700;TraesCS3B01G126400;TraesCS2B01G477600;TraesCS1D01G074500;TraesCS7B01G047300;TraesCS3D01G270300;TraesCS3A01G274000;TraesCS3A01G163300;TraesCS5B01G371800;TraesCS4B01G306900;TraesCS6B01G145700;TraesCS3D01G316400;TraesCS1A01G343000;TraesCS1D01G100900;TraesCS1A01G184500;TraesCS3A01G344400;TraesCS1A01G243400;TraesCS3A01G048700;TraesCS7B01G239300;TraesCS3A01G107600;TraesCS1B01G385100;TraesCS4A01G089700;TraesCS1B01G158500;TraesCS2A01G479900;TraesCS3A01G034300;TraesCS4B01G238700;TraesCS5D01G328300;TraesCS6A01G078700;TraesCS3B01G113500;TraesCS5B01G183500;TraesCS2D01G537100;TraesCS5D01G387900;TraesCS2D01G226300;TraesCS5B01G146100;TraesCS1D01G439400;TraesCS7B01G356500;TraesCS2A01G384000;TraesCS5D01G524800;TraesCS3B01G049700;TraesCS3B01G196900;TraesCS1A01G182300;TraesCS5A01G197200;TraesCS4A01G062000;TraesCS7B01G415400;TraesCS2B01G180500;TraesCS1D01G335400;TraesCS6A01G377700;TraesCS2B01G605800;TraesCS6A01G000500;TraesCS2B01G437300;TraesCS4B01G106000;TraesCS5B01G526000;TraesCS7D01G087100;TraesCS3B01G306400;TraesCS3D01G030600;TraesCS6A01G250800;TraesCS2B01G097300;TraesCS4B01G047100;TraesCS1A01G367000;TraesCS5A01G322300;TraesCS3A01G357700;TraesCS2A01G216500;TraesCS7D01G165300;TraesCS3A01G045200;TraesCS3B01G390400;TraesCS1B01G231900;TraesCS2D01G415700;TraesCS3B01G401600;TraesCS5D01G181500;TraesCS6A01G225400;TraesCS2A01G418300;TraesCS6B01G020800;TraesCS1B01G162400;TraesCS7A01G455800;TraesCS3A01G310400;TraesCS2D01G057600;TraesCS1D01G146900;TraesCS1D01G345200;TraesCS5B01G184600;TraesCS6D01G211900;TraesCS6A01G140800;TraesCS1D01G243400;TraesCS1D01G163400;TraesCS1D01G218200;TraesCS2D01G097700;TraesCS7A01G118900;TraesCS5B01G188600;TraesCS7A01G435300;TraesCS5D01G328100;TraesCS2B01G537800;TraesCS2D01G223000;TraesCS3A01G272900;TraesCS2B01G485600;TraesCS3B01G289400;TraesCS6D01G157900;TraesCS2B01G053300;TraesCS7A01G480100;TraesCS7A01G031700;TraesCS2D01G364400;TraesCS3A01G152200;TraesCS2D01G216700;TraesCS3D01G104100;TraesCS3A01G257500;TraesCS1B01G384900;TraesCS5A01G370800;TraesCS2A01G525300;TraesCS3B01G307700;TraesCS1B01G091900;TraesCS6B01G051700;TraesCS2D01G537700;TraesCS7D01G495700;TraesCS4A01G414700;TraesCS4D01G261400;TraesCS3A01G256200;TraesCS5A01G401400;TraesCS5B01G501300;TraesCS7D01G097500;TraesCS2B01G242200;TraesCS1D01G419400;TraesCS6A01G178500;TraesCS7D01G324900;TraesCS4A01G098600;TraesCS3D01G256400;TraesCS2B01G001400;TraesCS6B01G163100;TraesCS2B01G097100;TraesCS7A01G333500;TraesCS7A01G167300;TraesCS2B01G045700;TraesCS1A01G080500;TraesCS1A01G330500;TraesCS5D01G104900;TraesCS3A01G290300;TraesCS7B01G309900;TraesCS6B01G300900;TraesCS2B01G536500;TraesCS5B01G028700;TraesCS6D01G122100;TraesCS7A01G264400;TraesCS1D01G372600;TraesCS5A01G294600;TraesCSU01G111800;TraesCS1B01G382500;TraesCS3D01G257500;TraesCS5D01G063800;TraesCS4B01G174300;TraesCS6B01G204600;TraesCS7B01G260800;TraesCS2B01G096000;TraesCS5B01G538800;TraesCS6B01G412500;TraesCS7D01G248200;TraesCS2B01G124100;TraesCS1A01G304200;TraesCS1A01G430100;TraesCS7B01G107300;TraesCS7B01G069100;TraesCS5B01G247700;TraesCS2A01G493800;TraesCS5B01G152600;TraesCS6A01G155200;TraesCS5A01G297900;TraesCS3D01G290100;TraesCS1D01G379000;TraesCS3B01G153800;TraesCS3A01G261800;TraesCS3A01G355700;TraesCS4A01G029800;TraesCS7B01G395000;TraesCS7D01G335800;TraesCS1A01G372400;TraesCS5D01G312800;TraesCSU01G238700;TraesCS3A01G224400;TraesCS6B01G199700;TraesCS1B01G376000;TraesCS5B01G316300;TraesCS6D01G110100;TraesCS7A01G242800;TraesCS2D01G491600;TraesCS3B01G291900;TraesCS3A01G129000;TraesCS7D01G065500;TraesCS1D01G236900;TraesCS4D01G059300;TraesCS6D01G146500;TraesCS2A01G211200;TraesCS1D01G140300;TraesCS4B01G315400;TraesCS2A01G431100;TraesCS5A01G426500;TraesCS1A01G411600;TraesCS2A01G040900;TraesCS5B01G540900;TraesCS1B01G356200;TraesCS6B01G205900;TraesCS5D01G190600;TraesCS5D01G509800;TraesCS2B01G070900;TraesCS4B01G201600;TraesCS4D01G176300;TraesCS5A01G205500;TraesCS3D01G261800;TraesCS5B01G204900;TraesCS7D01G146400;TraesCS1D01G372400;TraesCS4D01G305100;TraesCS5A01G016200;TraesCS6B01G256200;TraesCS2D01G117200;TraesCS3B01G473100;TraesCS1B01G001800;TraesCS5B01G538600;TraesCS2B01G394700;TraesCS7D01G355100;TraesCS7D01G086900;TraesCS2B01G208900;TraesCS2A01G343100;TraesCS7D01G114100;TraesCS7D01G449500;TraesCS6A01G241000;TraesCS2D01G582800;TraesCS2A01G049700;TraesCS2B01G101300;TraesCS6B01G471400;TraesCS1B01G167700;TraesCS3B01G600300;TraesCS1D01G082600;TraesCS2B01G060900;TraesCS7B01G225500;TraesCS2A01G538200;TraesCS5B01G384300;TraesCS5D01G475900;TraesCS7A01G249400;TraesCS7D01G356200;TraesCS6D01G166100;TraesCS7D01G085800;TraesCS6A01G336600;TraesCS6B01G415700;TraesCS6D01G195900;TraesCS6A01G378000;TraesCS2D01G451100;TraesCS2D01G222300;TraesCS4B01G203000;TraesCS4D01G340500;TraesCS2A01G199700;TraesCS5D01G380500;TraesCS1A01G016100;TraesCS1D01G364000;TraesCS5D01G358600;TraesCS4B01G162700;TraesCS5D01G048600;TraesCS1D01G381800;TraesCS1A01G259500;TraesCS6B01G412400;TraesCS2D01G509300;TraesCS4A01G010000;TraesCS5B01G375600;TraesCS4A01G255400;TraesCS6D01G257000;TraesCS4D01G238900;TraesCS4D01G293200;TraesCS3B01G348200;TraesCS2D01G463100;TraesCS2A01G509900;TraesCS1B01G119600;TraesCS2B01G324900;TraesCS1A01G273600;TraesCS2A01G463900;TraesCS5D01G022200;TraesCS7A01G213000;TraesCS6A01G258900;TraesCS6B01G413500;TraesCS6D01G359100;TraesCS2A01G371600;TraesCS7A01G343800;TraesCS5D01G163500;TraesCS3A01G477300;TraesCS3D01G049700;TraesCS5D01G519800;TraesCS3D01G335700;TraesCS4B01G287300;TraesCS5A01G429000;TraesCS7A01G091400;TraesCS2D01G112700;TraesCS3B01G119600;TraesCS2A01G106500;TraesCS1A01G079700;TraesCS2D01G485300;TraesCS4D01G360300;TraesCS7D01G506300;TraesCS4A01G402100;TraesCS5A01G030000;TraesCS6D01G056600;TraesCS4B01G345400;TraesCS3A01G230900;TraesCS2A01G083300;TraesCS5A01G376700;TraesCSU01G003600;TraesCS1A01G342600;TraesCS3D01G441900;TraesCS1B01G347100;TraesCS6D01G210100;TraesCS3B01G325100;TraesCS5B01G428400;TraesCS3A01G317700;TraesCS5D01G059300;TraesCS1A01G332800;TraesCS4A01G396700;TraesCS7D01G085600;TraesCS7A01G226500;TraesCS2D01G107100;TraesCSU01G016900;TraesCS1D01G372900;TraesCS2D01G455900;TraesCS2D01G577000;TraesCS3A01G064400;TraesCS4D01G126900;TraesCS3A01G362500;TraesCS3B01G166600;TraesCS3B01G288100;TraesCS7D01G300200;TraesCS3D01G220900;TraesCS1A01G048100;TraesCS5D01G390500;TraesCS3A01G122300;TraesCS5B01G327800;TraesCS1D01G052000;TraesCS3D01G172200;TraesCS6D01G105000;TraesCS1B01G324000;TraesCSU01G047400;TraesCS7D01G265400;TraesCS4A01G323500;TraesCS4D01G352700;TraesCS3D01G345700;TraesCS1A01G047000;TraesCS1A01G080700;TraesCS6A01G277600;TraesCS6B01G381300;TraesCS2B01G035300;TraesCS3D01G219900;TraesCS1D01G076200;TraesCS5B01G208300;TraesCS2B01G100200;TraesCS4B01G367200;TraesCS6B01G152700;TraesCS7A01G321600;TraesCS7D01G451300;TraesCS1B01G269800;TraesCS6A01G301300;TraesCS1D01G047900;TraesCS6B01G059800;TraesCS6D01G158300;TraesCS4D01G089300;TraesCS5D01G069700;TraesCS2A01G112300;TraesCS5B01G520600;TraesCS5D01G514500;TraesCS1D01G335500;TraesCS5B01G474500;TraesCS1A01G296300;TraesCS2B01G240800;TraesCS1D01G239700;TraesCS2B01G246100;TraesCS6A01G327500;TraesCS1D01G082200;TraesCS7B01G301400;TraesCS7D01G463300;TraesCS1D01G032600;TraesCS2D01G222700;TraesCS2D01G564300;TraesCS5A01G152800;TraesCS3D01G244500;TraesCS3D01G324400;TraesCS4A01G384500;TraesCS5B01G225200;TraesCS6A01G375800;TraesCS3D01G272300;TraesCS2D01G528200;TraesCS1B01G109400;TraesCS2B01G241900;TraesCS2D01G464800;TraesCS4B01G132000;TraesCS5D01G455900;TraesCS6D01G328800;TraesCS4B01G216700;TraesCS6D01G335300;TraesCS7D01G357100;TraesCS5B01G056700;TraesCS1A01G073300;TraesCS1B01G385200;TraesCS4B01G055600;TraesCS5A01G373600;TraesCS1B01G251700;TraesCS7A01G131300;TraesCS3A01G439200;TraesCS1B01G375400;TraesCS3A01G357100;TraesCS3B01G352300;TraesCS2B01G539200;TraesCS4D01G312400;TraesCS2A01G182400;TraesCS3D01G315700;TraesCS4A01G071800;TraesCS3D01G349700;TraesCS1B01G157700;TraesCS1D01G259300;TraesCS3D01G542300;TraesCS2D01G098200;TraesCS6B01G069800;TraesCS7B01G167100;TraesCS5A01G222300;TraesCS2A01G150600;TraesCS5D01G195700;TraesCS4A01G171500;TraesCS5A01G048600;TraesCS4A01G211600;TraesCS3D01G262300;TraesCS5D01G212900;TraesCS7A01G384500;TraesCS6D01G362500;TraesCS3D01G319000;TraesCS6D01G316600;TraesCS3D01G273200;TraesCS2A01G117800;TraesCS2D01G190200;TraesCS5D01G158100;TraesCS6D01G107600;TraesCS2A01G209900;TraesCS7D01G364700;TraesCS5A01G173300;TraesCS7D01G167900;TraesCS7D01G444400;TraesCS2A01G023900;TraesCS4D01G229100;TraesCS7D01G037700;TraesCS3D01G230300;TraesCS5A01G463100;TraesCS5D01G070900;TraesCS1D01G359900;TraesCS2D01G227300;TraesCS1A01G066800;TraesCS5A01G185500;TraesCS3A01G419600;TraesCS6D01G050900;TraesCS5A01G514500;TraesCS3B01G410000;TraesCS3B01G376300;TraesCS5A01G210300;TraesCS6D01G047500;TraesCS3D01G182600;TraesCS3D01G337900;TraesCS1D01G073100;TraesCS6D01G381200;TraesCS3B01G253900;TraesCS1D01G333500;TraesCS2D01G509500;TraesCS2B01G401300;TraesCS3B01G295500;TraesCS3D01G136300;TraesCS7D01G130600;TraesCS3B01G053800;TraesCS6A01G374700;TraesCS2B01G187300;TraesCS3A01G034600;TraesCS2A01G033700;TraesCS6D01G115200;TraesCS4D01G220500;TraesCS2D01G178100;TraesCS5B01G437300;TraesCS7D01G203800;TraesCS1B01G157900;TraesCS7D01G341800;TraesCS3A01G123000;TraesCS4B01G054700;TraesCS4D01G325500;TraesCS2A01G008300;TraesCS7D01G048600;TraesCS7A01G091200;TraesCS7D01G128300;TraesCS1A01G429800;TraesCS4D01G267800;TraesCS2B01G071200;TraesCS6A01G211400;TraesCS3B01G374100;TraesCS1B01G204700;TraesCS2A01G030200;TraesCS3B01G280000;TraesCS1D01G295800;TraesCS3D01G535700;TraesCS7B01G325900;TraesCS3A01G493100;TraesCS1D01G220000;TraesCS2B01G197000;TraesCS6D01G161200;TraesCS6B01G305600;TraesCS7A01G127100;TraesCS2A01G056800;TraesCS3A01G097800;TraesCS1D01G005400;TraesCS4A01G101600;TraesCS3A01G255600;TraesCS7D01G136700;TraesCS1B01G254900;TraesCS2A01G418200;TraesCS5D01G031500;TraesCS6A01G225300;TraesCS2A01G455600;TraesCS5B01G151600;TraesCS2D01G549400;TraesCS2B01G243000;TraesCS4B01G181800;TraesCS6D01G240100;TraesCS5D01G021700;TraesCS3B01G194400;TraesCS2D01G217500;TraesCS5D01G478700;TraesCS1A01G002500;TraesCS5D01G374300;TraesCS2A01G503800;TraesCS1A01G424200;TraesCS6D01G153600;TraesCS2B01G489700;TraesCS5A01G062600;TraesCS3D01G290000;TraesCS2B01G236900;TraesCS3D01G209100;TraesCS6B01G006600;TraesCSU01G008300;TraesCS3B01G206500;TraesCS2D01G321400;TraesCS1B01G157300;TraesCS3B01G311900;TraesCS2D01G504300;TraesCS2B01G271700;TraesCS6D01G246900;TraesCS7B01G255500;TraesCS2A01G384100;TraesCS2B01G350600;TraesCS2D01G197600;TraesCS1D01G259700;TraesCS7B01G356400;TraesCS5B01G530800;TraesCS3A01G096500;TraesCS2D01G219900;TraesCS5A01G315700;TraesCS1D01G346200;TraesCS5B01G381500;TraesCS6B01G225800;TraesCS7B01G287100;TraesCS2B01G365900;TraesCS7D01G030100;TraesCS3D01G472000;TraesCS5D01G480600;TraesCS2B01G437200;TraesCS4D01G215200;TraesCS3D01G500800;TraesCS2D01G031100;TraesCS3D01G036000;TraesCS5A01G085900;TraesCS6A01G268000;TraesCS1A01G367100;TraesCS7D01G366600;TraesCS5B01G380400;TraesCS1D01G303700;TraesCS2D01G562200;TraesCS2A01G346000;TraesCS2D01G415600;TraesCS3A01G232300;TraesCS7D01G316100;TraesCS1D01G037200;TraesCS1D01G123700;TraesCS6B01G197000;TraesCS2D01G428900;TraesCS3D01G316700;TraesCS5A01G369500;TraesCS3B01G158300;TraesCS4B01G214600;TraesCS1B01G089100;TraesCS3D01G178300;TraesCS5B01G138400;TraesCS1B01G385000;TraesCS3D01G048000;TraesCS3D01G136700;TraesCS1B01G217500;TraesCS1B01G198700;TraesCS4D01G184200;TraesCS7D01G395100;TraesCS1D01G273800;TraesCS1A01G344000;TraesCS3D01G053600;TraesCS1D01G301300;TraesCS6A01G204600;TraesCS2D01G344700;TraesCS6B01G153000;TraesCS4B01G261800;TraesCS6A01G135100;TraesCS6D01G383900;TraesCS4D01G055000;TraesCS1D01G439300;TraesCS6D01G360800;TraesCS7D01G124900;TraesCS5B01G572600;TraesCS1D01G004700;TraesCS2B01G044700;TraesCS3A01G256300;TraesCS3D01G046000;TraesCS1D01G140400;TraesCS7A01G231600;TraesCS3B01G321100;TraesCS5B01G321800;TraesCS6A01G132400;TraesCS3B01G306500;TraesCS3D01G256500;TraesCS1A01G141300;TraesCS2D01G572600;TraesCS1B01G447200;TraesCS1B01G392400;TraesCS1A01G080600;TraesCS2B01G532000;TraesCS2B01G536600;TraesCS5A01G186000;TraesCS7D01G467100;TraesCS1D01G372700;TraesCS6D01G145100;TraesCS1B01G441900;TraesCS1A01G259900;TraesCS5D01G434500;TraesCS1A01G213900;TraesCS2D01G493700;TraesCS5B01G014400;TraesCS4B01G174200;TraesCS7B01G031900;TraesCS4A01G207800;TraesCS5D01G216400;TraesCS1D01G013200;TraesCS1A01G122800;TraesCS5D01G357800;TraesCS2B01G114000;TraesCS2A01G255300;TraesCS3B01G304300;TraesCS4A01G130300;TraesCS6A01G124800;TraesCS2A01G155500;TraesCS6D01G363200;TraesCS3B01G141500;TraesCS6A01G266900;TraesCS7D01G321500;TraesCS5D01G157900;TraesCS7B01G333700;TraesCS7D01G380900;TraesCS1B01G311400;TraesCS3A01G050300;TraesCS5D01G321800;TraesCS3D01G104000;TraesCS5A01G380700;TraesCS7B01G356800;TraesCS5A01G321300;TraesCS6A01G171800;TraesCS2B01G130900;TraesCS2A01G211300;TraesCS1D01G130400;TraesCS5B01G428000;TraesCS5A01G206700;TraesCS7D01G261300;TraesCS1B01G356100;TraesCS7D01G041400;TraesCS1A01G070600;TraesCS1B01G314700;TraesCS2B01G175800;TraesCS5A01G534900;TraesCS6A01G311400;TraesCS1D01G185500;TraesCS1A01G049600;TraesCS6D01G122200;TraesCS5D01G329100;TraesCS4B01G220200;TraesCS3A01G049500;TraesCS1D01G372500;TraesCS2A01G081400;TraesCS3B01G038900;TraesCS4D01G176200;TraesCS6B01G256300;TraesCS7D01G430800;TraesCS6B01G145800;TraesCS4A01G102900;TraesCS5B01G184100;TraesCS5B01G188700;TraesCS1A01G430000;TraesCS7D01G248100;TraesCS3A01G101800;TraesCS3B01G148100;TraesCS3D01G048400;TraesCS2A01G548300;TraesCS3A01G272800;TraesCS1A01G342900;TraesCS6B01G238900;TraesCS6B01G385500;TraesCS3B01G524400;TraesCS6D01G191500;TraesCS3A01G261700;TraesCS3B01G289500;TraesCS3A01G217900;TraesCS6D01G307100;TraesCS2B01G452400;TraesCS1A01G215900;TraesCS2B01G511300;TraesCS7B01G271600;TraesCS1D01G338400;TraesCS5D01G111500;TraesCS5A01G321500;TraesCS7A01G053400;TraesCS5D01G281200;TraesCS7B01G228900;TraesCS4D01G202300;TraesCS5D01G210800;TraesCS4B01G059700;TraesCS4D01G316500;TraesCS3A01G285700;TraesCS2A01G217200;TraesCS3A01G101700;TraesCS2D01G509400;TraesCS1D01G094700;TraesCS2A01G211900;TraesCS5D01G142900;TraesCS2D01G534600;TraesCS2B01G504600;TraesCS6D01G191400;TraesCS4B01G068300;TraesCS5A01G156200;TraesCS7D01G417800;TraesCS7B01G030400;TraesCS3D01G412400;TraesCS6B01G136100;TraesCS6B01G152800;TraesCS2B01G220900;TraesCS3A01G056700;TraesCS5D01G159100;TraesCS2B01G266900;TraesCS7A01G091500;TraesCS1A01G257200;TraesCS4A01G391100;TraesCS1D01G081400;TraesCS3A01G021600;TraesCS5A01G147500;TraesCS3D01G432000;TraesCS2B01G435600;TraesCS2D01G066900;TraesCS1D01G101300;TraesCS1D01G082500;TraesCS3A01G110400;TraesCS3A01G135700;TraesCS7A01G364200;TraesCS2A01G371700;TraesCS5A01G320600;TraesCS7B01G225600;TraesCS6B01G358800;TraesCS4D01G180700;TraesCS1B01G430800;TraesCS5D01G097900;TraesCS6D01G258200;TraesCS7B01G301100;TraesCS5A01G467600;TraesCS2D01G419700;TraesCS4D01G032900;TraesCS4A01G221700;TraesCS4D01G168600;TraesCS3B01G110500;TraesCS2A01G462700;TraesCS3B01G310000;TraesCS1A01G048000;TraesCS2D01G509200;TraesCS7B01G029200;TraesCS3D01G193200;TraesCS1B01G062200;TraesCS3B01G290300;TraesCS4D01G203900;TraesCS1B01G119700;TraesCS1A01G103900;TraesCS2D01G201700;TraesCS6B01G257800;TraesCS3A01G351500;TraesCS2D01G534400;TraesCS6A01G168900;TraesCS1D01G344700;TraesCS5B01G202900;TraesCS3D01G045400;TraesCS6B01G266500;TraesCS7A01G400900;TraesCS4B01G228200;TraesCS7A01G434300;TraesCS5B01G042800;TraesCS5D01G343000;TraesCS1D01G330300;TraesCS2B01G100300;TraesCS5B01G208200;TraesCS2A01G308400;TraesCS6B01G152600;TraesCS2B01G220700;TraesCS2B01G323700;TraesCS6D01G158400;TraesCS3B01G119500;TraesCS7A01G328100;TraesCS7D01G114200;TraesCS2B01G067000;TraesCS2D01G485200;TraesCS5D01G073900;TraesCS7D01G394800;TraesCS6B01G169000;TraesCS1A01G015300;TraesCS5A01G351300;TraesCS2A01G532800;TraesCS1D01G101100;TraesCS3D01G256600;TraesCS5D01G152300;TraesCS2A01G031000;TraesCS5D01G177800;TraesCS1A01G235200;TraesCS2D01G511300;TraesCS3B01G151200;TraesCS3A01G479800;TraesCS2A01G098700;TraesCS1D01G372800;TraesCS1D01G206900;TraesCS4D01G126800;TraesCS6B01G415600;TraesCS7A01G419500;TraesCS3B01G013200;TraesCS5A01G377900;TraesCS1A01G203400;TraesCS7D01G053900;TraesCS3A01G247000;TraesCS4B01G216000;TraesCS1A01G333800;TraesCS5A01G237700;TraesCS3B01G359000;TraesCS4A01G267300;TraesCS3D01G276200;TraesCS6B01G183300;TraesCS5D01G145100;TraesCS2A01G217600;TraesCS1B01G385300;TraesCS2B01G216800;TraesCS1B01G456700;TraesCS1A01G145100;TraesCS1A01G149700;TraesCS7A01G479800;TraesCS2B01G114900;TraesCS3B01G587400;TraesCS1A01G088900;TraesCS6D01G247700;TraesCS4D01G172700;TraesCS4D01G312300;TraesCS5D01G452500;TraesCS4A01G455800;TraesCS1D01G216700;TraesCS6B01G295200;TraesCS1B01G283400;TraesCS3A01G530200;TraesCS3B01G361100;TraesCS3B01G388600;TraesCS1B01G120100;TraesCS2A01G214100;TraesCS4A01G363700;TraesCS3B01G384000;TraesCS6D01G032300;TraesCS5A01G138600;TraesCS3A01G463400;TraesCS5D01G304700;TraesCS5A01G249900;TraesCS3B01G238600;TraesCS5D01G373700;TraesCS1A01G312300;TraesCS2B01G562100;TraesCS1A01G031200;TraesCS3B01G248400;TraesCS5B01G236200;TraesCS7B01G222500;TraesCS2A01G347400;TraesCS3A01G262200;TraesCS2A01G368700;TraesCS3B01G272300;TraesCS5D01G386800;TraesCS5B01G509700;TraesCS1B01G270300;TraesCS2B01G521800;TraesCS7A01G096800;TraesCS5D01G179100;TraesCS5B01G069900;TraesCS2A01G083000;TraesCS2A01G532600;TraesCS6D01G210200;TraesCS2D01G517200;TraesCS1D01G367800;TraesCS3D01G286600;TraesCS4D01G046900;TraesCS7A01G154900;TraesCS4A01G186700;TraesCS4A01G083900;TraesCS5D01G564000;TraesCS1D01G312500;TraesCS1B01G248400;TraesCS1D01G439500;TraesCS2B01G241800;TraesCS6B01G367100;TraesCS1B01G097700;TraesCS3D01G056500;TraesCS5A01G136200;TraesCS3A01G054100;TraesCS3D01G182300;TraesCS2D01G284200;TraesCS5B01G056800;TraesCS2D01G380800;TraesCS2D01G207400;TraesCS3A01G325600;TraesCS5A01G160100;TraesCS7D01G227900;TraesCS5A01G092600;TraesCS3B01G218800;TraesCS1D01G067800;TraesCS3A01G034700;TraesCS2B01G244000;TraesCS4B01G041300;TraesCS5B01G457000;TraesCS2B01G366600;TraesCS3D01G097000;TraesCS4A01G407500;TraesCS6D01G330800;TraesCS7B01G141900;TraesCS5B01G366400;TraesCS5A01G409700;TraesCS2D01G055600;TraesCS7B01G222700;TraesCS6D01G280700;TraesCS3D01G262200;TraesCS1A01G325800;TraesCS4B01G294300;TraesCS3D01G046900;TraesCS3A01G323200;TraesCS7A01G129300;TraesCS2D01G574000;TraesCS2D01G062100;TraesCS4D01G217000;TraesCS5D01G158000;TraesCS7D01G129500;TraesCS3B01G354400;TraesCS6D01G159100;TraesCS2B01G594100;TraesCS2A01G220600;TraesCS3B01G585400;TraesCS3D01G124200;TraesCS3D01G313600;TraesCS2B01G364400;TraesCS1A01G301600;TraesCS6A01G116200;TraesCS7D01G444500;TraesCS6B01G192400;TraesCS6A01G223500;TraesCS1B01G305200;TraesCS3D01G356300;TraesCS6A01G352800;TraesCS6A01G375900;TraesCS4B01G132100;TraesCS5B01G064400;TraesCS1A01G016000;TraesCS2D01G380600;TraesCS2A01G485600;TraesCS7A01G325000;TraesCS7B01G220500</t>
  </si>
  <si>
    <t>TraesCS7D01G063900;TraesCS1D01G437700;TraesCS7A01G308600;TraesCS7B01G294800;TraesCS1A01G428400;TraesCS4A01G089800;TraesCS4B01G318900;TraesCS2B01G347800;TraesCS4D01G215100;TraesCS5D01G031200;TraesCS4B01G214500;TraesCS7A01G069300;TraesCS5B01G445100;TraesCS5B01G445200;TraesCS7A01G392800;TraesCS7D01G388400;TraesCS4A01G419400;TraesCS7D01G305300;TraesCS1B01G463100;TraesCS4D01G315400;TraesCS7B01G208700</t>
  </si>
  <si>
    <t>TraesCS4A01G091000;TraesCS6D01G358000;TraesCS6D01G226300;TraesCS6D01G226700;TraesCS1D01G111900;TraesCS5A01G424300;TraesCS5D01G346200;TraesCS6B01G280000;TraesCS5B01G339100;TraesCS1A01G275200;TraesCS5A01G341000;TraesCS2D01G517200;TraesCS2B01G393000;TraesCS1B01G316500;TraesCS7B01G225500;TraesCS1A01G305800;TraesCS4A01G122800;TraesCS3B01G275500;TraesCS4D01G069300;TraesCS7A01G339100;TraesCS1A01G357300;TraesCS2B01G198100;TraesCS4A01G073900;TraesCS5D01G183700;TraesCS6A01G244400;TraesCS7B01G250400;TraesCS4B01G157800;TraesCS7D01G321500;TraesCS3A01G077000;TraesCS4A01G244500;TraesCS4B01G070500;TraesCS5A01G375000;TraesCS6B01G105800;TraesCS3D01G077200;TraesCS7A01G101500;TraesCS7A01G325000;TraesCS1D01G274800;TraesCS4D01G183100;TraesCS5D01G432800;TraesCS7D01G346400</t>
  </si>
  <si>
    <t>TraesCS3B01G123700;TraesCS3A01G105300;TraesCS1D01G405200;TraesCS1A01G159200;TraesCS1A01G396900;TraesCS2A01G303200;TraesCS5A01G403300;TraesCS7D01G229100;TraesCS3B01G272600;TraesCS7A01G246700;TraesCS6A01G278000;TraesCS4A01G148500;TraesCS7B01G194200;TraesCS1D01G327200;TraesCS7A01G182500;TraesCS4A01G130400;TraesCS6B01G423100;TraesCS1B01G425200;TraesCS3A01G246700;TraesCS5B01G408100;TraesCS3D01G244800;TraesCS6D01G258600;TraesCS1D01G156600;TraesCS5A01G205000;TraesCS7D01G245500;TraesCS2B01G381600;TraesCS6B01G306300;TraesCS4D01G176100;TraesCS1A01G112400;TraesCS7B01G087400;TraesCS7D01G183900;TraesCS2A01G363600;TraesCS2D01G361400;TraesCS7B01G144600;TraesCS1D01G404800;TraesCS1D01G152000;TraesCS6A01G383800;TraesCS6D01G368800;TraesCS2D01G250600;TraesCS5D01G413300;TraesCS2B01G260500;TraesCS4B01G174100</t>
  </si>
  <si>
    <t>TraesCS6A01G216800;TraesCS2D01G301100;TraesCS6B01G246000;TraesCS2A01G302400;TraesCS6D01G198700</t>
  </si>
  <si>
    <t>TraesCS4D01G064000;TraesCS3A01G300400;TraesCS5B01G371100;TraesCS5B01G371200;TraesCS4A01G404500;TraesCS4D01G238600;TraesCS3B01G255200;TraesCS7A01G130300;TraesCS2A01G278500;TraesCS1B01G195900;TraesCS4D01G302500;TraesCS6D01G237600;TraesCS3A01G265100;TraesCS2B01G296100;TraesCS5D01G378100;TraesCS6B01G383300;TraesCS3A01G229400;TraesCS2A01G278400;TraesCS3B01G562500;TraesCS4A01G249600;TraesCS5D01G378200;TraesCS3B01G562400;TraesCS7D01G230900;TraesCS5A01G368800;TraesCS3B01G336100;TraesCS5A01G368600;TraesCS7A01G230500;TraesCS1D01G357500;TraesCS3B01G298700;TraesCS7D01G014200;TraesCS3D01G219900;TraesCS5A01G142000;TraesCS2D01G277600;TraesCS4B01G237300;TraesCS2B01G417900;TraesCS4A01G110200;TraesCS4B01G065100;TraesCS4B01G304300</t>
  </si>
  <si>
    <t>TraesCS2D01G286300;TraesCS4D01G175700;TraesCS2D01G169000;TraesCS4D01G068200;TraesCS1D01G075500;TraesCS6A01G201100;TraesCS7D01G182700;TraesCS1A01G370700;TraesCS7A01G096500;TraesCS3A01G269900;TraesCS2A01G270200;TraesCS2D01G104600;TraesCS4A01G193600;TraesCS4D01G207500;TraesCS1B01G126600;TraesCS1D01G106100;TraesCS5A01G469000;TraesCS6A01G319600;TraesCS5D01G148900;TraesCS2D01G079200;TraesCS2B01G289000;TraesCS2A01G417200;TraesCS2D01G231600;TraesCS2D01G332300;TraesCS5B01G494500;TraesCS6A01G326000;TraesCS7B01G423100;TraesCS4B01G002000;TraesCS3B01G412500;TraesCS3A01G281900;TraesCS2A01G456600;TraesCS5D01G279100;TraesCS3B01G129900;TraesCS6D01G358700;TraesCS2B01G407600;TraesCS5B01G124200;TraesCS6A01G235100;TraesCS2D01G146100;TraesCS1D01G119500;TraesCS7A01G511800;TraesCS1A01G072600;TraesCS2D01G425700;TraesCS2D01G104500;TraesCS3D01G078900;TraesCS2A01G214400;TraesCS3D01G183900;TraesCS6B01G350400;TraesCS7B01G187600;TraesCS1A01G370600;TraesCS3B01G367500;TraesCS1D01G221000;TraesCS5B01G481300;TraesCS2A01G417300;TraesCS2A01G424900;TraesCS4A01G131000;TraesCS2B01G448100;TraesCS3A01G149000;TraesCS5D01G042300;TraesCS2B01G478700;TraesCS2D01G414500;TraesCS4D01G358900;TraesCS4D01G266400;TraesCS5B01G193200;TraesCS2B01G118500;TraesCS5A01G085900;TraesCS1D01G376700;TraesCS2B01G339600;TraesCS3A01G404400;TraesCS5A01G440400;TraesCS2B01G436100;TraesCS2B01G167900;TraesCS4B01G178600;TraesCS2A01G204500;TraesCS7D01G409700;TraesCS4D01G267500;TraesCS3B01G093300;TraesCS4B01G080900;TraesCS4D01G001200;TraesCS3B01G353000;TraesCS4B01G268100;TraesCS1A01G219400;TraesCS4B01G174000;TraesCS5B01G117700;TraesCS5B01G415700;TraesCS5A01G390300;TraesCS2D01G414600;TraesCS3B01G102300;TraesCS1B01G308200;TraesCS7A01G508700;TraesCS2B01G542300;TraesCS1B01G461600;TraesCS4D01G119700;TraesCS5B01G275200;TraesCS1A01G218100;TraesCS5D01G320800;TraesCS6B01G108000;TraesCS1D01G376600;TraesCS6A01G120300;TraesCS5A01G232700;TraesCS4B01G121500;TraesCS5B01G141900;TraesCS2A01G323000;TraesCS5B01G410000;TraesCS3B01G357500;TraesCS5B01G265400;TraesCS1A01G370400;TraesCS4B01G098200;TraesCS7A01G327700;TraesCS5A01G314700;TraesCS4B01G235300;TraesCS7B01G299200;TraesCS2B01G436200;TraesCS6B01G263800;TraesCS5B01G444100;TraesCS5D01G245300;TraesCS6D01G087700;TraesCS4B01G141500;TraesCS7D01G392800;TraesCS2A01G288000;TraesCS5A01G481300;TraesCS3D01G329400;TraesCS7D01G052600;TraesCS2D01G567000;TraesCS5B01G478300;TraesCS3B01G379200;TraesCS4D01G096400;TraesCS6A01G145600;TraesCS3A01G513200;TraesCS4A01G128100;TraesCS3A01G271700;TraesCS2A01G304000;TraesCS3D01G245500;TraesCS3A01G413700;TraesCS6B01G149000;TraesCS6D01G154400;TraesCS3A01G408000;TraesCS1B01G129800;TraesCS3A01G323800;TraesCS5D01G390700;TraesCS5A01G468300;TraesCS6A01G333600;TraesCS5A01G180800;TraesCS3A01G289200;TraesCS6A01G240400;TraesCS7B01G272900;TraesCS7D01G052500;TraesCS4A01G396400;TraesCS7B01G162100;TraesCS6A01G145500;TraesCS7A01G299600;TraesCS5D01G421100;TraesCS5B01G223600;TraesCS7D01G295100;TraesCS6B01G375400;TraesCS3D01G399600;TraesCS5D01G481700;TraesCS1D01G072600;TraesCS3D01G269600;TraesCS4D01G239600;TraesCS2A01G459700;TraesCS3B01G324400;TraesCS5D01G111300;TraesCS3B01G410500;TraesCS7A01G369500;TraesCS5B01G236900;TraesCS5A01G271500;TraesCS5B01G104200;TraesCS2B01G096000;TraesCS2A01G189600;TraesCS5D01G447500;TraesCS2D01G431000;TraesCS3A01G176500;TraesCS6D01G312800;TraesCS7A01G343000;TraesCS7A01G096300;TraesCS5B01G271800;TraesCS5B01G384500;TraesCS4A01G396300;TraesCS2A01G514300;TraesCS5A01G104900;TraesCS7D01G052400;TraesCS1D01G223600;TraesCS2A01G081400;TraesCS2A01G101900;TraesCS2B01G304800;TraesCS4B01G346100;TraesCS5D01G092000;TraesCS3B01G208300;TraesCS5B01G362600;TraesCS3D01G408100;TraesCS5B01G108500;TraesCS1A01G350400;TraesCS7A01G416400;TraesCS3B01G255400;TraesCS3D01G317400;TraesCS1B01G326700;TraesCS3D01G289000;TraesCS7A01G376100;TraesCS5A01G143100;TraesCS5D01G273600;TraesCS5A01G112600;TraesCS1A01G401800;TraesCS5B01G313000;TraesCS1B01G274300;TraesCS1B01G304800;TraesCS5A01G238400;TraesCS5B01G095900;TraesCS2D01G100900;TraesCS3B01G568300;TraesCS4A01G396200;TraesCS4D01G094400;TraesCS1D01G292700;TraesCS4A01G098900;TraesCS4A01G176200;TraesCS5A01G400000;TraesCS3A01G413600;TraesCS3D01G408000;TraesCS4B01G069500;TraesCS5A01G380900;TraesCS5A01G124600;TraesCS2D01G456900;TraesCS3A01G109300;TraesCS5A01G258100;TraesCS7D01G508800;TraesCS1B01G326600;TraesCS5D01G518700;TraesCS4D01G268100;TraesCS3B01G371200;TraesCS3B01G375800;TraesCS7A01G264800;TraesCS1B01G243100;TraesCS5D01G183100;TraesCS2A01G427700;TraesCS3B01G176200;TraesCS3D01G370800;TraesCS4A01G130600;TraesCS5D01G232700;TraesCS2B01G217500;TraesCS4D01G176000;TraesCS7B01G364600;TraesCS3D01G354100;TraesCS5B01G480900;TraesCS2D01G464400;TraesCS6A01G406700;TraesCS7D01G000200;TraesCS3B01G270500;TraesCS5B01G142100;TraesCS3A01G167200;TraesCS4A01G062800;TraesCS4A01G001300;TraesCS3A01G377700;TraesCS6A01G108800;TraesCS4D01G236600;TraesCS3D01G296100;TraesCS5D01G481200;TraesCS6B01G364000;TraesCS6D01G239700;TraesCS4B01G100100;TraesCS5D01G244800;TraesCS3B01G448000;TraesCS2D01G211400;TraesCS5A01G251800;TraesCS7A01G270100;TraesCS3A01G343900;TraesCS4B01G173600;TraesCS5D01G097900;TraesCS5B01G118200;TraesCS4D01G178400;TraesCS5B01G257300;TraesCS6D01G074200;TraesCS6D01G217800;TraesCS6D01G110400;TraesCS7A01G057800;TraesCS3A01G379900;TraesCS5D01G205000;TraesCS4A01G001400;TraesCS3B01G314600;TraesCS7B01G434700;TraesCS2D01G269200;TraesCS4A01G035400;TraesCS3D01G289500;TraesCS6B01G193200;TraesCS4A01G129400;TraesCS4D01G177000;TraesCS5A01G395100;TraesCS3B01G199000;TraesCS5B01G315600;TraesCS3B01G448100;TraesCS5B01G176300;TraesCS2D01G198200;TraesCS3D01G401200;TraesCS3D01G238300;TraesCS5D01G450500;TraesCS4B01G299700;TraesCS4D01G105100;TraesCS4A01G216100;TraesCS3B01G441600;TraesCS3D01G173300;TraesCS3B01G330700;TraesCS7B01G316600;TraesCS4A01G059600;TraesCS1A01G314400;TraesCS7A01G365600;TraesCS3A01G111200;TraesCS1A01G421900;TraesCS5B01G236400;TraesCS7D01G497400;TraesCS1B01G232300;TraesCS2A01G102000;TraesCS2D01G515900;TraesCS2A01G433000;TraesCS7D01G336400;TraesCS2B01G116900;TraesCS3D01G227400;TraesCS5A01G265700;TraesCS5D01G185300;TraesCS6D01G134800;TraesCS2D01G339900;TraesCS2A01G201800;TraesCS7D01G345200;TraesCS7A01G306100;TraesCS7D01G526100;TraesCS3D01G341100;TraesCS5D01G232800;TraesCS7B01G160900;TraesCS1B01G453300;TraesCS6D01G110600;TraesCS3B01G303800;TraesCS7A01G509000;TraesCS3D01G281900;TraesCS4A01G219700;TraesCS3A01G406000;TraesCS5B01G415400;TraesCS5A01G090100;TraesCS1D01G398400;TraesCS4B01G108000;TraesCS7A01G328600;TraesCS7D01G283800;TraesCS7D01G092500;TraesCS6B01G284300;TraesCS4D01G136500;TraesCS2B01G454300;TraesCS2D01G414300;TraesCS1A01G298600;TraesCS5D01G116100;TraesCS2B01G135600;TraesCS7D01G551700;TraesCS1D01G376500;TraesCS7B01G259000;TraesCS7D01G171300;TraesCS5D01G129400;TraesCS1D01G429800;TraesCS2B01G436300;TraesCS7B01G249200;TraesCS3B01G439600;TraesCS7A01G518800;TraesCS1A01G389500;TraesCS6D01G299000;TraesCS7D01G092600;TraesCS5D01G071800;TraesCS5B01G224000;TraesCS7D01G110600;TraesCS7D01G372500;TraesCS6B01G148700;TraesCS2B01G187500;TraesCS2A01G389400;TraesCS4D01G180200;TraesCS6A01G258500;TraesCS2D01G387300;TraesCS4A01G071800;TraesCS1B01G235100;TraesCS2B01G320700;TraesCS7D01G201700;TraesCS1A01G263700;TraesCS2A01G101400;TraesCS1D01G263800;TraesCS6B01G451300;TraesCS5D01G266300;TraesCS4B01G239700;TraesCS5D01G321000;TraesCS1D01G314800;TraesCS2A01G391700;TraesCS2D01G386100;TraesCS2A01G388300;TraesCS5A01G237900;TraesCS5A01G080300;TraesCS7D01G497300;TraesCS4A01G171500;TraesCS1A01G302700;TraesCS3A01G289700;TraesCS5B01G564100;TraesCS3D01G157100;TraesCS7D01G353800;TraesCS6D01G222600;TraesCS7A01G116000;TraesCS5A01G468800;TraesCS3B01G130000;TraesCS5B01G067700;TraesCS6A01G080500;TraesCS3A01G078400;TraesCS3A01G336500;TraesCS7A01G423800;TraesCS3A01G242500;TraesCS6A01G120600;TraesCS4B01G228600;TraesCS2D01G285300;TraesCS3D01G431700;TraesCS7D01G501000;TraesCS1D01G265800;TraesCS1D01G314900;TraesCS5A01G411900;TraesCS2D01G051000;TraesCS5B01G075300;TraesCS3B01G310500;TraesCS7D01G092400;TraesCS3A01G229300;TraesCS1A01G221900;TraesCS3D01G372900;TraesCS5A01G312000;TraesCS3D01G242500;TraesCS3B01G273600;TraesCS4B01G205400;TraesCS4A01G126300;TraesCS3A01G347500;TraesCS3D01G276600;TraesCS3D01G113300;TraesCS3A01G276500;TraesCS6B01G173900;TraesCS1D01G429900;TraesCS5A01G411800;TraesCS3A01G245900;TraesCS6A01G165800</t>
  </si>
  <si>
    <t>TraesCS1D01G237100;TraesCS3D01G472100;TraesCS4A01G232600;TraesCS7D01G118100;TraesCS3D01G472200;TraesCS6A01G119100;TraesCS3B01G356600;TraesCS4D01G064800;TraesCS3D01G042600;TraesCS6D01G102100;TraesCS3A01G191100;TraesCS3A01G327200;TraesCS4D01G081300;TraesCS6D01G109000;TraesCS6D01G105000;TraesCS7B01G416100;TraesCS2A01G083300;TraesCSU01G051800;TraesCS2A01G083000;TraesCS3B01G046800;TraesCS7D01G496100;TraesCS2B01G097300;TraesCS1A01G235000;TraesCS7D01G341300;TraesCS2B01G097100;TraesCS3A01G477500;TraesCS4B01G083200;TraesCS2B01G121200;TraesCS7A01G333700;TraesCSU01G150500;TraesCS2A01G474500;TraesCS2B01G498100;TraesCS3A01G477400;TraesCS3D01G320600;TraesCS6B01G147200;TraesCS1B01G248600;TraesCS4A01G248900;TraesCS3A01G037100;TraesCS4B01G065700;TraesCS6B01G141000;TraesCS7A01G120000</t>
  </si>
  <si>
    <t>TraesCS2A01G291900;TraesCS1D01G270500;TraesCS1B01G048300;TraesCS5B01G468400;TraesCS6D01G130800;TraesCS1B01G195800;TraesCS1A01G188000;TraesCS5B01G372500;TraesCS1D01G188500;TraesCS1B01G048500;TraesCS1D01G039500;TraesCS5D01G379700;TraesCS6B01G258500;TraesCS6B01G258400;TraesCS6B01G169700;TraesCS6A01G141500;TraesCS6D01G212400;TraesCS2A01G292000</t>
  </si>
  <si>
    <t>erythrose 4-phosphate/phosphoenolpyruvate family amino acid metabolic process</t>
  </si>
  <si>
    <t>TraesCS2D01G286300;TraesCS4D01G175700;TraesCS2D01G169000;TraesCS4D01G068200;TraesCS1D01G075500;TraesCS6A01G201100;TraesCS7D01G182700;TraesCS1A01G370700;TraesCS7A01G096500;TraesCS3A01G269900;TraesCS2A01G270200;TraesCS2D01G104600;TraesCS4A01G193600;TraesCS4D01G207500;TraesCS1B01G126600;TraesCS1D01G106100;TraesCS5A01G469000;TraesCS6A01G319600;TraesCS5D01G148900;TraesCS2D01G079200;TraesCS2B01G289000;TraesCS2A01G417200;TraesCS2D01G231600;TraesCS2D01G332300;TraesCS5B01G494500;TraesCS6A01G326000;TraesCS7B01G423100;TraesCS4B01G002000;TraesCS3B01G412500;TraesCS3A01G281900;TraesCS2A01G456600;TraesCS5D01G279100;TraesCS3B01G129900;TraesCS6D01G358700;TraesCS2B01G407600;TraesCS5B01G124200;TraesCS6A01G235100;TraesCS2D01G146100;TraesCS1D01G119500;TraesCS7A01G511800;TraesCS1A01G072600;TraesCS2D01G425700;TraesCS2D01G104500;TraesCS3D01G078900;TraesCS2A01G214400;TraesCS3D01G183900;TraesCS6B01G350400;TraesCS7B01G187600;TraesCS1A01G370600;TraesCS3B01G367500;TraesCS1D01G221000;TraesCS5B01G481300;TraesCS2A01G417300;TraesCS2A01G424900;TraesCS4A01G131000;TraesCS2B01G448100;TraesCS3A01G149000;TraesCS5D01G042300;TraesCS2B01G478700;TraesCS2D01G414500;TraesCS4D01G358900;TraesCS4D01G266400;TraesCS5B01G193200;TraesCS2B01G118500;TraesCS5A01G085900;TraesCS1D01G376700;TraesCS2B01G339600;TraesCS3A01G404400;TraesCS5A01G440400;TraesCS2B01G436100;TraesCS2B01G167900;TraesCS4B01G178600;TraesCS2A01G204500;TraesCS7D01G409700;TraesCS4D01G267500;TraesCS3B01G093300;TraesCS4B01G080900;TraesCS4D01G001200;TraesCS3B01G353000;TraesCS4B01G268100;TraesCS1A01G219400;TraesCS4B01G174000;TraesCS5B01G117700;TraesCS5B01G415700;TraesCS5A01G390300;TraesCS2D01G414600;TraesCS1B01G308200;TraesCS7A01G508700;TraesCS2B01G542300;TraesCS1B01G461600;TraesCS4D01G119700;TraesCS5B01G275200;TraesCS1A01G218100;TraesCS5D01G320800;TraesCS6B01G108000;TraesCS1D01G376600;TraesCS6A01G120300;TraesCS5A01G232700;TraesCS4B01G121500;TraesCS5B01G141900;TraesCS2A01G323000;TraesCS5B01G410000;TraesCS3B01G357500;TraesCS5B01G265400;TraesCS1A01G370400;TraesCS4B01G098200;TraesCS7A01G327700;TraesCS5A01G314700;TraesCS4B01G235300;TraesCS7B01G299200;TraesCS2B01G436200;TraesCS6B01G263800;TraesCS5B01G444100;TraesCS5D01G245300;TraesCS6D01G087700;TraesCS4B01G141500;TraesCS7D01G392800;TraesCS2A01G288000;TraesCS5A01G481300;TraesCS3D01G329400;TraesCS7D01G052600;TraesCS2D01G567000;TraesCS5B01G478300;TraesCS3B01G379200;TraesCS4D01G096400;TraesCS6A01G145600;TraesCS3A01G513200;TraesCS4A01G128100;TraesCS3A01G271700;TraesCS2A01G304000;TraesCS3D01G245500;TraesCS3A01G413700;TraesCS6B01G149000;TraesCS6D01G154400;TraesCS3A01G408000;TraesCS1B01G129800;TraesCS3A01G323800;TraesCS5D01G390700;TraesCS5A01G468300;TraesCS6A01G333600;TraesCS5A01G180800;TraesCS3A01G289200;TraesCS6A01G240400;TraesCS7B01G272900;TraesCS7D01G052500;TraesCS4A01G396400;TraesCS7B01G162100;TraesCS6A01G145500;TraesCS7A01G299600;TraesCS5D01G421100;TraesCS5B01G223600;TraesCS7D01G295100;TraesCS6B01G375400;TraesCS3D01G399600;TraesCS5D01G481700;TraesCS1D01G072600;TraesCS3D01G269600;TraesCS4D01G239600;TraesCS2A01G459700;TraesCS3B01G324400;TraesCS5D01G111300;TraesCS3B01G410500;TraesCS7A01G369500;TraesCS5B01G236900;TraesCS5A01G271500;TraesCS5B01G104200;TraesCS2B01G096000;TraesCS2A01G189600;TraesCS5D01G447500;TraesCS2D01G431000;TraesCS3A01G176500;TraesCS6D01G312800;TraesCS7A01G343000;TraesCS7A01G096300;TraesCS5B01G271800;TraesCS5B01G384500;TraesCS4A01G396300;TraesCS2A01G514300;TraesCS5A01G104900;TraesCS7D01G052400;TraesCS1D01G223600;TraesCS2A01G081400;TraesCS2A01G101900;TraesCS2B01G304800;TraesCS4B01G346100;TraesCS5D01G092000;TraesCS3B01G208300;TraesCS5B01G362600;TraesCS3D01G408100;TraesCS5B01G108500;TraesCS1A01G350400;TraesCS7A01G416400;TraesCS3B01G255400;TraesCS3D01G317400;TraesCS1B01G326700;TraesCS3D01G289000;TraesCS7A01G376100;TraesCS5A01G143100;TraesCS5D01G273600;TraesCS5A01G112600;TraesCS1A01G401800;TraesCS5B01G313000;TraesCS1B01G274300;TraesCS1B01G304800;TraesCS5A01G238400;TraesCS5B01G095900;TraesCS2D01G100900;TraesCS3B01G568300;TraesCS4A01G396200;TraesCS4D01G094400;TraesCS1D01G292700;TraesCS4A01G098900;TraesCS4A01G176200;TraesCS5A01G400000;TraesCS3A01G413600;TraesCS3D01G408000;TraesCS4B01G069500;TraesCS5A01G380900;TraesCS5A01G124600;TraesCS2D01G456900;TraesCS3A01G109300;TraesCS5A01G258100;TraesCS7D01G508800;TraesCS1B01G326600;TraesCS5D01G518700;TraesCS4D01G268100;TraesCS3B01G371200;TraesCS3B01G375800;TraesCS7A01G264800;TraesCS1B01G243100;TraesCS5D01G183100;TraesCS2A01G427700;TraesCS3B01G176200;TraesCS3D01G370800;TraesCS4A01G130600;TraesCS5D01G232700;TraesCS2B01G217500;TraesCS4D01G176000;TraesCS7B01G364600;TraesCS3D01G354100;TraesCS5B01G480900;TraesCS2D01G464400;TraesCS6A01G406700;TraesCS7D01G000200;TraesCS3B01G270500;TraesCS5B01G142100;TraesCS3A01G167200;TraesCS4A01G062800;TraesCS4A01G001300;TraesCS3A01G377700;TraesCS6A01G108800;TraesCS4D01G236600;TraesCS3D01G296100;TraesCS5D01G481200;TraesCS6B01G364000;TraesCS6D01G239700;TraesCS4B01G100100;TraesCS5D01G244800;TraesCS3B01G448000;TraesCS2D01G211400;TraesCS5A01G251800;TraesCS7A01G270100;TraesCS3A01G343900;TraesCS4B01G173600;TraesCS5D01G097900;TraesCS5B01G118200;TraesCS4D01G178400;TraesCS5B01G257300;TraesCS6D01G074200;TraesCS6D01G217800;TraesCS6D01G110400;TraesCS7A01G057800;TraesCS3A01G379900;TraesCS5D01G205000;TraesCS4A01G001400;TraesCS3B01G314600;TraesCS7B01G434700;TraesCS2D01G269200;TraesCS4A01G035400;TraesCS3D01G289500;TraesCS6B01G193200;TraesCS4A01G129400;TraesCS4D01G177000;TraesCS5A01G395100;TraesCS3B01G199000;TraesCS5B01G315600;TraesCS3B01G448100;TraesCS5B01G176300;TraesCS2D01G198200;TraesCS3D01G401200;TraesCS3D01G238300;TraesCS5D01G450500;TraesCS4B01G299700;TraesCS4D01G105100;TraesCS4A01G216100;TraesCS3B01G441600;TraesCS3D01G173300;TraesCS3B01G330700;TraesCS7B01G316600;TraesCS4A01G059600;TraesCS1A01G314400;TraesCS7A01G365600;TraesCS3A01G111200;TraesCS1A01G421900;TraesCS5B01G236400;TraesCS7D01G497400;TraesCS1B01G232300;TraesCS2A01G102000;TraesCS2D01G515900;TraesCS2A01G433000;TraesCS7D01G336400;TraesCS2B01G116900;TraesCS3D01G227400;TraesCS5A01G265700;TraesCS5D01G185300;TraesCS6D01G134800;TraesCS2D01G339900;TraesCS2A01G201800;TraesCS7D01G345200;TraesCS7A01G306100;TraesCS7D01G526100;TraesCS3D01G341100;TraesCS5D01G232800;TraesCS7B01G160900;TraesCS1B01G453300;TraesCS6D01G110600;TraesCS3B01G303800;TraesCS7A01G509000;TraesCS3D01G281900;TraesCS4A01G219700;TraesCS3A01G406000;TraesCS5B01G415400;TraesCS5A01G090100;TraesCS1D01G398400;TraesCS4B01G108000;TraesCS7A01G328600;TraesCS7D01G283800;TraesCS7D01G092500;TraesCS6B01G284300;TraesCS4D01G136500;TraesCS2B01G454300;TraesCS2D01G414300;TraesCS1A01G298600;TraesCS5D01G116100;TraesCS2B01G135600;TraesCS1D01G376500;TraesCS7B01G259000;TraesCS7D01G171300;TraesCS5D01G129400;TraesCS1D01G429800;TraesCS2B01G436300;TraesCS7B01G249200;TraesCS3B01G439600;TraesCS7A01G518800;TraesCS1A01G389500;TraesCS6D01G299000;TraesCS7D01G092600;TraesCS5D01G071800;TraesCS5B01G224000;TraesCS7D01G110600;TraesCS7D01G372500;TraesCS6B01G148700;TraesCS2B01G187500;TraesCS2A01G389400;TraesCS4D01G180200;TraesCS6A01G258500;TraesCS2D01G387300;TraesCS4A01G071800;TraesCS1B01G235100;TraesCS2B01G320700;TraesCS7D01G201700;TraesCS1A01G263700;TraesCS2A01G101400;TraesCS1D01G263800;TraesCS6B01G451300;TraesCS5D01G266300;TraesCS4B01G239700;TraesCS5D01G321000;TraesCS1D01G314800;TraesCS2A01G391700;TraesCS2D01G386100;TraesCS2A01G388300;TraesCS5A01G237900;TraesCS5A01G080300;TraesCS7D01G497300;TraesCS4A01G171500;TraesCS1A01G302700;TraesCS3A01G289700;TraesCS5B01G564100;TraesCS3D01G157100;TraesCS7D01G353800;TraesCS6D01G222600;TraesCS7A01G116000;TraesCS5A01G468800;TraesCS3B01G130000;TraesCS5B01G067700;TraesCS6A01G080500;TraesCS3A01G078400;TraesCS3A01G336500;TraesCS7A01G423800;TraesCS3A01G242500;TraesCS6A01G120600;TraesCS4B01G228600;TraesCS2D01G285300;TraesCS3D01G431700;TraesCS7D01G501000;TraesCS1D01G265800;TraesCS1D01G314900;TraesCS5A01G411900;TraesCS2D01G051000;TraesCS5B01G075300;TraesCS3B01G310500;TraesCS7D01G092400;TraesCS3A01G229300;TraesCS1A01G221900;TraesCS3D01G372900;TraesCS5A01G312000;TraesCS3D01G242500;TraesCS3B01G273600;TraesCS4B01G205400;TraesCS4A01G126300;TraesCS3A01G347500;TraesCS3D01G276600;TraesCS3D01G113300;TraesCS3A01G276500;TraesCS6B01G173900;TraesCS1D01G429900;TraesCS5A01G411800;TraesCS3A01G245900;TraesCS6A01G165800</t>
  </si>
  <si>
    <t>TraesCS3D01G272100;TraesCS2A01G553500;TraesCS2A01G384100;TraesCS3A01G517100;TraesCS5A01G375000;TraesCS3B01G306200;TraesCS2D01G555000;TraesCS3D01G524700;TraesCS5A01G337100;TraesCS2B01G585100;TraesCS5D01G183700;TraesCS3B01G490900</t>
  </si>
  <si>
    <t>programmed cell death</t>
  </si>
  <si>
    <t>TraesCS5B01G520200;TraesCS7D01G114100;TraesCS5B01G371100;TraesCS6D01G393600;TraesCS5A01G182600;TraesCS2B01G218700;TraesCS4B01G057400;TraesCS6D01G161200;TraesCS6B01G324800;TraesCS2A01G188000;TraesCS6A01G212000;TraesCS5D01G142900;TraesCS4A01G384900;TraesCS5A01G118600;TraesCS2A01G056800;TraesCS2B01G449100;TraesCS3B01G562500;TraesCS5D01G378200;TraesCS7D01G328400;TraesCS4D01G262900;TraesCS6D01G275100;TraesCS3D01G288600;TraesCS5B01G380600;TraesCS2A01G373200;TraesCS2D01G182100;TraesCS2D01G451100;TraesCS4A01G101600;TraesCS4A01G206900;TraesCS4A01G145300;TraesCS4B01G203000;TraesCS5D01G039900;TraesCS3A01G217200;TraesCS6A01G244400;TraesCS1D01G074400;TraesCS4B01G339700;TraesCS2D01G277600;TraesCS5A01G025400;TraesCS5B01G031800;TraesCS4A01G091000;TraesCS3B01G383400;TraesCS3A01G300400;TraesCS2B01G451400;TraesCS4A01G404500;TraesCS3B01G255200;TraesCS1A01G002500;TraesCS5A01G460300;TraesCS6D01G153600;TraesCS5D01G085800;TraesCS5D01G378100;TraesCS2A01G259500;TraesCS2A01G463900;TraesCS3B01G562400;TraesCS7D01G230900;TraesCS2D01G520900;TraesCS5A01G366700;TraesCS5B01G135200;TraesCS1B01G264600;TraesCS3B01G336100;TraesCS5A01G467600;TraesCS3A01G383600;TraesCS5D01G218300;TraesCS2B01G271700;TraesCS2B01G266000;TraesCS6B01G145700;TraesCS2D01G199100;TraesCS4A01G110200;TraesCS5D01G237800;TraesCS3D01G373600;TraesCS5D01G480600;TraesCS5B01G117600;TraesCS3B01G290300;TraesCS4D01G203900;TraesCSU01G003600;TraesCS2D01G031100;TraesCS4B01G052700;TraesCS7D01G452600;TraesCS3A01G265100;TraesCS1A01G332800;TraesCS2A01G278400;TraesCS3D01G443400;TraesCS1D01G265400;TraesCS6B01G381400;TraesCS3B01G298700;TraesCS4B01G243500;TraesCS2A01G174700;TraesCS3A01G362500;TraesCS5A01G073000;TraesCS2D01G462300;TraesCS4D01G271200;TraesCS5A01G218300;TraesCS5B01G217100;TraesCS3D01G373700;TraesCS7D01G114200;TraesCS2D01G483700;TraesCS1B01G288300;TraesCS3B01G532300;TraesCS6D01G226700;TraesCS1D01G335400;TraesCS6B01G280000;TraesCS4D01G243100;TraesCS2D01G198900;TraesCS3B01G323500;TraesCS1B01G324000;TraesCS2A01G278500;TraesCS6D01G237600;TraesCS3B01G247500;TraesCS2A01G237300;TraesCS2D01G264200;TraesCS1A01G047000;TraesCS2B01G232900;TraesCS4D01G147600;TraesCS1D01G227700;TraesCS3B01G401600;TraesCS3D01G219900;TraesCS7A01G419500;TraesCS2D01G443700;TraesCS1D01G047900;TraesCS5B01G217000;TraesCS5D01G226000;TraesCS4D01G064000;TraesCS1D01G004700;TraesCS7A01G118900;TraesCS2A01G305900;TraesCS3D01G344800;TraesCS1D01G335500;TraesCS2B01G485600;TraesCS3A01G414000;TraesCS6A01G351600;TraesCS2A01G205500;TraesCS2B01G326900;TraesCS4D01G302500;TraesCS2D01G362900;TraesCS7A01G480100;TraesCS5D01G225900;TraesCS4B01G125700;TraesCS6D01G302400;TraesCS7A01G085900;TraesCS1D01G112500;TraesCS1D01G296600;TraesCS7A01G230500;TraesCS7D01G014200;TraesCS3A01G257500;TraesCS7D01G467100;TraesCS1A01G312300;TraesCS2B01G593500;TraesCS2D01G199600;TraesCS2D01G464800;TraesCS5B01G217700;TraesCS2A01G428400;TraesCS2D01G369400;TraesCS2B01G451800;TraesCS1B01G195900;TraesCS2A01G121000;TraesCS6D01G138000;TraesCS4A01G130300;TraesCS5A01G213700;TraesCS1A01G265200;TraesCS3A01G288800;TraesCS5A01G360200;TraesCS5A01G368600;TraesCS1D01G357500;TraesCS3B01G487700;TraesCS4A01G352900;TraesCS3A01G380600;TraesCS1D01G253200;TraesCS5D01G519400;TraesCS1D01G312500;TraesCS2D01G426500;TraesCS1A01G071800;TraesCS1A01G385800;TraesCS3D01G257500;TraesCS2B01G417900;TraesCS4B01G065100;TraesCS5A01G136200;TraesCS5D01G228500;TraesCS7A01G409900;TraesCS7D01G388900;TraesCS6A01G171800;TraesCS5A01G229700;TraesCS7B01G056700;TraesCS5B01G362700;TraesCS5B01G228500;TraesCS6B01G231800;TraesCS1A01G111000;TraesCS5D01G031800;TraesCS7A01G130300;TraesCS2D01G118400;TraesCS6D01G330900;TraesCS6D01G107600;TraesCS5D01G187100;TraesCS6B01G383300;TraesCS7B01G116700;TraesCS3A01G229400;TraesCS7D01G364700;TraesCS2A01G188600;TraesCS2D01G564100;TraesCS3B01G388400;TraesCS4D01G176200;TraesCS6B01G199700;TraesCS2D01G304300;TraesCS5B01G217500;TraesCS2D01G055600;TraesCS6B01G128000;TraesCS6B01G145800;TraesCS3A01G129000;TraesCS1A01G253600;TraesCS4B01G304300;TraesCS2A01G047300;TraesCS4A01G066200;TraesCS6D01G146500;TraesCS7D01G055700;TraesCS3D01G204000;TraesCS5B01G371200;TraesCS6B01G456500;TraesCS2D01G483300;TraesCS3B01G148100;TraesCS4A01G033400;TraesCS5B01G079100;TraesCS5A01G031700;TraesCS4D01G108200;TraesCS2A01G188700;TraesCS2B01G296100;TraesCS3D01G376700;TraesCS4A01G249600;TraesCS2B01G135900;TraesCS3B01G416000;TraesCS2B01G282400;TraesCS4D01G176300;TraesCS5A01G368800;TraesCS2A01G365000;TraesCS3A01G123000;TraesCS6A01G294200;TraesCS6B01G192400;TraesCS5A01G142000;TraesCS3D01G356300;TraesCS2B01G141900;TraesCS5A01G218000;TraesCS5D01G226400;TraesCS6A01G347900;TraesCS1A01G295300;TraesCS1B01G001800;TraesCS5D01G130000;TraesCS2B01G201100</t>
  </si>
  <si>
    <t>TraesCS3A01G048700;TraesCS7D01G086900;TraesCS3A01G262300;TraesCS3D01G262300;TraesCS2D01G509200;TraesCS3D01G046000;TraesCS2D01G509400;TraesCS2B01G537800;TraesCS6D01G056600;TraesCS3A01G034300;TraesCS3A01G034700;TraesCS6D01G210100;TraesCS3A01G034100;TraesCS3A01G261800;TraesCS7D01G085600;TraesCS3D01G045400;TraesCS7D01G085800;TraesCS2B01G536600;TraesCS3A01G049500;TraesCS7D01G136700;TraesCS6A01G225300;TraesCS6D01G032300;TraesCS1D01G037200;TraesCS5B01G366400;TraesCS6B01G256300;TraesCS6D01G050900;TraesCS5D01G373700;TraesCS7A01G242800;TraesCS5D01G061800;TraesCS7A01G091500;TraesCS1D01G381800;TraesCS3A01G033000;TraesCS4A01G391100;TraesCS5D01G524800;TraesCS3B01G049700;TraesCS3A01G048800;TraesCS3D01G262200;TraesCS3D01G046100;TraesCS3A01G262200;TraesCS3A01G122300;TraesCS3D01G048000;TraesCS2D01G509500;TraesCS5D01G073900;TraesCS2D01G509300;TraesCS3D01G046900;TraesCS3D01G048400;TraesCS6A01G377700;TraesCS3B01G053800;TraesCS5D01G374300;TraesCSU01G047400;TraesCS5B01G069900;TraesCS5B01G526000;TraesCS3A01G034600;TraesCS7D01G087100;TraesCS6D01G210200;TraesCS2B01G489700;TraesCS3D01G030600;TraesCS3D01G124200;TraesCS5A01G062600;TraesCS2D01G511300;TraesCS3D01G045300;TraesCS3D01G047200;TraesCS3D01G261800;TraesCS5B01G057000;TraesCS2B01G536500;TraesCS3B01G141500;TraesCS6A01G225400;TraesCS3B01G053700;TraesCS3D01G049700;TraesCS6B01G256200;TraesCS7A01G091200;TraesCS7D01G053900;TraesCS7A01G091400;TraesCS3A01G050300;TraesCS6B01G059800;TraesCS1D01G381900;TraesCS2B01G394700;TraesCS5D01G281200</t>
  </si>
  <si>
    <t>TraesCS1D01G184900;TraesCS2B01G208900;TraesCS5B01G482400;TraesCS7D01G392800;TraesCS1B01G171400;TraesCS7B01G346600;TraesCS3D01G313900;TraesCS1A01G086600;TraesCS7D01G343800;TraesCS2B01G246100;TraesCS5A01G041100;TraesCS6D01G193700;TraesCS7D01G435100;TraesCS4D01G096400;TraesCS6B01G295200;TraesCS5A01G177800;TraesCS5D01G207400;TraesCS2D01G182100;TraesCS3B01G283800;TraesCS5A01G209200;TraesCS7D01G377000;TraesCS1D01G292400;TraesCS3D01G244500;TraesCS5B01G200000;TraesCS2D01G077300;TraesCS3B01G349100;TraesCS1B01G346500;TraesCS2B01G198100;TraesCS6A01G244400;TraesCS5A01G469800;TraesCS7D01G044300;TraesCS2A01G080000;TraesCS3A01G056700;TraesCS4D01G141000;TraesCS4D01G229700;TraesCS6B01G239500;TraesCS1D01G152000;TraesCS7A01G279100;TraesCS5B01G014400;TraesCS1B01G164200;TraesCS3D01G207900;TraesCS6D01G248100;TraesCS5B01G358900;TraesCS3D01G180500;TraesCS7D01G548200;TraesCS4B01G219200;TraesCS2B01G204800;TraesCS4B01G137700;TraesCS5D01G482800;TraesCS7A01G470400;TraesCS1D01G111900;TraesCS4A01G085000;TraesCS4D01G045300;TraesCS5D01G365300;TraesCS5B01G155700;TraesCS5D01G109500;TraesCS1D01G013200;TraesCS4B01G045400;TraesCS7A01G130600;TraesCS5D01G179100;TraesCS4B01G100100;TraesCS1A01G072600;TraesCS5D01G022200;TraesCS2B01G393000;TraesCS3A01G317400;TraesCSU01G076400;TraesCS1A01G298900;TraesCS3D01G290000;TraesCS7D01G278900;TraesCS3A01G175000;TraesCS2A01G155500;TraesCS5A01G425600;TraesCS1B01G229100;TraesCS3A01G505200;TraesCS1D01G368100;TraesCS5A01G463000;TraesCS5B01G156800;TraesCS7D01G510000;TraesCS1A01G192300;TraesCS2A01G384100;TraesCS2B01G350600;TraesCS5B01G102700;TraesCS4B01G306900;TraesCS1A01G251600;TraesCS5B01G530800;TraesCS3D01G056500;TraesCS3A01G337500;TraesCS5D01G531600;TraesCS1D01G002600;TraesCS4D01G125000;TraesCS4D01G360300;TraesCS1B01G158500;TraesCS4A01G072700;TraesCS5A01G424300;TraesCS6D01G039300;TraesCS5A01G096800;TraesCS1A01G153600;TraesCS4D01G219400;TraesCS4D01G098500;TraesCS4D01G132500;TraesCS7B01G372400;TraesCS1A01G005900;TraesCS5A01G534900;TraesCS1A01G215600;TraesCS1A01G005100;TraesCS4A01G407500;TraesCS5A01G356400;TraesCS2D01G392800;TraesCS2A01G174700;TraesCS6A01G353600;TraesCS4A01G216100;TraesCS5D01G163400;TraesCS4D01G176200;TraesCS2D01G226300;TraesCS3A01G252800;TraesCS5B01G427600;TraesCS1D01G198600;TraesCS5B01G316300;TraesCS5D01G182100;TraesCS3B01G288900;TraesCS5D01G432800;TraesCS1D01G073100;TraesCS5B01G073000;TraesCS6D01G226700;TraesCS2B01G180500;TraesCS1B01G308600;TraesCS6B01G280000;TraesCS6D01G335900;TraesCS3D01G252800;TraesCS6A01G266600;TraesCS1A01G015300;TraesCS2B01G223000;TraesCS6A01G210600;TraesCS2A01G220600;TraesCS4A01G174700;TraesCS1A01G363200;TraesCS5D01G475800;TraesCS4D01G176300;TraesCS4B01G142700;TraesCS4D01G044800;TraesCS1D01G108300;TraesCS5D01G215400;TraesCS4D01G300100;TraesCS7A01G520300;TraesCS7A01G561600;TraesCS2D01G224100;TraesCS4D01G305100;TraesCS4B01G367200;TraesCS7D01G457800;TraesCS7B01G299200;TraesCS6B01G386200;TraesCS3D01G253500;TraesCS1D01G144600;TraesCS5B01G175100;TraesCS1A01G295300;TraesCS3B01G284600;TraesCS2B01G201100;TraesCS4B01G101900;TraesCS6B01G294000</t>
  </si>
  <si>
    <t>detection of biotic stimulus</t>
  </si>
  <si>
    <t>TraesCS4A01G125300;TraesCS1A01G377900;TraesCS2A01G097400;TraesCS4D01G180800;TraesCS7D01G189700;TraesCS5B01G460200;TraesCS5A01G235300;TraesCS2B01G109800;TraesCS2D01G093000;TraesCS2B01G109700;TraesCS5D01G461600;TraesCS5A01G217000;TraesCS5B01G215900;TraesCS1B01G398700;TraesCS2A01G094700;TraesCS7B01G093500;TraesCS2A01G094500;TraesCS7A01G188600;TraesCS5A01G451400;TraesCS1D01G384900;TraesCS5D01G225100</t>
  </si>
  <si>
    <t>TraesCS7D01G063900;TraesCS1B01G217600;TraesCS2A01G382700;TraesCS2D01G177700;TraesCS5D01G346200;TraesCS4D01G232700;TraesCS7D01G523800;TraesCS5B01G445100;TraesCSU01G116600;TraesCS5A01G341000;TraesCS2A01G516800;TraesCS1D01G437700;TraesCS5A01G177800;TraesCS7B01G294800;TraesCS5B01G166300;TraesCS3D01G104500;TraesCS6D01G225800;TraesCS4B01G335100;TraesCS7A01G512300;TraesCS7B01G423900;TraesCS6B01G258400;TraesCS2B01G159800;TraesCS2A01G292000;TraesCS7A01G537500;TraesCS4A01G232600;TraesCS3B01G100600;TraesCS1A01G428400;TraesCS7A01G470400;TraesCS5A01G137700;TraesCS1D01G101300;TraesCS6D01G239700;TraesCS6A01G080600;TraesCS4A01G419400;TraesCS6A01G258500;TraesCS7D01G305300;TraesCS7B01G208700;TraesCS1B01G206000;TraesCS7A01G308600;TraesCS4A01G262600;TraesCS6A01G067800;TraesCS2B01G196500;TraesCS2B01G400000;TraesCS4A01G075600;TraesCS5B01G372500;TraesCS5A01G169500;TraesCS1B01G048500;TraesCS7D01G054000;TraesCS7D01G501700;TraesCS4A01G083900;TraesCS7A01G537600;TraesCS5D01G379700;TraesCS6B01G091700;TraesCS1A01G329500;TraesCS3B01G423200;TraesCS5D01G210200;TraesCS5B01G136400;TraesCS1D01G188500;TraesCS7D01G071200;TraesCS7A01G075600;TraesCS4D01G052500;TraesCS7A01G454300;TraesCS7A01G392800;TraesCS6D01G065200;TraesCS6D01G212400;TraesCS5D01G154300;TraesCS6B01G108100;TraesCS7B01G372400;TraesCS7D01G383600;TraesCS2A01G291900;TraesCS4B01G052300;TraesCS5B01G468400;TraesCS1B01G195800;TraesCS4B01G220200;TraesCS5D01G070900;TraesCS5A01G203700;TraesCS1D01G039500;TraesCS2D01G379000;TraesCS5D01G027600;TraesCS6D01G074300;TraesCS7A01G344600;TraesCS5D01G182100;TraesCS6B01G091000;TraesCS7D01G388400;TraesCS4A01G431500;TraesCS4B01G231400;TraesCS1B01G168600;TraesCS5A01G505000;TraesCSU01G249900;TraesCS7A01G059500;TraesCS7D01G334900;TraesCS4A01G089800;TraesCS4D01G215100;TraesCS1A01G188000;TraesCS5B01G339100;TraesCS7D01G523900;TraesCS5B01G445200;TraesCS3B01G585400;TraesCS4D01G220500;TraesCS5D01G173900;TraesCS1B01G463100;TraesCS7A01G387000;TraesCS2A01G396400;TraesCS3A01G102200;TraesCS2A01G516500;TraesCS1B01G048300;TraesCS6A01G187300;TraesCS1D01G148000;TraesCS4B01G214500;TraesCS7A01G069300;TraesCS7D01G457800;TraesCS6B01G258500;TraesCS5B01G175100;TraesCS4A01G431600</t>
  </si>
  <si>
    <t>TraesCS7D01G063900;TraesCS6A01G240700;TraesCS7B01G346600;TraesCS1A01G275200;TraesCS2A01G389900;TraesCS3A01G330600;TraesCS3A01G110300;TraesCS6B01G169700;TraesCS7B01G370700;TraesCS6A01G141500;TraesCS1B01G096300;TraesCS2D01G349400;TraesCS7D01G435100;TraesCS5A01G156200;TraesCS1A01G217300;TraesCS5D01G205100;TraesCS5A01G177800;TraesCS5D01G207400;TraesCS3D01G072000;TraesCS1B01G197900;TraesCS6D01G130800;TraesCS3B01G489700;TraesCS4B01G335100;TraesCS7A01G339100;TraesCS2B01G198100;TraesCS3B01G036800;TraesCS3D01G412400;TraesCS6A01G244400;TraesCS5B01G262900;TraesCS6B01G258400;TraesCS2B01G350500;TraesCS1A01G203700;TraesCS6D01G291800;TraesCS3D01G278000;TraesCS4D01G315400;TraesCS7D01G346400;TraesCS3B01G446500;TraesCS4A01G091000;TraesCS7A01G338900;TraesCS4D01G366100;TraesCS1A01G182100;TraesCS6B01G284000;TraesCS1B01G198900;TraesCS3A01G199600;TraesCS1D01G111900;TraesCS4D01G326400;TraesCS2D01G507800;TraesCS3A01G124800;TraesCS5D01G244800;TraesCS2D01G033100;TraesCS4D01G142000;TraesCS1D01G044300;TraesCS5D01G085800;TraesCS4A01G419400;TraesCS2B01G393000;TraesCS6D01G342800;TraesCS4D01G339400;TraesCS1A01G078600;TraesCS6D01G225300;TraesCS3B01G126400;TraesCS2D01G520100;TraesCS3B01G311900;TraesCS7A01G282200;TraesCS1D01G074500;TraesCS2D01G289800;TraesCS3D01G444900;TraesCS3D01G467600;TraesCS2D01G598500;TraesCS1A01G203600;TraesCS2B01G151100;TraesCS6A01G272500;TraesCS5A01G027000;TraesCS6B01G370900;TraesCS3A01G344400;TraesCS3A01G107600;TraesCS1D01G346200;TraesCS7D01G506300;TraesCS5A01G182400;TraesCS3A01G189300;TraesCS7D01G071200;TraesCS5D01G328300;TraesCS3D01G308100;TraesCS6A01G302400;TraesCS7A01G075600;TraesCS1D01G207100;TraesCS1B01G268600;TraesCSU01G020500;TraesCS6D01G199500;TraesCS6D01G212400;TraesCS1A01G361000;TraesCS7B01G372400;TraesCS2B01G196400;TraesCS1B01G229000;TraesCS2B01G339600;TraesCS6B01G300000;TraesCSU01G169600;TraesCS5B01G197800;TraesCS5B01G468400;TraesCS2B01G308200;TraesCS6A01G353600;TraesCS7A01G241200;TraesCS5D01G163400;TraesCS5D01G183700;TraesCS1A01G043900;TraesCS1D01G039500;TraesCS1D01G123700;TraesCS5D01G249800;TraesCS6A01G305000;TraesCS4B01G143500;TraesCS3D01G260300;TraesCS6B01G246800;TraesCS3D01G445000;TraesCS2A01G507400;TraesCS1D01G249600;TraesCS6D01G226700;TraesCS3D01G103900;TraesCS3B01G278200;TraesCS3D01G432600;TraesCS6B01G280000;TraesCS5B01G339100;TraesCS6D01G222900;TraesCS2A01G224000;TraesCS2B01G605800;TraesCS3D01G192800;TraesCS2A01G121200;TraesCS3A01G439800;TraesCS3B01G354000;TraesCS4D01G035300;TraesCS1A01G344000;TraesCS7D01G345200;TraesCS1D01G080800;TraesCS1A01G078400;TraesCS1A01G215500;TraesCS5B01G307300;TraesCS5B01G026200;TraesCS6B01G291800;TraesCS5B01G246900;TraesCS7B01G250400;TraesCS2D01G229900;TraesCS3A01G077000;TraesCS6B01G386200;TraesCS3A01G249300;TraesCS5B01G175100;TraesCS6A01G383800;TraesCSU01G021700;TraesCS4D01G183100;TraesCS4D01G104100;TraesCS2B01G535500;TraesCS5B01G201100;TraesCS6D01G224700;TraesCS6D01G255200;TraesCS5B01G373000;TraesCS5D01G346200;TraesCS1D01G149100;TraesCS3B01G446800;TraesCS2B01G047300;TraesCS2D01G349000;TraesCS5A01G341000;TraesCS3A01G452400;TraesCS3B01G229900;TraesCS4A01G122800;TraesCS5B01G200000;TraesCS6A01G359900;TraesCS5B01G225200;TraesCS5D01G408200;TraesCS2A01G420800;TraesCS3D01G077200;TraesCS7B01G249200;TraesCS6D01G284200;TraesCS6D01G320400;TraesCS3A01G046500;TraesCS2B01G174500;TraesCS3B01G360600;TraesCS5D01G208900;TraesCS6A01G243000;TraesCS7A01G470400;TraesCS2B01G535400;TraesCS5D01G034700;TraesCS5B01G155700;TraesCS7A01G412400;TraesCS5A01G513200;TraesCS1B01G056900;TraesCS4B01G286600;TraesCS2D01G517200;TraesCS6A01G216100;TraesCS6B01G331600;TraesCS1D01G080600;TraesCS4D01G285300;TraesCS4D01G289900;TraesCS1A01G187400;TraesCS5D01G104900;TraesCS6A01G246400;TraesCS1A01G078200;TraesCS1D01G185200;TraesCS2D01G417800;TraesCS1B01G048500;TraesCS5A01G375000;TraesCS1A01G312400;TraesCS1D01G274800;TraesCS3D01G201900;TraesCS5A01G237900;TraesCS7D01G346100;TraesCS4A01G196000;TraesCS1D01G218000;TraesCS5D01G098900;TraesCS3B01G423200;TraesCS4A01G076900;TraesCS5A01G424300;TraesCS6D01G039300;TraesCS5A01G092600;TraesCS5B01G152600;TraesCS1D01G067800;TraesCS3A01G471900;TraesCS7A01G320000;TraesCS4A01G203300;TraesCS5B01G405400;TraesCS3A01G355700;TraesCS4A01G017400;TraesCS1D01G219100;TraesCS1D01G133900;TraesCS2B01G274200;TraesCS6A01G376300;TraesCS5B01G244300;TraesCS1A01G066800;TraesCS1D01G312600;TraesCS5D01G182100;TraesCS3A01G113900;TraesCS5A01G505000;TraesCS5D01G432800;TraesCS1A01G077700;TraesCS1D01G186500;TraesCS6A01G226100;TraesCS6B01G414100;TraesCS6D01G335900;TraesCS6B01G392700;TraesCS1D01G080400;TraesCS2D01G123300;TraesCS1B01G096800;TraesCS1A01G365100;TraesCS6D01G281900;TraesCS6D01G361500;TraesCS7D01G364900;TraesCS1A01G183000;TraesCS2D01G348900;TraesCS1B01G048300;TraesCS4D01G325500;TraesCS4A01G124800;TraesCS5B01G458900;TraesCS3B01G090400;TraesCS6A01G264800;TraesCS7A01G069300;TraesCS7D01G457800;TraesCS6B01G258500;TraesCS3A01G295000;TraesCS6B01G105800;TraesCS5A01G321500;TraesCS2B01G595300;TraesCS6D01G368800;TraesCS5B01G180400;TraesCS2B01G614100;TraesCS3B01G490900</t>
  </si>
  <si>
    <t>TraesCS7A01G187000;TraesCS1D01G270500;TraesCS4B01G273500;TraesCS4A01G068400;TraesCS6A01G177700;TraesCS6D01G393600;TraesCS1A01G413400;TraesCS6A01G240700;TraesCS5B01G445100;TraesCS5A01G131300;TraesCS4B01G263300;TraesCS6A01G306800;TraesCS4B01G049100;TraesCS4D01G096400;TraesCS5A01G156200;TraesCS4B01G037800;TraesCS1A01G406200;TraesCS1D01G437700;TraesCS7B01G294800;TraesCS1A01G072200;TraesCS4B01G318900;TraesCS6D01G225800;TraesCS7B01G254900;TraesCS7D01G350500;TraesCS5D01G031500;TraesCS4B01G264500;TraesCS2D01G279500;TraesCS4A01G059800;TraesCS2A01G508900;TraesCS4D01G242100;TraesCS4D01G296400;TraesCS5D01G159100;TraesCS6B01G422900;TraesCS4D01G263500;TraesCS4D01G315400;TraesCS2A01G292000;TraesCS7D01G548200;TraesCS1A01G428400;TraesCS6B01G284000;TraesCS7A01G470400;TraesCS4D01G045300;TraesCS7D01G351000;TraesCS7A01G412400;TraesCS4B01G045400;TraesCS4D01G272500;TraesCS2B01G414500;TraesCS6D01G239700;TraesCS6D01G369400;TraesCS4B01G100100;TraesCS6A01G080600;TraesCS6B01G335400;TraesCS6A01G258500;TraesCS4A01G042700;TraesCS7D01G305300;TraesCS7B01G208700;TraesCS5D01G139800;TraesCS7A01G308600;TraesCS2A01G396200;TraesCS1B01G229100;TraesCS2A01G407900;TraesCS4B01G037900;TraesCS6A01G116000;TraesCS5B01G372500;TraesCS1D01G074500;TraesCS1B01G048500;TraesCS5D01G379700;TraesCS2A01G384100;TraesCS5A01G375000;TraesCS2B01G333600;TraesCS6D01G104800;TraesCS4A01G009400;TraesCS2D01G231100;TraesCS4A01G043800;TraesCS4B01G225500;TraesCS1A01G375800;TraesCS2A01G414700;TraesCS6D01G039300;TraesCS1D01G188500;TraesCS5B01G152600;TraesCS7A01G392800;TraesCS2B01G189300;TraesCS4D01G035200;TraesCS4D01G264500;TraesCS1D01G420900;TraesCS6B01G108100;TraesCS7B01G372400;TraesCS7A01G186900;TraesCS7D01G188100;TraesCS2A01G291900;TraesCS2B01G339600;TraesCS2D01G285300;TraesCS1D01G414600;TraesCS1A01G215600;TraesCS4B01G194900;TraesCS3B01G334900;TraesCS5B01G468400;TraesCS1B01G195800;TraesCS2B01G308200;TraesCS2D01G392800;TraesCS1D01G074600;TraesCS4A01G216100;TraesCS5D01G183700;TraesCS1D01G039500;TraesCS6A01G073300;TraesCS3A01G146800;TraesCS5D01G027600;TraesCS6D01G074300;TraesCS7D01G388400;TraesCS2B01G336000;TraesCS1D01G004400;TraesCS4A01G089800;TraesCS6D01G232300;TraesCS2D01G393900;TraesCS3D01G300200;TraesCS4D01G215100;TraesCS1A01G188000;TraesCS3D01G266400;TraesCS3D01G432600;TraesCS6D01G222900;TraesCS3A01G439800;TraesCS6B01G207000;TraesCS5B01G445200;TraesCS6B01G423900;TraesCS4A01G027800;TraesCS1B01G463100;TraesCS2A01G396400;TraesCS6B01G098300;TraesCS1B01G048300;TraesCS6D01G166600;TraesCS7D01G488800;TraesCS6A01G187300;TraesCS7A01G561600;TraesCS5B01G133500;TraesCS7D01G188000;TraesCS4B01G214500;TraesCS7D01G457800;TraesCS6B01G105800;TraesCS4A01G221500;TraesCS3A01G266300;TraesCS1A01G295300</t>
  </si>
  <si>
    <t>TraesCS7D01G063900;TraesCS7B01G241200;TraesCS1A01G428400;TraesCS4A01G089800;TraesCS6B01G284000;TraesCS4D01G215100;TraesCS6A01G240700;TraesCS7A01G412400;TraesCS6D01G222900;TraesCS5B01G445100;TraesCS2A01G389900;TraesCS5B01G445200;TraesCS7A01G392800;TraesCS4A01G419400;TraesCS5D01G173900;TraesCS7D01G305300;TraesCS1B01G463100;TraesCS7B01G208700;TraesCS1D01G437700;TraesCS7A01G308600;TraesCS7B01G294800;TraesCS5B01G166300;TraesCS4B01G318900;TraesCS2B01G347800;TraesCS5D01G031200;TraesCS5A01G169500;TraesCS7D01G501700;TraesCS4B01G214500;TraesCS7A01G069300;TraesCS7A01G512300;TraesCS7B01G423900;TraesCS7D01G388400;TraesCS4D01G315400</t>
  </si>
  <si>
    <t>TraesCS1D01G004700;TraesCS4D01G176300;TraesCS4A01G091000;TraesCS7A01G231600;TraesCS1D01G227700;TraesCS3D01G193200;TraesCS6B01G231800;TraesCS3D01G219900;TraesCS4D01G176200;TraesCS1A01G002500;TraesCS3B01G218800;TraesCS1A01G295300;TraesCS1B01G001800;TraesCS4B01G174300;TraesCS4B01G174200;TraesCS4A01G130300</t>
  </si>
  <si>
    <t>TraesCS4B01G142700;TraesCS4D01G141000;TraesCS1B01G171400;TraesCS1D01G152000;TraesCS4A01G174700;TraesCS1A01G153600</t>
  </si>
  <si>
    <t>ESCRT III complex</t>
  </si>
  <si>
    <t>TraesCS2B01G367700;TraesCS7D01G548200;TraesCS6A01G209900;TraesCS2B01G208900;TraesCS4A01G089700;TraesCS6D01G393600;TraesCS4D01G215200;TraesCS4D01G045300;TraesCS6D01G039300;TraesCS6A01G201100;TraesCS2B01G605800;TraesCS3A01G309800;TraesCS4B01G045400;TraesCS6B01G238800;TraesCS1A01G093800;TraesCS4B01G100100;TraesCS6B01G238700;TraesCS4A01G174700;TraesCS6A01G210000;TraesCS4D01G096400;TraesCS6D01G193100;TraesCS4B01G142700;TraesCS5B01G307300;TraesCS5D01G169300;TraesCS6A01G116000;TraesCS2D01G392800;TraesCS4A01G216100;TraesCS5D01G183700;TraesCS7A01G561600;TraesCS2A01G384100;TraesCS1D01G144600;TraesCS4D01G141000;TraesCS6D01G104800;TraesCS1A01G295300;TraesCS1D01G102400;TraesCS1B01G164200</t>
  </si>
  <si>
    <t>TraesCS4B01G142700;TraesCS4D01G141000;TraesCS1B01G171400;TraesCS1D01G152000;TraesCS4A01G174700;TraesCS3A01G337500;TraesCS1A01G153600</t>
  </si>
  <si>
    <t>ESCRT complex</t>
  </si>
  <si>
    <t>TraesCS6D01G193100;TraesCS7A01G143800;TraesCS6A01G209900;TraesCS7D01G145500;TraesCS1B01G288300;TraesCS6D01G039300;TraesCS5D01G183700;TraesCS6A01G201100;TraesCS2B01G605800;TraesCS6B01G238800;TraesCS1D01G144600;TraesCS6B01G238700;TraesCS6A01G210000;TraesCS1B01G164200</t>
  </si>
  <si>
    <t>TraesCS1D01G184900;TraesCS2B01G208900;TraesCS5B01G482400;TraesCS7D01G392800;TraesCS1B01G171400;TraesCS7B01G346600;TraesCS3D01G313900;TraesCS1A01G086600;TraesCS7D01G343800;TraesCS2B01G246100;TraesCS5A01G041100;TraesCS6D01G193700;TraesCS7D01G435100;TraesCS4D01G096400;TraesCS6B01G295200;TraesCS5A01G177800;TraesCS5D01G207400;TraesCS2D01G182100;TraesCS3B01G283800;TraesCS5A01G209200;TraesCS7D01G377000;TraesCS1D01G292400;TraesCS3D01G244500;TraesCS5B01G200000;TraesCS2D01G077300;TraesCS3B01G349100;TraesCS1B01G346500;TraesCS2B01G198100;TraesCS6A01G244400;TraesCS5A01G469800;TraesCS7D01G044300;TraesCS2A01G080000;TraesCS3A01G056700;TraesCS4D01G141000;TraesCS4D01G229700;TraesCS6B01G239500;TraesCS1D01G152000;TraesCS7A01G279100;TraesCS5B01G014400;TraesCS1B01G164200;TraesCS3D01G207900;TraesCS6D01G248100;TraesCS5B01G358900;TraesCS1B01G280100;TraesCS3D01G180500;TraesCS7D01G548200;TraesCS4B01G219200;TraesCS2B01G204800;TraesCS4B01G137700;TraesCS5D01G482800;TraesCS7A01G470400;TraesCS1D01G111900;TraesCS4A01G085000;TraesCS4D01G045300;TraesCS5D01G365300;TraesCS5B01G155700;TraesCS6D01G257000;TraesCS5D01G109500;TraesCS7A01G301700;TraesCS1D01G013200;TraesCS4B01G045400;TraesCS7A01G130600;TraesCS5D01G179100;TraesCS4B01G100100;TraesCS5A01G485000;TraesCS1A01G072600;TraesCS5D01G022200;TraesCS2B01G393000;TraesCS3A01G317400;TraesCSU01G076400;TraesCS1A01G298900;TraesCS3D01G290000;TraesCS7D01G278900;TraesCS3A01G175000;TraesCS2A01G155500;TraesCS5A01G425600;TraesCS1B01G229100;TraesCS3A01G505200;TraesCS1D01G368100;TraesCS4B01G052200;TraesCS5A01G463000;TraesCS1A01G269400;TraesCS5B01G156800;TraesCS5B01G498400;TraesCS7D01G510000;TraesCS1A01G192300;TraesCS2A01G384100;TraesCS2B01G350600;TraesCS5B01G102700;TraesCS4B01G306900;TraesCS1A01G251600;TraesCS5B01G530800;TraesCS3D01G056500;TraesCS3A01G337500;TraesCS1D01G002600;TraesCS4D01G125000;TraesCS4D01G360300;TraesCS1B01G158500;TraesCS4A01G072700;TraesCS5A01G424300;TraesCS6D01G039300;TraesCS5A01G096800;TraesCS1A01G153600;TraesCS4D01G219400;TraesCS4D01G098500;TraesCS4D01G132500;TraesCS7B01G372400;TraesCS1A01G005900;TraesCS5A01G534900;TraesCS1A01G215600;TraesCS1A01G005100;TraesCS4A01G407500;TraesCS5A01G356400;TraesCS2D01G392800;TraesCS2A01G174700;TraesCS6A01G353600;TraesCS4A01G216100;TraesCS5D01G163400;TraesCS4D01G176200;TraesCS2D01G226300;TraesCS3A01G252800;TraesCS5B01G427600;TraesCS1D01G198600;TraesCS5B01G316300;TraesCS5D01G182100;TraesCS3B01G288900;TraesCS5D01G432800;TraesCS1D01G073100;TraesCS5B01G073000;TraesCS6D01G226700;TraesCS2B01G180500;TraesCS1B01G308600;TraesCS6B01G280000;TraesCS6D01G335900;TraesCS3D01G252800;TraesCS6A01G266600;TraesCS1A01G015300;TraesCS2B01G223000;TraesCS6A01G210600;TraesCS2A01G220600;TraesCS4A01G174700;TraesCS1A01G363200;TraesCS5D01G475800;TraesCS4D01G176300;TraesCS4B01G142700;TraesCS4D01G044800;TraesCS1D01G108300;TraesCS5D01G215400;TraesCS4D01G300100;TraesCS7A01G520300;TraesCS7A01G561600;TraesCS2D01G224100;TraesCS4D01G305100;TraesCS4B01G367200;TraesCS7D01G457800;TraesCS7B01G299200;TraesCS6B01G386200;TraesCS3D01G253500;TraesCS1D01G144600;TraesCS5B01G175100;TraesCS1A01G295300;TraesCS3B01G284600;TraesCS2B01G201100;TraesCS4B01G101900;TraesCS6B01G294000</t>
  </si>
  <si>
    <t>peptide transport</t>
  </si>
  <si>
    <t>TraesCS4B01G100100;TraesCS1A01G045300;TraesCS1D01G046000;TraesCS1B01G058600;TraesCS4D01G096400</t>
  </si>
  <si>
    <t>response to UV-C</t>
  </si>
  <si>
    <t>TraesCS1D01G073000;TraesCS1D01G270500;TraesCS1A01G072200;TraesCS2A01G407900;TraesCS4B01G273500;TraesCS1B01G089000;TraesCS3B01G141600;TraesCS2B01G440400;TraesCS1D01G074600;TraesCS7B01G253600;TraesCS4D01G236800;TraesCS2D01G418400;TraesCS4B01G264500;TraesCS4A01G059800;TraesCS4B01G235400;TraesCS4D01G272500;TraesCS5A01G375000;TraesCS7B01G274100;TraesCS4D01G264500;TraesCS5A01G139500;TraesCS2A01G421400;TraesCS4B01G124800;TraesCS4A01G043800</t>
  </si>
  <si>
    <t>TraesCS1D01G004700;TraesCS6A01G171800;TraesCS7A01G118900;TraesCS7D01G114100;TraesCS5D01G480600;TraesCS6D01G161200;TraesCS1D01G335500;TraesCS2B01G485600;TraesCS3B01G290300;TraesCS4D01G203900;TraesCS5D01G142900;TraesCSU01G003600;TraesCS2D01G031100;TraesCS7A01G480100;TraesCS6D01G107600;TraesCS2A01G056800;TraesCS1A01G332800;TraesCS7D01G364700;TraesCS2D01G451100;TraesCS4A01G101600;TraesCS4B01G203000;TraesCS3A01G257500;TraesCS4D01G176200;TraesCS7D01G467100;TraesCS3A01G362500;TraesCS6B01G199700;TraesCS1A01G312300;TraesCS2D01G464800;TraesCS2D01G055600;TraesCS6B01G145800;TraesCS3A01G129000;TraesCS6D01G146500;TraesCS7D01G114200;TraesCS3D01G204000;TraesCS3B01G148100;TraesCS1D01G335400;TraesCS1A01G002500;TraesCS1B01G324000;TraesCS6D01G153600;TraesCS2A01G463900;TraesCS4A01G130300;TraesCS4D01G176300;TraesCS1A01G047000;TraesCS5B01G135200;TraesCS3A01G123000;TraesCS6B01G192400;TraesCS3B01G401600;TraesCS7A01G419500;TraesCS5A01G467600;TraesCS3D01G356300;TraesCS1D01G312500;TraesCS1D01G047900;TraesCS6B01G145700;TraesCS3D01G257500;TraesCS1B01G001800;TraesCS5A01G136200</t>
  </si>
  <si>
    <t>TraesCS3A01G046500;TraesCS4A01G091000;TraesCS6D01G226700;TraesCS6D01G224700;TraesCS1D01G111900;TraesCS5A01G424300;TraesCS5B01G373000;TraesCS5D01G346200;TraesCS1D01G149100;TraesCS6B01G280000;TraesCS5B01G339100;TraesCS6B01G392700;TraesCS1A01G275200;TraesCS4B01G286600;TraesCS7A01G320000;TraesCS5A01G341000;TraesCS2D01G517200;TraesCS2B01G393000;TraesCS6D01G342800;TraesCS1A01G365100;TraesCS4A01G017400;TraesCS4D01G285300;TraesCS1A01G187400;TraesCS4A01G122800;TraesCS6A01G359900;TraesCS7A01G339100;TraesCS2B01G198100;TraesCS2D01G417800;TraesCS3B01G036800;TraesCS5D01G183700;TraesCS6A01G244400;TraesCS7B01G250400;TraesCS3A01G077000;TraesCS5A01G375000;TraesCS6B01G105800;TraesCS2A01G420800;TraesCS3D01G077200;TraesCS1D01G274800;TraesCS5D01G249800;TraesCS4D01G183100;TraesCS6B01G370900;TraesCS6D01G320400;TraesCS5D01G432800;TraesCS7D01G346400</t>
  </si>
  <si>
    <t>lipid catabolic process</t>
  </si>
  <si>
    <t>TraesCS1A01G375800;TraesCS5B01G029300;TraesCS4D01G347300;TraesCS5D01G038800;TraesCS7D01G244800;TraesCS7A01G246200;TraesCS7B01G145200;TraesCS5A01G374000;TraesCS4A01G027800;TraesCS4D01G035200;TraesCS6B01G169700;TraesCS6A01G141500;TraesCS4B01G037800;TraesCS4B01G037700;TraesCS4B01G295200;TraesCS4B01G037900;TraesCS6D01G130800;TraesCS5D01G383500;TraesCS5D01G183700;TraesCS2B01G333600;TraesCS5B01G375900;TraesCS2D01G313400;TraesCS4B01G300700;TraesCS2A01G315100;TraesCS4A01G009400</t>
  </si>
  <si>
    <t>TraesCS2B01G336000;TraesCS4D01G064000;TraesCS4A01G066200;TraesCS3B01G532300;TraesCS6D01G226700;TraesCS2A01G305900;TraesCS5B01G079100;TraesCS6B01G280000;TraesCS5D01G031800;TraesCS3A01G309800;TraesCS4D01G243100;TraesCS3D01G308100;TraesCS5B01G214500;TraesCS7D01G452600;TraesCS1A01G093800;TraesCS5D01G223800;TraesCS3B01G247500;TraesCS5D01G085800;TraesCS7A01G517100;TraesCS1D01G046000;TraesCS4A01G249600;TraesCS1B01G058600;TraesCS4A01G046700;TraesCS4D01G258000;TraesCS1A01G045300;TraesCS3A01G217200;TraesCS6A01G244400;TraesCS5A01G073000;TraesCS5A01G216000;TraesCS3A01G295000;TraesCS7D01G507300;TraesCS2D01G304300;TraesCS1A01G425400;TraesCS1A01G295300;TraesCS1D01G102400;TraesCS4A01G110200;TraesCS4B01G065100;TraesCS5A01G025400</t>
  </si>
  <si>
    <t>carboxylic acid transport</t>
  </si>
  <si>
    <t>TraesCS2B01G208900;TraesCS1D01G398400;TraesCS6D01G393600;TraesCS5B01G482400;TraesCS7A01G246700;TraesCS7D01G392800;TraesCS1B01G456700;TraesCS1A01G178700;TraesCS3A01G437000;TraesCS1A01G275200;TraesCS4D01G096400;TraesCS4D01G015000;TraesCS3B01G361500;TraesCS4D01G285800;TraesCS5D01G207400;TraesCS7B01G259000;TraesCS3D01G072000;TraesCS5D01G169300;TraesCS5B01G200000;TraesCS2D01G077300;TraesCS3B01G108000;TraesCS3D01G139300;TraesCS5A01G469800;TraesCS4B01G237300;TraesCS2A01G080000;TraesCS7A01G110500;TraesCS1D01G177000;TraesCS3B01G156600;TraesCS1A01G389500;TraesCS2B01G174500;TraesCS7D01G548200;TraesCS3B01G471300;TraesCS4A01G297000;TraesCS7B01G008400;TraesCS5D01G482800;TraesCS7A01G470400;TraesCS4D01G045300;TraesCS7A01G412400;TraesCS7B01G272900;TraesCS1B01G201800;TraesCS4B01G045400;TraesCS7A01G264500;TraesCS4B01G100100;TraesCS5D01G244800;TraesCS7D01G368000;TraesCS1D01G119500;TraesCS2A01G155500;TraesCS2D01G428000;TraesCS4D01G015100;TraesCS1B01G229100;TraesCS6A01G116000;TraesCS7A01G469200;TraesCS2B01G271700;TraesCS5A01G455100;TraesCS7A01G369500;TraesCS2A01G384100;TraesCS5B01G236900;TraesCS2D01G598500;TraesCS6D01G104800;TraesCS1D01G274800;TraesCS5A01G237900;TraesCS4A01G001400;TraesCS4A01G043800;TraesCS6A01G226200;TraesCS4A01G035400;TraesCS7D01G353800;TraesCS4D01G238600;TraesCS6D01G039300;TraesCS6A01G216800;TraesCS5B01G214500;TraesCS5D01G223800;TraesCS4D01G264500;TraesCS7B01G370900;TraesCS7B01G372400;TraesCS2A01G430400;TraesCS4B01G228600;TraesCS2D01G285300;TraesCS1A01G215600;TraesCS4A01G017000;TraesCS7D01G245500;TraesCS2D01G392800;TraesCS4A01G216100;TraesCS5D01G183700;TraesCS5A01G216000;TraesCS7B01G316600;TraesCS7D01G409700;TraesCS4D01G001200;TraesCS5D01G465500;TraesCS5B01G463900;TraesCS6D01G198700;TraesCS2B01G336000;TraesCS7A01G416400;TraesCS1D01G073100;TraesCS2B01G180500;TraesCS3B01G310500;TraesCS6B01G246000;TraesCS7B01G369900;TraesCS2B01G605800;TraesCS7D01G456700;TraesCS6B01G255400;TraesCS3D01G104200;TraesCS5B01G502200;TraesCS7A01G561600;TraesCS5B01G392400;TraesCS7D01G457800;TraesCS3D01G276600;TraesCS7B01G299200;TraesCS7B01G144600;TraesCS3A01G276500;TraesCS7D01G455900;TraesCS1A01G295300;TraesCS4B01G287100</t>
  </si>
  <si>
    <t>response to hormone</t>
  </si>
  <si>
    <t>response to endogenous stimulus</t>
  </si>
  <si>
    <t>TraesCS4B01G045400;TraesCS7B01G299200;TraesCS5D01G244800;TraesCS3A01G299000;TraesCS7D01G392800;TraesCS4D01G045300;TraesCS5A01G237900</t>
  </si>
  <si>
    <t>ER-nucleus signaling pathway</t>
  </si>
  <si>
    <t>TraesCS2B01G174500;TraesCS7D01G229100;TraesCS6A01G278000;TraesCS7D01G353800;TraesCS5D01G346200;TraesCS6D01G257000;TraesCS5B01G339100;TraesCS7B01G194200;TraesCS2A01G121200;TraesCS5D01G244800;TraesCS1B01G219300;TraesCS5A01G341000;TraesCS4A01G174700;TraesCS2D01G123300;TraesCS4B01G142700;TraesCS5D01G207400;TraesCS4D01G289900;TraesCS7B01G259000;TraesCS5B01G307300;TraesCS6D01G258600;TraesCS7D01G146400;TraesCS6A01G246400;TraesCS5B01G200000;TraesCS6B01G306300;TraesCS1D01G074400;TraesCS7A01G369500;TraesCS1A01G205800;TraesCS3A01G299000;TraesCS4D01G141000;TraesCS6A01G383800;TraesCS6D01G368800;TraesCS5A01G237900</t>
  </si>
  <si>
    <t>TraesCS1D01G004700;TraesCS6A01G171800;TraesCS7A01G118900;TraesCS7D01G114100;TraesCS5D01G480600;TraesCS6D01G161200;TraesCS1D01G335500;TraesCS2B01G485600;TraesCS3B01G290300;TraesCS4D01G203900;TraesCS5D01G142900;TraesCSU01G003600;TraesCS2D01G031100;TraesCS7A01G480100;TraesCS6D01G107600;TraesCS2A01G056800;TraesCS1A01G332800;TraesCS7D01G364700;TraesCS2D01G182100;TraesCS2D01G451100;TraesCS4A01G101600;TraesCS4B01G203000;TraesCS2A01G174700;TraesCS3A01G257500;TraesCS4D01G176200;TraesCS7D01G467100;TraesCS3A01G362500;TraesCS6B01G199700;TraesCS1A01G312300;TraesCS2D01G464800;TraesCS2D01G055600;TraesCS6B01G145800;TraesCS3A01G129000;TraesCS1A01G253600;TraesCS6D01G146500;TraesCS7D01G114200;TraesCS3D01G204000;TraesCS3B01G148100;TraesCS1D01G335400;TraesCS1A01G002500;TraesCS1B01G324000;TraesCS6D01G153600;TraesCS2A01G463900;TraesCS4A01G130300;TraesCS4D01G176300;TraesCS1A01G047000;TraesCS5B01G135200;TraesCS1B01G264600;TraesCS3A01G123000;TraesCS6B01G192400;TraesCS3B01G401600;TraesCS7A01G419500;TraesCS5A01G467600;TraesCS1D01G253200;TraesCS3D01G356300;TraesCS1D01G312500;TraesCS1D01G047900;TraesCS6B01G145700;TraesCS3D01G257500;TraesCS1B01G001800;TraesCS2B01G201100;TraesCS5A01G136200</t>
  </si>
  <si>
    <t>TraesCS6A01G177700;TraesCS6B01G309400;TraesCS1A01G413400;TraesCS1B01G383400;TraesCS6A01G240700;TraesCS5D01G277500;TraesCS1A01G275200;TraesCS7B01G225500;TraesCS4B01G037800;TraesCS1A01G406200;TraesCS7B01G347000;TraesCS6D01G258300;TraesCS7A01G419200;TraesCS3D01G267000;TraesCS4D01G069300;TraesCS7A01G339100;TraesCS2B01G198100;TraesCS3B01G036800;TraesCS6A01G244400;TraesCS2A01G136100;TraesCS2D01G117100;TraesCS4B01G157800;TraesCS4A01G244500;TraesCS4B01G070500;TraesCS1B01G269500;TraesCS1A01G381500;TraesCS7B01G092200;TraesCS6B01G422900;TraesCS7D01G346400;TraesCS1D01G216200;TraesCS3A01G258100;TraesCS4A01G091000;TraesCS2D01G137500;TraesCS4D01G196500;TraesCS1D01G111900;TraesCS1B01G333800;TraesCS6D01G239700;TraesCS6D01G369400;TraesCS4B01G100100;TraesCS2A01G285900;TraesCS5B01G233800;TraesCS6D01G252900;TraesCS2B01G393000;TraesCS6D01G342800;TraesCS7D01G303000;TraesCS7B01G225600;TraesCS3B01G036100;TraesCS2A01G396200;TraesCS7A01G306300;TraesCS4B01G037900;TraesCS7A01G113600;TraesCS6D01G311400;TraesCS2B01G271700;TraesCS4A01G251600;TraesCS2B01G333600;TraesCS1D01G389300;TraesCS7B01G226800;TraesCS7A01G101500;TraesCS1A01G213400;TraesCS3A01G507500;TraesCS6B01G370900;TraesCS4B01G225500;TraesCS7D01G449700;TraesCS3A01G170000;TraesCS3B01G203700;TraesCS7B01G364900;TraesCS3D01G308100;TraesCS7D01G322900;TraesCS3D01G171800;TraesCS4D01G035200;TraesCS7A01G406100;TraesCS1D01G420900;TraesCS7B01G372400;TraesCS7A01G186900;TraesCS7B01G206500;TraesCS4B01G062800;TraesCS4B01G222100;TraesCS2B01G339600;TraesCS1D01G414600;TraesCS5A01G337100;TraesCS4A01G216100;TraesCS1A01G357300;TraesCS5D01G183700;TraesCS6A01G311000;TraesCS1D01G370600;TraesCS7D01G228700;TraesCS7A01G344600;TraesCS5D01G249800;TraesCS7A01G464400;TraesCS7D01G334900;TraesCS5A01G235400;TraesCS6D01G226700;TraesCS6B01G280000;TraesCS2D01G284700;TraesCS5B01G241100;TraesCS5B01G339100;TraesCS3B01G300300;TraesCS6B01G207000;TraesCS2B01G303200;TraesCS6A01G223900;TraesCS6B01G423900;TraesCS3A01G229700;TraesCS1B01G316500;TraesCS1A01G305800;TraesCS3B01G506700;TraesCS6D01G166600;TraesCS7D01G488800;TraesCS3B01G275500;TraesCS4A01G073900;TraesCS4A01G331900;TraesCS7B01G250400;TraesCS3A01G219800;TraesCS3D01G033200;TraesCS3A01G077000;TraesCS1D01G081100;TraesCS2A01G187900;TraesCS4D01G183100;TraesCS3A01G222400;TraesCS3D01G258000;TraesCS7A01G187000;TraesCS4A01G068400;TraesCS2A01G135300;TraesCS6D01G224700;TraesCS5B01G373000;TraesCS5D01G346200;TraesCS1D01G149100;TraesCS1D01G258900;TraesCS4A01G080400;TraesCS1D01G361000;TraesCS6A01G306800;TraesCS5A01G341000;TraesCS5D01G540800;TraesCS4D01G096400;TraesCS3D01G179200;TraesCS4D01G258000;TraesCS2B01G318600;TraesCS3B01G361100;TraesCS4A01G122800;TraesCS6A01G359900;TraesCS3D01G324400;TraesCS7B01G254900;TraesCS7D01G350500;TraesCS4D01G221300;TraesCS1B01G382600;TraesCS2D01G279500;TraesCS2A01G420800;TraesCS4D01G296400;TraesCS3D01G077200;TraesCS4D01G059100;TraesCS3A01G266800;TraesCS6D01G320400;TraesCS3A01G046500;TraesCS4D01G041100;TraesCS4B01G137700;TraesCS6A01G280100;TraesCS7A01G470400;TraesCS4A01G167700;TraesCS7D01G351000;TraesCS7A01G412400;TraesCS4B01G059400;TraesCS6A01G242700;TraesCS1B01G241100;TraesCS1B01G373100;TraesCS2B01G414500;TraesCS6B01G281800;TraesCS7B01G362900;TraesCS4B01G286600;TraesCS1B01G404000;TraesCS1B01G411900;TraesCS2D01G517200;TraesCS6B01G335400;TraesCS6A01G258500;TraesCS5A01G269300;TraesCS6A01G277800;TraesCS4D01G222600;TraesCS4D01G147400;TraesCS4D01G285300;TraesCS1A01G187400;TraesCS6A01G116000;TraesCS7B01G277900;TraesCS2D01G417800;TraesCS7D01G321500;TraesCS5A01G455100;TraesCS5A01G375000;TraesCS4B01G258200;TraesCS1B01G447900;TraesCS3D01G230200;TraesCS6D01G104800;TraesCS1D01G274800;TraesCS4A01G009400;TraesCS6A01G272900;TraesCS6D01G358000;TraesCS7A01G225800;TraesCS7D01G359100;TraesCS1A01G417800;TraesCS6A01G280000;TraesCS5A01G424300;TraesCS6D01G290400;TraesCS2B01G439900;TraesCS6D01G260200;TraesCS7A01G320000;TraesCS4D01G132500;TraesCS7A01G461500;TraesCS7A01G364100;TraesCS1B01G226800;TraesCS1D01G321300;TraesCS7D01G188100;TraesCS2A01G302700;TraesCS3A01G173000;TraesCS3B01G357200;TraesCS4A01G046700;TraesCS4A01G017400;TraesCS4B01G194900;TraesCS7D01G077600;TraesCS1D01G425400;TraesCS1D01G189300;TraesCS3B01G575600;TraesCS5B01G244300;TraesCS6A01G073300;TraesCS4A01G081700;TraesCS6B01G280300;TraesCS5D01G465500;TraesCS5B01G463900;TraesCS1A01G385500;TraesCS5D01G432800;TraesCS3D01G514900;TraesCS7D01G412000;TraesCS6D01G226300;TraesCS2D01G393900;TraesCS4A01G255600;TraesCS2D01G137700;TraesCS4B01G099700;TraesCS6B01G392700;TraesCS3A01G141100;TraesCS7A01G326200;TraesCS7D01G171000;TraesCS3B01G585400;TraesCS1A01G365100;TraesCS5A01G454500;TraesCSU01G095400;TraesCS2A01G046100;TraesCS3A01G097900;TraesCS6B01G098300;TraesCS1A01G259000;TraesCS4D01G195600;TraesCS3A01G477100;TraesCS4A01G109300;TraesCS4D01G300100;TraesCS2D01G138800;TraesCS7D01G188000;TraesCS7D01G457800;TraesCS3A01G295000;TraesCS4D01G223900;TraesCS6B01G105800;TraesCS2D01G199700;TraesCS4A01G221500;TraesCS2B01G302400;TraesCS7A01G325000;TraesCS3D01G033600</t>
  </si>
  <si>
    <t>TraesCS1A01G215600;TraesCS1B01G229100;TraesCS6A01G116000;TraesCS1B01G048300;TraesCS5B01G468400;TraesCS2D01G392800;TraesCS4A01G216100;TraesCS4D01G045300;TraesCS5D01G163400;TraesCS6D01G039300;TraesCS1B01G048500;TraesCS5B01G155700;TraesCS1D01G039500;TraesCS2B01G605800;TraesCS1B01G250600;TraesCS4B01G045400;TraesCS7A01G264500;TraesCS2A01G384100;TraesCS2A01G389900;TraesCS4B01G100100;TraesCS6D01G104800;TraesCS1A01G295300;TraesCS1D01G238900;TraesCS4D01G096400</t>
  </si>
  <si>
    <t>benzene-containing compound metabolic process</t>
  </si>
  <si>
    <t>TraesCS7A01G167300;TraesCS7D01G167900;TraesCS3A01G110300;TraesCS6D01G258300;TraesCS5A01G269300;TraesCS5A01G320600;TraesCS5D01G277500;TraesCS6A01G277800;TraesCS3B01G013200</t>
  </si>
  <si>
    <t>TraesCS2D01G538400;TraesCS3B01G490000;TraesCS1A01G218400;TraesCS5D01G359000;TraesCS2D01G022300;TraesCS5D01G038000;TraesCS6D01G358600;TraesCS7D01G092900;TraesCS1B01G454000;TraesCS3B01G295000;TraesCS7B01G473700;TraesCS2A01G389900;TraesCS3B01G455000;TraesCS4D01G207500;TraesCS6A01G124500;TraesCS7A01G163300;TraesCS6B01G052400;TraesCS2D01G479100;TraesCS2B01G236800;TraesCS7D01G318600;TraesCS2D01G079200;TraesCS2A01G190200;TraesCS5D01G383100;TraesCS4B01G157800;TraesCS3B01G485900;TraesCS5B01G104500;TraesCS7A01G476700;TraesCS2B01G350500;TraesCS3A01G276200;TraesCS3D01G049000;TraesCS3D01G278000;TraesCS2D01G380500;TraesCS3A01G033000;TraesCS6D01G360900;TraesCS7B01G245800;TraesCS3A01G342000;TraesCS2D01G219800;TraesCS6B01G225700;TraesCS5B01G526200;TraesCS6A01G052100;TraesCS4B01G376800;TraesCS5A01G447200;TraesCS5A01G350800;TraesCS2A01G170600;TraesCS2D01G255700;TraesCS2D01G297300;TraesCS4B01G054900;TraesCS3D01G351600;TraesCS2A01G467700;TraesCS1A01G367200;TraesCS2D01G264400;TraesCS2A01G182800;TraesCS2A01G216700;TraesCS3D01G234400;TraesCS5B01G135200;TraesCS2A01G537900;TraesCS7D01G444700;TraesCS3B01G126400;TraesCS2B01G477600;TraesCS2D01G506600;TraesCS1D01G074500;TraesCS7B01G047300;TraesCS3D01G270300;TraesCS3A01G274000;TraesCS3A01G163300;TraesCS5B01G371800;TraesCS4B01G306900;TraesCS6B01G145700;TraesCS3D01G316400;TraesCS1A01G343000;TraesCS1D01G100900;TraesCS1A01G184500;TraesCS3A01G344400;TraesCS1A01G243400;TraesCS3A01G048700;TraesCS7B01G239300;TraesCS3A01G107600;TraesCS1B01G385100;TraesCS4A01G089700;TraesCS1B01G158500;TraesCS2A01G479900;TraesCS3A01G034300;TraesCS4B01G238700;TraesCS5D01G328300;TraesCS6A01G078700;TraesCS3B01G113500;TraesCS5B01G183500;TraesCS2D01G537100;TraesCS5D01G387900;TraesCS2D01G226300;TraesCS5B01G146100;TraesCS1D01G439400;TraesCS7B01G356500;TraesCS3B01G353000;TraesCS2A01G384000;TraesCS5D01G524800;TraesCS3B01G049700;TraesCS3B01G196900;TraesCS1A01G182300;TraesCS5A01G197200;TraesCS4A01G062000;TraesCS7B01G415400;TraesCS2B01G180500;TraesCS1D01G335400;TraesCS6A01G377700;TraesCS2B01G605800;TraesCS6A01G000500;TraesCS7B01G311600;TraesCS2B01G437300;TraesCS4B01G106000;TraesCS5B01G526000;TraesCS7D01G087100;TraesCS3B01G306400;TraesCS3D01G030600;TraesCS6A01G250800;TraesCS2B01G097300;TraesCS4B01G047100;TraesCS1A01G367000;TraesCS5A01G322300;TraesCS3A01G357700;TraesCS2A01G216500;TraesCS7D01G165300;TraesCS3A01G045200;TraesCS3B01G390400;TraesCS1B01G231900;TraesCS2D01G415700;TraesCS3B01G401600;TraesCS5D01G181500;TraesCS6A01G225400;TraesCS2A01G418300;TraesCS6B01G020800;TraesCS1B01G162400;TraesCS7A01G455800;TraesCS3A01G310400;TraesCS2D01G057600;TraesCS1D01G146900;TraesCS1D01G345200;TraesCS5B01G184600;TraesCS6D01G211900;TraesCS6A01G140800;TraesCS1D01G243400;TraesCS1D01G163400;TraesCS1D01G218200;TraesCS2D01G097700;TraesCS7A01G118900;TraesCS5B01G188600;TraesCS7A01G435300;TraesCS5D01G328100;TraesCS2B01G537800;TraesCS2D01G223000;TraesCS3A01G272900;TraesCS2B01G485600;TraesCS3B01G289400;TraesCS6D01G157900;TraesCS2B01G053300;TraesCS7A01G480100;TraesCS7A01G031700;TraesCS2D01G364400;TraesCS3A01G152200;TraesCS2D01G216700;TraesCS3D01G104100;TraesCS3A01G257500;TraesCS1B01G384900;TraesCS5A01G370800;TraesCS2A01G525300;TraesCS3B01G307700;TraesCS1B01G091900;TraesCS6B01G051700;TraesCS2D01G537700;TraesCS7D01G495700;TraesCS4A01G414700;TraesCS4D01G261400;TraesCS3A01G256200;TraesCS5A01G401400;TraesCS5B01G501300;TraesCS7D01G097500;TraesCS2B01G242200;TraesCS1D01G419400;TraesCS6A01G178500;TraesCS7D01G324900;TraesCS3A01G280500;TraesCS4A01G098600;TraesCS3D01G256400;TraesCS2B01G001400;TraesCS6B01G163100;TraesCS2B01G097100;TraesCS7A01G333500;TraesCS7A01G167300;TraesCS2B01G045700;TraesCS1A01G080500;TraesCS1A01G330500;TraesCS5D01G104900;TraesCS3A01G290300;TraesCS7B01G309900;TraesCS6B01G300900;TraesCS2B01G536500;TraesCS5B01G028700;TraesCS6D01G122100;TraesCS7A01G264400;TraesCS1D01G372600;TraesCS5A01G294600;TraesCSU01G111800;TraesCS1B01G382500;TraesCS3D01G257500;TraesCS5D01G063800;TraesCS4B01G174300;TraesCS6B01G204600;TraesCS7B01G260800;TraesCS2B01G096000;TraesCS5B01G538800;TraesCS6B01G412500;TraesCS7D01G248200;TraesCS2B01G124100;TraesCS1A01G304200;TraesCS1A01G430100;TraesCS7B01G107300;TraesCS7B01G069100;TraesCS5B01G247700;TraesCS2A01G493800;TraesCS5B01G152600;TraesCS6A01G155200;TraesCS5A01G297900;TraesCS3D01G290100;TraesCS1D01G379000;TraesCS3B01G153800;TraesCS3A01G261800;TraesCS3A01G355700;TraesCS4A01G029800;TraesCS7B01G395000;TraesCS7D01G335800;TraesCS1A01G372400;TraesCS5B01G363800;TraesCS5D01G312800;TraesCSU01G238700;TraesCS3A01G224400;TraesCS6B01G199700;TraesCS1B01G376000;TraesCS7D01G176000;TraesCS5B01G316300;TraesCS6D01G110100;TraesCS7A01G242800;TraesCS2D01G491600;TraesCS3B01G291900;TraesCS3A01G129000;TraesCS7D01G065500;TraesCS1D01G236900;TraesCS4D01G059300;TraesCS6D01G146500;TraesCS2A01G211200;TraesCS1D01G140300;TraesCS4B01G315400;TraesCS2A01G431100;TraesCS5A01G426500;TraesCS1A01G411600;TraesCS2A01G040900;TraesCS5B01G540900;TraesCS1B01G356200;TraesCS6B01G205900;TraesCS5D01G190600;TraesCS5D01G509800;TraesCS2B01G070900;TraesCS4B01G201600;TraesCS4D01G176300;TraesCS5A01G205500;TraesCS3D01G261800;TraesCS5B01G204900;TraesCS7D01G146400;TraesCS1D01G372400;TraesCS4D01G305100;TraesCS5A01G016200;TraesCS6B01G256200;TraesCS2D01G117200;TraesCS3B01G473100;TraesCS1B01G001800;TraesCS5B01G538600;TraesCS2B01G394700;TraesCS7D01G355100;TraesCS7D01G086900;TraesCS2B01G208900;TraesCS2A01G343100;TraesCS7D01G114100;TraesCS7D01G449500;TraesCS6A01G241000;TraesCS2D01G582800;TraesCS2A01G049700;TraesCS2B01G101300;TraesCS6B01G471400;TraesCS1B01G167700;TraesCS3B01G600300;TraesCS1D01G082600;TraesCS2B01G060900;TraesCS7B01G225500;TraesCS2A01G538200;TraesCS5B01G384300;TraesCS5D01G475900;TraesCS7A01G249400;TraesCS7D01G356200;TraesCS6D01G166100;TraesCS7D01G085800;TraesCS6A01G336600;TraesCS6B01G415700;TraesCS6D01G195900;TraesCS6A01G378000;TraesCS2D01G451100;TraesCS2D01G222300;TraesCS4B01G203000;TraesCS4D01G340500;TraesCS2A01G199700;TraesCS5D01G380500;TraesCS1A01G016100;TraesCS1D01G364000;TraesCS5D01G358600;TraesCS4B01G162700;TraesCS5D01G048600;TraesCS1D01G381800;TraesCS1A01G259500;TraesCS6B01G412400;TraesCS2D01G509300;TraesCS4A01G010000;TraesCS5B01G375600;TraesCS4A01G255400;TraesCS6D01G257000;TraesCS4D01G238900;TraesCS4D01G293200;TraesCS3B01G348200;TraesCS2D01G463100;TraesCS2A01G509900;TraesCS1B01G119600;TraesCS2D01G467700;TraesCS2B01G324900;TraesCS1A01G273600;TraesCS2A01G463900;TraesCS5D01G022200;TraesCS7A01G213000;TraesCS6A01G258900;TraesCS6B01G413500;TraesCS6D01G359100;TraesCS2A01G371600;TraesCS7A01G343800;TraesCS5D01G163500;TraesCS3A01G477300;TraesCS3D01G049700;TraesCS5D01G519800;TraesCS3D01G335700;TraesCS4B01G287300;TraesCS5A01G429000;TraesCS7A01G091400;TraesCS2D01G112700;TraesCS3B01G119600;TraesCS2A01G106500;TraesCS1A01G079700;TraesCS2D01G485300;TraesCS4D01G360300;TraesCS7D01G506300;TraesCS4A01G402100;TraesCS5A01G030000;TraesCS6D01G056600;TraesCS4B01G345400;TraesCS3A01G230900;TraesCS2A01G083300;TraesCS5A01G376700;TraesCSU01G003600;TraesCS1A01G342600;TraesCS3D01G441900;TraesCS1B01G347100;TraesCS6D01G210100;TraesCS3B01G325100;TraesCS5B01G428400;TraesCS3A01G317700;TraesCS5D01G059300;TraesCS1A01G332800;TraesCS4A01G396700;TraesCS7D01G085600;TraesCS7A01G226500;TraesCS2D01G107100;TraesCSU01G016900;TraesCS1D01G372900;TraesCS2D01G455900;TraesCS2D01G577000;TraesCS3A01G064400;TraesCS4D01G126900;TraesCS3A01G362500;TraesCS3B01G166600;TraesCS3B01G288100;TraesCS7D01G300200;TraesCS3D01G220900;TraesCS1A01G048100;TraesCS5D01G390500;TraesCS3A01G122300;TraesCS5B01G327800;TraesCS1D01G052000;TraesCS3D01G172200;TraesCS6D01G105000;TraesCS1B01G324000;TraesCSU01G047400;TraesCS7D01G265400;TraesCS4A01G323500;TraesCS4D01G352700;TraesCS3D01G345700;TraesCS1A01G047000;TraesCS1A01G080700;TraesCS6A01G277600;TraesCS6B01G381300;TraesCS2B01G035300;TraesCS3D01G219900;TraesCS1D01G076200;TraesCS5B01G208300;TraesCS2B01G100200;TraesCS4B01G367200;TraesCS6B01G152700;TraesCS7A01G321600;TraesCS7D01G451300;TraesCS1B01G269800;TraesCS6A01G301300;TraesCS1D01G047900;TraesCS6B01G059800;TraesCS6D01G158300;TraesCS4D01G089300;TraesCS5D01G069700;TraesCS2A01G112300;TraesCS5B01G520600;TraesCS5D01G514500;TraesCS1D01G335500;TraesCS5B01G474500;TraesCS1A01G296300;TraesCS2B01G240800;TraesCS1D01G239700;TraesCS2B01G246100;TraesCS6A01G327500;TraesCS1D01G082200;TraesCS7B01G301400;TraesCS7D01G463300;TraesCS1D01G032600;TraesCS2D01G222700;TraesCS2D01G564300;TraesCS5A01G152800;TraesCS3D01G244500;TraesCS7D01G175900;TraesCS3D01G324400;TraesCS4A01G384500;TraesCS5B01G225200;TraesCS6A01G375800;TraesCS3D01G272300;TraesCS2D01G528200;TraesCS1B01G109400;TraesCS2B01G241900;TraesCS2D01G464800;TraesCS4B01G132000;TraesCS5D01G455900;TraesCS6D01G328800;TraesCS7B01G079400;TraesCS4B01G216700;TraesCS6D01G335300;TraesCS7D01G357100;TraesCS5B01G056700;TraesCS1A01G073300;TraesCS1B01G385200;TraesCS4B01G055600;TraesCS5A01G373600;TraesCS1B01G251700;TraesCS7A01G131300;TraesCS3A01G439200;TraesCS7A01G412400;TraesCS1B01G375400;TraesCS3A01G357100;TraesCS3B01G352300;TraesCS2B01G539200;TraesCS4D01G312400;TraesCS5D01G370100;TraesCS2A01G182400;TraesCS3D01G315700;TraesCS4A01G071800;TraesCS3D01G349700;TraesCS1B01G157700;TraesCS1D01G259300;TraesCS3D01G542300;TraesCS2D01G098200;TraesCS6B01G069800;TraesCS7B01G167100;TraesCS5A01G222300;TraesCS2A01G150600;TraesCS5D01G195700;TraesCS4A01G171500;TraesCS5A01G048600;TraesCS4A01G211600;TraesCS3D01G262300;TraesCS5D01G212900;TraesCS7A01G384500;TraesCS6D01G362500;TraesCS3D01G319000;TraesCS6D01G316600;TraesCS3D01G273200;TraesCS2A01G117800;TraesCS2D01G190200;TraesCS5D01G158100;TraesCS6D01G107600;TraesCS2A01G209900;TraesCS7D01G364700;TraesCS5A01G173300;TraesCS7D01G167900;TraesCS7D01G444400;TraesCS2A01G023900;TraesCS4D01G229100;TraesCS7D01G037700;TraesCS3D01G230300;TraesCS5A01G463100;TraesCS5D01G070900;TraesCS1D01G359900;TraesCS2D01G227300;TraesCS1A01G066800;TraesCS5A01G185500;TraesCS3A01G419600;TraesCS6D01G050900;TraesCS5A01G514500;TraesCS3B01G410000;TraesCS3B01G376300;TraesCS5A01G210300;TraesCS6D01G047500;TraesCS3D01G182600;TraesCS3D01G337900;TraesCS1D01G073100;TraesCS6D01G381200;TraesCS3B01G253900;TraesCS1D01G333500;TraesCS2D01G509500;TraesCS2B01G401300;TraesCS3B01G295500;TraesCS3D01G136300;TraesCS7D01G130600;TraesCS3B01G053800;TraesCS6A01G374700;TraesCS2B01G187300;TraesCS3A01G034600;TraesCS2A01G033700;TraesCS6D01G115200;TraesCS4D01G220500;TraesCS2D01G178100;TraesCS5B01G437300;TraesCS7D01G203800;TraesCS1B01G157900;TraesCS7D01G341800;TraesCS3A01G123000;TraesCS4B01G054700;TraesCS4D01G325500;TraesCS4B01G205400;TraesCS2A01G008300;TraesCS7D01G048600;TraesCS7A01G091200;TraesCS7D01G128300;TraesCS1A01G429800;TraesCS4D01G267800;TraesCS2B01G071200;TraesCS6A01G211400;TraesCS3B01G374100;TraesCS1B01G204700;TraesCS2A01G030200;TraesCS3B01G280000;TraesCS1D01G295800;TraesCS3D01G535700;TraesCS7B01G325900;TraesCS3A01G493100;TraesCS1D01G220000;TraesCS2B01G197000;TraesCS6D01G161200;TraesCS6B01G305600;TraesCS7A01G127100;TraesCS2A01G056800;TraesCS3A01G097800;TraesCS1D01G005400;TraesCS4A01G101600;TraesCS3A01G255600;TraesCS7D01G136700;TraesCS1B01G254900;TraesCS2A01G418200;TraesCS5D01G031500;TraesCS6A01G225300;TraesCS2A01G455600;TraesCS5B01G151600;TraesCS2D01G549400;TraesCS2B01G243000;TraesCS4B01G181800;TraesCS6D01G240100;TraesCS5D01G021700;TraesCS3B01G194400;TraesCS2D01G217500;TraesCS5D01G478700;TraesCS1A01G002500;TraesCS5D01G374300;TraesCS2A01G503800;TraesCS1A01G424200;TraesCS6D01G153600;TraesCS2B01G489700;TraesCS5A01G062600;TraesCS3D01G290000;TraesCS2B01G236900;TraesCS3D01G209100;TraesCS6B01G006600;TraesCSU01G008300;TraesCS3B01G206500;TraesCS2D01G321400;TraesCS1B01G157300;TraesCS3B01G311900;TraesCS2D01G504300;TraesCS2B01G271700;TraesCS6D01G246900;TraesCS7B01G255500;TraesCS2A01G384100;TraesCS2B01G350600;TraesCS2D01G197600;TraesCS1D01G259700;TraesCS7B01G356400;TraesCS5B01G530800;TraesCS4D01G206300;TraesCS3A01G096500;TraesCS2D01G219900;TraesCS5A01G315700;TraesCS1D01G346200;TraesCS5B01G381500;TraesCS6B01G225800;TraesCS7B01G287100;TraesCS1D01G134600;TraesCS2B01G365900;TraesCS7D01G030100;TraesCS3D01G472000;TraesCS5D01G480600;TraesCS2B01G437200;TraesCS4D01G215200;TraesCS3D01G500800;TraesCS2D01G031100;TraesCS3D01G036000;TraesCS5A01G085900;TraesCS6A01G268000;TraesCS1A01G367100;TraesCS7D01G366600;TraesCS5B01G380400;TraesCS1D01G303700;TraesCS2D01G562200;TraesCS2A01G346000;TraesCS2D01G415600;TraesCS3A01G232300;TraesCS7D01G316100;TraesCS1D01G037200;TraesCS1D01G123700;TraesCS6B01G197000;TraesCS2D01G428900;TraesCS3D01G316700;TraesCS5A01G369500;TraesCS3B01G158300;TraesCS4B01G214600;TraesCS1B01G089100;TraesCS3D01G178300;TraesCS5B01G138400;TraesCS1B01G385000;TraesCS3D01G048000;TraesCS3D01G136700;TraesCS1B01G217500;TraesCS1B01G198700;TraesCS4D01G184200;TraesCS7D01G395100;TraesCS1D01G273800;TraesCS1A01G344000;TraesCS3D01G053600;TraesCS1D01G301300;TraesCS6A01G204600;TraesCS2D01G344700;TraesCS6B01G153000;TraesCS4B01G261800;TraesCS6A01G135100;TraesCS3A01G266300;TraesCS6D01G383900;TraesCS4D01G055000;TraesCS1D01G439300;TraesCS6D01G360800;TraesCS7D01G124900;TraesCS5B01G572600;TraesCS1D01G004700;TraesCS2B01G044700;TraesCS3A01G256300;TraesCS3D01G046000;TraesCS1D01G140400;TraesCS7A01G231600;TraesCS2A01G505800;TraesCS3B01G321100;TraesCS5B01G321800;TraesCS6A01G132400;TraesCS3B01G306500;TraesCS3D01G256500;TraesCS1A01G141300;TraesCS2D01G572600;TraesCS1B01G447200;TraesCS1B01G392400;TraesCS1A01G080600;TraesCS2B01G532000;TraesCS2B01G536600;TraesCS5A01G186000;TraesCS7D01G467100;TraesCS1D01G372700;TraesCS6D01G145100;TraesCS1B01G441900;TraesCS1A01G259900;TraesCS5D01G434500;TraesCS1A01G213900;TraesCS2D01G493700;TraesCS5B01G014400;TraesCS4B01G174200;TraesCS3A01G323800;TraesCS7B01G031900;TraesCS4A01G207800;TraesCS5D01G216400;TraesCS1D01G013200;TraesCS1A01G122800;TraesCS5D01G357800;TraesCS2B01G114000;TraesCS2A01G255300;TraesCS3B01G304300;TraesCS4A01G130300;TraesCS6A01G124800;TraesCS2A01G155500;TraesCS6D01G363200;TraesCS3B01G141500;TraesCS6A01G266900;TraesCS7D01G321500;TraesCS5D01G157900;TraesCS7B01G333700;TraesCS7D01G380900;TraesCS1B01G311400;TraesCS3A01G050300;TraesCS5D01G321800;TraesCS3D01G104000;TraesCS5A01G380700;TraesCS7B01G356800;TraesCS5A01G321300;TraesCS6A01G171800;TraesCS2B01G130900;TraesCS2A01G211300;TraesCS1D01G130400;TraesCS2A01G250900;TraesCS5B01G428000;TraesCS5A01G206700;TraesCS7D01G261300;TraesCS1B01G356100;TraesCS7D01G041400;TraesCS1A01G070600;TraesCS1B01G314700;TraesCS2B01G175800;TraesCS5A01G534900;TraesCS6A01G311400;TraesCS1D01G185500;TraesCS1A01G049600;TraesCS6D01G122200;TraesCS5D01G329100;TraesCS4B01G220200;TraesCS3A01G049500;TraesCS1D01G372500;TraesCS2A01G081400;TraesCS3B01G038900;TraesCS4D01G176200;TraesCS6B01G256300;TraesCS7D01G430800;TraesCS6B01G145800;TraesCS3D01G317400;TraesCS4A01G102900;TraesCS5B01G184100;TraesCS5B01G188700;TraesCS1A01G430000;TraesCS7D01G248100;TraesCS3A01G101800;TraesCS3B01G148100;TraesCS3D01G048400;TraesCS2A01G548300;TraesCS3A01G272800;TraesCS1A01G342900;TraesCS6B01G238900;TraesCS6B01G385500;TraesCS3B01G524400;TraesCS6D01G191500;TraesCS3A01G261700;TraesCS3B01G289500;TraesCS3A01G217900;TraesCS4A01G098900;TraesCS6D01G307100;TraesCS2B01G452400;TraesCS1A01G215900;TraesCS2B01G511300;TraesCS7B01G271600;TraesCS1D01G338400;TraesCS5D01G111500;TraesCS5A01G321500;TraesCS7A01G053400;TraesCS5D01G281200;TraesCS7B01G228900;TraesCS4D01G202300;TraesCS5D01G210800;TraesCS4B01G059700;TraesCS4D01G316500;TraesCS3A01G285700;TraesCS2A01G217200;TraesCS3A01G101700;TraesCS2D01G509400;TraesCS1D01G094700;TraesCS2A01G211900;TraesCS5D01G142900;TraesCS2D01G534600;TraesCS2B01G504600;TraesCS6D01G191400;TraesCS4B01G068300;TraesCS5A01G156200;TraesCS7D01G417800;TraesCS7B01G030400;TraesCS3D01G412400;TraesCS6B01G136100;TraesCS6B01G152800;TraesCS2B01G220900;TraesCS3A01G056700;TraesCS5D01G159100;TraesCS2B01G266900;TraesCS7A01G091500;TraesCS1A01G257200;TraesCS4A01G391100;TraesCS1D01G081400;TraesCS3A01G021600;TraesCS5A01G147500;TraesCS3D01G432000;TraesCS2B01G435600;TraesCS2D01G066900;TraesCS1D01G101300;TraesCS1D01G082500;TraesCS3A01G110400;TraesCS3A01G135700;TraesCS7A01G364200;TraesCS2A01G371700;TraesCS5A01G320600;TraesCS7B01G225600;TraesCS6B01G358800;TraesCS4D01G180700;TraesCS1B01G430800;TraesCS5D01G097900;TraesCS6D01G258200;TraesCS7B01G301100;TraesCS5A01G467600;TraesCS2D01G419700;TraesCS4D01G032900;TraesCS4A01G221700;TraesCS4D01G168600;TraesCS3B01G110500;TraesCS2A01G462700;TraesCS3B01G310000;TraesCS1A01G048000;TraesCS2D01G509200;TraesCS7B01G029200;TraesCS3D01G193200;TraesCS1B01G062200;TraesCS3B01G290300;TraesCS4D01G203900;TraesCS1B01G119700;TraesCS1A01G103900;TraesCS2D01G201700;TraesCS6B01G257800;TraesCS3A01G351500;TraesCS2D01G534400;TraesCS6A01G168900;TraesCS1D01G344700;TraesCS5B01G202900;TraesCS3D01G045400;TraesCS6B01G266500;TraesCS7A01G400900;TraesCS4B01G228200;TraesCS7A01G434300;TraesCS5B01G042800;TraesCS5D01G343000;TraesCS1D01G330300;TraesCS2B01G100300;TraesCS5B01G208200;TraesCS2A01G308400;TraesCS6B01G152600;TraesCS2B01G220700;TraesCS2B01G323700;TraesCS6D01G158400;TraesCS5A01G361100;TraesCS3B01G119500;TraesCS7A01G328100;TraesCS7D01G114200;TraesCS2B01G067000;TraesCS2D01G485200;TraesCS5D01G073900;TraesCS3D01G266400;TraesCS7D01G394800;TraesCS7A01G174700;TraesCS6B01G169000;TraesCS1A01G015300;TraesCS5A01G351300;TraesCS2A01G532800;TraesCS1D01G101100;TraesCS3D01G256600;TraesCS5D01G152300;TraesCS2A01G031000;TraesCS5D01G177800;TraesCS1A01G235200;TraesCS2D01G511300;TraesCS3B01G151200;TraesCS3A01G479800;TraesCS2A01G098700;TraesCS1D01G372800;TraesCS1D01G206900;TraesCS4D01G126800;TraesCS6B01G415600;TraesCS7A01G419500;TraesCS3B01G013200;TraesCS5A01G377900;TraesCS1A01G203400;TraesCS7D01G053900;TraesCS3A01G247000;TraesCS4B01G216000;TraesCS1A01G333800;TraesCS5A01G237700;TraesCS3B01G359000;TraesCS4A01G267300;TraesCS3D01G276200;TraesCS6B01G183300;TraesCS5D01G145100;TraesCS2A01G217600;TraesCS1B01G385300;TraesCS2B01G216800;TraesCS1B01G456700;TraesCS1A01G145100;TraesCS1A01G149700;TraesCS7A01G479800;TraesCS2B01G114900;TraesCS3B01G587400;TraesCS1A01G088900;TraesCS6D01G247700;TraesCS4D01G172700;TraesCS4D01G312300;TraesCS5D01G452500;TraesCS4A01G455800;TraesCS1D01G216700;TraesCS6B01G295200;TraesCS1B01G283400;TraesCS3A01G530200;TraesCS3B01G361100;TraesCS3B01G388600;TraesCS1B01G120100;TraesCS2A01G214100;TraesCS4A01G363700;TraesCS3B01G384000;TraesCS6D01G032300;TraesCS5A01G138600;TraesCS3A01G463400;TraesCS5D01G304700;TraesCS5A01G249900;TraesCS3B01G238600;TraesCS5D01G373700;TraesCS1A01G312300;TraesCS2B01G562100;TraesCS1A01G031200;TraesCS3B01G248400;TraesCS7A01G537100;TraesCS5B01G236200;TraesCS7B01G222500;TraesCS2A01G347400;TraesCS3A01G262200;TraesCS2A01G368700;TraesCS3B01G272300;TraesCS5D01G386800;TraesCS5B01G509700;TraesCS1B01G270300;TraesCS2B01G521800;TraesCS7A01G096800;TraesCS5D01G179100;TraesCS5B01G069900;TraesCS2A01G083000;TraesCS2A01G532600;TraesCS6D01G210200;TraesCS2D01G517200;TraesCS1D01G367800;TraesCS3D01G286600;TraesCS4D01G046900;TraesCS7D01G175800;TraesCS7A01G154900;TraesCS4A01G186700;TraesCS4A01G083900;TraesCS5D01G564000;TraesCS1D01G312500;TraesCS1B01G248400;TraesCS1D01G439500;TraesCS2B01G241800;TraesCS6B01G367100;TraesCS1B01G097700;TraesCS3D01G056500;TraesCS5A01G136200;TraesCS3A01G054100;TraesCS3D01G182300;TraesCS7B01G079500;TraesCS2D01G284200;TraesCS5B01G056800;TraesCS2D01G380800;TraesCS2D01G207400;TraesCS3A01G325600;TraesCS5A01G160100;TraesCS7D01G227900;TraesCS5A01G092600;TraesCS3B01G218800;TraesCS1D01G067800;TraesCS3A01G034700;TraesCS2B01G244000;TraesCS4B01G041300;TraesCS5B01G457000;TraesCS2B01G366600;TraesCS3D01G097000;TraesCS4A01G407500;TraesCS6D01G330800;TraesCS7B01G141900;TraesCS5B01G366400;TraesCS5A01G409700;TraesCS2D01G055600;TraesCS2A01G311200;TraesCS7B01G222700;TraesCS6D01G280700;TraesCS3D01G262200;TraesCS1A01G325800;TraesCS4B01G294300;TraesCS3D01G046900;TraesCS3A01G323200;TraesCS7A01G129300;TraesCS2D01G574000;TraesCS2D01G062100;TraesCS4D01G217000;TraesCS5D01G158000;TraesCS7D01G129500;TraesCS3B01G354400;TraesCS6D01G159100;TraesCS2B01G594100;TraesCS2A01G220600;TraesCS3B01G585400;TraesCS3D01G124200;TraesCS3D01G313600;TraesCS2B01G364400;TraesCS1A01G301600;TraesCS6A01G116200;TraesCS7D01G444500;TraesCS6B01G192400;TraesCS6A01G223500;TraesCS1B01G305200;TraesCS3D01G356300;TraesCS6A01G352800;TraesCS6A01G375900;TraesCS4B01G132100;TraesCS5B01G064400;TraesCS1A01G016000;TraesCS2D01G380600;TraesCS2A01G485600;TraesCS7A01G325000;TraesCS7B01G220500</t>
  </si>
  <si>
    <t>TraesCS3B01G306200;TraesCS2D01G555000;TraesCS5A01G337100;TraesCS6D01G226300;TraesCS7A01G470400;TraesCS2B01G585100;TraesCS5D01G183700;TraesCS3D01G272100;TraesCS7D01G457800;TraesCS2A01G553500;TraesCS6B01G280300;TraesCS2A01G384100;TraesCS3A01G517100;TraesCS5A01G375000;TraesCS3D01G524700;TraesCS7B01G372400;TraesCS3B01G490900</t>
  </si>
  <si>
    <t>cell death</t>
  </si>
  <si>
    <t>TraesCS1D01G184900;TraesCS2B01G208900;TraesCS5B01G482400;TraesCS7D01G392800;TraesCS1B01G171400;TraesCS7B01G346600;TraesCS3D01G313900;TraesCS1A01G086600;TraesCS7D01G343800;TraesCS2B01G246100;TraesCS5A01G041100;TraesCS6D01G193700;TraesCS7D01G435100;TraesCS4D01G096400;TraesCS6B01G295200;TraesCS5A01G177800;TraesCS5D01G207400;TraesCS2D01G182100;TraesCS3B01G283800;TraesCS5A01G209200;TraesCS7D01G377000;TraesCS1D01G292400;TraesCS3D01G244500;TraesCS5B01G200000;TraesCS2D01G077300;TraesCS3B01G349100;TraesCS1B01G346500;TraesCS2B01G198100;TraesCS6A01G244400;TraesCS5A01G469800;TraesCS7D01G044300;TraesCS2A01G080000;TraesCS3A01G056700;TraesCS4D01G141000;TraesCS4D01G229700;TraesCS6B01G239500;TraesCS1D01G152000;TraesCS7A01G279100;TraesCS5B01G014400;TraesCS1B01G164200;TraesCS3D01G207900;TraesCS6D01G248100;TraesCS5B01G358900;TraesCS3D01G180500;TraesCS7D01G548200;TraesCS4B01G219200;TraesCS2B01G204800;TraesCS4B01G137700;TraesCS5D01G482800;TraesCS7A01G470400;TraesCS1D01G111900;TraesCS4A01G085000;TraesCS4D01G045300;TraesCS5D01G365300;TraesCS5B01G155700;TraesCS5D01G109500;TraesCS1D01G013200;TraesCS4B01G045400;TraesCS7A01G130600;TraesCS5D01G179100;TraesCS4B01G100100;TraesCS1A01G072600;TraesCS5D01G022200;TraesCS2B01G393000;TraesCS3A01G317400;TraesCSU01G076400;TraesCS1A01G298900;TraesCS3D01G290000;TraesCS7D01G278900;TraesCS3A01G175000;TraesCS2A01G155500;TraesCS5A01G425600;TraesCS1B01G229100;TraesCS3A01G505200;TraesCS1D01G368100;TraesCS5A01G463000;TraesCS5B01G156800;TraesCS7D01G510000;TraesCS1A01G192300;TraesCS2A01G384100;TraesCS2B01G350600;TraesCS5B01G102700;TraesCS4B01G306900;TraesCS1A01G251600;TraesCS5B01G530800;TraesCS3D01G056500;TraesCS3A01G337500;TraesCS1D01G002600;TraesCS4D01G125000;TraesCS4D01G360300;TraesCS1B01G158500;TraesCS4A01G072700;TraesCS5A01G424300;TraesCS6D01G039300;TraesCS5A01G096800;TraesCS1A01G153600;TraesCS4D01G219400;TraesCS4D01G098500;TraesCS4D01G132500;TraesCS7B01G372400;TraesCS1A01G005900;TraesCS5A01G534900;TraesCS1A01G215600;TraesCS1A01G005100;TraesCS4A01G407500;TraesCS5A01G356400;TraesCS2D01G392800;TraesCS2A01G174700;TraesCS6A01G353600;TraesCS4A01G216100;TraesCS5D01G163400;TraesCS4D01G176200;TraesCS2D01G226300;TraesCS3A01G252800;TraesCS5B01G427600;TraesCS1D01G198600;TraesCS5B01G316300;TraesCS5D01G182100;TraesCS3B01G288900;TraesCS5D01G432800;TraesCS1D01G073100;TraesCS5B01G073000;TraesCS6D01G226700;TraesCS2B01G180500;TraesCS1B01G308600;TraesCS6B01G280000;TraesCS6D01G335900;TraesCS3D01G252800;TraesCS6A01G266600;TraesCS1A01G015300;TraesCS2B01G223000;TraesCS6A01G210600;TraesCS2A01G220600;TraesCS4A01G174700;TraesCS1A01G363200;TraesCS5D01G475800;TraesCS4D01G176300;TraesCS4B01G142700;TraesCS4D01G044800;TraesCS1D01G108300;TraesCS5D01G215400;TraesCS4D01G300100;TraesCS7A01G520300;TraesCS7A01G561600;TraesCS2D01G224100;TraesCS4D01G305100;TraesCS4B01G367200;TraesCS7D01G457800;TraesCS7B01G299200;TraesCS6B01G386200;TraesCS3D01G253500;TraesCS1D01G144600;TraesCS5B01G175100;TraesCS1A01G295300;TraesCS3B01G284600;TraesCS2B01G201100;TraesCS4B01G101900;TraesCS6B01G294000</t>
  </si>
  <si>
    <t>TraesCS3D01G514900;TraesCS4B01G222100;TraesCS6D01G226300;TraesCS1D01G149100;TraesCS3B01G575600;TraesCS4A01G081700;TraesCS5A01G455100;TraesCS6B01G280300;TraesCS6A01G223900;TraesCS5D01G465500;TraesCS7A01G320000;TraesCS2B01G393000;TraesCS3A01G507500;TraesCS5B01G463900;TraesCS4D01G222600</t>
  </si>
  <si>
    <t>sphingolipid metabolic process</t>
  </si>
  <si>
    <t>TraesCS4D01G064000;TraesCS1D01G184900;TraesCS2B01G208900;TraesCS5B01G482400;TraesCS7D01G392800;TraesCS1B01G171400;TraesCS7B01G346600;TraesCS3D01G313900;TraesCS1A01G086600;TraesCS7D01G343800;TraesCS2B01G246100;TraesCS5A01G041100;TraesCS6D01G193700;TraesCS7D01G435100;TraesCS4D01G096400;TraesCS6B01G295200;TraesCS5A01G177800;TraesCS5D01G207400;TraesCS2D01G182100;TraesCS3B01G283800;TraesCS5A01G209200;TraesCS7D01G377000;TraesCS1D01G292400;TraesCS3D01G244500;TraesCS5B01G200000;TraesCS2D01G077300;TraesCS3B01G349100;TraesCS1B01G346500;TraesCS2B01G198100;TraesCS6A01G244400;TraesCS5A01G469800;TraesCS7D01G044300;TraesCS2A01G080000;TraesCS3A01G056700;TraesCS4D01G141000;TraesCS4D01G229700;TraesCS6B01G239500;TraesCS1D01G152000;TraesCS7A01G279100;TraesCS5B01G014400;TraesCS1B01G164200;TraesCS3D01G207900;TraesCS6D01G248100;TraesCS5B01G358900;TraesCS1B01G280100;TraesCS3D01G180500;TraesCS7D01G548200;TraesCS4B01G219200;TraesCS2B01G204800;TraesCS4B01G137700;TraesCS5D01G482800;TraesCS7A01G470400;TraesCS1D01G111900;TraesCS4A01G085000;TraesCS4D01G045300;TraesCS5D01G365300;TraesCS5B01G155700;TraesCS6D01G257000;TraesCS5D01G109500;TraesCS7A01G301700;TraesCS1D01G013200;TraesCS4B01G045400;TraesCS7A01G130600;TraesCS5D01G179100;TraesCS4B01G100100;TraesCS5A01G485000;TraesCS1A01G072600;TraesCS5D01G022200;TraesCS2B01G393000;TraesCS3A01G317400;TraesCSU01G076400;TraesCS1A01G298900;TraesCS3D01G290000;TraesCS7D01G278900;TraesCS3A01G175000;TraesCS2A01G155500;TraesCS5A01G425600;TraesCS1B01G229100;TraesCS3A01G505200;TraesCS1D01G368100;TraesCS4B01G052200;TraesCS5A01G463000;TraesCS1A01G269400;TraesCS5B01G156800;TraesCS5B01G498400;TraesCS7D01G510000;TraesCS1A01G192300;TraesCS2A01G384100;TraesCS2B01G350600;TraesCS5B01G102700;TraesCS4B01G306900;TraesCS1A01G251600;TraesCS5B01G530800;TraesCS3D01G056500;TraesCS4B01G065100;TraesCS3A01G337500;TraesCS1D01G002600;TraesCS4D01G125000;TraesCS4D01G360300;TraesCS1B01G158500;TraesCS4A01G072700;TraesCS5A01G424300;TraesCS6D01G039300;TraesCS5A01G096800;TraesCS1A01G153600;TraesCS4D01G219400;TraesCS4D01G098500;TraesCS4D01G132500;TraesCS7B01G372400;TraesCS1A01G005900;TraesCS5A01G534900;TraesCS1A01G215600;TraesCS1A01G005100;TraesCS4A01G407500;TraesCS5A01G356400;TraesCS2D01G392800;TraesCS2A01G174700;TraesCS6A01G353600;TraesCS4A01G216100;TraesCS5D01G163400;TraesCS4D01G176200;TraesCS2D01G226300;TraesCS3A01G252800;TraesCS5B01G427600;TraesCS1D01G198600;TraesCS5B01G316300;TraesCS5D01G182100;TraesCS3B01G288900;TraesCS5D01G432800;TraesCS1D01G073100;TraesCS5B01G073000;TraesCS6D01G226700;TraesCS2B01G180500;TraesCS1B01G308600;TraesCS6B01G280000;TraesCS6D01G335900;TraesCS3D01G252800;TraesCS6A01G266600;TraesCS1A01G015300;TraesCS2B01G223000;TraesCS6A01G210600;TraesCS2A01G220600;TraesCS4A01G174700;TraesCS1A01G363200;TraesCS4A01G249600;TraesCS5D01G475800;TraesCS4D01G176300;TraesCS4B01G142700;TraesCS4D01G044800;TraesCS1D01G108300;TraesCS5D01G215400;TraesCS4D01G300100;TraesCS7A01G520300;TraesCS7A01G561600;TraesCS2D01G224100;TraesCS4D01G305100;TraesCS4B01G367200;TraesCS7D01G457800;TraesCS7B01G299200;TraesCS6B01G386200;TraesCS3D01G253500;TraesCS1D01G144600;TraesCS5B01G175100;TraesCS1A01G295300;TraesCS3B01G284600;TraesCS2B01G201100;TraesCS4B01G101900;TraesCS6B01G294000</t>
  </si>
  <si>
    <t>amide transport</t>
  </si>
  <si>
    <t>TraesCS2D01G286300;TraesCS4D01G175700;TraesCS2A01G303200;TraesCS3A01G493100;TraesCS5B01G482400;TraesCS2D01G169000;TraesCS4D01G068200;TraesCS1D01G075500;TraesCS4D01G081300;TraesCS7B01G346600;TraesCS6A01G201100;TraesCS7D01G182700;TraesCS1A01G275200;TraesCS1A01G370700;TraesCS7A01G096500;TraesCS3A01G269900;TraesCS2A01G270200;TraesCS2D01G104600;TraesCS4A01G193600;TraesCS4D01G207500;TraesCS5D01G397400;TraesCS5A01G177800;TraesCS1B01G126600;TraesCS1D01G106100;TraesCS1D01G156600;TraesCS5A01G205000;TraesCS5A01G469000;TraesCS5A01G093100;TraesCS6A01G319600;TraesCS5D01G148900;TraesCS2D01G079200;TraesCS2B01G289000;TraesCS2A01G417200;TraesCS2D01G231600;TraesCS2D01G332300;TraesCS5B01G494500;TraesCS6A01G326000;TraesCS1D01G152000;TraesCS7B01G423100;TraesCS4B01G002000;TraesCS3B01G412500;TraesCS3A01G281900;TraesCS2A01G456600;TraesCS3B01G306200;TraesCS5D01G279100;TraesCS5A01G403300;TraesCS3B01G129900;TraesCS5B01G203100;TraesCS6D01G358700;TraesCS2B01G407600;TraesCS4D01G045300;TraesCS5B01G124200;TraesCS6A01G235100;TraesCS2D01G146100;TraesCS1D01G119500;TraesCS7A01G511800;TraesCS1A01G072600;TraesCS7D01G389700;TraesCS2D01G425700;TraesCS2D01G104500;TraesCS3D01G078900;TraesCS3D01G290000;TraesCS2A01G214400;TraesCS3D01G183900;TraesCS6B01G350400;TraesCS7B01G187600;TraesCS1A01G045300;TraesCS1A01G370600;TraesCS3B01G367500;TraesCS1D01G221000;TraesCS5B01G481300;TraesCS2D01G394800;TraesCS2A01G417300;TraesCS2B01G271700;TraesCS6D01G246900;TraesCS2A01G384100;TraesCS2B01G350600;TraesCS2A01G424900;TraesCS4B01G306900;TraesCS4A01G131000;TraesCS5B01G530800;TraesCS2B01G448100;TraesCS1A01G184500;TraesCS3A01G149000;TraesCS5A01G315700;TraesCS3A01G105300;TraesCS5B01G381500;TraesCS6A01G146200;TraesCS5D01G042300;TraesCS7D01G030100;TraesCS1A01G396900;TraesCS2B01G478700;TraesCS1B01G158500;TraesCS2D01G414500;TraesCS4D01G358900;TraesCS4D01G266400;TraesCS5B01G193200;TraesCS2B01G118500;TraesCS5A01G085900;TraesCS6A01G268000;TraesCS3A01G246700;TraesCS5B01G380400;TraesCS1D01G376700;TraesCS4B01G222100;TraesCS2B01G339600;TraesCS3A01G404400;TraesCS5A01G440400;TraesCS5D01G387900;TraesCS2B01G436100;TraesCS2B01G167900;TraesCS2D01G226300;TraesCS5A01G216000;TraesCS7B01G299100;TraesCS4B01G178600;TraesCS2A01G204500;TraesCS7D01G409700;TraesCS4D01G267500;TraesCS3B01G093300;TraesCS4B01G080900;TraesCS4D01G001200;TraesCS2B01G415300;TraesCS3B01G353000;TraesCS4B01G268100;TraesCS5B01G217100;TraesCS1A01G219400;TraesCS4B01G174000;TraesCS5B01G117700;TraesCS5B01G415700;TraesCS1D01G405200;TraesCS5A01G390300;TraesCS1A01G159200;TraesCS2D01G414600;TraesCS3B01G102300;TraesCS6D01G095700;TraesCS1B01G308200;TraesCS3D01G136700;TraesCS2B01G180500;TraesCS2B01G585100;TraesCS7A01G508700;TraesCS5D01G531300;TraesCS2B01G542300;TraesCS3D01G250500;TraesCS1B01G461600;TraesCS4D01G119700;TraesCS2B01G202700;TraesCS5B01G275200;TraesCS1A01G218100;TraesCS1D01G046000;TraesCS5D01G320800;TraesCS1B01G058600;TraesCS6B01G108000;TraesCS1D01G376600;TraesCS6A01G120300;TraesCS5A01G232700;TraesCS4B01G121500;TraesCS5B01G141900;TraesCS2A01G323000;TraesCS5B01G410000;TraesCS3B01G357500;TraesCS5B01G265400;TraesCS5A01G142400;TraesCS1A01G370400;TraesCS4B01G098200;TraesCS7A01G327700;TraesCS5A01G314700;TraesCS2A01G225200;TraesCS5B01G392400;TraesCS4B01G235300;TraesCS7B01G299200;TraesCS2B01G436200;TraesCS6B01G263800;TraesCS5B01G444100;TraesCS1D01G144600;TraesCS6A01G135100;TraesCS4B01G174100;TraesCS5B01G217000;TraesCS5D01G245300;TraesCS6D01G087700;TraesCS1D01G218200;TraesCS2B01G275100;TraesCS2D01G097700;TraesCS4B01G141500;TraesCS4D01G064800;TraesCS7D01G392800;TraesCS2A01G288000;TraesCS3A01G272900;TraesCS5A01G481300;TraesCS3D01G329400;TraesCS5B01G533000;TraesCS7D01G052600;TraesCS2D01G567000;TraesCS5B01G478300;TraesCS1D01G327200;TraesCS3B01G379200;TraesCS4D01G096400;TraesCS6A01G145600;TraesCS1A01G080600;TraesCS3A01G513200;TraesCS3B01G141600;TraesCS5B01G200000;TraesCS4A01G128100;TraesCS3A01G271700;TraesCS3D01G139300;TraesCS2A01G304000;TraesCS3D01G245500;TraesCS3A01G413700;TraesCS5B01G014400;TraesCS6B01G149000;TraesCS6D01G154400;TraesCS3A01G408000;TraesCS1B01G129800;TraesCS3A01G323800;TraesCS2B01G174500;TraesCS5D01G390700;TraesCS5A01G468300;TraesCS6A01G333600;TraesCS5A01G180800;TraesCS3A01G289200;TraesCS5D01G482800;TraesCS7A01G470400;TraesCS6A01G240400;TraesCS7B01G272900;TraesCS1D01G013200;TraesCS7A01G264500;TraesCS5A01G456200;TraesCS7D01G052500;TraesCS2B01G114000;TraesCS4A01G396400;TraesCS7B01G162100;TraesCS6B01G163100;TraesCS6A01G145500;TraesCS7A01G299600;TraesCS5D01G421100;TraesCS2A01G155500;TraesCS5B01G223600;TraesCS7D01G295100;TraesCS1A01G080500;TraesCS1B01G229100;TraesCS6B01G375400;TraesCS3D01G399600;TraesCS5D01G481700;TraesCS1D01G072600;TraesCS2B01G381600;TraesCS3D01G269600;TraesCS4D01G239600;TraesCS2A01G176300;TraesCS2A01G459700;TraesCS3B01G324400;TraesCS5D01G111300;TraesCS3B01G410500;TraesCS7A01G369500;TraesCS5B01G236900;TraesCS5A01G271500;TraesCS2A01G231000;TraesCS3A01G299000;TraesCS6D01G104800;TraesCS5B01G104200;TraesCS5D01G321800;TraesCS2B01G096000;TraesCS2A01G189600;TraesCS2D01G231100;TraesCS4A01G043800;TraesCS5D01G447500;TraesCS2B01G124100;TraesCS2D01G431000;TraesCS3A01G176500;TraesCS7A01G011900;TraesCS4D01G238600;TraesCS6D01G039300;TraesCS6D01G312800;TraesCS7A01G343000;TraesCS7A01G096300;TraesCS5A01G297900;TraesCS3B01G153800;TraesCS5B01G271800;TraesCS5B01G384500;TraesCS4A01G396300;TraesCS2B01G175800;TraesCS5D01G467000;TraesCS2A01G514300;TraesCS5A01G104900;TraesCS5B01G408100;TraesCS5D01G329100;TraesCS7D01G052400;TraesCS1D01G223600;TraesCS2A01G081400;TraesCS2A01G101900;TraesCS4D01G176200;TraesCS2B01G304800;TraesCS5B01G316300;TraesCS6D01G135500;TraesCS2A01G363600;TraesCS6B01G280300;TraesCS4B01G346100;TraesCS2D01G235600;TraesCS5D01G092000;TraesCS3B01G114200;TraesCS3B01G208300;TraesCS5B01G362600;TraesCS3D01G408100;TraesCS5B01G108500;TraesCS1A01G350400;TraesCS7A01G416400;TraesCS3B01G255400;TraesCS3D01G317400;TraesCS6D01G226300;TraesCS4B01G315400;TraesCS1B01G326700;TraesCS3D01G289000;TraesCS5B01G465200;TraesCS7A01G376100;TraesCS5A01G143100;TraesCS5D01G273600;TraesCS5A01G112600;TraesCS1A01G401800;TraesCS5B01G313000;TraesCS1B01G274300;TraesCS1B01G304800;TraesCS6B01G238900;TraesCS5A01G238400;TraesCS5B01G095900;TraesCS2D01G100900;TraesCS3B01G568300;TraesCS4A01G396200;TraesCS4D01G094400;TraesCS1D01G292700;TraesCS4D01G176300;TraesCS5D01G467100;TraesCS4A01G098900;TraesCS4A01G176200;TraesCS5A01G400000;TraesCS4D01G305100;TraesCS7D01G183900;TraesCS3A01G413600;TraesCS6D01G368800;TraesCS3D01G408000;TraesCS4B01G069500;TraesCS5A01G380900;TraesCS5A01G124600;TraesCS4D01G316500;TraesCS2D01G456900;TraesCS2B01G208900;TraesCS3A01G109300;TraesCS5A01G258100;TraesCS7D01G508800;TraesCS1B01G326600;TraesCS5D01G518700;TraesCS4D01G268100;TraesCS3B01G371200;TraesCS3B01G375800;TraesCS7A01G264800;TraesCS1B01G243100;TraesCS5D01G183100;TraesCS2D01G534600;TraesCS2A01G427700;TraesCS1D01G082600;TraesCS3B01G176200;TraesCS5A01G041100;TraesCS7A01G182500;TraesCS3D01G370800;TraesCS7D01G435100;TraesCS3B01G361500;TraesCS4A01G130600;TraesCS5D01G207400;TraesCS5D01G232700;TraesCS2B01G217500;TraesCS4D01G176000;TraesCS5A01G469800;TraesCS7B01G364600;TraesCS3D01G354100;TraesCS2D01G361400;TraesCS5B01G480900;TraesCS2D01G464400;TraesCS6A01G406700;TraesCS7D01G000200;TraesCS2A01G080000;TraesCS3A01G056700;TraesCS3B01G270500;TraesCS1A01G016100;TraesCS5B01G142100;TraesCS3A01G167200;TraesCS5D01G413300;TraesCS1B01G164200;TraesCS3B01G156600;TraesCS4A01G062800;TraesCS4A01G001300;TraesCS3A01G377700;TraesCS6A01G108800;TraesCS4D01G236600;TraesCS3D01G296100;TraesCS4D01G293200;TraesCS5D01G481200;TraesCS4B01G045400;TraesCS6B01G364000;TraesCS6D01G239700;TraesCS4B01G100100;TraesCS5D01G244800;TraesCS3B01G448000;TraesCS1D01G082500;TraesCS2D01G211400;TraesCS3A01G135700;TraesCS5A01G251800;TraesCS5D01G022200;TraesCS4B01G104700;TraesCS7A01G033500;TraesCS7A01G270100;TraesCS3A01G343900;TraesCS4B01G173600;TraesCS5D01G097900;TraesCS5B01G118200;TraesCS4D01G176100;TraesCS4D01G178400;TraesCS6B01G174400;TraesCS7B01G087400;TraesCS5B01G257300;TraesCS6D01G074200;TraesCS6D01G217800;TraesCS6D01G110400;TraesCS7A01G057800;TraesCS3A01G379900;TraesCS5D01G205000;TraesCS4A01G001400;TraesCS3B01G314600;TraesCS2A01G106500;TraesCS7B01G434700;TraesCS2D01G269200;TraesCS7B01G029200;TraesCS4A01G035400;TraesCS3D01G289500;TraesCS6B01G193200;TraesCS4A01G129400;TraesCS4D01G177000;TraesCS7D01G392600;TraesCS5A01G395100;TraesCS5B01G214500;TraesCS3B01G199000;TraesCS1B01G347100;TraesCS5B01G315600;TraesCS3B01G448100;TraesCS5B01G176300;TraesCS2D01G198200;TraesCS2A01G551100;TraesCS6B01G423000;TraesCS4A01G130400;TraesCS1B01G425200;TraesCS3D01G401200;TraesCS7B01G372400;TraesCS6A01G107800;TraesCS2D01G107100;TraesCS3D01G238300;TraesCS5D01G450500;TraesCS1A01G215600;TraesCS4B01G299700;TraesCS5A01G337100;TraesCS4D01G105100;TraesCS4A01G216100;TraesCS3B01G441600;TraesCS3D01G173300;TraesCS3B01G330700;TraesCS4A01G248900;TraesCS7B01G316600;TraesCS1D01G404800;TraesCS4A01G059600;TraesCS1A01G314400;TraesCS7A01G365600;TraesCS3A01G111200;TraesCS3B01G156800;TraesCS1A01G421900;TraesCS5B01G236400;TraesCS7D01G497400;TraesCS1B01G232300;TraesCS2A01G102000;TraesCS2D01G515900;TraesCS6D01G339300;TraesCS2A01G433000;TraesCS7B01G274600;TraesCS7D01G336400;TraesCS1A01G015300;TraesCS2B01G116900;TraesCS2A01G553500;TraesCS2A01G532800;TraesCS3D01G227400;TraesCS5A01G265700;TraesCS5D01G185300;TraesCS6D01G134800;TraesCS2D01G339900;TraesCS6B01G423100;TraesCS2A01G201800;TraesCS7D01G345200;TraesCS7A01G306100;TraesCS1A01G080700;TraesCS7D01G526100;TraesCS3D01G341100;TraesCS6B01G381300;TraesCS5D01G232800;TraesCS7B01G160900;TraesCS1B01G453300;TraesCS5B01G099200;TraesCS6D01G110600;TraesCS3B01G303800;TraesCS5A01G377900;TraesCS7A01G509000;TraesCS3D01G281900;TraesCS4A01G219700;TraesCS3A01G247000;TraesCS5B01G102900;TraesCS5B01G175100;TraesCS3A01G406000;TraesCS1A01G333800;TraesCS6A01G383800;TraesCS2D01G250600;TraesCS4A01G267300;TraesCS5D01G226000;TraesCS2D01G183700;TraesCS2A01G217600;TraesCS5B01G415400;TraesCS5A01G090100;TraesCS1D01G398400;TraesCS4B01G108000;TraesCS7A01G328600;TraesCS7D01G283800;TraesCS1B01G456700;TraesCS7D01G092500;TraesCS6B01G284300;TraesCS2A01G397000;TraesCS1A01G086600;TraesCS4D01G136500;TraesCS2B01G454300;TraesCS2D01G414300;TraesCS5D01G487600;TraesCS5D01G225900;TraesCS1A01G298600;TraesCS7B01G296300;TraesCS4D01G312300;TraesCS5D01G116100;TraesCS2B01G246100;TraesCS5A01G475300;TraesCS4A01G455800;TraesCS2B01G135600;TraesCS1D01G082200;TraesCS6B01G295200;TraesCS7D01G551700;TraesCS1D01G376500;TraesCS7B01G259000;TraesCS7D01G171300;TraesCS3D01G244500;TraesCS5D01G129400;TraesCS1D01G429800;TraesCS2D01G077300;TraesCS1A01G112400;TraesCS4B01G237300;TraesCS3D01G272300;TraesCS5D01G304700;TraesCS2B01G436300;TraesCS7A01G110500;TraesCS7B01G249200;TraesCS3B01G439600;TraesCS7A01G518800;TraesCS1A01G389500;TraesCS7D01G548200;TraesCS6D01G299000;TraesCS5B01G134400;TraesCS7B01G008400;TraesCS3B01G272300;TraesCS7D01G092600;TraesCS5D01G071800;TraesCS4A01G148500;TraesCS5B01G224000;TraesCS7A01G412400;TraesCS7D01G110600;TraesCS7D01G372500;TraesCS6B01G148700;TraesCS5D01G179100;TraesCS7D01G368000;TraesCS2B01G187500;TraesCS2A01G389400;TraesCS4D01G180200;TraesCS6A01G258500;TraesCS2D01G387300;TraesCS4D01G222600;TraesCS3D01G315700;TraesCS4A01G071800;TraesCS4B01G083200;TraesCS1B01G235100;TraesCS2B01G320700;TraesCS7D01G201700;TraesCS6A01G116000;TraesCS1A01G263700;TraesCS2A01G101400;TraesCS1D01G263800;TraesCS6B01G451300;TraesCS5D01G266300;TraesCS4B01G239700;TraesCS5D01G321000;TraesCS1D01G314800;TraesCS2A01G150600;TraesCS2A01G391700;TraesCS2D01G386100;TraesCS1D01G274800;TraesCS2A01G388300;TraesCS5A01G237900;TraesCS3D01G056500;TraesCS5A01G080300;TraesCS7D01G497300;TraesCS4A01G171500;TraesCS3B01G123700;TraesCS1A01G302700;TraesCS2D01G284200;TraesCS3A01G289700;TraesCS3A01G124100;TraesCS5B01G564100;TraesCS3D01G157100;TraesCS3B01G272600;TraesCS7D01G353800;TraesCS6D01G222600;TraesCS7A01G116000;TraesCS5A01G468800;TraesCS3B01G130000;TraesCS3D01G273200;TraesCS6A01G394300;TraesCS5B01G067700;TraesCS5D01G223800;TraesCS6A01G080500;TraesCS4D01G264500;TraesCS3A01G078400;TraesCS3A01G336500;TraesCS7A01G423800;TraesCS3A01G242500;TraesCS6A01G120600;TraesCS4B01G228600;TraesCS2D01G285300;TraesCS3D01G431700;TraesCS7D01G501000;TraesCS4A01G407500;TraesCS1D01G265800;TraesCS2D01G392800;TraesCS6D01G330800;TraesCS3D01G272100;TraesCS5B01G366400;TraesCS4A01G081700;TraesCS1D01G314900;TraesCS2D01G296300;TraesCS5A01G411900;TraesCS5D01G182100;TraesCS5B01G217500;TraesCS6D01G047500;TraesCS1D01G073100;TraesCS2D01G051000;TraesCS5B01G075300;TraesCS3B01G310500;TraesCS7D01G092400;TraesCS3A01G229300;TraesCS2A01G220600;TraesCS1A01G221900;TraesCS3D01G372900;TraesCS5A01G312000;TraesCS2B01G257100;TraesCS3D01G244800;TraesCS3D01G242500;TraesCS3B01G273600;TraesCS4B01G205400;TraesCS4A01G126300;TraesCS7A01G561600;TraesCS3A01G347500;TraesCS7D01G457800;TraesCS3D01G276600;TraesCS3D01G113300;TraesCS5A01G218000;TraesCS3A01G276500;TraesCS6B01G173900;TraesCS1D01G429900;TraesCS5A01G411800;TraesCS3A01G245900;TraesCS1A01G295300;TraesCS4B01G065700;TraesCS6A01G165800;TraesCS2B01G260500</t>
  </si>
  <si>
    <t>TraesCS5A01G209800;TraesCS7A01G167300;TraesCS7D01G167900;TraesCS5B01G207900;TraesCS3A01G110300;TraesCS6D01G258300;TraesCS5A01G269300;TraesCS5A01G320600;TraesCS5D01G277500;TraesCS6A01G277800;TraesCS3B01G013200;TraesCS5D01G216100</t>
  </si>
  <si>
    <t>TraesCS2B01G367700;TraesCS7D01G548200;TraesCS7B01G008400;TraesCS7A01G470400;TraesCS2B01G180500;TraesCS7A01G412400;TraesCS3D01G308100;TraesCS5D01G244800;TraesCS7D01G106000;TraesCS6D01G252900;TraesCS7B01G372400;TraesCS2A01G155500;TraesCS2D01G285300;TraesCS5D01G207400;TraesCS4A01G277500;TraesCS5B01G200000;TraesCS7D01G243700;TraesCS7A01G561600;TraesCS2B01G271700;TraesCS7D01G457800;TraesCS5B01G262900;TraesCS3A01G295000;TraesCS7A01G110500;TraesCS5A01G237900;TraesCS6A01G272900;TraesCS1D01G349900;TraesCS1A01G423800;TraesCS3B01G490900</t>
  </si>
  <si>
    <t>response to water deprivation</t>
  </si>
  <si>
    <t>TraesCS3A01G323800;TraesCS5A01G361100;TraesCS3D01G317400;TraesCS1D01G134600;TraesCS2A01G250900;TraesCS3D01G266400;TraesCS7A01G412400;TraesCS7A01G174700;TraesCS2A01G505800;TraesCS7B01G311600;TraesCS2D01G467700;TraesCS3A01G280500;TraesCS5D01G370100;TraesCS2A01G467700;TraesCS2D01G264400;TraesCS4A01G098900;TraesCS5B01G363800;TraesCS7D01G175800;TraesCS7D01G175900;TraesCS2D01G506600;TraesCS4B01G205400;TraesCS7D01G176000;TraesCS3A01G266300;TraesCS3B01G353000;TraesCS7A01G537100;TraesCS2A01G311200;TraesCS4D01G206300;TraesCS7B01G079400;TraesCS7B01G079500</t>
  </si>
  <si>
    <t>TraesCS7A01G328600;TraesCS4A01G216100;TraesCS5D01G346200;TraesCS5B01G339100;TraesCS2D01G197600;TraesCS5A01G375000;TraesCS4B01G100100;TraesCS3B01G093300;TraesCS5A01G341000;TraesCS4D01G264500;TraesCS5B01G142100;TraesCS7D01G325500;TraesCS4D01G096400;TraesCS3B01G490900;TraesCS4A01G043800</t>
  </si>
  <si>
    <t>aging</t>
  </si>
  <si>
    <t>TraesCS4A01G091000;TraesCS4A01G122800;TraesCS6D01G226700;TraesCS1D01G111900;TraesCS5A01G424300;TraesCS5D01G346200;TraesCS7A01G339100;TraesCS2B01G198100;TraesCS6A01G244400;TraesCS7B01G250400;TraesCS6B01G280000;TraesCS5B01G339100;TraesCS3A01G077000;TraesCS1A01G275200;TraesCS5A01G375000;TraesCS6B01G105800;TraesCS3D01G077200;TraesCS5A01G341000;TraesCS2D01G517200;TraesCS1D01G274800;TraesCS2B01G393000;TraesCS4D01G183100;TraesCS5D01G432800;TraesCS7D01G346400</t>
  </si>
  <si>
    <t>fatty acid beta-oxidation</t>
  </si>
  <si>
    <t>TraesCS5D01G218300;TraesCS5D01G231500;TraesCS5A01G224100;TraesCS5B01G222900;TraesCS7D01G342900;TraesCS7A01G335400;TraesCS6B01G192400;TraesCS6D01G153600;TraesCS7D01G435100;TraesCS7D01G467100;TraesCS5A01G213700;TraesCS7B01G346600</t>
  </si>
  <si>
    <t>TraesCS2D01G538400;TraesCS3B01G490000;TraesCS1A01G218400;TraesCS5D01G359000;TraesCS2D01G022300;TraesCS5D01G038000;TraesCS6D01G358600;TraesCS7D01G092900;TraesCS1B01G454000;TraesCS3B01G295000;TraesCS7B01G473700;TraesCS2A01G389900;TraesCS3B01G455000;TraesCS4D01G207500;TraesCS6A01G124500;TraesCS7A01G163300;TraesCS6B01G052400;TraesCS2D01G479100;TraesCS2B01G236800;TraesCS7D01G318600;TraesCS2D01G079200;TraesCS2A01G190200;TraesCS5D01G383100;TraesCS4B01G157800;TraesCS3B01G485900;TraesCS5B01G104500;TraesCS7A01G476700;TraesCS2B01G350500;TraesCS3A01G276200;TraesCS3D01G049000;TraesCS3D01G278000;TraesCS2D01G380500;TraesCS3A01G033000;TraesCS6D01G360900;TraesCS7B01G245800;TraesCS3A01G342000;TraesCS2D01G219800;TraesCS6B01G225700;TraesCS5B01G526200;TraesCS6A01G052100;TraesCS4B01G376800;TraesCS4D01G045300;TraesCS5A01G447200;TraesCS5A01G350800;TraesCS2A01G170600;TraesCS2D01G255700;TraesCS2D01G297300;TraesCS4B01G054900;TraesCS3D01G351600;TraesCS2A01G467700;TraesCS1A01G367200;TraesCS2D01G264400;TraesCS2A01G182800;TraesCS2A01G216700;TraesCS3D01G234400;TraesCS5B01G135200;TraesCS2A01G537900;TraesCS7D01G444700;TraesCS3B01G126400;TraesCS2B01G477600;TraesCS2D01G506600;TraesCS1D01G074500;TraesCS7B01G047300;TraesCS3D01G270300;TraesCS3A01G274000;TraesCS3A01G163300;TraesCS5B01G371800;TraesCS4B01G306900;TraesCS6B01G145700;TraesCS3D01G316400;TraesCS1A01G343000;TraesCS1D01G100900;TraesCS1A01G184500;TraesCS3A01G344400;TraesCS1A01G243400;TraesCS3A01G048700;TraesCS7B01G239300;TraesCS3A01G107600;TraesCS1B01G385100;TraesCS4A01G089700;TraesCS1B01G158500;TraesCS2A01G479900;TraesCS3A01G034300;TraesCS4B01G238700;TraesCS5D01G328300;TraesCS6A01G078700;TraesCS3B01G113500;TraesCS5B01G183500;TraesCS6D01G199500;TraesCS2D01G537100;TraesCSU01G169600;TraesCS5D01G387900;TraesCS2D01G226300;TraesCS5B01G146100;TraesCS1D01G439400;TraesCS7B01G356500;TraesCS3B01G353000;TraesCS2A01G384000;TraesCS5D01G524800;TraesCS3B01G049700;TraesCS3B01G196900;TraesCS1A01G182300;TraesCS3D01G260300;TraesCS5A01G197200;TraesCS4A01G062000;TraesCS1D01G249600;TraesCS7B01G415400;TraesCS2B01G180500;TraesCS1D01G335400;TraesCS6A01G377700;TraesCS2B01G605800;TraesCS6A01G000500;TraesCS7B01G311600;TraesCS2B01G437300;TraesCS4B01G106000;TraesCS5B01G526000;TraesCS7D01G087100;TraesCS3B01G306400;TraesCS3D01G030600;TraesCS6A01G250800;TraesCS2B01G097300;TraesCS4B01G047100;TraesCS1A01G367000;TraesCS5A01G322300;TraesCS3A01G357700;TraesCS2A01G216500;TraesCS7D01G165300;TraesCS3A01G045200;TraesCS3B01G390400;TraesCS1B01G231900;TraesCS2D01G415700;TraesCS3B01G401600;TraesCS5D01G181500;TraesCS6A01G225400;TraesCS2A01G418300;TraesCS6B01G020800;TraesCS1B01G162400;TraesCS7A01G455800;TraesCS3A01G310400;TraesCS2D01G057600;TraesCS1D01G146900;TraesCS1D01G345200;TraesCS5B01G184600;TraesCS6D01G211900;TraesCS6A01G140800;TraesCS1D01G243400;TraesCS1D01G163400;TraesCS1D01G218200;TraesCS2D01G097700;TraesCS7A01G118900;TraesCS5B01G188600;TraesCS7A01G435300;TraesCS5D01G328100;TraesCS2B01G537800;TraesCS2D01G223000;TraesCS3A01G272900;TraesCS2B01G485600;TraesCS3B01G289400;TraesCS6D01G157900;TraesCS2B01G053300;TraesCS7A01G480100;TraesCS2D01G349000;TraesCS7A01G031700;TraesCS2D01G364400;TraesCS3A01G152200;TraesCS2D01G216700;TraesCS3D01G104100;TraesCS3A01G257500;TraesCS1B01G384900;TraesCS5A01G370800;TraesCS2A01G525300;TraesCS3B01G307700;TraesCS1B01G091900;TraesCS6B01G051700;TraesCS2D01G537700;TraesCS7D01G495700;TraesCS4A01G414700;TraesCS4D01G261400;TraesCS3A01G256200;TraesCS5A01G401400;TraesCS5B01G501300;TraesCS7D01G097500;TraesCS2B01G242200;TraesCS1D01G419400;TraesCS6A01G178500;TraesCS7D01G324900;TraesCS3A01G280500;TraesCS4A01G098600;TraesCS3D01G256400;TraesCS2B01G001400;TraesCS6A01G216100;TraesCS6B01G163100;TraesCS2B01G097100;TraesCS7A01G333500;TraesCS7A01G167300;TraesCS2B01G045700;TraesCS1A01G080500;TraesCS1A01G330500;TraesCS5D01G104900;TraesCS3A01G290300;TraesCS7B01G309900;TraesCS6B01G300900;TraesCS2B01G536500;TraesCS5B01G028700;TraesCS6D01G122100;TraesCS7A01G264400;TraesCS1D01G372600;TraesCS5A01G294600;TraesCSU01G111800;TraesCS1B01G382500;TraesCS3D01G257500;TraesCS5D01G063800;TraesCS4B01G174300;TraesCS6B01G204600;TraesCS7B01G260800;TraesCS2B01G096000;TraesCS5B01G538800;TraesCS6B01G412500;TraesCS7D01G248200;TraesCS2B01G124100;TraesCS1A01G304200;TraesCS1A01G430100;TraesCS7B01G107300;TraesCS7B01G069100;TraesCS5B01G247700;TraesCS2A01G493800;TraesCS5B01G152600;TraesCS6A01G155200;TraesCS5A01G297900;TraesCS3D01G290100;TraesCS1D01G379000;TraesCS3B01G153800;TraesCS3A01G261800;TraesCS3A01G355700;TraesCS4A01G029800;TraesCS7B01G395000;TraesCS7D01G335800;TraesCS1A01G372400;TraesCS5B01G363800;TraesCS5D01G312800;TraesCSU01G238700;TraesCS3A01G224400;TraesCS6B01G199700;TraesCS1B01G376000;TraesCS7D01G176000;TraesCS5B01G316300;TraesCS6D01G110100;TraesCS7A01G242800;TraesCS2D01G491600;TraesCS3B01G291900;TraesCS3A01G129000;TraesCS7D01G065500;TraesCS1D01G236900;TraesCS4D01G059300;TraesCS6D01G146500;TraesCS2A01G211200;TraesCS1D01G140300;TraesCS4B01G315400;TraesCS2A01G431100;TraesCS5A01G426500;TraesCS1A01G411600;TraesCS2A01G040900;TraesCS5B01G540900;TraesCS1B01G356200;TraesCS6B01G205900;TraesCS5D01G190600;TraesCS5D01G509800;TraesCS2B01G070900;TraesCS4B01G201600;TraesCS4D01G176300;TraesCS5A01G205500;TraesCS3D01G261800;TraesCS5B01G204900;TraesCS7D01G146400;TraesCS1D01G372400;TraesCS4D01G305100;TraesCS5A01G016200;TraesCS6B01G256200;TraesCS2D01G117200;TraesCS3B01G473100;TraesCS1B01G001800;TraesCS5B01G538600;TraesCS2B01G394700;TraesCS7D01G355100;TraesCS7D01G086900;TraesCS2B01G208900;TraesCS2A01G343100;TraesCS7D01G114100;TraesCS7D01G449500;TraesCS6A01G241000;TraesCS2D01G582800;TraesCS2A01G049700;TraesCS2B01G101300;TraesCS6B01G471400;TraesCS1B01G167700;TraesCS3B01G600300;TraesCS1D01G082600;TraesCS2B01G060900;TraesCS7B01G225500;TraesCS2A01G538200;TraesCS5B01G384300;TraesCS5D01G475900;TraesCS7A01G249400;TraesCS7D01G356200;TraesCS6D01G166100;TraesCS7D01G085800;TraesCS6A01G336600;TraesCS6B01G415700;TraesCS6D01G195900;TraesCS6A01G378000;TraesCS2D01G451100;TraesCS2D01G222300;TraesCS4B01G203000;TraesCS4D01G340500;TraesCS2A01G199700;TraesCS5D01G380500;TraesCS1A01G016100;TraesCS1D01G364000;TraesCS5D01G358600;TraesCS4B01G162700;TraesCS5D01G048600;TraesCS1D01G381800;TraesCS1A01G259500;TraesCS6B01G412400;TraesCS2D01G509300;TraesCS4A01G010000;TraesCS5B01G375600;TraesCS4A01G255400;TraesCS4D01G326400;TraesCS6D01G257000;TraesCS4D01G238900;TraesCS4D01G293200;TraesCS3B01G348200;TraesCS4B01G045400;TraesCS2D01G463100;TraesCS2A01G509900;TraesCS1B01G119600;TraesCS2D01G467700;TraesCS2B01G324900;TraesCS1A01G273600;TraesCS2A01G463900;TraesCS5D01G022200;TraesCS7A01G213000;TraesCS6A01G258900;TraesCS6B01G413500;TraesCS6D01G359100;TraesCS2A01G371600;TraesCS7A01G343800;TraesCS5D01G163500;TraesCS3A01G477300;TraesCS3D01G049700;TraesCS5D01G519800;TraesCS3D01G335700;TraesCS4B01G287300;TraesCS5A01G429000;TraesCS7A01G091400;TraesCS2D01G112700;TraesCS3B01G119600;TraesCS2A01G106500;TraesCS1A01G079700;TraesCS2D01G485300;TraesCS4D01G360300;TraesCS7D01G506300;TraesCS4A01G402100;TraesCS5A01G030000;TraesCS6D01G056600;TraesCS4B01G345400;TraesCS3A01G230900;TraesCS2A01G083300;TraesCS5A01G376700;TraesCSU01G003600;TraesCS1A01G342600;TraesCS3D01G441900;TraesCS1B01G347100;TraesCS6D01G210100;TraesCS3B01G325100;TraesCS5B01G428400;TraesCS3A01G317700;TraesCS5D01G059300;TraesCS1A01G332800;TraesCS4A01G396700;TraesCS7D01G085600;TraesCS7A01G226500;TraesCS2D01G107100;TraesCSU01G016900;TraesCS1D01G372900;TraesCS2D01G455900;TraesCS2D01G577000;TraesCS3A01G064400;TraesCS4D01G126900;TraesCS3A01G362500;TraesCS3B01G166600;TraesCS3B01G288100;TraesCS7D01G300200;TraesCS3D01G220900;TraesCS1A01G048100;TraesCS6B01G246800;TraesCS5D01G390500;TraesCS3A01G122300;TraesCS5B01G327800;TraesCS1D01G052000;TraesCS3D01G172200;TraesCS6D01G105000;TraesCS1B01G324000;TraesCSU01G047400;TraesCS7D01G265400;TraesCS4A01G323500;TraesCS4D01G352700;TraesCS3D01G345700;TraesCS1A01G047000;TraesCS1A01G080700;TraesCS6A01G277600;TraesCS6B01G381300;TraesCS2B01G035300;TraesCS3D01G219900;TraesCS1D01G076200;TraesCS5B01G208300;TraesCS2B01G100200;TraesCS4B01G367200;TraesCS6B01G152700;TraesCS7A01G321600;TraesCS7D01G451300;TraesCS1B01G269800;TraesCS6A01G301300;TraesCS1D01G047900;TraesCS6B01G059800;TraesCS6D01G158300;TraesCS4D01G089300;TraesCS5D01G069700;TraesCS2A01G112300;TraesCS5B01G520600;TraesCS5D01G514500;TraesCS1D01G335500;TraesCS2B01G047300;TraesCS5B01G474500;TraesCS1A01G296300;TraesCS2B01G240800;TraesCS1D01G239700;TraesCS2B01G246100;TraesCS6A01G327500;TraesCS1D01G082200;TraesCS7B01G301400;TraesCS7D01G463300;TraesCS1D01G032600;TraesCS2D01G222700;TraesCS2D01G564300;TraesCS5A01G152800;TraesCS3D01G244500;TraesCS7D01G175900;TraesCS3D01G324400;TraesCS4A01G384500;TraesCS5B01G225200;TraesCS6A01G375800;TraesCS3D01G272300;TraesCS2D01G528200;TraesCS1B01G109400;TraesCS2B01G241900;TraesCS2D01G464800;TraesCS4B01G132000;TraesCS5D01G455900;TraesCS6D01G328800;TraesCS7B01G079400;TraesCS4B01G216700;TraesCS6D01G335300;TraesCS7D01G357100;TraesCS5B01G056700;TraesCS1A01G073300;TraesCS1B01G385200;TraesCS4B01G055600;TraesCS5A01G373600;TraesCS1B01G251700;TraesCS7A01G131300;TraesCS3A01G439200;TraesCS7A01G412400;TraesCS1B01G375400;TraesCS3A01G357100;TraesCS3B01G352300;TraesCS2B01G539200;TraesCS4D01G312400;TraesCS5D01G370100;TraesCS2A01G182400;TraesCS3D01G315700;TraesCS4A01G071800;TraesCS3D01G349700;TraesCS1B01G157700;TraesCS1D01G259300;TraesCS3D01G542300;TraesCS2D01G098200;TraesCS6B01G069800;TraesCS7B01G167100;TraesCS5A01G222300;TraesCS2A01G150600;TraesCS5D01G195700;TraesCS4A01G171500;TraesCS5A01G048600;TraesCS4A01G211600;TraesCS3D01G262300;TraesCS5D01G212900;TraesCS7A01G384500;TraesCS6D01G362500;TraesCS3D01G319000;TraesCS6D01G316600;TraesCS3D01G273200;TraesCS2A01G117800;TraesCS2D01G190200;TraesCS5D01G158100;TraesCS6D01G107600;TraesCS2A01G209900;TraesCS7D01G364700;TraesCS5A01G173300;TraesCS7D01G167900;TraesCS7D01G444400;TraesCS2A01G023900;TraesCS4D01G229100;TraesCS7D01G037700;TraesCS3D01G230300;TraesCS5A01G463100;TraesCS5D01G070900;TraesCS1D01G359900;TraesCS2D01G227300;TraesCS1A01G066800;TraesCS5A01G185500;TraesCS3A01G419600;TraesCS6D01G050900;TraesCS5A01G514500;TraesCS3B01G410000;TraesCS3B01G376300;TraesCS5A01G210300;TraesCS6D01G047500;TraesCS3D01G182600;TraesCS3D01G337900;TraesCS1D01G073100;TraesCS6D01G381200;TraesCS3B01G253900;TraesCS1D01G333500;TraesCS2D01G509500;TraesCS2B01G401300;TraesCS3B01G295500;TraesCS3D01G136300;TraesCS7D01G130600;TraesCS3B01G053800;TraesCS6A01G374700;TraesCS2B01G187300;TraesCS3A01G034600;TraesCS2A01G033700;TraesCS6D01G115200;TraesCS4D01G220500;TraesCS2D01G178100;TraesCS5B01G437300;TraesCS7D01G203800;TraesCS1B01G157900;TraesCS7D01G341800;TraesCS3A01G123000;TraesCS4B01G054700;TraesCS4D01G325500;TraesCS4B01G205400;TraesCS2A01G008300;TraesCS7D01G048600;TraesCS7A01G091200;TraesCS7D01G128300;TraesCS1A01G429800;TraesCS4D01G267800;TraesCS2B01G071200;TraesCS6A01G211400;TraesCS3B01G374100;TraesCS1B01G204700;TraesCS2A01G030200;TraesCS3B01G280000;TraesCS1D01G295800;TraesCS3D01G535700;TraesCS7B01G325900;TraesCS3A01G493100;TraesCS1D01G220000;TraesCS2B01G197000;TraesCS6D01G161200;TraesCS6B01G305600;TraesCS7A01G127100;TraesCS2A01G056800;TraesCS3A01G097800;TraesCS1D01G005400;TraesCS4A01G101600;TraesCS3A01G255600;TraesCS7D01G136700;TraesCS1B01G254900;TraesCS2A01G418200;TraesCS5D01G031500;TraesCS6A01G225300;TraesCS2A01G455600;TraesCS5B01G151600;TraesCS2D01G549400;TraesCS2B01G243000;TraesCS4B01G181800;TraesCS6D01G240100;TraesCS5D01G021700;TraesCS3B01G194400;TraesCS2D01G217500;TraesCS5D01G478700;TraesCS1A01G002500;TraesCS5D01G374300;TraesCS2A01G503800;TraesCS1A01G424200;TraesCS2D01G033100;TraesCS6D01G153600;TraesCS2B01G489700;TraesCS5A01G062600;TraesCS3D01G290000;TraesCS2B01G236900;TraesCS3D01G209100;TraesCS6B01G006600;TraesCSU01G008300;TraesCS3B01G206500;TraesCS2D01G321400;TraesCS1B01G157300;TraesCS3B01G311900;TraesCS2D01G504300;TraesCS2B01G271700;TraesCS6D01G246900;TraesCS7B01G255500;TraesCS2A01G384100;TraesCS2B01G350600;TraesCS2D01G197600;TraesCS1D01G259700;TraesCS7B01G356400;TraesCS5B01G530800;TraesCS4D01G206300;TraesCS3A01G096500;TraesCS2D01G219900;TraesCS5A01G315700;TraesCS1D01G346200;TraesCS5B01G381500;TraesCS6B01G225800;TraesCS7B01G287100;TraesCS1D01G134600;TraesCS2B01G365900;TraesCS7D01G030100;TraesCS3D01G472000;TraesCS5D01G480600;TraesCS2B01G437200;TraesCS4D01G215200;TraesCS3D01G500800;TraesCS2D01G031100;TraesCS3D01G036000;TraesCS5A01G085900;TraesCS6A01G268000;TraesCS1A01G367100;TraesCS7D01G366600;TraesCS5B01G380400;TraesCS1D01G303700;TraesCS2D01G562200;TraesCS2A01G346000;TraesCS2D01G415600;TraesCS3A01G232300;TraesCS7D01G316100;TraesCS1D01G037200;TraesCS1D01G123700;TraesCS6B01G197000;TraesCS2D01G428900;TraesCS3D01G316700;TraesCS5A01G369500;TraesCS3B01G158300;TraesCS4B01G214600;TraesCS1B01G089100;TraesCS3D01G178300;TraesCS5B01G138400;TraesCS1B01G385000;TraesCS3D01G048000;TraesCS3D01G136700;TraesCS1B01G217500;TraesCS1B01G198700;TraesCS4D01G184200;TraesCS7D01G395100;TraesCS1D01G273800;TraesCS1A01G344000;TraesCS3D01G053600;TraesCS1D01G301300;TraesCS6A01G204600;TraesCS2D01G344700;TraesCS6B01G153000;TraesCS4B01G261800;TraesCS6A01G135100;TraesCS3A01G266300;TraesCS6D01G383900;TraesCS4D01G055000;TraesCS1D01G439300;TraesCS6D01G360800;TraesCS7D01G124900;TraesCS5B01G572600;TraesCS1D01G004700;TraesCS2B01G044700;TraesCS3A01G256300;TraesCS3D01G046000;TraesCS1D01G140400;TraesCS7A01G231600;TraesCS2A01G505800;TraesCS3B01G321100;TraesCS5B01G321800;TraesCS6A01G132400;TraesCS3B01G306500;TraesCS3D01G256500;TraesCS1A01G141300;TraesCS2D01G572600;TraesCS1B01G447200;TraesCS1B01G392400;TraesCS1A01G080600;TraesCS2B01G532000;TraesCS2B01G536600;TraesCS5A01G186000;TraesCS7D01G467100;TraesCS1D01G372700;TraesCS6D01G145100;TraesCS1B01G441900;TraesCS1A01G259900;TraesCS5D01G434500;TraesCS1A01G213900;TraesCS2D01G493700;TraesCS5B01G014400;TraesCS4B01G174200;TraesCS3A01G323800;TraesCS7B01G031900;TraesCS4A01G207800;TraesCS5D01G216400;TraesCS1D01G013200;TraesCS1A01G122800;TraesCS5D01G357800;TraesCS2B01G114000;TraesCS2A01G255300;TraesCS3B01G304300;TraesCS4A01G130300;TraesCS6A01G124800;TraesCS2A01G155500;TraesCS6D01G363200;TraesCS3B01G141500;TraesCS6A01G266900;TraesCS7D01G321500;TraesCS5D01G157900;TraesCS7B01G333700;TraesCS7D01G380900;TraesCS1B01G311400;TraesCS3A01G050300;TraesCS5D01G321800;TraesCS3D01G104000;TraesCS5A01G380700;TraesCS7B01G356800;TraesCS5A01G321300;TraesCS6A01G171800;TraesCS2B01G130900;TraesCS2A01G211300;TraesCS1D01G130400;TraesCS2A01G250900;TraesCS5B01G428000;TraesCS5A01G206700;TraesCS7D01G261300;TraesCS1B01G356100;TraesCS7D01G041400;TraesCS1A01G070600;TraesCS1B01G314700;TraesCS2B01G175800;TraesCS5A01G534900;TraesCS6A01G311400;TraesCS1D01G185500;TraesCS1A01G049600;TraesCS6D01G122200;TraesCS5D01G329100;TraesCS4B01G220200;TraesCS3A01G049500;TraesCS1D01G372500;TraesCS2A01G081400;TraesCS3B01G038900;TraesCS4D01G176200;TraesCS6B01G256300;TraesCS7D01G430800;TraesCS6B01G145800;TraesCS3D01G317400;TraesCS4A01G102900;TraesCS5B01G184100;TraesCS5B01G188700;TraesCS1A01G430000;TraesCS7D01G248100;TraesCS3A01G101800;TraesCS3B01G148100;TraesCS3D01G048400;TraesCS2A01G548300;TraesCS3A01G272800;TraesCS1A01G342900;TraesCS6B01G238900;TraesCS6B01G385500;TraesCS3B01G524400;TraesCS6D01G191500;TraesCS3A01G261700;TraesCS3B01G289500;TraesCS3A01G217900;TraesCS4A01G098900;TraesCS6D01G307100;TraesCS2B01G452400;TraesCS1A01G215900;TraesCS2B01G511300;TraesCS7B01G271600;TraesCS1D01G338400;TraesCS5D01G111500;TraesCS5A01G321500;TraesCS7A01G053400;TraesCS5D01G281200;TraesCS7B01G228900;TraesCS4D01G202300;TraesCS5D01G210800;TraesCS4B01G059700;TraesCS4D01G316500;TraesCS3A01G285700;TraesCS2A01G217200;TraesCS3A01G101700;TraesCS2D01G509400;TraesCS1D01G094700;TraesCS2A01G211900;TraesCS5D01G142900;TraesCS2D01G534600;TraesCS2B01G504600;TraesCS6D01G191400;TraesCS4B01G068300;TraesCS5A01G156200;TraesCS7D01G417800;TraesCS7B01G030400;TraesCS3D01G412400;TraesCS6B01G136100;TraesCS6B01G152800;TraesCS2B01G220900;TraesCS3A01G056700;TraesCS5D01G159100;TraesCS2B01G266900;TraesCS7A01G091500;TraesCS1A01G257200;TraesCS4A01G391100;TraesCS1D01G081400;TraesCS3A01G021600;TraesCS5A01G147500;TraesCS3D01G432000;TraesCS2B01G435600;TraesCS2D01G066900;TraesCS1D01G101300;TraesCS1D01G082500;TraesCS3A01G110400;TraesCS3A01G135700;TraesCS7A01G364200;TraesCS2A01G371700;TraesCS5A01G320600;TraesCS7B01G225600;TraesCS6B01G358800;TraesCS4D01G180700;TraesCS1B01G430800;TraesCS5D01G097900;TraesCS6D01G258200;TraesCS7B01G301100;TraesCS5A01G467600;TraesCS2D01G419700;TraesCS4D01G032900;TraesCS4A01G221700;TraesCS4D01G168600;TraesCS3B01G110500;TraesCS2A01G462700;TraesCS3B01G310000;TraesCS1A01G048000;TraesCS2D01G509200;TraesCS7B01G029200;TraesCS3D01G193200;TraesCS1B01G062200;TraesCS3B01G290300;TraesCS4D01G203900;TraesCS1B01G119700;TraesCS1A01G103900;TraesCS2D01G201700;TraesCS6B01G257800;TraesCS3A01G351500;TraesCS2D01G534400;TraesCS6A01G168900;TraesCS1D01G344700;TraesCS5B01G202900;TraesCS3D01G045400;TraesCS6B01G266500;TraesCS7A01G400900;TraesCS4B01G228200;TraesCS7A01G434300;TraesCS5B01G042800;TraesCS5D01G343000;TraesCS1D01G330300;TraesCS2B01G100300;TraesCS5B01G208200;TraesCS2A01G308400;TraesCS6B01G152600;TraesCS2B01G220700;TraesCS2B01G323700;TraesCS6D01G158400;TraesCS5A01G361100;TraesCS3B01G119500;TraesCS7A01G328100;TraesCS7D01G114200;TraesCS2B01G067000;TraesCS2D01G485200;TraesCS5D01G073900;TraesCS3D01G266400;TraesCS7D01G394800;TraesCS7A01G174700;TraesCS6B01G169000;TraesCS1A01G015300;TraesCS5A01G351300;TraesCS2A01G532800;TraesCS1D01G101100;TraesCS3D01G256600;TraesCS5D01G152300;TraesCS2A01G031000;TraesCS5D01G177800;TraesCS1A01G235200;TraesCS2D01G511300;TraesCS3B01G151200;TraesCS3A01G479800;TraesCS2A01G098700;TraesCS1D01G372800;TraesCS1D01G206900;TraesCS4D01G126800;TraesCS6B01G415600;TraesCS7A01G419500;TraesCS3B01G013200;TraesCS5A01G377900;TraesCS1A01G203400;TraesCS7D01G053900;TraesCS3A01G247000;TraesCS4B01G216000;TraesCS1A01G333800;TraesCS5A01G237700;TraesCS3B01G359000;TraesCS4A01G267300;TraesCS3D01G276200;TraesCS6B01G183300;TraesCS5D01G145100;TraesCS2A01G217600;TraesCS1B01G385300;TraesCS2B01G216800;TraesCS1B01G456700;TraesCS1A01G145100;TraesCS1A01G149700;TraesCS7A01G479800;TraesCS2B01G114900;TraesCS3B01G587400;TraesCS1A01G088900;TraesCS6D01G247700;TraesCS1B01G134500;TraesCS4D01G172700;TraesCS4D01G312300;TraesCS5D01G452500;TraesCS4A01G455800;TraesCS1D01G216700;TraesCS6B01G295200;TraesCS1B01G283400;TraesCS3A01G530200;TraesCS3B01G361100;TraesCS3B01G388600;TraesCS1B01G120100;TraesCS2A01G214100;TraesCS4A01G363700;TraesCS3B01G384000;TraesCS6D01G032300;TraesCS5A01G138600;TraesCS3A01G463400;TraesCS5D01G304700;TraesCS5A01G249900;TraesCS3B01G238600;TraesCS5D01G373700;TraesCS1A01G312300;TraesCS2B01G562100;TraesCS1A01G031200;TraesCS3B01G248400;TraesCS7A01G537100;TraesCS5B01G236200;TraesCS7B01G222500;TraesCS2A01G347400;TraesCS3A01G262200;TraesCS2A01G368700;TraesCS3B01G272300;TraesCS5D01G386800;TraesCS5B01G509700;TraesCS1B01G270300;TraesCS2B01G521800;TraesCS7A01G096800;TraesCS5D01G179100;TraesCS5B01G069900;TraesCS2A01G083000;TraesCS2A01G532600;TraesCS6D01G210200;TraesCS2D01G517200;TraesCS1D01G367800;TraesCS3D01G286600;TraesCS4D01G046900;TraesCS7D01G175800;TraesCS7A01G154900;TraesCS4A01G186700;TraesCS4A01G083900;TraesCS5D01G564000;TraesCS1D01G312500;TraesCS1B01G248400;TraesCS1D01G439500;TraesCS2B01G241800;TraesCS6B01G367100;TraesCS1B01G097700;TraesCS3D01G056500;TraesCS5A01G136200;TraesCS3A01G054100;TraesCS3D01G182300;TraesCS7B01G079500;TraesCS2D01G284200;TraesCS5B01G056800;TraesCS2D01G380800;TraesCS2D01G207400;TraesCS3A01G325600;TraesCS5A01G160100;TraesCS7D01G227900;TraesCS5A01G092600;TraesCS3B01G218800;TraesCS1D01G067800;TraesCS3A01G034700;TraesCS2B01G244000;TraesCS4B01G041300;TraesCS5A01G139500;TraesCS5B01G457000;TraesCS2B01G366600;TraesCS3D01G097000;TraesCS4A01G407500;TraesCS6D01G330800;TraesCS7B01G141900;TraesCS5B01G366400;TraesCS5A01G409700;TraesCS2D01G055600;TraesCS2A01G311200;TraesCS7B01G222700;TraesCS6D01G280700;TraesCS3D01G262200;TraesCS1A01G325800;TraesCS4B01G294300;TraesCS3D01G046900;TraesCS3A01G323200;TraesCS7A01G129300;TraesCS2D01G574000;TraesCS2D01G062100;TraesCS4D01G217000;TraesCS5D01G158000;TraesCS7D01G129500;TraesCS3B01G354400;TraesCS4A01G268800;TraesCS6D01G159100;TraesCS2B01G594100;TraesCS2A01G220600;TraesCS3B01G585400;TraesCS3D01G124200;TraesCS3D01G313600;TraesCS2B01G364400;TraesCS1A01G301600;TraesCS2D01G348900;TraesCS6A01G116200;TraesCS7D01G444500;TraesCS6B01G192400;TraesCS6A01G223500;TraesCS1B01G305200;TraesCS3D01G356300;TraesCS6A01G352800;TraesCS6A01G375900;TraesCS4B01G132100;TraesCS5B01G064400;TraesCS1A01G016000;TraesCS2D01G380600;TraesCS2A01G485600;TraesCS7A01G325000;TraesCS7B01G220500</t>
  </si>
  <si>
    <t>TraesCS2A01G155500;TraesCS2B01G367700;TraesCS7D01G548200;TraesCS2D01G285300;TraesCS5D01G207400;TraesCS5D01G069700;TraesCS5B01G200000;TraesCS7A01G470400;TraesCS2B01G180500;TraesCS4B01G335100;TraesCS6D01G039300;TraesCS7A01G412400;TraesCS7A01G561600;TraesCS7D01G457800;TraesCS5A01G375000;TraesCS5D01G244800;TraesCS5A01G237900;TraesCS5A01G505000;TraesCS7B01G372400</t>
  </si>
  <si>
    <t>hyperosmotic response</t>
  </si>
  <si>
    <t>TraesCS2D01G538400;TraesCS3B01G490000;TraesCS5D01G359000;TraesCS6A01G419200;TraesCS6D01G358600;TraesCS7D01G092900;TraesCS3D01G042600;TraesCS1B01G454000;TraesCS6D01G102100;TraesCS3B01G295000;TraesCS7B01G229300;TraesCS7B01G473700;TraesCS1B01G375100;TraesCS3B01G455000;TraesCS7A01G188600;TraesCS2B01G359300;TraesCS4D01G207500;TraesCS6A01G124500;TraesCS7A01G163300;TraesCS6B01G052400;TraesCS1A01G217300;TraesCS5A01G253200;TraesCS2B01G236800;TraesCS4D01G210900;TraesCS3D01G072000;TraesCS5A01G469000;TraesCS6B01G222200;TraesCS6A01G319600;TraesCS7D01G318600;TraesCS5D01G148900;TraesCS2D01G079200;TraesCS2A01G190200;TraesCS2A01G417200;TraesCS7A01G476700;TraesCS3A01G276200;TraesCS6D01G291800;TraesCS3D01G049000;TraesCS5B01G494500;TraesCS3A01G033000;TraesCS4B01G088700;TraesCS6D01G360900;TraesCS2A01G456600;TraesCS3A01G342000;TraesCS2D01G219800;TraesCS5B01G182000;TraesCS6B01G225700;TraesCS4D01G366100;TraesCS5D01G204700;TraesCS5B01G526200;TraesCS6A01G052100;TraesCS4B01G376800;TraesCS1A01G206200;TraesCS5A01G350800;TraesCS2A01G170600;TraesCS2D01G255700;TraesCS2D01G297300;TraesCS1D01G119500;TraesCS4B01G054900;TraesCS1A01G367200;TraesCS5B01G101200;TraesCS2A01G182800;TraesCS2A01G216700;TraesCS6B01G398500;TraesCS7B01G187600;TraesCS2A01G537900;TraesCS3B01G305100;TraesCS1A01G045300;TraesCS7D01G444700;TraesCS1A01G370600;TraesCS1D01G221000;TraesCS2B01G477600;TraesCS1D01G074500;TraesCS7B01G047300;TraesCS2A01G157400;TraesCS3D01G467600;TraesCS4B01G210100;TraesCS3D01G270300;TraesCS3A01G274000;TraesCS3A01G163300;TraesCS5B01G371800;TraesCS2B01G151100;TraesCS3D01G316400;TraesCS6D01G198600;TraesCS1D01G100900;TraesCS1A01G184500;TraesCS3A01G344400;TraesCS3A01G048700;TraesCS1B01G385100;TraesCS7D01G118100;TraesCS6A01G119100;TraesCS4A01G089700;TraesCS2B01G182900;TraesCS2B01G478700;TraesCS1D01G363500;TraesCS3A01G034300;TraesCS4B01G238700;TraesCS5D01G328300;TraesCS6A01G078700;TraesCS1D01G207100;TraesCS3B01G113500;TraesCS2B01G454500;TraesCS4A01G050000;TraesCS2B01G118500;TraesCSU01G020500;TraesCS6D01G199500;TraesCS2D01G000300;TraesCS6B01G300000;TraesCS2D01G537100;TraesCSU01G169600;TraesCS5D01G387900;TraesCS5D01G232100;TraesCS2A01G040300;TraesCS2A01G302300;TraesCS5A01G216000;TraesCS2A01G204500;TraesCS2D01G449900;TraesCS5B01G146100;TraesCS2D01G426600;TraesCS7B01G356500;TraesCS1A01G106600;TraesCS6D01G137400;TraesCS4B01G268100;TraesCS5D01G524800;TraesCS3B01G049700;TraesCS3B01G196900;TraesCS3D01G260300;TraesCS5B01G415700;TraesCS5A01G197200;TraesCS7D01G334900;TraesCS4A01G062000;TraesCS1D01G249600;TraesCS4A01G160700;TraesCS7B01G415400;TraesCS2B01G180500;TraesCS6A01G377700;TraesCS1D01G186100;TraesCS2B01G542300;TraesCS3D01G246000;TraesCS6A01G000500;TraesCS1B01G461600;TraesCS2D01G529500;TraesCS2B01G437300;TraesCS4B01G106000;TraesCS5B01G526000;TraesCS7A01G427100;TraesCS7D01G087100;TraesCS3D01G030600;TraesCS4D01G035300;TraesCS2B01G097300;TraesCS4B01G047100;TraesCS1A01G367000;TraesCS1D01G046000;TraesCS5A01G322300;TraesCS5D01G320800;TraesCS2A01G216500;TraesCS7D01G165300;TraesCS3A01G045200;TraesCS5B01G141900;TraesCS2A01G323000;TraesCS7B01G129500;TraesCS2D01G415700;TraesCS5D01G181500;TraesCS6A01G225400;TraesCS2A01G418300;TraesCS7B01G194100;TraesCS1B01G162400;TraesCS7A01G455800;TraesCS7B01G299200;TraesCS3A01G310400;TraesCS1D01G146900;TraesCS5B01G184600;TraesCS6D01G211900;TraesCS3A01G245500;TraesCS6D01G087700;TraesCS1D01G163400;TraesCS1D01G218200;TraesCS2D01G097700;TraesCS7D01G392800;TraesCS7A01G435300;TraesCS2B01G537800;TraesCS2D01G223000;TraesCS3A01G272900;TraesCS3B01G289400;TraesCS5A01G481300;TraesCS6D01G157900;TraesCS2B01G053300;TraesCS3B01G394600;TraesCS7D01G052600;TraesCS2D01G349000;TraesCS5A01G341000;TraesCS7A01G031700;TraesCS2D01G163300;TraesCS2D01G232400;TraesCS2D01G364400;TraesCS3A01G152200;TraesCS7A01G194900;TraesCS2D01G216700;TraesCS3D01G104100;TraesCS2D01G409400;TraesCS6A01G273100;TraesCS7B01G290200;TraesCS2D01G317400;TraesCS1D01G209500;TraesCS1B01G088500;TraesCS1B01G384900;TraesCS2A01G525300;TraesCS3D01G137000;TraesCS2D01G445500;TraesCS3D01G245500;TraesCS3B01G307700;TraesCS1B01G091900;TraesCS6B01G051700;TraesCS2D01G537700;TraesCS6D01G154400;TraesCS7D01G495700;TraesCS4A01G414700;TraesCS1B01G129800;TraesCS5D01G424600;TraesCS5D01G390700;TraesCS5A01G468300;TraesCS4D01G261400;TraesCS3A01G256200;TraesCS5A01G401400;TraesCS5A01G180800;TraesCS5B01G492700;TraesCS5D01G208900;TraesCS2B01G535400;TraesCS5D01G365300;TraesCS5B01G501300;TraesCS2B01G242200;TraesCS6A01G262200;TraesCS7D01G324900;TraesCS3B01G046800;TraesCS3D01G256400;TraesCS2B01G001400;TraesCS6A01G216100;TraesCS6B01G163100;TraesCS6B01G421400;TraesCS2B01G097100;TraesCS5D01G421100;TraesCS1A01G080500;TraesCS1A01G330500;TraesCS6B01G375400;TraesCS3A01G290300;TraesCS7B01G309900;TraesCS2B01G536500;TraesCS6D01G122100;TraesCS7A01G264400;TraesCS1D01G372600;TraesCS5A01G294600;TraesCSU01G111800;TraesCS7A01G369500;TraesCS5D01G063800;TraesCS6B01G204600;TraesCS2B01G096000;TraesCS2A01G189600;TraesCS5B01G538800;TraesCS2A01G479500;TraesCS6B01G412500;TraesCS7D01G248200;TraesCS2B01G229000;TraesCS3A01G094600;TraesCS2B01G124100;TraesCS1A01G304200;TraesCS7B01G107300;TraesCS5D01G098900;TraesCS6A01G312600;TraesCS5B01G117200;TraesCS5A01G424300;TraesCS7B01G069100;TraesCS2A01G433500;TraesCS2A01G493800;TraesCS2A01G458800;TraesCS6A01G155200;TraesCS3A01G309800;TraesCS5A01G297900;TraesCS3D01G290100;TraesCS3B01G153800;TraesCS3A01G261800;TraesCS4A01G029800;TraesCS5B01G384500;TraesCS7B01G395000;TraesCS1D01G219100;TraesCS7D01G052400;TraesCS1D01G223600;TraesCSU01G238700;TraesCS3A01G224400;TraesCS1B01G376000;TraesCS2B01G304800;TraesCS4B01G346100;TraesCS7A01G242800;TraesCS2D01G491600;TraesCS3B01G291900;TraesCS1D01G236900;TraesCS4D01G059300;TraesCS4D01G229900;TraesCS5D01G040500;TraesCS7D01G412000;TraesCS6A01G226100;TraesCS2A01G211200;TraesCS1D01G140300;TraesCS4B01G315400;TraesCS2A01G431100;TraesCS5A01G426500;TraesCS2A01G040900;TraesCS5B01G313000;TraesCS5B01G095900;TraesCS6A01G199000;TraesCS4B01G201600;TraesCS5A01G205500;TraesCS4A01G176200;TraesCS3D01G261800;TraesCS5B01G204900;TraesCS7D01G146400;TraesCS3A01G362200;TraesCS1D01G372400;TraesCS6A01G264800;TraesCS6B01G256200;TraesCS2D01G117200;TraesCS5D01G333700;TraesCS3B01G473100;TraesCS5B01G215900;TraesCS5B01G538600;TraesCS2B01G394700;TraesCS1A01G377900;TraesCS7D01G086900;TraesCS2B01G208900;TraesCS2A01G343100;TraesCS6A01G177700;TraesCS7D01G449500;TraesCS6A01G241000;TraesCS2B01G363000;TraesCS2D01G582800;TraesCS1B01G326600;TraesCS7B01G327400;TraesCS2D01G144500;TraesCS3B01G371200;TraesCS7A01G264800;TraesCS6B01G471400;TraesCS1B01G167700;TraesCS3B01G600300;TraesCS5D01G183100;TraesCS1D01G082600;TraesCS3B01G176200;TraesCS7B01G225500;TraesCS2A01G538200;TraesCS5D01G475900;TraesCS7A01G249400;TraesCS7D01G356200;TraesCS5D01G205100;TraesCS7D01G085800;TraesCS4A01G130600;TraesCS6A01G336600;TraesCS6B01G415700;TraesCS6A01G378000;TraesCS7A01G419200;TraesCS2D01G222300;TraesCS4D01G340500;TraesCS2A01G199700;TraesCS7B01G100600;TraesCS7A01G001900;TraesCS2B01G480300;TraesCS2D01G464400;TraesCS6A01G406700;TraesCS7D01G000200;TraesCS1A01G016100;TraesCS1A01G203700;TraesCS1D01G364000;TraesCS5D01G358600;TraesCS4B01G162700;TraesCS5D01G048600;TraesCS6D01G248500;TraesCS1D01G381800;TraesCS3B01G156600;TraesCS4A01G001300;TraesCS3A01G377700;TraesCS6B01G412400;TraesCS2A01G320200;TraesCS1A01G077500;TraesCS5B01G165100;TraesCS2A01G458100;TraesCS2D01G509300;TraesCS4A01G010000;TraesCS4A01G255400;TraesCS4D01G326400;TraesCS6D01G257000;TraesCS4D01G238900;TraesCS6D01G407400;TraesCS1A01G361100;TraesCS4D01G293200;TraesCS2D01G463100;TraesCS5A01G078400;TraesCS7D01G024200;TraesCS2A01G509900;TraesCS1B01G119600;TraesCS2B01G324900;TraesCS1A01G273600;TraesCS7A01G213000;TraesCS6A01G258900;TraesCS7D01G335500;TraesCS6B01G413500;TraesCS6D01G359100;TraesCS2A01G371600;TraesCS3D01G435400;TraesCS7A01G282200;TraesCS6D01G180400;TraesCS3A01G477300;TraesCS3D01G049700;TraesCS5D01G519800;TraesCS6B01G300500;TraesCS1B01G210500;TraesCS3D01G335700;TraesCS4B01G287300;TraesCS5A01G429000;TraesCS6D01G217800;TraesCS6D01G110400;TraesCS7A01G091400;TraesCS1B01G269600;TraesCS5A01G027000;TraesCS7A01G120000;TraesCS1B01G198000;TraesCS3B01G119600;TraesCS7D01G189700;TraesCS1A01G300000;TraesCS2A01G106500;TraesCS1A01G079700;TraesCS2D01G485300;TraesCS7D01G506300;TraesCS1D01G299400;TraesCS6B01G193200;TraesCS6D01G056600;TraesCS4B01G345400;TraesCS2A01G083300;TraesCS5A01G376700;TraesCS1A01G342600;TraesCS5B01G214500;TraesCS6B01G255500;TraesCS1B01G347100;TraesCS6D01G210100;TraesCS3B01G325100;TraesCS5B01G428400;TraesCS7D01G303700;TraesCS5D01G059300;TraesCS4A01G396700;TraesCS5D01G261000;TraesCS3D01G401200;TraesCS7B01G372400;TraesCS7D01G085600;TraesCS2B01G196400;TraesCS2D01G107100;TraesCSU01G016900;TraesCS4B01G299700;TraesCS1D01G372900;TraesCS2B01G308200;TraesCS2D01G455900;TraesCS2D01G577000;TraesCS3A01G064400;TraesCS4D01G126900;TraesCS3B01G166600;TraesCS3B01G441600;TraesCS4A01G248900;TraesCS3B01G288100;TraesCS5D01G188600;TraesCS7A01G365600;TraesCS2D01G296700;TraesCS7D01G300200;TraesCS3B01G156800;TraesCS1A01G048100;TraesCS6B01G246800;TraesCS7A01G223000;TraesCS1B01G232300;TraesCS2D01G431500;TraesCS3A01G122300;TraesCS5B01G327800;TraesCS6A01G190700;TraesCS3D01G172200;TraesCS6D01G105000;TraesCS3D01G332400;TraesCSU01G047400;TraesCS7D01G265400;TraesCS2B01G109000;TraesCS5D01G185300;TraesCS5D01G288100;TraesCS4A01G323500;TraesCS4D01G352700;TraesCS2A01G201800;TraesCS1D01G384900;TraesCS3A01G477500;TraesCS3D01G345700;TraesCS1A01G080700;TraesCS6A01G277600;TraesCS1A01G215500;TraesCS2B01G035300;TraesCS5B01G026200;TraesCS6B01G291800;TraesCS1D01G076200;TraesCS5B01G208300;TraesCS6B01G289500;TraesCS6D01G110600;TraesCS6B01G152700;TraesCS7A01G321600;TraesCS7D01G451300;TraesCS6A01G301300;TraesCS7D01G029700;TraesCS4A01G322400;TraesCS6B01G059800;TraesCS7D01G325500;TraesCS6D01G158300;TraesCS4B01G007300;TraesCS4D01G089300;TraesCS5A01G090100;TraesCS3D01G472200;TraesCS1D01G398400;TraesCS7A01G328600;TraesCS6A01G245200;TraesCS5B01G373000;TraesCS5B01G520600;TraesCS5D01G346200;TraesCS4D01G136500;TraesCS2B01G047300;TraesCS5B01G474500;TraesCS1A01G296300;TraesCS2B01G240800;TraesCS1D01G239700;TraesCS6A01G327500;TraesCS2D01G148700;TraesCS1D01G082200;TraesCS7B01G301400;TraesCS5A01G198800;TraesCS7D01G201600;TraesCS7D01G463300;TraesCS1D01G032600;TraesCS5B01G078500;TraesCS7B01G259000;TraesCS2D01G222700;TraesCS2D01G564300;TraesCS5A01G152800;TraesCS4B01G171600;TraesCS7A01G306800;TraesCS4A01G384500;TraesCS7D01G224700;TraesCS6A01G375800;TraesCS3D01G272300;TraesCS2D01G528200;TraesCS1B01G109400;TraesCS7B01G249200;TraesCS2B01G241900;TraesCS4B01G132000;TraesCS6D01G328800;TraesCS1A01G389500;TraesCS4B01G216700;TraesCS6D01G335300;TraesCS2A01G324400;TraesCS7D01G357100;TraesCS6D01G299000;TraesCS5B01G056700;TraesCS1A01G073300;TraesCS1B01G385200;TraesCS6A01G243000;TraesCS7B01G008400;TraesCS5A01G398900;TraesCS4B01G055600;TraesCS1B01G251700;TraesCS7A01G131300;TraesCS3A01G439200;TraesCS7D01G372500;TraesCS1B01G375400;TraesCS3B01G352300;TraesCS7D01G368000;TraesCS2B01G539200;TraesCS2A01G488800;TraesCS4D01G180200;TraesCS4D01G312400;TraesCS6A01G258500;TraesCS6D01G243000;TraesCS2B01G315100;TraesCS7A01G423900;TraesCS2A01G182400;TraesCS2A01G339900;TraesCS4A01G071800;TraesCS4B01G083200;TraesCS4B01G228700;TraesCS1A01G112500;TraesCS2B01G198400;TraesCS2B01G320700;TraesCS1B01G157700;TraesCS2A01G101400;TraesCS3D01G542300;TraesCS2B01G169700;TraesCS2D01G098200;TraesCS6B01G069800;TraesCS5A01G138500;TraesCS1D01G314800;TraesCS5A01G222300;TraesCS2A01G150600;TraesCS5A01G080300;TraesCS4A01G171500;TraesCS5A01G048600;TraesCS7D01G474200;TraesCS4A01G211600;TraesCS3D01G262300;TraesCS5D01G212900;TraesCS7A01G384500;TraesCS6D01G362500;TraesCS7B01G025800;TraesCS7D01G015500;TraesCS3A01G124100;TraesCS6A01G148100;TraesCS7A01G267200;TraesCS7D01G353800;TraesCS3A01G191100;TraesCS6D01G316600;TraesCS3D01G273200;TraesCS2A01G117800;TraesCS2D01G190200;TraesCS5D01G158100;TraesCS5D01G223800;TraesCS6A01G266100;TraesCS1B01G398700;TraesCS6A01G080500;TraesCS1D01G199000;TraesCS3A01G338800;TraesCS2A01G209900;TraesCS5A01G173300;TraesCS6A01G120600;TraesCS5A01G196400;TraesCS2A01G323300;TraesCS5A01G152600;TraesCS7D01G444400;TraesCS2A01G023900;TraesCS4D01G229100;TraesCS7D01G037700;TraesCS5A01G463100;TraesCS1D01G229700;TraesCS5D01G070900;TraesCS3A01G419600;TraesCS6D01G050900;TraesCS2B01G480500;TraesCS5A01G514500;TraesCS3B01G376300;TraesCS5A01G210300;TraesCS6D01G047500;TraesCS3D01G182600;TraesCS3D01G337900;TraesCS1D01G073100;TraesCS1D01G237100;TraesCS6D01G381200;TraesCS3B01G253900;TraesCS4D01G173700;TraesCS2D01G509500;TraesCS3B01G310500;TraesCS3B01G295500;TraesCS3D01G136300;TraesCS7D01G130600;TraesCS3A01G009400;TraesCS3B01G053800;TraesCS6A01G374700;TraesCS7D01G213600;TraesCS3B01G377600;TraesCS3A01G034600;TraesCS6D01G115200;TraesCS1A01G215100;TraesCS2D01G178100;TraesCS5B01G437300;TraesCS7D01G203800;TraesCS5A01G312000;TraesCSU01G150500;TraesCS6B01G190100;TraesCS4D01G325500;TraesCS4D01G254500;TraesCS4A01G126300;TraesCS7D01G048600;TraesCS7A01G091200;TraesCS3A01G276500;TraesCS7D01G128300;TraesCS2D01G459200;TraesCS3B01G374100;TraesCS1B01G095600;TraesCS1B01G204700;TraesCS3D01G238000;TraesCS2A01G428500;TraesCS1D01G295800;TraesCS2D01G286300;TraesCS3D01G535700;TraesCS7B01G325900;TraesCS4D01G175700;TraesCS3B01G356600;TraesCS3A01G493100;TraesCS5B01G482400;TraesCS7B01G105600;TraesCS2B01G197000;TraesCS4D01G081300;TraesCS6B01G305600;TraesCS7A01G127100;TraesCS5A01G217000;TraesCS7B01G370700;TraesCS5D01G397400;TraesCS3A01G097800;TraesCS5B01G082500;TraesCS5A01G366000;TraesCS3A01G255600;TraesCS7D01G136700;TraesCS2A01G418200;TraesCS2B01G198100;TraesCS6A01G225300;TraesCS2A01G455600;TraesCS5B01G151600;TraesCS2D01G231600;TraesCS2B01G243000;TraesCS5D01G375600;TraesCS6D01G240100;TraesCS3D01G339600;TraesCS6B01G420600;TraesCS6B01G141000;TraesCS3B01G194400;TraesCS5B01G358900;TraesCS2D01G217500;TraesCS5D01G478700;TraesCS5B01G203100;TraesCS1A01G358600;TraesCS2B01G407600;TraesCS3A01G199600;TraesCS1D01G111900;TraesCS2D01G507800;TraesCS5B01G138600;TraesCS1A01G228100;TraesCS5D01G374300;TraesCS2A01G503800;TraesCS1A01G424200;TraesCS2D01G033100;TraesCS7B01G093500;TraesCS2B01G449200;TraesCS2B01G489700;TraesCS5A01G062600;TraesCS1D01G199300;TraesCS3D01G078900;TraesCS2A01G214400;TraesCS2B01G236900;TraesCS3D01G183900;TraesCS6B01G006600;TraesCS6B01G293500;TraesCS7D01G419400;TraesCSU01G008300;TraesCS3B01G206500;TraesCS2D01G321400;TraesCS3B01G367500;TraesCS1B01G157300;TraesCS2D01G504300;TraesCS2A01G417300;TraesCS2B01G271700;TraesCS2D01G275400;TraesCS7A01G344100;TraesCS7B01G255500;TraesCS1D01G118300;TraesCS2A01G384100;TraesCS2D01G197600;TraesCS1D01G259700;TraesCS6A01G272500;TraesCS7B01G356400;TraesCS4A01G131000;TraesCS3A01G096500;TraesCS2D01G219900;TraesCS5B01G381500;TraesCS6B01G225800;TraesCS7B01G287100;TraesCS6A01G146200;TraesCS2B01G365900;TraesCS3D01G472000;TraesCS2B01G437200;TraesCS2D01G414500;TraesCS4D01G215200;TraesCS3D01G500800;TraesCS4D01G266400;TraesCS3D01G036000;TraesCS5B01G193200;TraesCS5A01G085900;TraesCS5B01G252100;TraesCS5D01G194700;TraesCS7D01G341300;TraesCS1A01G367100;TraesCS2D01G214200;TraesCS5B01G380400;TraesCS1D01G303700;TraesCS2D01G562200;TraesCS2B01G339600;TraesCS2A01G346000;TraesCS5B01G197800;TraesCS5A01G356400;TraesCS2D01G415600;TraesCS5D01G211300;TraesCS7D01G356800;TraesCS2B01G436100;TraesCS7A01G241200;TraesCS1D01G185100;TraesCS7D01G316100;TraesCS1D01G037200;TraesCS4B01G178600;TraesCS6B01G197000;TraesCS3B01G093300;TraesCS4B01G080900;TraesCS4D01G001200;TraesCS2D01G428900;TraesCS3D01G316700;TraesCS5A01G369500;TraesCS1A01G219400;TraesCS3B01G158300;TraesCS2B01G430800;TraesCS4A01G110100;TraesCS4B01G174000;TraesCS5A01G451400;TraesCS4B01G214600;TraesCS1B01G089100;TraesCS4B01G143500;TraesCS3D01G178300;TraesCS5B01G138400;TraesCS2A01G324200;TraesCS5A01G390300;TraesCS1B01G385000;TraesCS3B01G102300;TraesCS3D01G048000;TraesCS3B01G591000;TraesCS3D01G136700;TraesCS5A01G059400;TraesCS1B01G217500;TraesCS3A01G293900;TraesCS5B01G339100;TraesCS3D01G527900;TraesCS7D01G395100;TraesCS5B01G275200;TraesCS1A01G218100;TraesCS1D01G199500;TraesCS1D01G273800;TraesCS1B01G058600;TraesCS6D01G302500;TraesCS6A01G204600;TraesCS2D01G344700;TraesCS3B01G357500;TraesCS4B01G098200;TraesCS4B01G261800;TraesCS4B01G216800;TraesCS6A01G135100;TraesCSU01G021700;TraesCS4D01G055000;TraesCS6D01G360800;TraesCS7D01G124900;TraesCS3A01G256300;TraesCS3D01G046000;TraesCS4B01G141500;TraesCS4D01G064800;TraesCS2B01G535500;TraesCS5B01G201100;TraesCS2A01G288000;TraesCS6A01G132400;TraesCS1B01G241200;TraesCS3B01G306500;TraesCS3D01G256500;TraesCS1A01G141300;TraesCS6D01G367600;TraesCS2D01G567000;TraesCS2D01G572600;TraesCS2A01G446500;TraesCS4D01G096400;TraesCS5D01G225100;TraesCS1A01G080600;TraesCS2B01G532000;TraesCS2B01G536600;TraesCS2D01G315100;TraesCS5B01G191900;TraesCS1D01G372700;TraesCS3D01G139300;TraesCS3D01G320600;TraesCS6D01G145100;TraesCS1A01G259900;TraesCS5D01G434500;TraesCS3B01G240000;TraesCS2A01G304000;TraesCS2D01G493700;TraesCS4A01G100900;TraesCS3A01G408000;TraesCS7B01G031900;TraesCS3D01G212100;TraesCS4A01G207800;TraesCS2D01G458700;TraesCS5D01G499000;TraesCS5D01G482800;TraesCS7A01G470400;TraesCS5D01G216400;TraesCS3B01G409400;TraesCS6D01G109000;TraesCS7B01G272900;TraesCS5D01G357800;TraesCS2B01G114000;TraesCS7D01G028400;TraesCS2A01G255300;TraesCS3B01G304300;TraesCS2B01G189000;TraesCS6A01G124800;TraesCS7A01G299600;TraesCS2A01G155500;TraesCS5B01G223600;TraesCS7D01G295100;TraesCS3A01G345800;TraesCS5D01G089900;TraesCS1B01G182700;TraesCS6D01G363200;TraesCS1D01G072600;TraesCS3B01G141500;TraesCS4D01G239600;TraesCS7D01G243700;TraesCS5A01G076600;TraesCS2A01G141100;TraesCS7D01G321500;TraesCS3B01G370500;TraesCS5B01G236900;TraesCS1D01G114100;TraesCS5D01G157900;TraesCS7B01G333700;TraesCS7D01G380900;TraesCS3A01G037100;TraesCS3A01G050300;TraesCS3D01G104000;TraesCS7B01G356800;TraesCS5D01G531600;TraesCS2A01G211300;TraesCS3A01G176500;TraesCS1B01G230500;TraesCS1D01G130400;TraesCS6D01G039300;TraesCS5A01G206700;TraesCS1A01G245300;TraesCS7D01G261300;TraesCS3A01G471900;TraesCS5B01G197400;TraesCS4A01G226300;TraesCS7D01G041400;TraesCS3D01G355900;TraesCS1A01G070600;TraesCS1B01G314700;TraesCS2B01G112000;TraesCS7A01G427600;TraesCS1B01G310100;TraesCS5A01G437500;TraesCS2B01G175800;TraesCS6D01G122200;TraesCS7D01G417600;TraesCS1D01G133900;TraesCS5D01G329100;TraesCS3A01G049500;TraesCS1D01G372500;TraesCS2A01G081400;TraesCS2A01G101900;TraesCS3B01G038900;TraesCS5B01G244300;TraesCS6D01G135500;TraesCS6B01G256300;TraesCS5D01G092000;TraesCS3B01G208300;TraesCS7B01G247500;TraesCS4A01G102900;TraesCS5B01G188700;TraesCS6B01G328300;TraesCS7D01G248100;TraesCS3A01G101800;TraesCS3D01G359000;TraesCS3D01G048400;TraesCS7A01G376100;TraesCS6B01G238900;TraesCS6B01G385500;TraesCS2A01G144800;TraesCS2D01G100900;TraesCS6D01G191500;TraesCS3A01G261700;TraesCS3B01G289500;TraesCS4D01G094400;TraesCS7B01G261800;TraesCS4B01G203900;TraesCS2A01G233100;TraesCS4A01G094300;TraesCS6D01G307100;TraesCS1A01G305400;TraesCS2B01G452400;TraesCS1A01G215900;TraesCS2B01G511300;TraesCS1B01G210700;TraesCSU01G129000;TraesCS5A01G321500;TraesCS7A01G053400;TraesCS5D01G281200;TraesCS7B01G228900;TraesCS4D01G202300;TraesCS5A01G380900;TraesCS5D01G199800;TraesCS5D01G210800;TraesCS4B01G059700;TraesCS4B01G254700;TraesCS4D01G316500;TraesCS2D01G456900;TraesCS5D01G493200;TraesCS2A01G217200;TraesCS3A01G101700;TraesCS2D01G509400;TraesCS1D01G094700;TraesCS2A01G211900;TraesCS2A01G412200;TraesCS6D01G167300;TraesCS2D01G095000;TraesCS4D01G268100;TraesCS2D01G339600;TraesCS4B01G215100;TraesCS1D01G174700;TraesCS6D01G191400;TraesCS2D01G349400;TraesCS3D01G370800;TraesCS5A01G156200;TraesCS7B01G030400;TraesCS7B01G326200;TraesCS2B01G217500;TraesCS3D01G412400;TraesCS3A01G477400;TraesCS4D01G176000;TraesCS5A01G469800;TraesCS6B01G136100;TraesCS6B01G152800;TraesCS3D01G354100;TraesCS2D01G141100;TraesCS5B01G262900;TraesCS5B01G480900;TraesCS2B01G220900;TraesCS2B01G266900;TraesCS7A01G091500;TraesCS5B01G142100;TraesCS4A01G391100;TraesCS4A01G062800;TraesCS1D01G081400;TraesCS6A01G108800;TraesCS3A01G021600;TraesCS5A01G147500;TraesCS4A01G232600;TraesCS4A01G498700;TraesCS3D01G432000;TraesCS3A01G327200;TraesCS2B01G250100;TraesCS7A01G195800;TraesCS6D01G155100;TraesCS5D01G481200;TraesCS2D01G066900;TraesCS7B01G416100;TraesCS2A01G276400;TraesCS1D01G101300;TraesCS6D01G239700;TraesCS4B01G100100;TraesCS5D01G244800;TraesCS4D01G142000;TraesCS1D01G082500;TraesCS3A01G110400;TraesCS3A01G135700;TraesCS7A01G364200;TraesCS2A01G371700;TraesCS4D01G339400;TraesCS5A01G320600;TraesCS6B01G358800;TraesCS5D01G097900;TraesCS6D01G225300;TraesCS6D01G258200;TraesCS5A01G463000;TraesCS2A01G113100;TraesCS5B01G118200;TraesCS7B01G301100;TraesCS5D01G461600;TraesCS6B01G147200;TraesCS2D01G419700;TraesCS4D01G032900;TraesCS4A01G221700;TraesCS7D01G149300;TraesCS1A01G203600;TraesCS3B01G110500;TraesCS2B01G318100;TraesCS6D01G192500;TraesCS7A01G057800;TraesCS2A01G462700;TraesCS4A01G001400;TraesCS3B01G310000;TraesCS1A01G048000;TraesCS2D01G509200;TraesCS5A01G235300;TraesCS5B01G327700;TraesCS7B01G029200;TraesCS4A01G035400;TraesCS7D01G311200;TraesCS6A01G119900;TraesCS1B01G062200;TraesCS5A01G204800;TraesCS1A01G202300;TraesCS1B01G119700;TraesCSU01G051800;TraesCS1A01G103900;TraesCS2D01G201700;TraesCS1B01G268600;TraesCS5B01G176300;TraesCS6B01G257800;TraesCS3A01G351500;TraesCS2A01G201900;TraesCS2D01G534400;TraesCS6A01G168900;TraesCS2D01G198200;TraesCS1D01G344700;TraesCS5B01G202900;TraesCS3D01G045400;TraesCS2A01G096500;TraesCS6B01G266500;TraesCS7A01G400900;TraesCS4B01G228200;TraesCS7A01G434300;TraesCS5B01G042800;TraesCS5D01G343000;TraesCS4A01G216100;TraesCS1D01G330300;TraesCS2B01G100300;TraesCS5B01G208200;TraesCS2A01G308400;TraesCS6B01G152600;TraesCS5A01G183600;TraesCS7B01G316600;TraesCS7A01G344600;TraesCS2B01G220700;TraesCS2B01G323700;TraesCS3D01G094800;TraesCS6D01G158400;TraesCS3B01G119500;TraesCS2A01G102000;TraesCS7A01G328100;TraesCS2A01G507400;TraesCS2B01G067000;TraesCS2D01G485200;TraesCS5D01G073900;TraesCS7B01G214900;TraesCS7D01G394800;TraesCS1D01G079600;TraesCS7D01G001600;TraesCS5A01G351300;TraesCS1D01G101100;TraesCS3D01G256600;TraesCS5A01G479600;TraesCS5D01G152300;TraesCS5D01G177800;TraesCS7D01G345200;TraesCS1A01G235200;TraesCS2D01G511300;TraesCS3B01G151200;TraesCS5B01G187200;TraesCS5D01G475800;TraesCS2A01G098700;TraesCS3A01G209200;TraesCS7A01G333700;TraesCS6A01G166500;TraesCS1D01G372800;TraesCS1D01G206900;TraesCS4D01G126800;TraesCS5A01G377900;TraesCS7A01G212000;TraesCS4D01G194900;TraesCS1A01G203400;TraesCS7D01G053900;TraesCS1D01G305100;TraesCS3A01G406000;TraesCS4B01G216000;TraesCS2B01G557100;TraesCS2D01G273700;TraesCS1A01G333800;TraesCS5A01G237700;TraesCS4A01G267300;TraesCS3D01G276200;TraesCS6B01G183300;TraesCS5D01G145100;TraesCS2A01G217600;TraesCS5B01G415400;TraesCS2B01G166100;TraesCS1B01G385300;TraesCS2B01G216800;TraesCS1B01G456700;TraesCS5D01G369200;TraesCS1A01G145100;TraesCS1A01G149700;TraesCS2B01G114900;TraesCS5D01G078300;TraesCS1B01G134500;TraesCS4D01G172700;TraesCS4D01G312300;TraesCS7D01G496100;TraesCS2B01G135600;TraesCS1B01G283400;TraesCS3A01G530200;TraesCS3B01G229900;TraesCS1B01G120100;TraesCS2A01G214100;TraesCS5B01G460200;TraesCS2B01G498100;TraesCS3B01G384000;TraesCS6D01G032300;TraesCS5D01G408200;TraesCS5A01G138600;TraesCS3A01G463400;TraesCS5D01G304700;TraesCS2B01G436300;TraesCS7A01G110500;TraesCS5D01G373700;TraesCS2B01G562100;TraesCS1A01G031200;TraesCS3B01G439600;TraesCS2D01G459100;TraesCS5B01G236200;TraesCS7B01G222500;TraesCS2A01G347400;TraesCS3D01G472100;TraesCS3A01G262200;TraesCS2B01G204800;TraesCS2A01G368700;TraesCS5D01G386800;TraesCS1D01G228700;TraesCS5D01G034700;TraesCS1B01G270300;TraesCS2B01G521800;TraesCS7A01G096800;TraesCS6A01G209000;TraesCS5B01G069900;TraesCS2A01G083000;TraesCS2A01G532600;TraesCS2A01G389400;TraesCS6D01G210200;TraesCS1B01G377700;TraesCS7D01G236600;TraesCS1A01G235000;TraesCS1D01G367800;TraesCS2D01G343000;TraesCS2B01G121200;TraesCS1B01G235100;TraesCS5D01G093700;TraesCS4D01G046900;TraesCS6A01G116000;TraesCS7A01G154900;TraesCS4A01G186700;TraesCS5B01G074000;TraesCS4B01G239700;TraesCS1B01G248400;TraesCS2B01G480600;TraesCS2B01G241800;TraesCS7B01G207100;TraesCS1A01G259200;TraesCS2B01G467400;TraesCS3B01G110100;TraesCS6B01G367100;TraesCS1B01G097700;TraesCS3D01G201900;TraesCS5A01G237900;TraesCS3D01G182300;TraesCS1A01G302700;TraesCS2B01G504000;TraesCS6D01G253100;TraesCS2D01G284200;TraesCS5B01G056800;TraesCS2D01G380800;TraesCS2D01G207400;TraesCS6D01G222600;TraesCS4D01G087200;TraesCS2D01G580700;TraesCS5A01G160100;TraesCS3A01G521300;TraesCS3A01G034700;TraesCS2A01G458000;TraesCS4B01G041300;TraesCS7A01G423800;TraesCS6A01G363900;TraesCS2B01G366600;TraesCS2D01G285300;TraesCS7D01G423600;TraesCS2A01G474500;TraesCS3D01G097000;TraesCS1D01G259000;TraesCS2D01G392800;TraesCS7D01G268600;TraesCS7B01G141900;TraesCS3B01G154100;TraesCS5B01G366400;TraesCS4B01G214200;TraesCS3A01G136200;TraesCS7B01G222700;TraesCS6D01G280700;TraesCS1B01G316100;TraesCS2B01G101800;TraesCS3D01G262200;TraesCS4B01G294300;TraesCS5B01G075300;TraesCS3D01G046900;TraesCS3A01G323200;TraesCS7A01G129300;TraesCS2D01G574000;TraesCS2D01G062100;TraesCS4D01G217000;TraesCS5D01G158000;TraesCS7D01G129500;TraesCS4A01G417300;TraesCS2B01G594100;TraesCS3D01G124200;TraesCS1A01G221900;TraesCS2B01G364400;TraesCS2D01G348900;TraesCS7D01G444500;TraesCS6A01G223500;TraesCS1B01G305200;TraesCS1B01G248600;TraesCS6A01G352800;TraesCS7D01G457800;TraesCS3D01G276600;TraesCS6A01G375900;TraesCS4B01G132100;TraesCS5B01G064400;TraesCS1A01G016000;TraesCS5B01G087500;TraesCS3A01G245900;TraesCS2A01G485600;TraesCS7A01G325000;TraesCS1A01G295300;TraesCS4B01G065700;TraesCS6A01G165800;TraesCS2A01G298600;TraesCS1A01G182700;TraesCS7B01G220500</t>
  </si>
  <si>
    <t>TraesCS4A01G091000;TraesCS6D01G226700;TraesCS1D01G111900;TraesCS5A01G424300;TraesCS5D01G346200;TraesCS6B01G280000;TraesCS5B01G339100;TraesCS1A01G275200;TraesCS5A01G341000;TraesCS2D01G517200;TraesCS2B01G393000;TraesCS4A01G122800;TraesCS7A01G339100;TraesCS2B01G198100;TraesCS5D01G183700;TraesCS6A01G244400;TraesCS7B01G250400;TraesCS3A01G077000;TraesCS5A01G375000;TraesCS6B01G105800;TraesCS3D01G077200;TraesCS1D01G274800;TraesCS4D01G183100;TraesCS5D01G432800;TraesCS7D01G346400</t>
  </si>
  <si>
    <t>fatty acid oxidation</t>
  </si>
  <si>
    <t>lipid oxidation</t>
  </si>
  <si>
    <t>TraesCS2D01G197600;TraesCS5A01G375000;TraesCS7A01G328600;TraesCS5A01G341000;TraesCS5D01G346200;TraesCS7D01G325500;TraesCS5B01G339100</t>
  </si>
  <si>
    <t>animal organ senescence</t>
  </si>
  <si>
    <t>TraesCS5B01G572600;TraesCS7D01G355100;TraesCS1A01G218400;TraesCS1D01G004700;TraesCS1D01G243400;TraesCS7A01G118900;TraesCS1D01G140400;TraesCS5B01G188600;TraesCS7D01G114100;TraesCS7A01G231600;TraesCS1D01G220000;TraesCS6D01G161200;TraesCS1D01G335500;TraesCS2A01G049700;TraesCS2B01G485600;TraesCS5D01G142900;TraesCS7A01G480100;TraesCS2A01G056800;TraesCS5D01G452500;TraesCS2B01G060900;TraesCS6D01G166100;TraesCS2D01G451100;TraesCS3B01G388600;TraesCS4A01G101600;TraesCS4B01G203000;TraesCS3A01G257500;TraesCS1B01G254900;TraesCS3D01G412400;TraesCS7D01G467100;TraesCS5A01G249900;TraesCS4B01G181800;TraesCS1A01G312300;TraesCS2D01G464800;TraesCS3B01G248400;TraesCS4B01G174200;TraesCS7B01G245800;TraesCS5A01G447200;TraesCS1A01G002500;TraesCS6A01G178500;TraesCS6D01G153600;TraesCS2A01G463900;TraesCS4A01G130300;TraesCS3D01G234400;TraesCS3D01G349700;TraesCS5B01G135200;TraesCS4D01G180700;TraesCS1B01G430800;TraesCS5D01G163500;TraesCS5A01G467600;TraesCS5D01G564000;TraesCS7B01G167100;TraesCS1D01G312500;TraesCS6B01G145700;TraesCS3D01G257500;TraesCS4B01G174300;TraesCS5D01G195700;TraesCS7B01G260800;TraesCS1A01G343000;TraesCS5A01G136200;TraesCS1A01G243400;TraesCS6A01G171800;TraesCS5D01G480600;TraesCS3D01G193200;TraesCS5B01G247700;TraesCS3B01G218800;TraesCS3B01G290300;TraesCS4D01G203900;TraesCS5D01G328300;TraesCSU01G003600;TraesCS2D01G031100;TraesCS1B01G356100;TraesCS6D01G107600;TraesCS5B01G183500;TraesCS1A01G332800;TraesCS3A01G355700;TraesCS7D01G364700;TraesCS7D01G366600;TraesCS2D01G562200;TraesCS1A01G049600;TraesCS3D01G230300;TraesCS4D01G176200;TraesCS3A01G362500;TraesCS5A01G185500;TraesCS6B01G199700;TraesCS2D01G055600;TraesCS6B01G145800;TraesCS3A01G129000;TraesCS6D01G146500;TraesCS7D01G114200;TraesCS3D01G204000;TraesCS3B01G148100;TraesCS1D01G052000;TraesCS1D01G335400;TraesCS3A01G272800;TraesCS6D01G105000;TraesCS4D01G184200;TraesCS1A01G342900;TraesCS1B01G324000;TraesCS1B01G356200;TraesCS6B01G205900;TraesCS3B01G306400;TraesCS3B01G524400;TraesCS5D01G190600;TraesCS3A01G479800;TraesCS3A01G217900;TraesCS4D01G176300;TraesCS1A01G047000;TraesCS1B01G157900;TraesCS7D01G341800;TraesCS3A01G123000;TraesCS6B01G192400;TraesCS1B01G231900;TraesCS4B01G054700;TraesCS3B01G401600;TraesCS6B01G415600;TraesCS7A01G419500;TraesCS7B01G271600;TraesCS5A01G016200;TraesCS3D01G356300;TraesCS1D01G047900;TraesCS5A01G321500;TraesCS1B01G001800;TraesCS1D01G345200</t>
  </si>
  <si>
    <t>TraesCS4B01G045400;TraesCS7D01G548200;TraesCS5A01G177800;TraesCS2B01G208900;TraesCS5B01G307300;TraesCS5B01G175100;TraesCS5D01G182100;TraesCS4D01G045300;TraesCS1D01G074500;TraesCS7A01G561600</t>
  </si>
  <si>
    <t>callose localization</t>
  </si>
  <si>
    <t>polysaccharide localization</t>
  </si>
  <si>
    <t>TraesCS2D01G284200;TraesCS2B01G208900;TraesCS1A01G182100;TraesCS6B01G284000;TraesCS1B01G198900;TraesCS7A01G470400;TraesCS6A01G240700;TraesCS6D01G222900;TraesCS4B01G100100;TraesCS2D01G517200;TraesCS4D01G264500;TraesCS2A01G033700;TraesCS4D01G096400;TraesCS7B01G372400;TraesCS2A01G551000;TraesCS1A01G072200;TraesCS2D01G392800;TraesCS7A01G327700;TraesCS1D01G074600;TraesCS1D01G185200;TraesCS4A01G216100;TraesCS1D01G074500;TraesCS7D01G457800;TraesCS2A01G384100;TraesCS2D01G552100;TraesCS3A01G517100;TraesCS3D01G524700;TraesCS1A01G295300;TraesCS4D01G315400;TraesCS4A01G043800</t>
  </si>
  <si>
    <t>defense response to bacterium</t>
  </si>
  <si>
    <t>TraesCS2B01G208900;TraesCS1D01G398400;TraesCS5B01G482400;TraesCS7D01G392800;TraesCS1B01G456700;TraesCS4A01G035400;TraesCS7D01G353800;TraesCS4D01G238600;TraesCS6D01G039300;TraesCS1A01G275200;TraesCS5B01G214500;TraesCS5D01G223800;TraesCS4D01G264500;TraesCS4D01G096400;TraesCS7B01G372400;TraesCS3B01G361500;TraesCS2D01G285300;TraesCS5A01G177800;TraesCS5D01G207400;TraesCS7B01G259000;TraesCS1A01G215600;TraesCS2D01G392800;TraesCS5B01G200000;TraesCS2D01G077300;TraesCS4A01G216100;TraesCS3D01G139300;TraesCS5A01G469800;TraesCS4B01G237300;TraesCS5A01G216000;TraesCS7B01G316600;TraesCS2A01G080000;TraesCS7A01G110500;TraesCS4D01G001200;TraesCS5D01G182100;TraesCS1B01G164200;TraesCS3B01G156600;TraesCS1A01G389500;TraesCS1D01G073100;TraesCS2B01G174500;TraesCS7D01G548200;TraesCS7B01G008400;TraesCS5D01G482800;TraesCS7A01G470400;TraesCS2B01G180500;TraesCS3B01G310500;TraesCS4D01G045300;TraesCS7A01G412400;TraesCS7B01G272900;TraesCS4B01G045400;TraesCS7A01G264500;TraesCS4B01G100100;TraesCS5D01G244800;TraesCS7D01G368000;TraesCS1D01G119500;TraesCS2A01G155500;TraesCS1B01G229100;TraesCS6A01G116000;TraesCS7A01G561600;TraesCS5B01G392400;TraesCS2B01G271700;TraesCS7D01G457800;TraesCS3D01G276600;TraesCS7B01G299200;TraesCS7A01G369500;TraesCS2A01G384100;TraesCS3A01G276500;TraesCS5B01G236900;TraesCS1D01G144600;TraesCS5B01G175100;TraesCS6D01G104800;TraesCS1A01G295300;TraesCS1D01G274800;TraesCS5A01G237900;TraesCS4A01G001400;TraesCS4A01G043800</t>
  </si>
  <si>
    <t>TraesCS4A01G091000;TraesCS6D01G226700;TraesCS6D01G255200;TraesCS1D01G111900;TraesCS5A01G424300;TraesCS5B01G373000;TraesCS5D01G346200;TraesCS6B01G280000;TraesCS5B01G339100;TraesCS6B01G392700;TraesCS1A01G275200;TraesCS5A01G341000;TraesCS2D01G517200;TraesCS2B01G393000;TraesCS6D01G342800;TraesCS4A01G122800;TraesCS6A01G359900;TraesCS7A01G339100;TraesCS2B01G198100;TraesCS5D01G183700;TraesCS6A01G244400;TraesCS7B01G250400;TraesCS3A01G077000;TraesCS5A01G375000;TraesCS6B01G105800;TraesCS3D01G077200;TraesCS1D01G274800;TraesCS4D01G183100;TraesCS5D01G432800;TraesCS7D01G346400</t>
  </si>
  <si>
    <t>monocarboxylic acid catabolic process</t>
  </si>
  <si>
    <t>TraesCS7D01G225200;TraesCS2D01G284200;TraesCS2B01G208900;TraesCS5B01G482400;TraesCS7A01G246700;TraesCS7D01G392800;TraesCS4D01G238600;TraesCS6A01G240700;TraesCS6D01G039300;TraesCS5A01G204800;TraesCS2B01G189300;TraesCS4D01G264500;TraesCS4D01G096400;TraesCS7B01G372400;TraesCS1A01G072200;TraesCS6B01G222200;TraesCS7D01G245500;TraesCS2D01G392800;TraesCS1D01G074600;TraesCS4A01G216100;TraesCS5D01G183700;TraesCS5A01G469800;TraesCS4B01G237300;TraesCS7A01G110500;TraesCS3D01G524700;TraesCS7A01G365600;TraesCS4D01G315400;TraesCS1A01G182100;TraesCS6A01G190700;TraesCS6B01G284000;TraesCS7B01G008400;TraesCS1B01G198900;TraesCS5D01G482800;TraesCS7A01G470400;TraesCS2B01G180500;TraesCS4D01G045300;TraesCS4D01G326400;TraesCS6D01G257000;TraesCS6D01G222900;TraesCS2B01G605800;TraesCS4B01G045400;TraesCS4B01G100100;TraesCS2D01G517200;TraesCS2A01G033700;TraesCS2A01G551000;TraesCS2A01G155500;TraesCS7A01G327700;TraesCS1D01G185200;TraesCS1D01G074500;TraesCS6D01G180400;TraesCS5B01G392400;TraesCS5A01G266400;TraesCS7D01G457800;TraesCS7B01G299200;TraesCS2A01G384100;TraesCS2D01G552100;TraesCS3A01G517100;TraesCS7B01G144600;TraesCS2D01G598500;TraesCS5A01G329100;TraesCS1A01G295300;TraesCS4A01G043800</t>
  </si>
  <si>
    <t>defense response to other organism</t>
  </si>
  <si>
    <t>TraesCS5B01G520200;TraesCS3B01G276600;TraesCS7D01G114100;TraesCS5A01G392300;TraesCS5B01G371100;TraesCS6D01G393600;TraesCS5A01G182600;TraesCS2B01G218700;TraesCS4B01G057400;TraesCS6D01G161200;TraesCS6B01G324800;TraesCS2A01G188000;TraesCS6A01G212000;TraesCS5D01G142900;TraesCS3B01G373500;TraesCS4A01G384900;TraesCS5A01G118600;TraesCS2A01G056800;TraesCS2B01G449100;TraesCS6A01G032500;TraesCS3B01G562500;TraesCS5D01G378200;TraesCS7D01G328400;TraesCS4D01G262900;TraesCS6D01G275100;TraesCS3B01G361500;TraesCS3D01G288600;TraesCS5B01G380600;TraesCS2A01G373200;TraesCS2D01G451100;TraesCS4A01G101600;TraesCS6A01G032400;TraesCS4A01G206900;TraesCS4A01G145300;TraesCS4B01G203000;TraesCS5D01G039900;TraesCS3A01G217200;TraesCS2B01G198100;TraesCS6A01G244400;TraesCS1D01G074400;TraesCS2D01G283600;TraesCS4B01G339700;TraesCS2D01G277600;TraesCS3B01G213600;TraesCS5A01G025400;TraesCS5B01G031800;TraesCS3B01G383400;TraesCS7D01G145500;TraesCS1B01G395400;TraesCS3A01G300400;TraesCS2B01G451400;TraesCS4B01G353800;TraesCS1D01G111900;TraesCS4A01G404500;TraesCS4D01G347700;TraesCS3B01G255200;TraesCS5A01G460300;TraesCS5D01G085800;TraesCS5D01G378100;TraesCS2A01G259500;TraesCS2A01G463900;TraesCS2B01G393000;TraesCS3B01G562400;TraesCS7D01G230900;TraesCS2D01G520900;TraesCS5A01G366700;TraesCS5B01G135200;TraesCS3A01G183800;TraesCS3A01G505200;TraesCS3B01G336100;TraesCS4A01G009000;TraesCS5A01G467600;TraesCS5D01G218300;TraesCS2B01G271700;TraesCS2B01G266000;TraesCS3D01G188000;TraesCS6B01G145700;TraesCS2D01G199100;TraesCS4A01G110200;TraesCS5D01G237800;TraesCS5A01G510300;TraesCS5D01G480600;TraesCS6A01G240900;TraesCS4D01G125800;TraesCS4B01G076400;TraesCS5B01G117600;TraesCS4B01G131500;TraesCS3B01G290300;TraesCS4D01G203900;TraesCSU01G003600;TraesCS2D01G031100;TraesCS7D01G452600;TraesCS3A01G265100;TraesCS1A01G332800;TraesCS2A01G278400;TraesCS3D01G443400;TraesCS7B01G372400;TraesCS1D01G265400;TraesCS3B01G298700;TraesCS4B01G243500;TraesCS3A01G362500;TraesCS5A01G073000;TraesCS3D01G251700;TraesCS4D01G271200;TraesCS5B01G217100;TraesCS6D01G037300;TraesCS7D01G114200;TraesCS2D01G483700;TraesCS1B01G288300;TraesCS3B01G532300;TraesCS6D01G226700;TraesCS1D01G335400;TraesCS4B01G096700;TraesCS6B01G280000;TraesCS5D01G270600;TraesCS4D01G243100;TraesCS2D01G198900;TraesCS3B01G323500;TraesCS1B01G324000;TraesCS2A01G278500;TraesCS6D01G237600;TraesCS3B01G247500;TraesCS5B01G107100;TraesCS2D01G264200;TraesCS2B01G232900;TraesCS3D01G209300;TraesCS4D01G147600;TraesCS1D01G227700;TraesCS3B01G401600;TraesCS2D01G443700;TraesCS4A01G187600;TraesCS5D01G201400;TraesCS5B01G217000;TraesCS5D01G226000;TraesCS4D01G064000;TraesCS4B01G246000;TraesCS6D01G037200;TraesCS7A01G118900;TraesCS2A01G305900;TraesCS3D01G344800;TraesCS1D01G335500;TraesCS6B01G045600;TraesCS2B01G485600;TraesCS6A01G351600;TraesCS2A01G205500;TraesCS2B01G326900;TraesCS4D01G302500;TraesCS2D01G362900;TraesCS5D01G225900;TraesCS4B01G125700;TraesCS6D01G302400;TraesCS7A01G085900;TraesCS1D01G112500;TraesCS1D01G296600;TraesCS2D01G373900;TraesCS7A01G230500;TraesCS5D01G402100;TraesCS7B01G043200;TraesCS7D01G014200;TraesCS3A01G257500;TraesCS5A01G354300;TraesCS1A01G312300;TraesCS2B01G593500;TraesCS2D01G199600;TraesCS2D01G464800;TraesCS2A01G428400;TraesCS2D01G369400;TraesCS2B01G451800;TraesCS7D01G143600;TraesCS2A01G399200;TraesCS7A01G470400;TraesCS5A01G189500;TraesCS5B01G261500;TraesCS1A01G279300;TraesCS5A01G521500;TraesCS1B01G195900;TraesCS2A01G121000;TraesCS1D01G382400;TraesCS5A01G213700;TraesCS3A01G288800;TraesCS5A01G360200;TraesCS5A01G368600;TraesCS1D01G357500;TraesCS3B01G487700;TraesCS4A01G352900;TraesCS5B01G397100;TraesCS3A01G251300;TraesCS2D01G396700;TraesCS5B01G156800;TraesCS5D01G519400;TraesCS1D01G312500;TraesCS2D01G426500;TraesCS1A01G071800;TraesCS3D01G257500;TraesCS2B01G417900;TraesCS4B01G065100;TraesCS5A01G136200;TraesCS4A01G412500;TraesCS7D01G388900;TraesCS6A01G171800;TraesCS5A01G229700;TraesCS7B01G056700;TraesCS5B01G362700;TraesCS5B01G228500;TraesCS6B01G231800;TraesCS5A01G424300;TraesCS1A01G111000;TraesCS5D01G031800;TraesCS7A01G130300;TraesCS2D01G118400;TraesCS5A01G263100;TraesCS4D01G191700;TraesCS6B01G283800;TraesCS6D01G107600;TraesCS5D01G187100;TraesCS6B01G383300;TraesCS7B01G116700;TraesCS3A01G229400;TraesCS7D01G364700;TraesCS2A01G188600;TraesCS4B01G190300;TraesCS2D01G564100;TraesCS3B01G388400;TraesCS6B01G199700;TraesCS2A01G284900;TraesCS2D01G304300;TraesCS5B01G217500;TraesCS2D01G055600;TraesCS6B01G128000;TraesCS6B01G145800;TraesCS3A01G129000;TraesCS4B01G304300;TraesCS7A01G420300;TraesCS5D01G432800;TraesCS2A01G047300;TraesCS4A01G066200;TraesCS7A01G143800;TraesCS3B01G280800;TraesCS7D01G055700;TraesCS3D01G204000;TraesCS5B01G371200;TraesCS6B01G456500;TraesCS2D01G483300;TraesCS3B01G148100;TraesCS4A01G033400;TraesCS5B01G079100;TraesCS6B01G045700;TraesCS5A01G031700;TraesCS4A01G113800;TraesCS4D01G108200;TraesCS2A01G188700;TraesCS2B01G296100;TraesCS2B01G135900;TraesCS2B01G282400;TraesCS5A01G368800;TraesCS5B01G193700;TraesCS2A01G365000;TraesCS3A01G123000;TraesCS6A01G294200;TraesCS5A01G142000;TraesCS3D01G356300;TraesCS7D01G457800;TraesCS2B01G141900;TraesCS5A01G218000;TraesCS4D01G294600;TraesCS1A01G295300;TraesCS5D01G130000;TraesCS2B01G201100;TraesCS3B01G280000</t>
  </si>
  <si>
    <t>TraesCS2A01G158800;TraesCS1D01G266000;TraesCS2A01G158700;TraesCS1A01G021000;TraesCS6B01G095100;TraesCS1A01G021400;TraesCS1D01G265900;TraesCS5B01G280900;TraesCS1A01G265600;TraesCS1A01G265700;TraesCS2B01G184300;TraesCS5D01G289000;TraesCS6A01G071000;TraesCS1D01G020600;TraesCS1B01G276800;TraesCS1B01G276500;TraesCS2D01G165800;TraesCS3A01G093900;TraesCS5D01G288900</t>
  </si>
  <si>
    <t>negative regulation of endopeptidase activity</t>
  </si>
  <si>
    <t>regulation of endopeptidase activity</t>
  </si>
  <si>
    <t>negative regulation of peptidase activity</t>
  </si>
  <si>
    <t>regulation of peptidase activity</t>
  </si>
  <si>
    <t>TraesCS2D01G538400;TraesCS5D01G359000;TraesCS4B01G059700;TraesCS2A01G211300;TraesCS2D01G485300;TraesCS5B01G520600;TraesCS2A01G211900;TraesCS5A01G351400;TraesCS7A01G127100;TraesCS6A01G078700;TraesCS2A01G423900;TraesCS2D01G364400;TraesCS2D01G534400;TraesCS1D01G239700;TraesCS2A01G209900;TraesCS2A01G538200;TraesCS2D01G216700;TraesCS2B01G236800;TraesCS7D01G444400;TraesCS2D01G537100;TraesCS4D01G126900;TraesCS1D01G330300;TraesCS5A01G351700;TraesCS6B01G136100;TraesCS1A01G259900;TraesCS4A01G353100;TraesCS5A01G138600;TraesCS1A01G016100;TraesCS2B01G562100;TraesCS3B01G291900;TraesCS3D01G316700;TraesCS5D01G358600;TraesCS7B01G356500;TraesCS4B01G132000;TraesCS2D01G537700;TraesCS4D01G059300;TraesCS2D01G217500;TraesCS2A01G211200;TraesCS2D01G485200;TraesCS4D01G196500;TraesCS2B01G367500;TraesCS4A01G255400;TraesCS4B01G376800;TraesCS1B01G251700;TraesCS5A01G350800;TraesCS3A01G323200;TraesCS1B01G270300;TraesCS6A01G000500;TraesCS5D01G357800;TraesCS2D01G297300;TraesCS2A01G532600;TraesCS3B01G352300;TraesCS5D01G152300;TraesCS1D01G367800;TraesCS5B01G437300;TraesCS2B01G236900;TraesCS7D01G444500;TraesCS2A01G537900;TraesCS6A01G116000;TraesCS7D01G444700;TraesCS2B01G511300;TraesCS4A01G186700;TraesCS4D01G126800;TraesCS5D01G519800;TraesCS5D01G463900;TraesCS5D01G519600;TraesCS7A01G455800;TraesCS1D01G259700;TraesCS4B01G132100;TraesCS1A01G016000;TraesCS4B01G216000;TraesCS7B01G356400;TraesCS2A01G485600;TraesCS3D01G316400;TraesCS7B01G356800;TraesCS7D01G124900</t>
  </si>
  <si>
    <t>TraesCS6A01G310300;TraesCS6B01G340300;TraesCS6D01G289700;TraesCS1A01G221400;TraesCS1D01G223000;TraesCS7D01G197300;TraesCS7B01G101500;TraesCS1B01G234700;TraesCS7A01G195800</t>
  </si>
  <si>
    <t>extracellular matrix</t>
  </si>
  <si>
    <t>TraesCS3B01G232600;TraesCS4A01G124800;TraesCS3A01G195400;TraesCS4B01G093500;TraesCS4B01G179600;TraesCS4A01G222900;TraesCS6A01G209000;TraesCS6D01G344600;TraesCS4D01G181200;TraesCS6A01G361100;TraesCS6D01G192500;TraesCS4D01G090300;TraesCS3D01G200800</t>
  </si>
  <si>
    <t>catalytic activity, acting on a glycoprotein</t>
  </si>
  <si>
    <t>TraesCS7B01G440900;TraesCS7D01G420400;TraesCS6B01G074200;TraesCS7B01G346600;TraesCS2A01G167300;TraesCS5D01G407400;TraesCS1B01G274400;TraesCS2A01G389900;TraesCS4A01G406100;TraesCS3A01G414400;TraesCS5B01G231600;TraesCS6D01G380400;TraesCS2A01G262800;TraesCS5A01G152400;TraesCS1A01G162400;TraesCS3D01G405200;TraesCS5A01G326800;TraesCS2A01G469900;TraesCS2D01G479100;TraesCS6B01G406300;TraesCS7A01G381300;TraesCS7D01G423800;TraesCS5A01G280700;TraesCS1B01G126600;TraesCS1D01G106100;TraesCS2B01G177500;TraesCS3D01G072000;TraesCS5A01G469000;TraesCS5A01G129500;TraesCS1A01G139500;TraesCS4B01G335100;TraesCS4A01G499200;TraesCS2B01G198100;TraesCS4A01G109200;TraesCS2D01G250100;TraesCS3A01G084700;TraesCS7A01G156900;TraesCS2A01G248400;TraesCS4D01G187800;TraesCS6A01G259200;TraesCS5B01G209800;TraesCS7A01G447000;TraesCS3A01G061600;TraesCS4B01G209100;TraesCS5B01G347900;TraesCS7B01G092200;TraesCS5D01G157600;TraesCS4D01G032000;TraesCS4D01G093300;TraesCS2D01G554900;TraesCS4D01G150300;TraesCS3D01G136900;TraesCS5B01G222900;TraesCS6A01G297500;TraesCS2B01G279200;TraesCS6B01G209100;TraesCS6D01G358700;TraesCS2A01G546600;TraesCS4A01G234100;TraesCS5D01G407500;TraesCS5D01G535700;TraesCS3B01G423300;TraesCS4A01G385300;TraesCS2A01G005100;TraesCS2B01G382300;TraesCS1A01G277400;TraesCS6D01G369400;TraesCS4B01G270600;TraesCS6D01G153600;TraesCS6A01G271300;TraesCS5B01G101200;TraesCS2A01G396200;TraesCS6D01G332200;TraesCS2A01G325100;TraesCS1D01G221000;TraesCS2D01G392500;TraesCS5D01G513700;TraesCS2D01G506600;TraesCS5B01G288700;TraesCS5B01G318100;TraesCS3D01G444900;TraesCS1D01G118300;TraesCS4A01G225500;TraesCS7B01G469000;TraesCS3A01G136100;TraesCS4D01G187900;TraesCS2B01G151100;TraesCS4D01G032100;TraesCS6D01G198600;TraesCSU01G151900;TraesCS5D01G170700;TraesCS7D01G178000;TraesCS1D01G302500;TraesCS3A01G103000;TraesCS1D01G004500;TraesCS7B01G346800;TraesCS5A01G403200;TraesCS7A01G542600;TraesCS5B01G245800;TraesCS1B01G251600;TraesCS2A01G479900;TraesCS1D01G310000;TraesCS3D01G225800;TraesCS6D01G289700;TraesCS2B01G139200;TraesCS6B01G125800;TraesCS4D01G035200;TraesCS1D01G176400;TraesCS5D01G464000;TraesCS6D01G254700;TraesCS6B01G192900;TraesCS6B01G346000;TraesCS7D01G377600;TraesCS1D01G074600;TraesCS5D01G232100;TraesCS2D01G174800;TraesCS1D01G263900;TraesCS4B01G377900;TraesCS6D01G240300;TraesCS5A01G216000;TraesCS7A01G428300;TraesCS5B01G318200;TraesCS3A01G012400;TraesCS1B01G164800;TraesCS3D01G010800;TraesCS5B01G192000;TraesCS7D01G271600;TraesCS3A01G176900;TraesCS6A01G305000;TraesCS1A01G219400;TraesCS5B01G117700;TraesCS5A01G390300;TraesCSU01G145300;TraesCS3B01G125500;TraesCS3B01G421200;TraesCS2A01G546400;TraesCS5A01G028700;TraesCS5A01G513000;TraesCS5A01G544500;TraesCS2D01G529500;TraesCS6B01G423900;TraesCS4B01G097000;TraesCS3D01G225900;TraesCS6B01G406200;TraesCS7A01G251000;TraesCS7B01G332300;TraesCS1D01G106000;TraesCS6A01G174900;TraesCS1A01G141900;TraesCS1A01G435400;TraesCS2A01G323000;TraesCS3A01G152500;TraesCS4D01G176700;TraesCS1A01G118800;TraesCS7B01G171000;TraesCSU01G127900;TraesCS4B01G377800;TraesCS4B01G237600;TraesCS3D01G010900;TraesCS2B01G306600;TraesCS3A01G266300;TraesCS7D01G080700;TraesCS4B01G086100;TraesCSU01G021700;TraesCS3A01G448400;TraesCS7A01G277500;TraesCS5B01G404800;TraesCS1A01G029800;TraesCS7A01G187000;TraesCS4B01G378000;TraesCSU01G145600;TraesCS2A01G318300;TraesCS3D01G293800;TraesCS4D01G064800;TraesCS5D01G254900;TraesCS4D01G087800;TraesCS5D01G084300;TraesCS2D01G246800;TraesCS1D01G035200;TraesCS4A01G181900;TraesCS7D01G523800;TraesCS4B01G106500;TraesCS2A01G505800;TraesCS7A01G480100;TraesCS5B01G174200;TraesCS7B01G254100;TraesCS2A01G232200;TraesCS7A01G031700;TraesCS2A01G446500;TraesCS7D01G511700;TraesCS7D01G415100;TraesCS1A01G221400;TraesCS3A01G513200;TraesCS3D01G364300;TraesCS6D01G353300;TraesCS5B01G200000;TraesCS5A01G186000;TraesCS7D01G467100;TraesCS1D01G089400;TraesCS1D01G175500;TraesCS2D01G445500;TraesCS4A01G100900;TraesCS3A01G413700;TraesCS1D01G144900;TraesCS5A01G512800;TraesCS7D01G512800;TraesCS2A01G290100;TraesCS6D01G284200;TraesCS7A01G273000;TraesCS2B01G268800;TraesCS1D01G004600;TraesCSU01G145500;TraesCS6B01G406000;TraesCS2B01G193500;TraesCS4D01G014400;TraesCS5B01G224800;TraesCS7D01G273100;TraesCS5D01G271100;TraesCS7A01G470400;TraesCS3A01G491300;TraesCS4A01G181800;TraesCS4B01G149000;TraesCS5D01G437800;TraesCS5A01G106000;TraesCS6D01G243800;TraesCS1B01G056900;TraesCS3A01G280500;TraesCS5A01G253700;TraesCS3D01G036100;TraesCS3D01G011000;TraesCS4A01G279200;TraesCS5B01G223600;TraesCS2B01G419400;TraesCS6D01G353400;TraesCS1D01G209400;TraesCS7D01G243700;TraesCS5B01G156800;TraesCS5A01G375000;TraesCS5A01G543900;TraesCS5D01G331600;TraesCS2A01G078100;TraesCS7A01G449600;TraesCS6A01G310300;TraesCS4D01G339300;TraesCS5B01G163500;TraesCS2D01G288000;TraesCS5D01G098900;TraesCS7D01G460500;TraesCS2A01G152400;TraesCS4D01G238600;TraesCS1B01G066400;TraesCS3D01G084600;TraesCS4A01G352200;TraesCS4D01G031800;TraesCSU01G007800;TraesCS5B01G128100;TraesCS1B01G219300;TraesCS1D01G380000;TraesCS5A01G378600;TraesCS5B01G048500;TraesCS7D01G387300;TraesCS5A01G248100;TraesCS2B01G357200;TraesCS2D01G016900;TraesCS7D01G188100;TraesCS1B01G371900;TraesCS3D01G240900;TraesCS4A01G279100;TraesCS3B01G256500;TraesCS7B01G349100;TraesCS1A01G351600;TraesCS5B01G363800;TraesCS1B01G195800;TraesCS3B01G164700;TraesCS6A01G376300;TraesCS7D01G077600;TraesCS4D01G031900;TraesCS5D01G310500;TraesCSU01G025000;TraesCS6D01G164000;TraesCS6B01G151000;TraesCS6B01G340300;TraesCS4D01G030700;TraesCS7A01G449500;TraesCS7D01G157300;TraesCS1D01G175700;TraesCS1D01G359100;TraesCS7A01G391700;TraesCS6B01G051900;TraesCS3B01G139600;TraesCS3D01G408100;TraesCS1B01G001900;TraesCS5A01G505000;TraesCS5B01G402800;TraesCS4D01G240800;TraesCS5D01G388500;TraesCS7B01G293600;TraesCS4D01G240900;TraesCS6D01G207700;TraesCS2B01G336400;TraesCS4D01G339200;TraesCS6A01G226100;TraesCS6D01G146500;TraesCSU01G145700;TraesCS5B01G184100;TraesCS5B01G430100;TraesCS6B01G173100;TraesCS6A01G097400;TraesCS7D01G523900;TraesCS3A01G227800;TraesCS3B01G268800;TraesCS3D01G084700;TraesCS5D01G353400;TraesCS6D01G300600;TraesCS4D01G222000;TraesCSU01G152000;TraesCS1A01G095800;TraesCS3D01G384200;TraesCS4B01G305600;TraesCS5B01G382100;TraesCS6A01G227300;TraesCS4B01G033100;TraesCS4B01G203900;TraesCS5A01G549000;TraesCS7B01G349000;TraesCS1A01G303100;TraesCS7A01G473600;TraesCS7B01G175200;TraesCS3A01G387600;TraesCS5A01G400000;TraesCS2B01G606600;TraesCS1A01G177800;TraesCS2A01G490500;TraesCS7D01G188000;TraesCS7B01G465000;TraesCS6A01G404500;TraesCS3A01G413600;TraesCS4A01G164100;TraesCS5D01G333700;TraesCS4A01G229900;TraesCS5A01G543700;TraesCS4A01G202200;TraesCS7D01G457000;TraesCS5D01G323900;TraesCS3D01G408000;TraesCS5B01G402900;TraesCS6D01G154100;TraesCS3D01G321400;TraesCS5D01G231500;TraesCS6B01G382800;TraesCS3A01G109300;TraesCS2D01G248700;TraesCS3A01G120100;TraesCS7D01G508800;TraesCS5D01G036500;TraesCS2A01G198600;TraesCS4D01G238800;TraesCS5D01G518700;TraesCS3D01G336900;TraesCS5D01G160100;TraesCS7B01G122500;TraesCS4B01G215100;TraesCS4D01G031600;TraesCSU01G128300;TraesCS3A01G107000;TraesCS3A01G410600;TraesCS4D01G079900;TraesCS2B01G504600;TraesCS3D01G147100;TraesCS7D01G435100;TraesCS7B01G225500;TraesCS2D01G398700;TraesCS4B01G037800;TraesCS1A01G395100;TraesCS5D01G207400;TraesCS7D01G438600;TraesCS5A01G224100;TraesCS5B01G202700;TraesCS3B01G489700;TraesCS2D01G543300;TraesCS5A01G201200;TraesCS7B01G328500;TraesCS2D01G157800;TraesCS4A01G218200;TraesCS6A01G349700;TraesCS2D01G141100;TraesCS5B01G262900;TraesCS3B01G328700;TraesCS3D01G520900;TraesCS1B01G313400;TraesCS6A01G144900;TraesCS7A01G537500;TraesCS5D01G233700;TraesCS3A01G153000;TraesCS4B01G378300;TraesCS4B01G174800;TraesCS6A01G165500;TraesCS6D01G085100;TraesCS2A01G152500;TraesCS4B01G149400;TraesCS3D01G381800;TraesCS5A01G166100;TraesCS2A01G322500;TraesCS7A01G195800;TraesCS3B01G348200;TraesCS4A01G082400;TraesCS7D01G024200;TraesCS4D01G031700;TraesCS3B01G448000;TraesCS5B01G403000;TraesCS1D01G044300;TraesCS3D01G147200;TraesCS2D01G396300;TraesCS4B01G033300;TraesCS4B01G377200;TraesCS7D01G438700;TraesCS4D01G147800;TraesCS7A01G432100;TraesCS6D01G030300;TraesCS3B01G256400;TraesCS2D01G157900;TraesCS5A01G205700;TraesCS3D01G084900;TraesCS7A01G537600;TraesCS2B01G333600;TraesCS4A01G049500;TraesCS7D01G197300;TraesCS5D01G413200;TraesCS2A01G401400;TraesCS3B01G282500;TraesCS3D01G421000;TraesCS5A01G453200;TraesCS3D01G148300;TraesCS7A01G523400;TraesCS6B01G269900;TraesCS1B01G393400;TraesCS2D01G326600;TraesCS4D01G255100;TraesCS5B01G327700;TraesCS7B01G434700;TraesCS3A01G132000;TraesCSU01G172100;TraesCS1B01G234700;TraesCS5B01G153300;TraesCS5B01G214500;TraesCS5B01G151000;TraesCS6B01G255500;TraesCS7D01G263200;TraesCS5D01G137000;TraesCS3B01G448100;TraesCS5A01G263500;TraesCS3A01G317700;TraesCS3B01G419900;TraesCS7B01G372400;TraesCS3D01G011100;TraesCS7A01G186900;TraesCS2B01G226000;TraesCS4B01G033400;TraesCS1A01G112600;TraesCS2D01G157600;TraesCS1A01G177300;TraesCS1D01G114200;TraesCS3B01G120600;TraesCS4B01G377100;TraesCS7A01G373100;TraesCSU01G211400;TraesCS2D01G547700;TraesCS2B01G345600;TraesCS1B01G258900;TraesCS1A01G043900;TraesCS4B01G344200;TraesCS7B01G146400;TraesCS4A01G248900;TraesCS7B01G169500;TraesCS7D01G000400;TraesCS1A01G205800;TraesCS5D01G436200;TraesCS3B01G449200;TraesCS4B01G023600;TraesCS7A01G086000;TraesCS5A01G361100;TraesCS4A01G095800;TraesCS3D01G445000;TraesCS3A01G044800;TraesCS4B01G378100;TraesCS5A01G233100;TraesCS4A01G320100;TraesCS3D01G266400;TraesCS3B01G278200;TraesCS7B01G101500;TraesCS7D01G338700;TraesCS5D01G487900;TraesCS6A01G176400;TraesCS2D01G339900;TraesCS4A01G027800;TraesCS7B01G208100;TraesCS4B01G135200;TraesCS7A01G306100;TraesCS5B01G462200;TraesCS1D01G414700;TraesCS4B01G377000;TraesCS3A01G062200;TraesCS3B01G462500;TraesCS7D01G488800;TraesCS6B01G289500;TraesCS2A01G577800;TraesCS7B01G061100;TraesCS6B01G204400;TraesCS7D01G264300;TraesCS2D01G543000;TraesCS3A01G249300;TraesCS2B01G557100;TraesCS2D01G273700;TraesCS3D01G440900;TraesCS2D01G589200;TraesCS6A01G255700;TraesCS2D01G322200;TraesCS7D01G527600;TraesCS7B01G081700;TraesCS3D01G088200;TraesCS4D01G158400;TraesCS5B01G373000;TraesCS4A01G117900;TraesCS5A01G544400;TraesCS6A01G306800;TraesCS6D01G294800;TraesCS1B01G134500;TraesCS3D01G122200;TraesCS2D01G276900;TraesCS5A01G303400;TraesCS3D01G109100;TraesCS3A01G452400;TraesCS3B01G609400;TraesCS4B01G033600;TraesCS1A01G072200;TraesCS3B01G361100;TraesCS7B01G242100;TraesCS5B01G303800;TraesCS4D01G195700;TraesCS7B01G439400;TraesCS5D01G436000;TraesCS7A01G373300;TraesCS4B01G016000;TraesCS3B01G552300;TraesCS4B01G237300;TraesCS2D01G315900;TraesCS7B01G094900;TraesCS4D01G242100;TraesCS1D01G223000;TraesCS2B01G413200;TraesCS2A01G277900;TraesCS7A01G271500;TraesCS7A01G518800;TraesCS7D01G271800;TraesCS1B01G316300;TraesCS2D01G521700;TraesCSU01G128800;TraesCS7B01G253700;TraesCS7B01G323100;TraesCS3A01G294000;TraesCS5A01G347000;TraesCS2B01G414500;TraesCS2D01G337800;TraesCS2A01G364100;TraesCS1D01G239600;TraesCS3A01G139900;TraesCS6B01G335400;TraesCS6D01G243000;TraesCS2D01G157500;TraesCS4D01G069600;TraesCS3B01G166100;TraesCS4B01G295200;TraesCS4D01G103100;TraesCS5A01G397800;TraesCS1A01G248200;TraesCS7A01G245100;TraesCS3B01G154000;TraesCS2A01G008100;TraesCS2D01G361900;TraesCS3A01G012500;TraesCS6D01G133900;TraesCS7B01G170500;TraesCS3A01G082900;TraesCS4D01G303800;TraesCS5D01G054300;TraesCS7B01G272100;TraesCS2A01G391700;TraesCS2D01G386100;TraesCS2A01G388300;TraesCS2B01G467400;TraesCS4A01G009400;TraesCS7D01G250900;TraesCS1D01G217700;TraesCS7A01G422700;TraesCS4A01G129800;TraesCS1D01G054600;TraesCS5D01G210600;TraesCS7B01G161500;TraesCS4A01G183600;TraesCS7A01G267200;TraesCS3B01G167400;TraesCS6A01G058300;TraesCS5A01G317600;TraesCS7A01G176700;TraesCS2B01G518400;TraesCSU01G137500;TraesCS3B01G520500;TraesCS5B01G325800;TraesCS5B01G403100;TraesCS7A01G454300;TraesCS5D01G223800;TraesCS5D01G565100;TraesCS2A01G534600;TraesCS3D01G149600;TraesCS7D01G305600;TraesCS3D01G408900;TraesCS7D01G058500;TraesCS5B01G519400;TraesCS4D01G021200;TraesCS2B01G572100;TraesCS2B01G177300;TraesCS5A01G397900;TraesCS5D01G297200;TraesCS4B01G377500;TraesCS2D01G543500;TraesCS4A01G034600;TraesCS7A01G308900;TraesCS5B01G114500;TraesCS5A01G325400;TraesCS4D01G032200;TraesCS7D01G436900;TraesCS2A01G057800;TraesCS1D01G104800;TraesCS3B01G179500;TraesCS5A01G159000;TraesCSU01G002900;TraesCS6B01G298500;TraesCS5A01G044300;TraesCS2D01G261100;TraesCS4D01G209500;TraesCS1B01G423400;TraesCS2D01G429700;TraesCS3B01G595200;TraesCS1D01G403300;TraesCS2D01G393900;TraesCS6B01G414100;TraesCS2A01G437200;TraesCS4B01G099700;TraesCS2B01G007700;TraesCS5D01G407300;TraesCS5A01G428000;TraesCS2B01G093100;TraesCS3D01G183700;TraesCS5A01G213900;TraesCSU01G152800;TraesCS3A01G391400;TraesCS1D01G103800;TraesCS1A01G239400;TraesCS3D01G313600;TraesCS1A01G215100;TraesCS3A01G452500;TraesCS6D01G361500;TraesCS7D01G364900;TraesCS2D01G157300;TraesCS6B01G192400;TraesCS2D01G543400;TraesCS4B01G377400;TraesCS2D01G206400;TraesCS2D01G021600;TraesCS5D01G014800;TraesCS5D01G218100;TraesCS7D01G457800;TraesCS4B01G019600;TraesCS4A01G221500;TraesCS2A01G053300;TraesCS3A01G228100;TraesCS3B01G282300;TraesCS2B01G595300;TraesCS4B01G065700;TraesCS5D01G287300;TraesCS6D01G236900;TraesCS2B01G262800;TraesCS3D01G532300;TraesCSU01G222700;TraesCS5A01G545200;TraesCS7A01G189900</t>
  </si>
  <si>
    <t>TraesCS1D01G004700;TraesCS6A01G171800;TraesCS7A01G118900;TraesCS7D01G114100;TraesCS7A01G231600;TraesCS5D01G480600;TraesCS3D01G193200;TraesCS6D01G161200;TraesCS1D01G335500;TraesCS2B01G485600;TraesCS3B01G218800;TraesCS3B01G290300;TraesCS4D01G203900;TraesCS5D01G142900;TraesCSU01G003600;TraesCS2D01G031100;TraesCS7A01G480100;TraesCS6D01G107600;TraesCS2A01G056800;TraesCS1A01G332800;TraesCS7D01G364700;TraesCS2D01G451100;TraesCS4A01G101600;TraesCS4B01G203000;TraesCS3A01G257500;TraesCS4D01G176200;TraesCS7D01G467100;TraesCS3A01G362500;TraesCS6B01G199700;TraesCS1A01G312300;TraesCS2D01G464800;TraesCS2D01G055600;TraesCS6B01G145800;TraesCS3A01G129000;TraesCS4B01G174200;TraesCS6D01G146500;TraesCS7D01G114200;TraesCS3D01G204000;TraesCS3B01G148100;TraesCS1D01G335400;TraesCS1A01G002500;TraesCS1B01G324000;TraesCS6D01G153600;TraesCS2A01G463900;TraesCS4A01G130300;TraesCS4D01G176300;TraesCS1A01G047000;TraesCS5B01G135200;TraesCS3A01G123000;TraesCS6B01G192400;TraesCS3B01G401600;TraesCS7A01G419500;TraesCS5A01G467600;TraesCS3D01G356300;TraesCS1D01G312500;TraesCS1D01G047900;TraesCS6B01G145700;TraesCS3D01G257500;TraesCS1B01G001800;TraesCS4B01G174300;TraesCS5A01G136200</t>
  </si>
  <si>
    <t>TraesCS7D01G548200;TraesCS2B01G208900;TraesCS5B01G482400;TraesCS7D01G392800;TraesCS5D01G482800;TraesCS7A01G470400;TraesCS2B01G180500;TraesCS4D01G045300;TraesCS4D01G238600;TraesCS6D01G039300;TraesCS7B01G272900;TraesCS4B01G045400;TraesCS4B01G100100;TraesCS7D01G368000;TraesCS4D01G264500;TraesCS4D01G096400;TraesCS7B01G372400;TraesCS2A01G155500;TraesCS5D01G207400;TraesCS1A01G215600;TraesCS1B01G229100;TraesCS6A01G116000;TraesCS2D01G392800;TraesCS5B01G200000;TraesCS2D01G077300;TraesCS4A01G216100;TraesCS7A01G561600;TraesCS3D01G139300;TraesCS5A01G469800;TraesCS5B01G392400;TraesCS4B01G237300;TraesCS7D01G457800;TraesCS7B01G299200;TraesCS2A01G384100;TraesCS2A01G080000;TraesCS6D01G104800;TraesCS1A01G295300;TraesCS3B01G156600;TraesCS4A01G043800</t>
  </si>
  <si>
    <t>cellular response to organic cyclic compound</t>
  </si>
  <si>
    <t>TraesCS2B01G174500;TraesCS5D01G207400;TraesCS4D01G289900;TraesCS5B01G307300;TraesCS6D01G258600;TraesCS6A01G246400;TraesCS7D01G229100;TraesCS5B01G200000;TraesCS6A01G278000;TraesCS6B01G306300;TraesCS5D01G346200;TraesCS1D01G074400;TraesCS5B01G339100;TraesCS7B01G194200;TraesCS2A01G121200;TraesCS5D01G244800;TraesCS5A01G341000;TraesCS6A01G383800;TraesCS6D01G368800;TraesCS5A01G237900;TraesCS2D01G123300</t>
  </si>
  <si>
    <t>TraesCS2D01G284200;TraesCS2B01G208900;TraesCS1A01G182100;TraesCS4A01G089700;TraesCS6B01G284000;TraesCS1B01G198900;TraesCS7A01G470400;TraesCS4D01G215200;TraesCS6A01G240700;TraesCS6D01G039300;TraesCS6D01G222900;TraesCS4B01G100100;TraesCS2D01G517200;TraesCS4D01G264500;TraesCS2A01G033700;TraesCS4D01G096400;TraesCS7B01G372400;TraesCS2A01G551000;TraesCS1A01G072200;TraesCS2D01G392800;TraesCS7A01G327700;TraesCS1D01G074600;TraesCS1D01G185200;TraesCS4A01G216100;TraesCS1D01G074500;TraesCS7D01G457800;TraesCS2A01G384100;TraesCS2D01G552100;TraesCS3A01G517100;TraesCS3D01G524700;TraesCS5B01G142100;TraesCS1A01G295300;TraesCS4D01G315400;TraesCS4A01G043800</t>
  </si>
  <si>
    <t>response to bacterium</t>
  </si>
  <si>
    <t>TraesCS4A01G091000;TraesCS6D01G226700;TraesCS1D01G111900;TraesCS5A01G424300;TraesCS5B01G373000;TraesCS5D01G346200;TraesCS6B01G280000;TraesCS5B01G339100;TraesCS6B01G392700;TraesCS1A01G275200;TraesCS5A01G341000;TraesCS2D01G517200;TraesCS2B01G393000;TraesCS6D01G342800;TraesCS4A01G122800;TraesCS6A01G359900;TraesCS7A01G339100;TraesCS2B01G198100;TraesCS5D01G183700;TraesCS6A01G244400;TraesCS7B01G250400;TraesCS3A01G077000;TraesCS5A01G375000;TraesCS6B01G105800;TraesCS3D01G077200;TraesCS1D01G274800;TraesCS4D01G183100;TraesCS5D01G432800;TraesCS7D01G346400</t>
  </si>
  <si>
    <t>fatty acid catabolic process</t>
  </si>
  <si>
    <t>TraesCS2B01G174500;TraesCS7D01G548200;TraesCS2B01G208900;TraesCS5B01G482400;TraesCS7D01G392800;TraesCS5D01G482800;TraesCS7A01G470400;TraesCS2B01G180500;TraesCS4D01G045300;TraesCS4D01G238600;TraesCS6D01G039300;TraesCS7B01G272900;TraesCS4B01G045400;TraesCS4B01G100100;TraesCS5D01G244800;TraesCS7D01G368000;TraesCS4D01G264500;TraesCS4D01G096400;TraesCS7B01G372400;TraesCS2A01G155500;TraesCS4D01G285800;TraesCS5D01G207400;TraesCS1A01G215600;TraesCS1B01G229100;TraesCS5B01G307300;TraesCS5D01G169300;TraesCS6A01G116000;TraesCS2D01G392800;TraesCS5B01G200000;TraesCS2D01G077300;TraesCS4A01G216100;TraesCS7A01G561600;TraesCS3D01G139300;TraesCS5A01G469800;TraesCS5B01G392400;TraesCS4B01G237300;TraesCS7D01G457800;TraesCS7B01G299200;TraesCS2A01G384100;TraesCS2A01G080000;TraesCS6D01G104800;TraesCS1A01G295300;TraesCS4B01G287100;TraesCS5A01G237900;TraesCS3B01G156600;TraesCS4A01G043800</t>
  </si>
  <si>
    <t>response to organic cyclic compound</t>
  </si>
  <si>
    <t>TraesCS7D01G063900;TraesCS6D01G255200;TraesCS5A01G424300;TraesCS5B01G373000;TraesCS5D01G346200;TraesCS6A01G240700;TraesCS5A01G182400;TraesCS5B01G152600;TraesCS7B01G346600;TraesCS1A01G275200;TraesCS1D01G067800;TraesCS3D01G308100;TraesCS6B01G169700;TraesCS5A01G341000;TraesCS6A01G141500;TraesCS6D01G212400;TraesCS3A01G355700;TraesCS7D01G435100;TraesCS5A01G156200;TraesCS1A01G217300;TraesCS2B01G339600;TraesCS5A01G177800;TraesCS1D01G219100;TraesCS5B01G468400;TraesCS6D01G130800;TraesCS4A01G122800;TraesCS6A01G359900;TraesCS4B01G335100;TraesCS7A01G339100;TraesCS2B01G198100;TraesCS5D01G183700;TraesCS6A01G244400;TraesCS1A01G066800;TraesCS1D01G039500;TraesCS5B01G262900;TraesCS6B01G258400;TraesCS3D01G077200;TraesCS5D01G182100;TraesCS5A01G505000;TraesCS4D01G315400;TraesCS5D01G432800;TraesCS7D01G346400;TraesCS2B01G174500;TraesCS4A01G091000;TraesCS6B01G284000;TraesCS6D01G226700;TraesCS1D01G111900;TraesCS6B01G280000;TraesCS7A01G412400;TraesCS5B01G339100;TraesCS6D01G222900;TraesCS2B01G605800;TraesCS6B01G392700;TraesCS2D01G517200;TraesCS4A01G419400;TraesCS2B01G393000;TraesCS6D01G342800;TraesCS7D01G364900;TraesCS1B01G048300;TraesCS1D01G074500;TraesCS7B01G250400;TraesCS1B01G048500;TraesCS7A01G069300;TraesCS3A01G077000;TraesCS6B01G258500;TraesCS3A01G295000;TraesCS5A01G375000;TraesCS6B01G105800;TraesCS2D01G598500;TraesCS5B01G175100;TraesCS1D01G274800;TraesCS5B01G180400;TraesCS4D01G183100</t>
  </si>
  <si>
    <t>TraesCS2D01G322200;TraesCS3B01G490000;TraesCS7D01G086900;TraesCS3A01G262300;TraesCS3D01G046000;TraesCS3A01G101700;TraesCS2D01G509400;TraesCS2D01G582800;TraesCS2A01G343900;TraesCS2B01G537800;TraesCS6B01G305600;TraesCS6A01G132400;TraesCS7A01G188600;TraesCS3A01G034100;TraesCS6D01G191400;TraesCS7A01G249400;TraesCS3D01G104100;TraesCS7D01G085800;TraesCS2A01G214100;TraesCS5B01G460200;TraesCS2B01G536600;TraesCS4A01G384500;TraesCS7D01G136700;TraesCS6A01G225300;TraesCS6D01G032300;TraesCS2A01G455600;TraesCS2B01G220900;TraesCS7B01G169700;TraesCS5D01G373700;TraesCS3D01G188900;TraesCS5D01G061800;TraesCS7A01G091500;TraesCS1D01G381800;TraesCS3A01G033000;TraesCS4A01G391100;TraesCS7D01G495700;TraesCS3A01G048800;TraesCS6D01G335300;TraesCS2D01G219800;TraesCS3A01G262200;TraesCS2D01G509300;TraesCS5D01G374300;TraesCS1A01G122800;TraesCS5B01G069900;TraesCS6D01G210200;TraesCS7B01G093500;TraesCS2B01G489700;TraesCS2A01G371700;TraesCS5A01G062600;TraesCS2A01G371600;TraesCS6D01G258200;TraesCS1B01G157300;TraesCS2B01G477600;TraesCS5B01G057000;TraesCS2B01G536500;TraesCS3B01G141500;TraesCS6D01G122100;TraesCS3D01G049700;TraesCS5D01G461600;TraesCS7A01G091400;TraesCS3A01G050300;TraesCS7D01G327600;TraesCS3D01G104000;TraesCS7D01G248200;TraesCS2D01G219900;TraesCS3A01G048700;TraesCS3D01G262300;TraesCS1A01G048000;TraesCS3B01G119600;TraesCS2D01G509200;TraesCS7D01G189700;TraesCS1B01G062200;TraesCS6D01G056600;TraesCS3A01G034300;TraesCS2D01G201700;TraesCS3A01G034700;TraesCS6D01G210100;TraesCS7D01G041400;TraesCS4B01G041300;TraesCS5A01G139500;TraesCS3A01G261800;TraesCS7D01G085600;TraesCS3D01G045400;TraesCS2B01G341400;TraesCS6D01G122200;TraesCS2D01G455900;TraesCS3A01G049500;TraesCS7B01G141900;TraesCS1D01G037200;TraesCS5B01G366400;TraesCS1D01G123700;TraesCS6B01G256300;TraesCS6D01G050900;TraesCS2B01G220700;TraesCS7A01G242800;TraesCS5D01G524800;TraesCS3B01G049700;TraesCS3B01G196900;TraesCS5A01G451400;TraesCS1A01G048100;TraesCS3B01G119500;TraesCS3D01G262200;TraesCS3D01G046100;TraesCS7D01G248100;TraesCS3A01G101800;TraesCS3A01G122300;TraesCS3D01G048000;TraesCS2D01G509500;TraesCS7B01G415400;TraesCS5D01G073900;TraesCS3D01G046900;TraesCS3D01G048400;TraesCS6A01G377700;TraesCS3D01G172200;TraesCS3B01G053800;TraesCSU01G047400;TraesCS4B01G106000;TraesCS5B01G526000;TraesCS6B01G385500;TraesCS3A01G034600;TraesCS7D01G087100;TraesCS3B01G214700;TraesCS3D01G030600;TraesCS3D01G124200;TraesCS6D01G191500;TraesCS2D01G511300;TraesCS3D01G045300;TraesCS6A01G277600;TraesCS3D01G047200;TraesCS3D01G261800;TraesCS5A01G400000;TraesCS6A01G225400;TraesCS3B01G053700;TraesCS6A01G352800;TraesCS6B01G256200;TraesCS7A01G091200;TraesCS7D01G053900;TraesCS2D01G273700;TraesCS6B01G059800;TraesCS1D01G381900;TraesCS2B01G394700;TraesCS5D01G281200;TraesCS5B01G404800</t>
  </si>
  <si>
    <t>TraesCS2B01G208900;TraesCS5B01G482400;TraesCS7A01G246700;TraesCS7D01G392800;TraesCS5D01G482800;TraesCS7A01G470400;TraesCS2B01G180500;TraesCS4D01G045300;TraesCS6D01G039300;TraesCS5A01G204800;TraesCS2B01G605800;TraesCS4B01G045400;TraesCS4B01G100100;TraesCS4D01G096400;TraesCS7B01G372400;TraesCS2A01G551000;TraesCS2A01G155500;TraesCS6B01G222200;TraesCS7D01G245500;TraesCS2D01G392800;TraesCS4A01G216100;TraesCS1D01G074500;TraesCS5D01G183700;TraesCS6D01G180400;TraesCS5A01G469800;TraesCS5A01G266400;TraesCS7D01G457800;TraesCS7B01G299200;TraesCS2A01G384100;TraesCS2D01G552100;TraesCS3A01G517100;TraesCS7B01G144600;TraesCS2D01G598500;TraesCS3D01G524700;TraesCS5A01G329100;TraesCS1A01G295300</t>
  </si>
  <si>
    <t>defense response to fungus</t>
  </si>
  <si>
    <t>TraesCS2A01G158800;TraesCS1D01G266000;TraesCS2A01G158700;TraesCS1A01G021000;TraesCS6B01G095100;TraesCS2A01G270500;TraesCS1A01G021400;TraesCS1D01G265900;TraesCS5B01G280900;TraesCS1A01G265600;TraesCS1A01G265700;TraesCS2B01G184300;TraesCS5D01G289000;TraesCS6A01G071000;TraesCS1D01G020600;TraesCS1B01G276800;TraesCS1B01G276500;TraesCS2B01G289300;TraesCS2D01G165800;TraesCS3A01G093900;TraesCS5D01G288900</t>
  </si>
  <si>
    <t>negative regulation of hydrolase activity</t>
  </si>
  <si>
    <t>TraesCS5A01G424700;TraesCS2B01G367700;TraesCS7D01G548200;TraesCS7B01G008400;TraesCS7A01G470400;TraesCS2B01G180500;TraesCS6D01G333600;TraesCS7A01G412400;TraesCS5D01G433200;TraesCS5B01G426700;TraesCS3D01G308100;TraesCS5D01G244800;TraesCS7D01G106000;TraesCS6D01G252900;TraesCS5B01G426800;TraesCS7B01G372400;TraesCS2A01G155500;TraesCS2D01G285300;TraesCS5D01G207400;TraesCS6B01G383800;TraesCS6B01G383500;TraesCS4A01G277500;TraesCS5B01G200000;TraesCS7D01G243700;TraesCS6D01G332900;TraesCS7A01G561600;TraesCS2B01G271700;TraesCS7D01G457800;TraesCS5B01G262900;TraesCS3A01G295000;TraesCS4D01G267500;TraesCS7A01G110500;TraesCS5A01G237900;TraesCS6A01G272900;TraesCS1D01G349900;TraesCS1A01G423800;TraesCS3B01G490900</t>
  </si>
  <si>
    <t>TraesCS1D01G073100;TraesCS2B01G174500;TraesCS5B01G482400;TraesCS7D01G392800;TraesCS1B01G456700;TraesCS5D01G482800;TraesCS7A01G470400;TraesCS2B01G180500;TraesCS4D01G045300;TraesCS6B01G246000;TraesCS7A01G412400;TraesCS7B01G272900;TraesCS4B01G045400;TraesCS7A01G264500;TraesCS6A01G216800;TraesCS5B01G214500;TraesCS4B01G100100;TraesCS5D01G244800;TraesCS7D01G368000;TraesCS5D01G223800;TraesCS4D01G096400;TraesCS7B01G372400;TraesCS2A01G155500;TraesCS2D01G285300;TraesCS4D01G285800;TraesCS5D01G207400;TraesCS3D01G072000;TraesCS5B01G502200;TraesCS5B01G200000;TraesCS3B01G108000;TraesCS4A01G216100;TraesCS5D01G183700;TraesCS3D01G139300;TraesCS5A01G469800;TraesCS2B01G271700;TraesCS5A01G216000;TraesCS7D01G457800;TraesCS7B01G299200;TraesCS5A01G455100;TraesCS5D01G465500;TraesCS1A01G295300;TraesCS5B01G463900;TraesCS4B01G287100;TraesCS5A01G237900;TraesCS3B01G156600;TraesCS6D01G198700</t>
  </si>
  <si>
    <t>response to lipid</t>
  </si>
  <si>
    <t>TraesCS1D01G270500;TraesCS1A01G428400;TraesCS1D01G004400;TraesCS4A01G089800;TraesCS3D01G300200;TraesCS4D01G215100;TraesCS1A01G188000;TraesCS1D01G188500;TraesCS5B01G445100;TraesCS6D01G239700;TraesCS5B01G445200;TraesCS7A01G392800;TraesCS2B01G189300;TraesCS6A01G258500;TraesCS7D01G305300;TraesCS1B01G463100;TraesCS7B01G208700;TraesCS2A01G291900;TraesCS1D01G437700;TraesCS7A01G308600;TraesCS2B01G339600;TraesCS7B01G294800;TraesCS3B01G334900;TraesCS4B01G318900;TraesCS1B01G195800;TraesCS5B01G372500;TraesCS4B01G214500;TraesCS5D01G379700;TraesCS7D01G388400;TraesCS4D01G315400;TraesCS2A01G292000</t>
  </si>
  <si>
    <t>TraesCS3B01G490000;TraesCS6A01G419200;TraesCS7D01G092900;TraesCS4D01G232700;TraesCS7B01G473700;TraesCS5B01G445100;TraesCS2A01G389900;TraesCS4A01G252900;TraesCS6B01G169700;TraesCS2B01G359300;TraesCS3A01G481000;TraesCS2B01G236800;TraesCS4D01G210900;TraesCS5A01G469000;TraesCS4B01G318900;TraesCS6D01G130800;TraesCS5D01G148900;TraesCS2D01G079200;TraesCS2A01G417200;TraesCS3B01G485900;TraesCS6B01G258400;TraesCS7A01G476700;TraesCS2B01G350500;TraesCS3A01G138300;TraesCS7B01G274100;TraesCS3D01G049000;TraesCS1A01G381500;TraesCS5B01G494500;TraesCS3D01G278000;TraesCS2A01G292000;TraesCS4D01G150300;TraesCS3A01G342000;TraesCS5D01G204700;TraesCS3D01G340500;TraesCS5B01G526200;TraesCS6A01G052100;TraesCS4B01G376800;TraesCS2D01G255700;TraesCS7A01G130600;TraesCS6A01G080600;TraesCS2A01G316500;TraesCS1A01G367200;TraesCS5B01G101200;TraesCS2A01G182800;TraesCS2A01G216700;TraesCS7B01G187600;TraesCS2A01G537900;TraesCS3B01G305100;TraesCS1D01G221000;TraesCS3B01G126400;TraesCS7B01G047300;TraesCS2A01G157400;TraesCS3A01G163300;TraesCS3D01G316400;TraesCS1A01G184500;TraesCS3A01G048700;TraesCS3A01G107600;TraesCS1B01G385100;TraesCS4A01G089700;TraesCS2B01G182900;TraesCS2B01G478700;TraesCS1D01G363500;TraesCS4B01G238700;TraesCS6D01G289700;TraesCS6A01G078700;TraesCS1D01G207100;TraesCS3B01G113500;TraesCS6B01G300000;TraesCS1D01G039500;TraesCS5A01G216000;TraesCS2D01G449900;TraesCS5B01G146100;TraesCS7B01G356500;TraesCS1A01G106600;TraesCS6D01G137400;TraesCS4B01G268100;TraesCS3B01G049700;TraesCS3D01G260300;TraesCS5B01G415700;TraesCS5A01G197200;TraesCS7D01G334900;TraesCS1D01G004400;TraesCS4A01G160700;TraesCS7B01G415400;TraesCS3D01G103900;TraesCS6A01G377700;TraesCS1D01G186100;TraesCS6B01G246000;TraesCS2B01G605800;TraesCS2D01G192000;TraesCS6A01G000500;TraesCS3B01G346500;TraesCS2B01G437300;TraesCS4B01G106000;TraesCS7D01G087100;TraesCS4D01G035300;TraesCS5A01G152300;TraesCS2B01G097300;TraesCS4B01G047100;TraesCS5D01G173900;TraesCS3A01G045200;TraesCS7B01G183200;TraesCS2D01G415700;TraesCS5D01G181500;TraesCS6A01G225400;TraesCS7D01G113900;TraesCS1B01G162400;TraesCS7A01G455800;TraesCS3A01G310400;TraesCS1D01G146900;TraesCS6D01G211900;TraesCS6A01G140800;TraesCS1D01G163400;TraesCS1D01G218200;TraesCS7D01G392800;TraesCS7A01G435300;TraesCS5D01G328100;TraesCS1D01G149100;TraesCS3A01G272900;TraesCS3B01G289400;TraesCS6D01G157900;TraesCS2B01G053300;TraesCS3B01G394600;TraesCS5B01G419200;TraesCS3D01G378700;TraesCS7A01G031700;TraesCS2D01G364400;TraesCS3A01G152200;TraesCS2D01G409400;TraesCS6A01G273100;TraesCS7B01G290200;TraesCS3A01G385600;TraesCS2D01G445500;TraesCS3D01G245500;TraesCS3B01G307700;TraesCS1B01G091900;TraesCS6B01G051700;TraesCS2D01G537700;TraesCS6D01G154400;TraesCS7D01G495700;TraesCS4A01G414700;TraesCS1B01G129800;TraesCS5A01G401400;TraesCS5A01G180800;TraesCS5B01G492700;TraesCS2B01G535400;TraesCS5B01G501300;TraesCS2B01G242200;TraesCS3D01G036100;TraesCS6A01G216100;TraesCS6B01G163100;TraesCS6B01G331600;TraesCS5D01G104900;TraesCS3A01G290300;TraesCS5B01G372500;TraesCS5D01G379700;TraesCS5A01G375000;TraesCS5D01G063800;TraesCS6B01G204600;TraesCS2B01G096000;TraesCS2A01G479500;TraesCS2B01G124100;TraesCS5D01G098900;TraesCS5B01G117200;TraesCS7B01G069100;TraesCS2A01G493800;TraesCS3A01G309800;TraesCS5A01G297900;TraesCS7A01G320000;TraesCS3D01G290100;TraesCS3A01G261800;TraesCS5B01G384500;TraesCS5B01G408100;TraesCS1D01G219100;TraesCS7D01G052400;TraesCS7A01G528000;TraesCS1D01G223600;TraesCS3A01G224400;TraesCS3A01G146800;TraesCS6B01G280300;TraesCS7A01G242800;TraesCS3A01G040800;TraesCS1D01G236900;TraesCS4D01G059300;TraesCS4D01G229900;TraesCS1D01G140300;TraesCS4B01G315400;TraesCS2A01G431100;TraesCS1A01G095800;TraesCS6A01G199000;TraesCS4A01G176200;TraesCS5B01G204900;TraesCS7D01G146400;TraesCS1D01G372400;TraesCS6B01G256200;TraesCS2D01G117200;TraesCS3B01G473100;TraesCS5B01G538600;TraesCS1A01G377900;TraesCS6A01G241000;TraesCS2B01G363000;TraesCS2D01G582800;TraesCS6B01G471400;TraesCS1B01G167700;TraesCS4B01G263300;TraesCS3A01G110300;TraesCS5D01G062900;TraesCS5D01G332200;TraesCS3B01G176200;TraesCS3B01G042700;TraesCS7B01G225500;TraesCS5D01G475900;TraesCS7A01G249400;TraesCS7D01G356200;TraesCS5D01G205100;TraesCS7D01G085800;TraesCS6B01G415700;TraesCS2D01G222300;TraesCS4D01G340500;TraesCS2A01G199700;TraesCS7A01G001900;TraesCS6A01G406700;TraesCS1A01G016100;TraesCS1A01G203700;TraesCS1D01G364000;TraesCS5D01G048600;TraesCS1D01G381800;TraesCS3B01G156600;TraesCS4A01G001300;TraesCS2A01G320200;TraesCS1A01G077500;TraesCS2A01G458100;TraesCS2D01G509300;TraesCS4D01G238900;TraesCS6D01G407400;TraesCS1A01G361100;TraesCS4D01G293200;TraesCS2A01G509900;TraesCS1B01G119600;TraesCS1A01G273600;TraesCS7A01G213000;TraesCS6B01G413500;TraesCS3D01G435400;TraesCS3A01G477300;TraesCS6B01G300500;TraesCS4B01G287300;TraesCS5A01G429000;TraesCS4A01G219500;TraesCS6D01G110400;TraesCS7A01G091400;TraesCS1B01G269600;TraesCS1D01G389300;TraesCS5A01G027000;TraesCS7A01G120000;TraesCS1B01G198000;TraesCS3B01G119600;TraesCS1A01G300000;TraesCS1A01G079700;TraesCS2D01G223600;TraesCS7D01G071200;TraesCS5A01G376700;TraesCS6D01G210100;TraesCS3B01G325100;TraesCS7D01G303700;TraesCS1D01G327000;TraesCS5D01G059300;TraesCS4A01G396700;TraesCS3D01G401200;TraesCS2A01G291900;TraesCS4B01G299700;TraesCS5A01G337100;TraesCS5B01G326500;TraesCS1D01G372900;TraesCS2B01G308200;TraesCS2D01G577000;TraesCS3A01G064400;TraesCS4A01G248900;TraesCS3B01G288100;TraesCS5D01G188600;TraesCS2D01G296700;TraesCS7D01G300200;TraesCS1B01G168600;TraesCS1A01G048100;TraesCS6B01G246800;TraesCS1B01G232300;TraesCS3A01G044800;TraesCS3A01G122300;TraesCS5B01G327800;TraesCS6A01G190700;TraesCS6D01G105000;TraesCS3D01G332400;TraesCSU01G047400;TraesCS7D01G265400;TraesCS2B01G109000;TraesCS1B01G463100;TraesCS1D01G384900;TraesCS2D01G346200;TraesCS3D01G345700;TraesCS1A01G080700;TraesCS5B01G026200;TraesCS6B01G291800;TraesCS2B01G347800;TraesCS6B01G289500;TraesCS7D01G451300;TraesCS6A01G301300;TraesCS3A01G249300;TraesCS5B01G175100;TraesCS4A01G322400;TraesCS7D01G325500;TraesCS6D01G158300;TraesCS7B01G115900;TraesCS3D01G287800;TraesCS4B01G273500;TraesCS3D01G138900;TraesCS5B01G373000;TraesCS4D01G136500;TraesCS5B01G474500;TraesCS7A01G092300;TraesCS1A01G296300;TraesCS2B01G240800;TraesCS6A01G327500;TraesCS2D01G148700;TraesCS7B01G301400;TraesCS7D01G463300;TraesCS7B01G259000;TraesCS1A01G072200;TraesCS2D01G222700;TraesCS5A01G152800;TraesCS3D01G324400;TraesCS3B01G156200;TraesCS3D01G272300;TraesCS4D01G242100;TraesCS1B01G109400;TraesCS7B01G249200;TraesCS5B01G406800;TraesCS1A01G389500;TraesCS6D01G335300;TraesCS7D01G357100;TraesCS6D01G299000;TraesCS1B01G385200;TraesCS5A01G398900;TraesCS4B01G055600;TraesCS1B01G375400;TraesCS3B01G352300;TraesCS2A01G488800;TraesCS4D01G180200;TraesCS4D01G312400;TraesCS6D01G243000;TraesCS2A01G182400;TraesCS4B01G083200;TraesCS1A01G112500;TraesCS2B01G198400;TraesCS2B01G320700;TraesCS2B01G400000;TraesCS2A01G101400;TraesCS3D01G542300;TraesCS1A01G248200;TraesCS2A01G302400;TraesCS6B01G069800;TraesCS1B01G250600;TraesCS5A01G138500;TraesCS5A01G222300;TraesCS2A01G386000;TraesCS4A01G211600;TraesCS7A01G384500;TraesCS6D01G362500;TraesCS7D01G015500;TraesCS3A01G124100;TraesCS7A01G267200;TraesCS6D01G316600;TraesCS3D01G273200;TraesCS5B01G065400;TraesCS2A01G117800;TraesCS2D01G190200;TraesCS5D01G223800;TraesCS6A01G080500;TraesCS1D01G199000;TraesCS3A01G338800;TraesCS2A01G209900;TraesCS5A01G173300;TraesCS5A01G196400;TraesCS7D01G524300;TraesCS2A01G323300;TraesCS7D01G444400;TraesCS4D01G229100;TraesCS7D01G037700;TraesCS3B01G334900;TraesCS1D01G229700;TraesCS5D01G070900;TraesCS1A01G066800;TraesCS2B01G480500;TraesCS5A01G514500;TraesCS3B01G376300;TraesCS5A01G210300;TraesCS3D01G310200;TraesCS6D01G047500;TraesCS3D01G182600;TraesCS1B01G257200;TraesCS6D01G381200;TraesCS3B01G253900;TraesCS6D01G232300;TraesCS3B01G356700;TraesCS3B01G310500;TraesCS3D01G136300;TraesCS3B01G053800;TraesCS6A01G374700;TraesCS3B01G377600;TraesCS2B01G187300;TraesCS3A01G034600;TraesCS5B01G084100;TraesCS6D01G115200;TraesCS1A01G365100;TraesCS2D01G178100;TraesCS4D01G254500;TraesCS4A01G126300;TraesCS3A01G276500;TraesCS2D01G459200;TraesCS3B01G374100;TraesCS1B01G204700;TraesCS3D01G238000;TraesCS2D01G286300;TraesCS3A01G050700;TraesCS5B01G482400;TraesCS7D01G390900;TraesCS6A01G240700;TraesCS4D01G081300;TraesCS6B01G285900;TraesCS7B01G370700;TraesCS7A01G012000;TraesCS5D01G397400;TraesCS3A01G097800;TraesCS5A01G366000;TraesCS7D01G136700;TraesCS2A01G418200;TraesCS2B01G198100;TraesCS2A01G455600;TraesCS5B01G151600;TraesCS7A01G405600;TraesCS2D01G549400;TraesCS2D01G231600;TraesCS5D01G375600;TraesCS5B01G561300;TraesCS3D01G339600;TraesCS3B01G194400;TraesCS2D01G217500;TraesCS6B01G370000;TraesCS1A01G358600;TraesCS5B01G138600;TraesCS5D01G374300;TraesCS1A01G424200;TraesCS2D01G033100;TraesCS2B01G449200;TraesCS4A01G419400;TraesCS2B01G489700;TraesCS7B01G208700;TraesCS2A01G214400;TraesCS2B01G236900;TraesCS3D01G183900;TraesCS3D01G209100;TraesCS5B01G334700;TraesCS3B01G367500;TraesCS1B01G157300;TraesCS3B01G311900;TraesCS7D01G501700;TraesCS2A01G417300;TraesCS2B01G271700;TraesCS7A01G344100;TraesCS1D01G118300;TraesCS7B01G356400;TraesCS4B01G124800;TraesCS3A01G096500;TraesCS1D01G346200;TraesCS6B01G225800;TraesCS6A01G146200;TraesCS2B01G365900;TraesCS2B01G437200;TraesCS4D01G215200;TraesCS3D01G500800;TraesCS7A01G075600;TraesCS4D01G266400;TraesCS3D01G036000;TraesCS5A01G085900;TraesCS1A01G367100;TraesCS5B01G380400;TraesCS2B01G339600;TraesCS2A01G346000;TraesCS2D01G415600;TraesCS1D01G185100;TraesCS7D01G316100;TraesCS2B01G243200;TraesCS1D01G123700;TraesCS4B01G178600;TraesCS3B01G093300;TraesCS4D01G001200;TraesCS2D01G428900;TraesCS5A01G369500;TraesCS1A01G219400;TraesCS3B01G158300;TraesCS5A01G451400;TraesCS4B01G214600;TraesCS2A01G324200;TraesCS3B01G102300;TraesCS3D01G048000;TraesCS3B01G591000;TraesCS3D01G136700;TraesCS1B01G217500;TraesCS3D01G432600;TraesCS5B01G339100;TraesCS6D01G222900;TraesCS3D01G527900;TraesCS3D01G192800;TraesCS3A01G439800;TraesCS1A01G218100;TraesCS1D01G273800;TraesCS1A01G344000;TraesCS1B01G058600;TraesCS6D01G302500;TraesCS6A01G204600;TraesCS2D01G344700;TraesCS7D01G291100;TraesCS4B01G261800;TraesCS4B01G216800;TraesCS6A01G135100;TraesCS4D01G055000;TraesCS6D01G360800;TraesCS3A01G256300;TraesCS2B01G210700;TraesCS4D01G064800;TraesCS2B01G535500;TraesCS5B01G321800;TraesCS6A01G132400;TraesCS1B01G241200;TraesCS5A01G131300;TraesCS3B01G306500;TraesCS5D01G309700;TraesCS2D01G572600;TraesCS5A01G307200;TraesCS4D01G096400;TraesCS1A01G080600;TraesCS2B01G532000;TraesCS5A01G186000;TraesCS3D01G139300;TraesCS3D01G320600;TraesCS1B01G441900;TraesCS1A01G259900;TraesCS1B01G382600;TraesCS5D01G434500;TraesCS3D01G467300;TraesCS4A01G100900;TraesCS2B01G174500;TraesCS7B01G031900;TraesCS2D01G458700;TraesCS5D01G499000;TraesCS5D01G216400;TraesCS3B01G409400;TraesCS7A01G264500;TraesCS5D01G357800;TraesCS1B01G404000;TraesCS2B01G114000;TraesCS7D01G028400;TraesCS2A01G255300;TraesCS3B01G304300;TraesCS5A01G269300;TraesCS6A01G124800;TraesCS7A01G299600;TraesCS2A01G155500;TraesCS7D01G295100;TraesCS2A01G512100;TraesCS3A01G345800;TraesCS5D01G089900;TraesCS1B01G229100;TraesCS1B01G182700;TraesCS4B01G098000;TraesCS1D01G072600;TraesCS3B01G141500;TraesCS4D01G239600;TraesCS5A01G076600;TraesCS7D01G321500;TraesCS5D01G157900;TraesCS7B01G333700;TraesCS3A01G050300;TraesCS7B01G356800;TraesCS4A01G043800;TraesCS5D01G531600;TraesCS2A01G211300;TraesCS2A01G414700;TraesCS1B01G230500;TraesCS1D01G130400;TraesCS3A01G109500;TraesCS6D01G039300;TraesCS1A01G245300;TraesCS7D01G261300;TraesCS3A01G471900;TraesCS5B01G197400;TraesCS4A01G226300;TraesCS7D01G041400;TraesCS1B01G310100;TraesCS5A01G437500;TraesCS2B01G175800;TraesCS6D01G122200;TraesCS5A01G100300;TraesCS7D01G417600;TraesCS1D01G133900;TraesCS1D01G372500;TraesCS3B01G038900;TraesCS5B01G244300;TraesCS6D01G135500;TraesCS5B01G184100;TraesCS3D01G048400;TraesCS7A01G376100;TraesCS6B01G385500;TraesCS2A01G144800;TraesCS2D01G100900;TraesCS3A01G261700;TraesCS3B01G289500;TraesCS4B01G203900;TraesCS2A01G233100;TraesCS2A01G516500;TraesCS1A01G305400;TraesCS2B01G452400;TraesCS1A01G215900;TraesCS5A01G321500;TraesCS7A01G053400;TraesCS4D01G202300;TraesCS5D01G199800;TraesCS4B01G059700;TraesCS4B01G254700;TraesCS2D01G374600;TraesCS2D01G456900;TraesCS3A01G285700;TraesCS5D01G493200;TraesCS2D01G509400;TraesCS1D01G094700;TraesCS3D01G438800;TraesCS2D01G095000;TraesCS4D01G268100;TraesCS4B01G215100;TraesCS7A01G125600;TraesCS3D01G370800;TraesCS5A01G156200;TraesCS5B01G166300;TraesCS7B01G326200;TraesCS4D01G176000;TraesCS6B01G152800;TraesCS4B01G264500;TraesCS5B01G262900;TraesCS2A01G508900;TraesCS2B01G220900;TraesCS4A01G391100;TraesCS4D01G315400;TraesCS1D01G081400;TraesCS6A01G108800;TraesCS4A01G232600;TraesCS4A01G498700;TraesCS3A01G327200;TraesCS7A01G195800;TraesCS6D01G155100;TraesCS5D01G481200;TraesCS2D01G066900;TraesCS7B01G416100;TraesCS6D01G239700;TraesCS5D01G244800;TraesCS3A01G110400;TraesCS3A01G135700;TraesCS7A01G364200;TraesCS5A01G320600;TraesCS6B01G358800;TraesCS5D01G097900;TraesCS5A01G463000;TraesCS5B01G118200;TraesCS5A01G169500;TraesCS5D01G461600;TraesCS6D01G192500;TraesCS7A01G057800;TraesCS2A01G462700;TraesCS7D01G279900;TraesCS1A01G048000;TraesCS7B01G029200;TraesCS4A01G035400;TraesCS7D01G311200;TraesCS5D01G216300;TraesCS6A01G119900;TraesCS1B01G062200;TraesCS5A01G204800;TraesCSU01G051800;TraesCS3B01G514900;TraesCS1B01G268600;TraesCS6B01G257800;TraesCS2A01G201900;TraesCS2D01G534400;TraesCS6A01G168900;TraesCS2D01G198200;TraesCS1A01G361000;TraesCS5B01G202900;TraesCS3D01G045400;TraesCS4A01G216100;TraesCS5D01G163400;TraesCS1D01G330300;TraesCS2B01G100300;TraesCS2D01G398500;TraesCS5B01G208200;TraesCS2D01G379000;TraesCS5D01G027600;TraesCS7A01G344600;TraesCS7D01G516400;TraesCS2B01G323700;TraesCS3B01G119500;TraesCS7A01G328100;TraesCS5D01G073900;TraesCS7B01G214900;TraesCS7D01G394800;TraesCS1D01G079600;TraesCS3B01G589600;TraesCS5A01G351300;TraesCS1D01G101100;TraesCS4A01G027800;TraesCS5D01G152300;TraesCS2D01G511300;TraesCS3B01G151200;TraesCS5B01G187200;TraesCS5D01G475800;TraesCS3A01G209200;TraesCS1D01G206900;TraesCS3B01G013200;TraesCS2A01G046500;TraesCS5A01G377900;TraesCS7A01G212000;TraesCS1A01G203400;TraesCS7D01G053900;TraesCS3A01G406000;TraesCS4B01G216000;TraesCS1A01G333800;TraesCS5A01G237700;TraesCS4A01G267300;TraesCS5D01G145100;TraesCS2B01G166100;TraesCS1B01G385300;TraesCS2B01G216800;TraesCS1A01G145100;TraesCS2B01G114900;TraesCS4D01G312300;TraesCS1B01G283400;TraesCS3A01G530200;TraesCS3B01G229900;TraesCS1B01G120100;TraesCS5B01G460200;TraesCS2B01G498100;TraesCS3B01G384000;TraesCS6D01G032300;TraesCS5D01G408200;TraesCS3A01G463400;TraesCS4A01G059800;TraesCS2B01G436300;TraesCS7A01G110500;TraesCS1D01G223000;TraesCS1A01G031200;TraesCS3B01G439600;TraesCS2D01G459100;TraesCS5B01G236200;TraesCS7B01G222500;TraesCS2A01G347400;TraesCS3A01G262200;TraesCS2B01G204800;TraesCS2A01G368700;TraesCS5D01G386800;TraesCS1D01G228700;TraesCS5D01G034700;TraesCS2B01G521800;TraesCS6A01G209000;TraesCS2A01G083000;TraesCS2A01G532600;TraesCS1B01G377700;TraesCS1A01G235000;TraesCS2D01G343000;TraesCS4B01G085500;TraesCS2B01G121200;TraesCS2A01G407900;TraesCS4D01G046900;TraesCS6A01G116000;TraesCS5D01G031200;TraesCS7A01G154900;TraesCS4A01G186700;TraesCS2B01G241800;TraesCS2B01G467400;TraesCS1B01G097700;TraesCS1D01G073000;TraesCS1A01G302700;TraesCS2B01G504000;TraesCS6D01G253100;TraesCS2D01G284200;TraesCS5B01G056800;TraesCS2D01G380800;TraesCS3B01G423200;TraesCS2D01G580700;TraesCS5A01G092600;TraesCS3A01G521300;TraesCS3A01G034700;TraesCS7A01G423800;TraesCS6A01G363900;TraesCS3D01G097000;TraesCS1D01G259000;TraesCS2D01G392800;TraesCS7B01G141900;TraesCS4A01G081700;TraesCS4B01G214200;TraesCS3A01G136200;TraesCS5D01G182100;TraesCS7B01G297200;TraesCS6D01G198700;TraesCS6D01G280700;TraesCS5B01G356400;TraesCS3D01G262200;TraesCS7B01G241200;TraesCS4B01G294300;TraesCS7A01G395300;TraesCS3A01G323200;TraesCS2D01G574000;TraesCS2D01G062100;TraesCS4D01G217000;TraesCS5D01G158000;TraesCS7D01G129500;TraesCS4A01G417300;TraesCS6B01G337900;TraesCS3D01G124200;TraesCS1B01G048300;TraesCS1B01G305200;TraesCS1B01G248600;TraesCS6A01G352800;TraesCS6A01G375900;TraesCS5B01G064400;TraesCS1A01G016000;TraesCS5B01G087500;TraesCS7A01G325000;TraesCS6A01G165800;TraesCS4A01G431600;TraesCS1D01G087600;TraesCS7D01G386800;TraesCS2D01G538400;TraesCS5D01G359000;TraesCS6D01G358600;TraesCS3D01G042600;TraesCS1B01G454000;TraesCS6D01G102100;TraesCS3B01G295000;TraesCS7B01G229300;TraesCS1B01G375100;TraesCS3B01G455000;TraesCS4B01G049100;TraesCS7A01G188600;TraesCS4D01G207500;TraesCS6A01G124500;TraesCS7B01G445000;TraesCS7A01G163300;TraesCS6B01G052400;TraesCS1A01G217300;TraesCS5D01G314100;TraesCS5A01G177800;TraesCS3D01G072000;TraesCS6B01G222200;TraesCS7A01G528200;TraesCS6A01G319600;TraesCS7D01G318600;TraesCS2A01G190200;TraesCS5B01G104500;TraesCS4B01G235400;TraesCS3A01G276200;TraesCS3A01G033000;TraesCS4B01G088700;TraesCS6D01G360900;TraesCS2A01G456600;TraesCS2D01G219800;TraesCS5B01G182000;TraesCS6B01G225700;TraesCS4D01G366100;TraesCS1A01G206200;TraesCS5A01G350800;TraesCS2A01G170600;TraesCS2D01G297300;TraesCS1D01G119500;TraesCS4B01G054900;TraesCS2B01G393000;TraesCS7D01G305300;TraesCS6B01G398500;TraesCS7B01G102000;TraesCS1A01G045300;TraesCS7D01G444700;TraesCS1A01G370600;TraesCS5A01G402100;TraesCS2B01G477600;TraesCS7A01G287100;TraesCS1D01G074500;TraesCS4B01G077600;TraesCS3D01G467600;TraesCS4B01G210100;TraesCS3D01G270300;TraesCS3A01G274000;TraesCS5B01G371800;TraesCS2B01G151100;TraesCS3A01G507500;TraesCS6D01G198600;TraesCS1D01G100900;TraesCS6A01G238500;TraesCS1D01G238900;TraesCS3A01G344400;TraesCS4A01G213500;TraesCS7D01G118100;TraesCS6A01G119100;TraesCS1B01G089000;TraesCS1D01G188500;TraesCS3A01G034300;TraesCS5D01G328300;TraesCS4A01G050000;TraesCS2B01G189300;TraesCS2B01G118500;TraesCSU01G020500;TraesCS6D01G199500;TraesCS6B01G108100;TraesCS2D01G000300;TraesCS4B01G222100;TraesCS2D01G537100;TraesCSU01G169600;TraesCS5B01G468400;TraesCS5D01G387900;TraesCS5D01G232100;TraesCS2A01G204500;TraesCS2D01G426600;TraesCS3D01G039400;TraesCS5D01G524800;TraesCS3B01G196900;TraesCS4A01G062000;TraesCS1D01G249600;TraesCS4D01G215100;TraesCS2B01G180500;TraesCS3D01G008700;TraesCS2B01G542300;TraesCS1B01G461600;TraesCS2D01G529500;TraesCS2A01G121200;TraesCS5B01G526000;TraesCS3D01G030600;TraesCS1A01G367000;TraesCS1D01G046000;TraesCS5A01G322300;TraesCS5D01G320800;TraesCS2A01G216500;TraesCS7D01G165300;TraesCS5B01G141900;TraesCS2A01G323000;TraesCS7B01G129500;TraesCS2A01G418300;TraesCS7B01G194100;TraesCS4B01G214500;TraesCS7B01G299200;TraesCS5A01G051800;TraesCS5B01G184600;TraesCS2D01G382500;TraesCS7D01G122600;TraesCS6D01G087700;TraesCS2D01G097700;TraesCS2B01G537800;TraesCS2D01G223000;TraesCS5A01G481300;TraesCS7D01G052600;TraesCS2D01G349000;TraesCS5A01G341000;TraesCS2D01G163300;TraesCS2D01G232400;TraesCS2A01G516800;TraesCS5B01G307600;TraesCS7A01G194900;TraesCS2D01G216700;TraesCS3D01G104100;TraesCS7B01G294800;TraesCS1A01G221400;TraesCS2D01G317400;TraesCS1D01G209500;TraesCS1B01G088500;TraesCS1B01G384900;TraesCS2A01G525300;TraesCS3D01G137000;TraesCS5D01G424600;TraesCS5D01G390700;TraesCS5A01G468300;TraesCS4D01G261400;TraesCS3A01G256200;TraesCS5D01G365300;TraesCS5B01G155700;TraesCS1D01G419400;TraesCS6A01G262200;TraesCS6B01G260900;TraesCS7D01G324900;TraesCS3B01G046800;TraesCS3D01G256400;TraesCS2B01G001400;TraesCS6B01G421400;TraesCS2B01G097100;TraesCS5D01G421100;TraesCS7A01G167300;TraesCS1A01G080500;TraesCS1A01G330500;TraesCS1A01G187400;TraesCS6B01G375400;TraesCS7B01G309900;TraesCS2B01G536500;TraesCS6D01G122100;TraesCS7A01G264400;TraesCS1D01G372600;TraesCS5A01G294600;TraesCSU01G111800;TraesCS7A01G369500;TraesCS2A01G189600;TraesCS5B01G538800;TraesCS2D01G231100;TraesCS6B01G412500;TraesCS7D01G248200;TraesCS2B01G229000;TraesCS1A01G329500;TraesCS1A01G304200;TraesCS7B01G107300;TraesCS6A01G312600;TraesCS5B01G152600;TraesCS2A01G458800;TraesCS6A01G155200;TraesCS4A01G203300;TraesCS3B01G153800;TraesCS4A01G029800;TraesCS7B01G395000;TraesCSU01G238700;TraesCS1B01G376000;TraesCS2B01G304800;TraesCS6B01G340300;TraesCS2D01G491600;TraesCS3B01G291900;TraesCS5A01G505000;TraesCS5D01G040500;TraesCS6A01G226100;TraesCS2A01G211200;TraesCS6D01G226300;TraesCS5A01G426500;TraesCS1A01G411600;TraesCS2A01G040900;TraesCS5B01G313000;TraesCS5B01G095900;TraesCS4D01G004400;TraesCS2A01G396400;TraesCS4B01G201600;TraesCS5A01G205500;TraesCS3D01G261800;TraesCS3A01G362200;TraesCS1D01G148000;TraesCS6A01G264800;TraesCS5D01G333700;TraesCS5B01G215900;TraesCS6D01G368800;TraesCS2B01G394700;TraesCS7D01G086900;TraesCS2B01G208900;TraesCS2A01G343100;TraesCS2D01G301100;TraesCS7D01G449500;TraesCS2A01G382700;TraesCS1B01G326600;TraesCS2D01G144500;TraesCS3B01G371200;TraesCS7A01G264800;TraesCS3B01G600300;TraesCS5D01G183100;TraesCS1D01G082600;TraesCS6A01G141500;TraesCS2A01G538200;TraesCS4A01G130600;TraesCS6A01G336600;TraesCS6A01G378000;TraesCS2A01G291700;TraesCS6D01G258300;TraesCS6D01G319900;TraesCS7B01G100600;TraesCS7A01G512300;TraesCS2B01G480300;TraesCS2D01G464400;TraesCS7D01G000200;TraesCS5D01G358600;TraesCS4B01G162700;TraesCS3A01G377700;TraesCS6B01G412400;TraesCS5B01G165100;TraesCS6B01G284000;TraesCS4A01G010000;TraesCS4A01G255400;TraesCS2D01G463100;TraesCS4D01G272500;TraesCS5A01G078400;TraesCS7D01G024200;TraesCS2B01G324900;TraesCS5D01G085800;TraesCS6A01G258900;TraesCS7D01G335500;TraesCS6D01G359100;TraesCS7A01G308600;TraesCS2A01G371600;TraesCS7D01G516100;TraesCS7A01G282200;TraesCS6D01G180400;TraesCS3D01G049700;TraesCS5D01G519800;TraesCS3D01G335700;TraesCS6D01G217800;TraesCS7D01G197300;TraesCS7D01G189700;TraesCS2A01G106500;TraesCS2D01G485300;TraesCS7D01G506300;TraesCS1D01G299400;TraesCS6B01G193200;TraesCS1B01G234700;TraesCS5A01G182400;TraesCS6D01G056600;TraesCS4B01G345400;TraesCS2A01G083300;TraesCS1A01G342600;TraesCS3D01G441900;TraesCS5B01G214500;TraesCS6A01G302400;TraesCS6B01G255500;TraesCS1B01G347100;TraesCS5B01G428400;TraesCS6B01G127300;TraesCS7B01G372400;TraesCS7D01G383600;TraesCS7D01G085600;TraesCS2B01G196400;TraesCS2D01G107100;TraesCSU01G016900;TraesCS2D01G455900;TraesCS4D01G126900;TraesCS3B01G166600;TraesCS3B01G441600;TraesCS7A01G365600;TraesCS3B01G156800;TraesCSU01G249900;TraesCS7A01G223000;TraesCS7B01G101500;TraesCS3A01G254900;TraesCS3D01G172200;TraesCS3B01G004600;TraesCS2D01G314400;TraesCS5D01G185300;TraesCS5D01G288100;TraesCS4A01G323500;TraesCS4D01G352700;TraesCS2D01G513600;TraesCS6B01G423100;TraesCS2A01G201800;TraesCS4D01G098600;TraesCS3A01G477500;TraesCS6A01G277600;TraesCS2B01G035300;TraesCS6A01G187300;TraesCS1D01G076200;TraesCS5B01G208300;TraesCS5B01G133500;TraesCS6D01G110600;TraesCS6B01G152700;TraesCS7A01G321600;TraesCS6A01G383800;TraesCS6B01G059800;TraesCS4B01G007300;TraesCS4D01G089300;TraesCS5A01G090100;TraesCS5D01G069700;TraesCS3D01G472200;TraesCS4D01G104100;TraesCS1D01G398400;TraesCS7A01G328600;TraesCS6A01G245200;TraesCS5B01G520600;TraesCS5D01G346200;TraesCS2B01G047300;TraesCS3D01G502500;TraesCS1D01G239700;TraesCS1D01G082200;TraesCS5A01G198800;TraesCS7D01G201600;TraesCS1D01G032600;TraesCS5B01G078500;TraesCS2D01G564300;TraesCS4B01G171600;TraesCS6D01G225800;TraesCS7A01G306800;TraesCS4A01G384500;TraesCS7D01G224700;TraesCS5B01G225200;TraesCS6A01G375800;TraesCS2D01G528200;TraesCS2B01G241900;TraesCS4B01G132000;TraesCS6D01G328800;TraesCS4B01G216700;TraesCS2A01G324400;TraesCS5B01G056700;TraesCS1A01G073300;TraesCS6A01G243000;TraesCS7B01G008400;TraesCS1B01G251700;TraesCS7A01G131300;TraesCS3A01G439200;TraesCS7A01G412400;TraesCS7D01G372500;TraesCS7D01G368000;TraesCS2B01G539200;TraesCS6A01G258500;TraesCS2B01G315100;TraesCS7A01G423900;TraesCS2A01G339900;TraesCS5D01G139800;TraesCS4A01G071800;TraesCS4B01G228700;TraesCS1B01G157700;TraesCS2B01G169700;TraesCS7B01G277900;TraesCS7D01G054000;TraesCS2D01G098200;TraesCS1D01G314800;TraesCS2A01G150600;TraesCS7A01G537200;TraesCS5A01G080300;TraesCS4A01G171500;TraesCS5A01G048600;TraesCS2A01G401000;TraesCS7D01G474200;TraesCS3D01G262300;TraesCS5D01G212900;TraesCS7B01G025800;TraesCS6A01G148100;TraesCS7D01G353800;TraesCS3A01G191100;TraesCS7A01G118300;TraesCS5D01G158100;TraesCS1B01G398700;TraesCS4D01G264500;TraesCS6A01G120600;TraesCS1A01G072000;TraesCS5A01G152600;TraesCS7D01G167900;TraesCS2A01G023900;TraesCS4B01G052300;TraesCS5A01G463100;TraesCS3A01G419600;TraesCS6D01G050900;TraesCS5D01G465500;TraesCS4A01G431500;TraesCS3D01G337900;TraesCS1D01G073100;TraesCS3D01G514900;TraesCS7A01G059500;TraesCS1D01G237100;TraesCS4D01G173700;TraesCS2D01G509500;TraesCS3D01G300200;TraesCS3B01G295500;TraesCS7D01G130600;TraesCS3A01G009400;TraesCS7D01G213600;TraesCS1A01G215100;TraesCS5B01G437300;TraesCS6D01G281900;TraesCS7D01G203800;TraesCS5A01G312000;TraesCSU01G150500;TraesCS6B01G190100;TraesCS4D01G325500;TraesCS7A01G069300;TraesCS7D01G048600;TraesCS7A01G091200;TraesCS7D01G128300;TraesCS2B01G595300;TraesCS1B01G095600;TraesCS2A01G428500;TraesCS3B01G280000;TraesCS1D01G295800;TraesCS1D01G270500;TraesCS3D01G535700;TraesCS7B01G325900;TraesCS4D01G175700;TraesCS3B01G356600;TraesCS3A01G493100;TraesCS7B01G105600;TraesCS2B01G197000;TraesCS6B01G305600;TraesCS7A01G127100;TraesCS3D01G250800;TraesCS5A01G217000;TraesCS3B01G415900;TraesCS5A01G058100;TraesCS7B01G024500;TraesCS5B01G082500;TraesCS3A01G255600;TraesCS4B01G335100;TraesCS5D01G031500;TraesCS6A01G225300;TraesCS7D01G113800;TraesCS2B01G243000;TraesCS6D01G240100;TraesCS3D01G050100;TraesCS6B01G420600;TraesCS6B01G141000;TraesCS5B01G358900;TraesCS7A01G338900;TraesCS5D01G478700;TraesCS2B01G407600;TraesCS3A01G199600;TraesCS2D01G507800;TraesCS1A01G228100;TraesCS2A01G503800;TraesCS7B01G093500;TraesCS5A01G062600;TraesCS3D01G078900;TraesCS3B01G279900;TraesCS4A01G262600;TraesCS6B01G006600;TraesCSU01G008300;TraesCS3B01G206500;TraesCS2D01G321400;TraesCS2D01G504300;TraesCS2D01G275400;TraesCS7B01G255500;TraesCS2A01G384100;TraesCS2D01G197600;TraesCS1D01G259700;TraesCS6A01G272500;TraesCS4A01G131000;TraesCS2D01G219900;TraesCS5B01G381500;TraesCS7B01G287100;TraesCS5D01G340300;TraesCS3D01G472000;TraesCS5A01G071500;TraesCS2D01G414500;TraesCS6A01G216800;TraesCS5B01G193200;TraesCS5D01G194700;TraesCS7D01G341300;TraesCS2D01G214200;TraesCS5A01G209800;TraesCS1D01G303700;TraesCS2D01G562200;TraesCS3B01G319600;TraesCS5A01G356400;TraesCS5D01G211300;TraesCS7D01G356800;TraesCS2B01G436100;TraesCS7A01G241200;TraesCS1D01G074600;TraesCS1D01G037200;TraesCS6B01G197000;TraesCS4B01G080900;TraesCS3D01G316700;TraesCS2B01G430800;TraesCS4A01G110100;TraesCS4B01G174000;TraesCS1B01G089100;TraesCS3D01G178300;TraesCS2A01G217700;TraesCS5B01G138400;TraesCS5A01G390300;TraesCS1B01G385000;TraesCS4A01G089800;TraesCS5B01G207900;TraesCS5A01G059400;TraesCS3A01G293900;TraesCS7D01G395100;TraesCS5B01G445200;TraesCS5B01G275200;TraesCS2A01G237300;TraesCS3B01G357500;TraesCS4B01G098200;TraesCS5A01G335500;TraesCS3A01G138200;TraesCS3A01G266300;TraesCS3D01G039300;TraesCSU01G021700;TraesCS7D01G124900;TraesCS3D01G046000;TraesCS4B01G141500;TraesCS2A01G288000;TraesCS3A01G471700;TraesCS7B01G179900;TraesCS3B01G155900;TraesCS3D01G256500;TraesCS1A01G141300;TraesCS6D01G367600;TraesCS2D01G567000;TraesCS2A01G446500;TraesCS5D01G225100;TraesCS2B01G536600;TraesCS2D01G315100;TraesCS5B01G191900;TraesCS1D01G372700;TraesCS6D01G145100;TraesCS6D01G220900;TraesCS3B01G240000;TraesCS2A01G304000;TraesCS2D01G493700;TraesCS3A01G408000;TraesCS6D01G083200;TraesCS3D01G212100;TraesCS4A01G207800;TraesCS5D01G482800;TraesCS7A01G470400;TraesCS6B01G175200;TraesCS6D01G109000;TraesCS7B01G272900;TraesCS4A01G042700;TraesCS2B01G189000;TraesCS6A01G277800;TraesCS5B01G223600;TraesCS6D01G363200;TraesCS4A01G075600;TraesCS7D01G243700;TraesCS2A01G141100;TraesCS5A01G455100;TraesCS3B01G370500;TraesCS5B01G236900;TraesCS1D01G114100;TraesCS7D01G380900;TraesCS3A01G037100;TraesCS3D01G104000;TraesCS5A01G321300;TraesCS6A01G310300;TraesCS1A01G375800;TraesCS3A01G176500;TraesCS3A01G050500;TraesCS2A01G198400;TraesCS5A01G206700;TraesCS6B01G260800;TraesCS7B01G015200;TraesCS7A01G392800;TraesCS3D01G355900;TraesCS1A01G070600;TraesCS1B01G314700;TraesCS2B01G112000;TraesCS5D01G329100;TraesCS1B01G195800;TraesCS3A01G049500;TraesCS2A01G081400;TraesCS2A01G101900;TraesCS6B01G256300;TraesCS6D01G074300;TraesCS5D01G092000;TraesCS7D01G388400;TraesCS3B01G208300;TraesCS7B01G247500;TraesCS4A01G102900;TraesCS5B01G188700;TraesCS6B01G328300;TraesCS7D01G248100;TraesCS3A01G101800;TraesCS3D01G359000;TraesCS2A01G548300;TraesCS6B01G238900;TraesCS6D01G191500;TraesCS7A01G387000;TraesCS4D01G094400;TraesCS7B01G261800;TraesCS4A01G094300;TraesCS6D01G307100;TraesCS2B01G511300;TraesCS3B01G090400;TraesCS5D01G111500;TraesCS6B01G258500;TraesCSU01G129000;TraesCS5D01G281200;TraesCS7B01G228900;TraesCS5A01G380900;TraesCS5D01G210800;TraesCS7D01G063900;TraesCS4D01G316500;TraesCS3A01G319800;TraesCS2A01G217200;TraesCS3A01G101700;TraesCS5D01G277500;TraesCS2A01G211900;TraesCS2A01G412200;TraesCS6D01G167300;TraesCS5D01G216100;TraesCS2D01G339600;TraesCS1D01G174700;TraesCS6D01G191400;TraesCS2D01G349400;TraesCS1D01G437700;TraesCS7B01G030400;TraesCS2B01G217500;TraesCS3D01G412400;TraesCS3A01G477400;TraesCS5A01G469800;TraesCS6B01G136100;TraesCS3D01G354100;TraesCS2D01G141100;TraesCS7B01G423900;TraesCS5B01G480900;TraesCS5D01G159100;TraesCS2B01G266900;TraesCS7A01G091500;TraesCS5B01G142100;TraesCS5D01G413300;TraesCS4A01G062800;TraesCS3A01G021600;TraesCS5A01G147500;TraesCS4B01G149400;TraesCS3D01G432000;TraesCS2B01G250100;TraesCS3A01G124800;TraesCS1A01G086100;TraesCS2A01G276400;TraesCS1D01G101300;TraesCS4B01G100100;TraesCS1D01G082500;TraesCS2A01G371700;TraesCS6D01G225300;TraesCS6D01G258200;TraesCS2A01G113100;TraesCS7B01G301100;TraesCS6B01G147200;TraesCS2D01G419700;TraesCS4D01G032900;TraesCS4A01G221700;TraesCS7D01G149300;TraesCS1A01G203600;TraesCS3B01G110500;TraesCS7B01G444800;TraesCS4A01G001400;TraesCS3B01G310000;TraesCS2D01G509200;TraesCS5A01G235300;TraesCS5B01G327700;TraesCS3A01G189300;TraesCS1A01G202300;TraesCS1B01G119700;TraesCS4D01G052500;TraesCS1A01G103900;TraesCS2D01G201700;TraesCS5B01G176300;TraesCS3A01G351500;TraesCS6D01G212400;TraesCS1D01G344700;TraesCS2B01G419100;TraesCS2A01G096500;TraesCS6B01G266500;TraesCS1A01G215600;TraesCS7A01G400900;TraesCS4B01G228200;TraesCS4A01G309300;TraesCS7A01G434300;TraesCS5B01G042800;TraesCS5D01G343000;TraesCS1D01G370600;TraesCS2A01G308400;TraesCS6B01G152600;TraesCS5A01G183600;TraesCS7B01G316600;TraesCS2B01G220700;TraesCS4B01G231400;TraesCS6D01G158400;TraesCS2A01G102000;TraesCS2A01G507400;TraesCS2B01G067000;TraesCS2D01G485200;TraesCS3D01G266400;TraesCS3B01G278200;TraesCS4D01G236800;TraesCS6B01G169000;TraesCS7D01G001600;TraesCS5A01G326100;TraesCS6A01G223900;TraesCS3D01G256600;TraesCS5A01G479600;TraesCS5D01G177800;TraesCS7D01G345200;TraesCS1A01G235200;TraesCS2A01G098700;TraesCS7A01G333700;TraesCS6A01G166500;TraesCS1D01G372800;TraesCS4D01G126800;TraesCS4D01G194900;TraesCS1D01G305100;TraesCS2B01G557100;TraesCS2D01G273700;TraesCS3D01G276200;TraesCS6B01G183300;TraesCS2A01G217600;TraesCS3D01G285500;TraesCS5B01G415400;TraesCS1B01G456700;TraesCS5D01G369200;TraesCS1A01G149700;TraesCS1B01G134500;TraesCS4D01G172700;TraesCS7D01G496100;TraesCS2B01G135600;TraesCS2A01G214100;TraesCS5D01G169300;TraesCS2A01G545700;TraesCS5A01G138600;TraesCS5D01G304700;TraesCS3B01G238600;TraesCS5D01G373700;TraesCS2B01G562100;TraesCS4D01G263500;TraesCS3D01G472100;TraesCS1A01G428400;TraesCS7A01G118200;TraesCS1B01G270300;TraesCS7A01G096800;TraesCS5B01G069900;TraesCS2A01G389400;TraesCS6D01G210200;TraesCS7D01G236600;TraesCS1D01G367800;TraesCS4D01G222600;TraesCS1B01G235100;TraesCS5D01G093700;TraesCS1B01G048500;TraesCS4B01G239700;TraesCS1B01G248400;TraesCS2B01G480600;TraesCS7B01G207100;TraesCS1A01G259200;TraesCS6B01G367100;TraesCS3D01G201900;TraesCS5A01G237900;TraesCS7D01G346100;TraesCS3D01G182300;TraesCS5A01G235700;TraesCS2D01G207400;TraesCS6D01G222600;TraesCS4D01G087200;TraesCS5A01G160100;TraesCS7D01G223300;TraesCS2A01G195800;TraesCS1D01G067800;TraesCS2A01G458000;TraesCS3B01G004100;TraesCS4B01G041300;TraesCS2B01G366600;TraesCS2D01G285300;TraesCS7D01G423600;TraesCS2A01G474500;TraesCS7D01G268600;TraesCS1D01G189300;TraesCS3B01G575600;TraesCS3B01G154100;TraesCS5B01G366400;TraesCS5B01G463900;TraesCS1D01G104800;TraesCS7B01G222700;TraesCS1B01G316100;TraesCS2B01G101800;TraesCS5B01G075300;TraesCS1A01G188000;TraesCS3D01G046900;TraesCS4D01G054300;TraesCS7A01G129300;TraesCS3B01G344600;TraesCS2B01G594100;TraesCS2D01G123300;TraesCS1A01G221900;TraesCS2B01G364400;TraesCS3B01G042800;TraesCS2D01G348900;TraesCS7D01G444500;TraesCS6A01G223500;TraesCS7D01G457800;TraesCS3D01G276600;TraesCS4B01G132100;TraesCS3A01G245900;TraesCS2A01G485600;TraesCS1A01G295300;TraesCS4B01G065700;TraesCS5B01G180400;TraesCS2A01G298600;TraesCS1A01G182700;TraesCS2B01G201100;TraesCS7B01G220500</t>
  </si>
  <si>
    <t>TraesCS2D01G538400;TraesCS3B01G490000;TraesCS1A01G218400;TraesCS5D01G359000;TraesCS2D01G022300;TraesCS5D01G038000;TraesCS6D01G358600;TraesCS7D01G092900;TraesCS1D01G167600;TraesCS1B01G454000;TraesCS3B01G295000;TraesCS7B01G083600;TraesCS4D01G232700;TraesCS7B01G473700;TraesCS2A01G389900;TraesCS4A01G079700;TraesCS3B01G455000;TraesCS4A01G159700;TraesCS4B01G049100;TraesCS4D01G207500;TraesCS6A01G124500;TraesCS7A01G163300;TraesCS3A01G481000;TraesCS6B01G052400;TraesCS2D01G479100;TraesCS3A01G349900;TraesCS2B01G236800;TraesCS5B01G160200;TraesCS7D01G318600;TraesCS2D01G079200;TraesCS2A01G190200;TraesCS5D01G383100;TraesCS4B01G157800;TraesCS3B01G485900;TraesCS5B01G104500;TraesCS7A01G131700;TraesCS7A01G476700;TraesCS2B01G350500;TraesCS3A01G276200;TraesCS7B01G274100;TraesCS3D01G049000;TraesCS3D01G278000;TraesCS2D01G380500;TraesCS3A01G033000;TraesCS6D01G360900;TraesCS2A01G292000;TraesCS7B01G245800;TraesCS3A01G342000;TraesCS2D01G219800;TraesCS6B01G225700;TraesCS5B01G526200;TraesCS6A01G052100;TraesCS4B01G376800;TraesCS5A01G447200;TraesCS5A01G350800;TraesCS2A01G170600;TraesCS2D01G255700;TraesCS2D01G297300;TraesCS4B01G054900;TraesCS3D01G351600;TraesCS2A01G467700;TraesCS1A01G367200;TraesCS2D01G264400;TraesCS2A01G182800;TraesCS2A01G216700;TraesCS3D01G234400;TraesCS5B01G135200;TraesCS2A01G537900;TraesCS7D01G444700;TraesCS3B01G126400;TraesCS2B01G477600;TraesCS2D01G506600;TraesCS1D01G074500;TraesCS7B01G047300;TraesCS3D01G270300;TraesCS3A01G274000;TraesCS3A01G163300;TraesCS5B01G371800;TraesCS4B01G306900;TraesCS6B01G145700;TraesCS3D01G316400;TraesCS1A01G343000;TraesCS1D01G100900;TraesCS7B01G207500;TraesCS1A01G184500;TraesCS3A01G344400;TraesCS1A01G243400;TraesCS3A01G048700;TraesCS7B01G239300;TraesCS3A01G107600;TraesCS1B01G385100;TraesCS1B01G089000;TraesCS4A01G089700;TraesCS1B01G158500;TraesCS2A01G479900;TraesCS3A01G034300;TraesCS4B01G238700;TraesCS5D01G328300;TraesCS6A01G078700;TraesCS3B01G113500;TraesCS5B01G183500;TraesCS4B01G222100;TraesCS2D01G537100;TraesCS1A01G181000;TraesCS2D01G151500;TraesCS5D01G387900;TraesCS2D01G226300;TraesCS5B01G146100;TraesCS1D01G439400;TraesCS7B01G356500;TraesCS3B01G353000;TraesCS2A01G384000;TraesCS5D01G524800;TraesCS3B01G049700;TraesCS3B01G196900;TraesCS1A01G182300;TraesCS5A01G197200;TraesCS4A01G062000;TraesCS5A01G252300;TraesCS7B01G415400;TraesCS2B01G180500;TraesCS1D01G335400;TraesCS6A01G377700;TraesCS6D01G297300;TraesCS2B01G605800;TraesCS6A01G000500;TraesCS7B01G311600;TraesCS2B01G437300;TraesCS4B01G106000;TraesCS5B01G526000;TraesCS7D01G087100;TraesCS3B01G306400;TraesCS3D01G030600;TraesCS6A01G250800;TraesCS2B01G097300;TraesCS4B01G047100;TraesCS1A01G367000;TraesCS5A01G322300;TraesCS6B01G050200;TraesCS3A01G357700;TraesCS4B01G366800;TraesCS2A01G216500;TraesCS7D01G165300;TraesCS3A01G045200;TraesCS4B01G224300;TraesCS3B01G390400;TraesCS1B01G231900;TraesCS2D01G415700;TraesCS3B01G401600;TraesCS5D01G181500;TraesCS6A01G225400;TraesCS2A01G418300;TraesCS6B01G020800;TraesCS1B01G162400;TraesCS7A01G455800;TraesCS3A01G310400;TraesCS2D01G057600;TraesCS1D01G146900;TraesCS1D01G345200;TraesCS5B01G184600;TraesCS6D01G211900;TraesCS7D01G122600;TraesCS6A01G140800;TraesCS5B01G404800;TraesCS1D01G243400;TraesCS1D01G163400;TraesCS1D01G218200;TraesCS2D01G097700;TraesCS7A01G118900;TraesCS5B01G188600;TraesCS7A01G435300;TraesCS5D01G328100;TraesCS2B01G537800;TraesCS2D01G223000;TraesCS3A01G272900;TraesCS6A01G318100;TraesCS2B01G485600;TraesCS3B01G289400;TraesCS6D01G157900;TraesCS2B01G053300;TraesCS7A01G480100;TraesCS7D01G179700;TraesCS3D01G378700;TraesCS7A01G031700;TraesCS2D01G364400;TraesCS7D01G368700;TraesCS2A01G516800;TraesCS3A01G152200;TraesCS2D01G216700;TraesCS3D01G104100;TraesCS7B01G294800;TraesCS3B01G141600;TraesCS3A01G257500;TraesCS3A01G385600;TraesCS1B01G384900;TraesCS5D01G167800;TraesCS5A01G370800;TraesCS2A01G525300;TraesCS3B01G307700;TraesCS1B01G091900;TraesCS6B01G051700;TraesCS3D01G442100;TraesCS2D01G537700;TraesCS7D01G495700;TraesCS4A01G414700;TraesCS3B01G360600;TraesCS4D01G261400;TraesCS3A01G256200;TraesCS5A01G401400;TraesCS5B01G501300;TraesCS7D01G097500;TraesCS2B01G242200;TraesCS1D01G419400;TraesCS6A01G178500;TraesCS7D01G324900;TraesCS3A01G280500;TraesCS4A01G098600;TraesCS3D01G256400;TraesCS2B01G001400;TraesCS6B01G163100;TraesCS2B01G097100;TraesCS7A01G333500;TraesCS7A01G167300;TraesCS2B01G045700;TraesCS1A01G080500;TraesCS1A01G330500;TraesCS5D01G104900;TraesCS3A01G290300;TraesCS7B01G309900;TraesCS6B01G300900;TraesCS2B01G381600;TraesCS2B01G536500;TraesCS5B01G028700;TraesCS5B01G372500;TraesCS6D01G122100;TraesCS7A01G264400;TraesCS1D01G372600;TraesCS7B01G299000;TraesCS5A01G294600;TraesCSU01G111800;TraesCS5D01G379700;TraesCS1B01G382500;TraesCS5A01G375000;TraesCS3D01G257500;TraesCS5D01G063800;TraesCS4B01G174300;TraesCS6B01G204600;TraesCS7B01G260800;TraesCS2B01G096000;TraesCS5B01G538800;TraesCS6B01G412500;TraesCS7D01G248200;TraesCS2B01G124100;TraesCS1A01G329500;TraesCS7A01G011900;TraesCS1A01G304200;TraesCS1A01G430100;TraesCS7B01G107300;TraesCS7B01G069100;TraesCS7B01G476100;TraesCS5B01G247700;TraesCS2A01G493800;TraesCS5B01G152600;TraesCS6A01G155200;TraesCS5A01G297900;TraesCS3D01G290100;TraesCS1D01G379000;TraesCS3B01G153800;TraesCS3A01G261800;TraesCS3A01G355700;TraesCS4A01G029800;TraesCS7A01G354000;TraesCS7B01G395000;TraesCS3B01G357200;TraesCS7D01G335800;TraesCS1A01G372400;TraesCS5B01G363800;TraesCS5D01G312800;TraesCS4B01G222500;TraesCSU01G238700;TraesCS3A01G224400;TraesCS6B01G199700;TraesCS1B01G376000;TraesCS7D01G176000;TraesCS5B01G316300;TraesCS3A01G146800;TraesCS6D01G110100;TraesCS7A01G242800;TraesCS2D01G491600;TraesCS3B01G291900;TraesCS3A01G129000;TraesCS7D01G065500;TraesCS1D01G236900;TraesCS4D01G059300;TraesCS6D01G146500;TraesCS2A01G211200;TraesCS1D01G140300;TraesCS4B01G315400;TraesCS2A01G431100;TraesCS5A01G426500;TraesCS1A01G411600;TraesCS2A01G040900;TraesCS5B01G540900;TraesCS2D01G139200;TraesCS1B01G356200;TraesCS6B01G205900;TraesCS5D01G190600;TraesCS2A01G396400;TraesCS5D01G509800;TraesCS2B01G070900;TraesCS4B01G201600;TraesCS4D01G176300;TraesCS5A01G205500;TraesCS3D01G261800;TraesCS5B01G204900;TraesCS7D01G146400;TraesCS5A01G097600;TraesCS1D01G372400;TraesCS4D01G305100;TraesCS5A01G016200;TraesCS6B01G256200;TraesCS2D01G117200;TraesCS2B01G302400;TraesCS3B01G473100;TraesCS6D01G368800;TraesCS1B01G001800;TraesCS5B01G538600;TraesCS2B01G394700;TraesCS7D01G355100;TraesCS7D01G086900;TraesCS2B01G208900;TraesCS2A01G343100;TraesCS7D01G114100;TraesCS7D01G449500;TraesCS2A01G382700;TraesCS6A01G241000;TraesCS2D01G582800;TraesCS2A01G049700;TraesCS2B01G101300;TraesCS1A01G122500;TraesCS2B01G414800;TraesCS6B01G471400;TraesCS1B01G167700;TraesCS3B01G600300;TraesCS1D01G082600;TraesCS2B01G060900;TraesCS7B01G225500;TraesCS2A01G538200;TraesCS5B01G384300;TraesCS5D01G475900;TraesCS7A01G249400;TraesCS7D01G356200;TraesCS5D01G205100;TraesCS6D01G166100;TraesCS7D01G085800;TraesCS6A01G336600;TraesCS6B01G415700;TraesCS6D01G195900;TraesCS6A01G378000;TraesCS2D01G451100;TraesCS3D01G104500;TraesCS5A01G261400;TraesCS6D01G258300;TraesCS2D01G222300;TraesCS4B01G203000;TraesCS4D01G340500;TraesCS7A01G339100;TraesCS2A01G199700;TraesCS5D01G380500;TraesCS1A01G016100;TraesCS1D01G364000;TraesCS5D01G358600;TraesCS4B01G162700;TraesCS5D01G048600;TraesCS1D01G381800;TraesCS1A01G259500;TraesCS7D01G346400;TraesCS6B01G412400;TraesCS2D01G509300;TraesCS4A01G010000;TraesCS5B01G375600;TraesCS4A01G255400;TraesCS6D01G257000;TraesCS4D01G238900;TraesCS4D01G293200;TraesCS3B01G348200;TraesCS2D01G463100;TraesCS2A01G509900;TraesCS1B01G119600;TraesCS2D01G467700;TraesCS2B01G324900;TraesCS1A01G273600;TraesCS2A01G463900;TraesCS5D01G022200;TraesCS7A01G213000;TraesCS7A01G033500;TraesCS6A01G258900;TraesCS6B01G413500;TraesCS6D01G359100;TraesCS2A01G371600;TraesCS7A01G343800;TraesCS5D01G163500;TraesCS2B01G127700;TraesCS3A01G477300;TraesCS3D01G049700;TraesCS5D01G519800;TraesCS3D01G335700;TraesCS4B01G287300;TraesCS5A01G429000;TraesCS7A01G091400;TraesCS6D01G041300;TraesCS2D01G112700;TraesCS3B01G119600;TraesCS2A01G106500;TraesCS1A01G079700;TraesCS2D01G485300;TraesCS4D01G360300;TraesCS7D01G506300;TraesCS2D01G185000;TraesCS4A01G402100;TraesCS5A01G030000;TraesCS6D01G056600;TraesCS4B01G345400;TraesCS3A01G230900;TraesCS2A01G083300;TraesCS5A01G376700;TraesCSU01G003600;TraesCS1A01G342600;TraesCS3D01G441900;TraesCS1B01G347100;TraesCS6D01G210100;TraesCS3B01G325100;TraesCS5B01G428400;TraesCS5B01G407300;TraesCS3A01G317700;TraesCS5D01G059300;TraesCS1A01G332800;TraesCS4A01G396700;TraesCS7B01G372400;TraesCS7D01G383600;TraesCS7D01G085600;TraesCS2A01G291900;TraesCS7A01G226500;TraesCS2D01G107100;TraesCSU01G016900;TraesCS1D01G372900;TraesCS2D01G455900;TraesCS2D01G577000;TraesCS3A01G064400;TraesCS4D01G126900;TraesCS3A01G362500;TraesCS3B01G166600;TraesCS4A01G248900;TraesCS3B01G288100;TraesCS6D01G328200;TraesCS7D01G300200;TraesCSU01G249900;TraesCS3D01G220900;TraesCS1A01G048100;TraesCS5D01G390500;TraesCS3A01G122300;TraesCS5B01G327800;TraesCS1D01G052000;TraesCS7D01G392500;TraesCS3D01G172200;TraesCS6D01G105000;TraesCS1B01G324000;TraesCSU01G047400;TraesCS7D01G265400;TraesCS3A01G443500;TraesCS4A01G323500;TraesCS4D01G352700;TraesCS6B01G423100;TraesCS3D01G345700;TraesCS1A01G047000;TraesCS1A01G080700;TraesCS6A01G277600;TraesCS6B01G381300;TraesCS2B01G035300;TraesCS3D01G219900;TraesCS1D01G076200;TraesCS7B01G250400;TraesCS5B01G208300;TraesCS2B01G100200;TraesCS4B01G367200;TraesCS6B01G152700;TraesCS7A01G321600;TraesCS7D01G451300;TraesCS1B01G269800;TraesCS6A01G301300;TraesCS1D01G047900;TraesCS4A01G322400;TraesCS6A01G383800;TraesCS6B01G059800;TraesCS6D01G158300;TraesCS4D01G089300;TraesCS5D01G069700;TraesCS3B01G293100;TraesCS2A01G112300;TraesCS6D01G255200;TraesCS5B01G520600;TraesCS5D01G514500;TraesCS1D01G335500;TraesCS5B01G474500;TraesCS1A01G296300;TraesCS2B01G240800;TraesCS1D01G239700;TraesCS2B01G246100;TraesCS6A01G327500;TraesCS1D01G082200;TraesCS7B01G301400;TraesCS7D01G463300;TraesCS1D01G032600;TraesCS5A01G387800;TraesCS1A01G072200;TraesCS2D01G222700;TraesCS2D01G564300;TraesCS5A01G152800;TraesCS3D01G244500;TraesCS7D01G175900;TraesCS3D01G324400;TraesCS4A01G384500;TraesCS5B01G225200;TraesCS6A01G375800;TraesCS3D01G272300;TraesCS2D01G528200;TraesCS1B01G109400;TraesCS2B01G241900;TraesCS2D01G464800;TraesCS4B01G132000;TraesCS5D01G455900;TraesCS6D01G328800;TraesCS7B01G079400;TraesCS4B01G216700;TraesCS6D01G335300;TraesCS7D01G357100;TraesCS3B01G100600;TraesCS5B01G056700;TraesCS1A01G073300;TraesCS1B01G385200;TraesCS4B01G055600;TraesCS5A01G373600;TraesCS1B01G251700;TraesCS7A01G131300;TraesCS3A01G439200;TraesCS7A01G412400;TraesCS4D01G224900;TraesCS1B01G375400;TraesCS3A01G357100;TraesCS3B01G352300;TraesCS2B01G539200;TraesCS4D01G312400;TraesCS5D01G370100;TraesCS2A01G182400;TraesCS3D01G315700;TraesCS4A01G071800;TraesCS4B01G083200;TraesCS3D01G349700;TraesCS1B01G157700;TraesCS2B01G400000;TraesCS1D01G259300;TraesCS3D01G542300;TraesCS7D01G054000;TraesCS2D01G098200;TraesCS3B01G477100;TraesCS6B01G069800;TraesCS7B01G167100;TraesCS5A01G222300;TraesCS1A01G312400;TraesCS2A01G150600;TraesCS5D01G195700;TraesCS4A01G171500;TraesCS5A01G048600;TraesCS4A01G211600;TraesCS3D01G262300;TraesCS5D01G212900;TraesCS7A01G384500;TraesCS6D01G362500;TraesCS3D01G319000;TraesCS6D01G316600;TraesCS2D01G307000;TraesCS3D01G273200;TraesCS2A01G117800;TraesCS2D01G190200;TraesCS1A01G424100;TraesCS5D01G158100;TraesCS6D01G107600;TraesCS4D01G264500;TraesCS2A01G209900;TraesCS7D01G364700;TraesCS5A01G173300;TraesCS7D01G167900;TraesCS7D01G444400;TraesCS6D01G258900;TraesCS2A01G023900;TraesCS4D01G229100;TraesCS7D01G037700;TraesCS1A01G418900;TraesCS3D01G230300;TraesCS4B01G052300;TraesCS7D01G314200;TraesCS5A01G463100;TraesCS5D01G070900;TraesCS7A01G177900;TraesCS1D01G359900;TraesCS2D01G227300;TraesCS1A01G066800;TraesCS5A01G185500;TraesCS1D01G312600;TraesCS3A01G419600;TraesCS6D01G050900;TraesCS5A01G514500;TraesCS3B01G410000;TraesCS4A01G431500;TraesCS3B01G376300;TraesCS5A01G210300;TraesCS3D01G310200;TraesCS6D01G047500;TraesCS3D01G182600;TraesCS3D01G337900;TraesCS1D01G073100;TraesCS7A01G059500;TraesCS6D01G381200;TraesCS3B01G253900;TraesCS1D01G333500;TraesCS2D01G509500;TraesCS2B01G401300;TraesCS3B01G295500;TraesCS3D01G136300;TraesCS7D01G130600;TraesCS3B01G053800;TraesCS6A01G374700;TraesCS2B01G187300;TraesCS3A01G034600;TraesCS2A01G033700;TraesCS6D01G115200;TraesCS4D01G220500;TraesCS2D01G178100;TraesCS5B01G437300;TraesCS7D01G203800;TraesCS1B01G157900;TraesCS7D01G341800;TraesCS3A01G123000;TraesCS4B01G054700;TraesCS4D01G325500;TraesCS4B01G205400;TraesCS2A01G008300;TraesCS7D01G048600;TraesCS1D01G123400;TraesCS4A01G059900;TraesCS7A01G091200;TraesCS7A01G317500;TraesCS7D01G128300;TraesCS1A01G429800;TraesCS4D01G267800;TraesCS2B01G071200;TraesCS6A01G211400;TraesCS3B01G374100;TraesCS1B01G204700;TraesCS2A01G030200;TraesCS3B01G280000;TraesCS1D01G295800;TraesCS1D01G270500;TraesCS3D01G535700;TraesCS7B01G325900;TraesCS5B01G241400;TraesCS3A01G493100;TraesCS1D01G220000;TraesCS2B01G197000;TraesCS4D01G081300;TraesCS6D01G161200;TraesCS6B01G305600;TraesCS7A01G127100;TraesCS7D01G131000;TraesCS2A01G056800;TraesCS7A01G012000;TraesCS3A01G097800;TraesCS7B01G024500;TraesCS1D01G005400;TraesCS4A01G101600;TraesCS5A01G366000;TraesCS2B01G440400;TraesCS3A01G255600;TraesCS7D01G136700;TraesCS1B01G254900;TraesCS2A01G418200;TraesCS5D01G031500;TraesCS6A01G225300;TraesCS2A01G455600;TraesCS5B01G151600;TraesCS2D01G549400;TraesCS2B01G243000;TraesCS5D01G375600;TraesCS4B01G181800;TraesCS6D01G240100;TraesCS5D01G021700;TraesCS3B01G194400;TraesCS2D01G217500;TraesCS5D01G478700;TraesCS1D01G111900;TraesCS1A01G002500;TraesCS5D01G374300;TraesCS2A01G503800;TraesCS1A01G424200;TraesCS6D01G153600;TraesCS2B01G489700;TraesCS3A01G449400;TraesCS5A01G062600;TraesCS3D01G290000;TraesCS2B01G236900;TraesCS3D01G209100;TraesCS4A01G262600;TraesCS6B01G006600;TraesCSU01G008300;TraesCS3B01G206500;TraesCS2D01G321400;TraesCS1B01G157300;TraesCS3B01G311900;TraesCS2D01G504300;TraesCS2B01G271700;TraesCS5A01G243500;TraesCS6D01G246900;TraesCS7B01G255500;TraesCS2A01G384100;TraesCS2B01G350600;TraesCS2D01G197600;TraesCS1D01G259700;TraesCS7B01G356400;TraesCS5B01G530800;TraesCS7A01G030900;TraesCS4B01G124800;TraesCS4D01G206300;TraesCS3A01G096500;TraesCS2D01G219900;TraesCS5A01G315700;TraesCS1D01G346200;TraesCS5B01G381500;TraesCS6B01G225800;TraesCS7B01G287100;TraesCS3D01G285700;TraesCS1D01G134600;TraesCS2B01G365900;TraesCS7D01G030100;TraesCS3D01G472000;TraesCS5D01G480600;TraesCS7D01G281300;TraesCS2B01G437200;TraesCS4D01G215200;TraesCS3D01G500800;TraesCS2D01G031100;TraesCS3D01G036000;TraesCS5A01G085900;TraesCS6A01G268000;TraesCS1A01G367100;TraesCS7D01G366600;TraesCS5B01G380400;TraesCS1D01G303700;TraesCS2D01G562200;TraesCS2A01G346000;TraesCS2D01G415600;TraesCS3D01G435900;TraesCS1D01G074600;TraesCS3A01G232300;TraesCS7D01G316100;TraesCS1D01G037200;TraesCS1D01G123700;TraesCS4B01G178600;TraesCS6B01G197000;TraesCS2D01G428900;TraesCS3D01G316700;TraesCS5A01G369500;TraesCS3B01G158300;TraesCS4B01G214600;TraesCS1B01G089100;TraesCS3D01G178300;TraesCS5B01G138400;TraesCS1B01G385000;TraesCS3B01G102300;TraesCS3D01G048000;TraesCS3D01G136700;TraesCS1B01G217500;TraesCS1B01G198700;TraesCS3A01G293900;TraesCS4D01G184200;TraesCS7D01G395100;TraesCS4D01G002500;TraesCS1D01G273800;TraesCS1A01G344000;TraesCS3D01G053600;TraesCS1D01G301300;TraesCS6A01G204600;TraesCS2D01G344700;TraesCS6B01G153000;TraesCS4B01G261800;TraesCS4D01G269700;TraesCS6A01G135100;TraesCS3A01G266300;TraesCS6D01G383900;TraesCS4D01G055000;TraesCS1D01G439300;TraesCS6D01G360800;TraesCS7D01G124900;TraesCS5B01G572600;TraesCS1D01G004700;TraesCS2B01G044700;TraesCS3A01G256300;TraesCS3D01G046000;TraesCS1D01G140400;TraesCS7A01G231600;TraesCS4D01G064800;TraesCS2A01G505800;TraesCS3B01G321100;TraesCS5B01G321800;TraesCS6A01G132400;TraesCS2B01G326900;TraesCS3B01G306500;TraesCS3D01G256500;TraesCS1A01G141300;TraesCS2D01G572600;TraesCS1B01G447200;TraesCS2B01G230300;TraesCS1B01G392400;TraesCS1A01G080600;TraesCS2B01G532000;TraesCS2B01G536600;TraesCS5A01G186000;TraesCS7D01G467100;TraesCS1D01G372700;TraesCS6D01G145100;TraesCS1B01G441900;TraesCS1A01G259900;TraesCS5D01G434500;TraesCS1A01G213900;TraesCS2D01G493700;TraesCS5B01G014400;TraesCS4B01G174200;TraesCS3A01G323800;TraesCS7B01G031900;TraesCS4A01G207800;TraesCS7A01G470400;TraesCS5D01G216400;TraesCS1D01G013200;TraesCS5D01G412500;TraesCS1A01G122800;TraesCS5D01G357800;TraesCS2B01G114000;TraesCS2A01G255300;TraesCS3B01G304300;TraesCS5A01G269300;TraesCS5B01G103100;TraesCS6A01G277800;TraesCS4A01G130300;TraesCS6A01G124800;TraesCS2A01G155500;TraesCS6D01G363200;TraesCS4A01G075600;TraesCS3B01G141500;TraesCS6A01G266900;TraesCS7D01G321500;TraesCS5D01G157900;TraesCS7B01G333700;TraesCS7D01G380900;TraesCS1B01G311400;TraesCS3A01G050300;TraesCS5D01G321800;TraesCS3D01G104000;TraesCS5A01G380700;TraesCS7B01G356800;TraesCS5A01G321300;TraesCS4A01G043800;TraesCS6A01G171800;TraesCS2B01G130900;TraesCS2A01G211300;TraesCS1D01G130400;TraesCS2A01G250900;TraesCS3A01G109500;TraesCS5B01G428000;TraesCS5A01G206700;TraesCS1A01G245300;TraesCS6A01G157500;TraesCS7D01G261300;TraesCS1B01G356100;TraesCS7A01G392800;TraesCS7D01G041400;TraesCS1A01G070600;TraesCS1B01G314700;TraesCS2A01G421400;TraesCS2B01G175800;TraesCS5A01G534900;TraesCS6A01G311400;TraesCS1D01G185500;TraesCS1A01G049600;TraesCS6D01G122200;TraesCS5D01G329100;TraesCS4B01G220200;TraesCS3A01G049500;TraesCS1D01G372500;TraesCS2A01G081400;TraesCS3B01G038900;TraesCS4D01G176200;TraesCS3D01G343900;TraesCS6B01G256300;TraesCS7D01G430800;TraesCS2B01G325600;TraesCS4D01G223000;TraesCS7D01G388400;TraesCS6B01G145800;TraesCS7D01G027100;TraesCS3D01G317400;TraesCS4A01G102900;TraesCS5B01G184100;TraesCS5B01G188700;TraesCS6B01G328300;TraesCS1A01G430000;TraesCS7D01G248100;TraesCS3A01G101800;TraesCS5B01G430100;TraesCS3B01G148100;TraesCS3D01G048400;TraesCS2A01G548300;TraesCS3A01G272800;TraesCS1A01G342900;TraesCS6B01G238900;TraesCS6B01G385500;TraesCS3B01G524400;TraesCS6D01G191500;TraesCS7A01G387000;TraesCS3A01G261700;TraesCS3B01G289500;TraesCS2D01G394200;TraesCS1A01G267300;TraesCS3A01G217900;TraesCS4A01G098900;TraesCS2A01G516500;TraesCS6D01G307100;TraesCS2B01G452400;TraesCS1A01G215900;TraesCS2B01G511300;TraesCS5A01G400000;TraesCS7B01G271600;TraesCS4D01G269300;TraesCS1D01G338400;TraesCS5D01G111500;TraesCS5A01G321500;TraesCS7A01G053400;TraesCS5D01G281200;TraesCS7B01G228900;TraesCS4D01G202300;TraesCS1D01G184500;TraesCS5D01G210800;TraesCS4B01G059700;TraesCS4D01G316500;TraesCS2D01G374600;TraesCS3A01G285700;TraesCS2A01G217200;TraesCS2D01G215900;TraesCS2D01G248700;TraesCS3A01G101700;TraesCS2D01G509400;TraesCS1D01G094700;TraesCS5D01G277500;TraesCS2A01G211900;TraesCS5D01G142900;TraesCS3A01G330600;TraesCS2D01G534600;TraesCS7A01G125600;TraesCS1B01G278200;TraesCS2B01G504600;TraesCS6D01G191400;TraesCS4B01G068300;TraesCS5A01G156200;TraesCS7D01G417800;TraesCS7B01G030400;TraesCS3D01G412400;TraesCS6B01G136100;TraesCS6B01G152800;TraesCS4B01G264500;TraesCS3B01G128000;TraesCS2A01G508900;TraesCS2B01G220900;TraesCS3A01G056700;TraesCS5D01G159100;TraesCS2B01G266900;TraesCS7A01G091500;TraesCS1A01G257200;TraesCS4A01G391100;TraesCS1D01G081400;TraesCS3A01G021600;TraesCS5A01G147500;TraesCS4A01G232600;TraesCS3D01G432000;TraesCS6A01G224800;TraesCS5D01G166900;TraesCS2B01G435600;TraesCS2D01G066900;TraesCS1D01G101300;TraesCS1D01G082500;TraesCS3A01G110400;TraesCS3A01G135700;TraesCS7A01G364200;TraesCS2A01G371700;TraesCS5A01G320600;TraesCS7B01G225600;TraesCS6B01G358800;TraesCS4D01G180700;TraesCS1B01G430800;TraesCS5D01G097900;TraesCS7A01G398200;TraesCS6D01G258200;TraesCS5A01G205700;TraesCS7B01G301100;TraesCS5A01G467600;TraesCS2D01G419700;TraesCS4D01G032900;TraesCS4A01G221700;TraesCS4D01G168600;TraesCS3B01G110500;TraesCS2A01G462700;TraesCS3B01G310000;TraesCS1A01G048000;TraesCS1B01G456900;TraesCS2D01G509200;TraesCS7B01G029200;TraesCS3D01G193200;TraesCS1B01G062200;TraesCS3B01G290300;TraesCS4D01G203900;TraesCS1B01G119700;TraesCS4D01G052500;TraesCS7A01G345700;TraesCS1A01G103900;TraesCS2D01G201700;TraesCS6B01G257800;TraesCS3A01G351500;TraesCS2D01G534400;TraesCS3B01G486100;TraesCS6A01G168900;TraesCS3B01G174100;TraesCS6B01G423000;TraesCS1D01G344700;TraesCS5B01G202900;TraesCS3D01G045400;TraesCS6B01G266500;TraesCS7A01G400900;TraesCS4B01G228200;TraesCS7A01G434300;TraesCS5B01G042800;TraesCS5D01G343000;TraesCS7B01G273600;TraesCS1D01G330300;TraesCS2B01G100300;TraesCS5B01G208200;TraesCS2A01G308400;TraesCS2D01G379000;TraesCS6B01G152600;TraesCS5D01G436200;TraesCS2B01G220700;TraesCS7D01G351900;TraesCS4A01G081300;TraesCS2B01G323700;TraesCS4B01G231400;TraesCS2D01G239800;TraesCS6D01G158400;TraesCS5A01G361100;TraesCS2D01G076900;TraesCS3B01G119500;TraesCS7A01G328100;TraesCS7D01G114200;TraesCS2B01G067000;TraesCS2D01G485200;TraesCS5D01G073900;TraesCS3D01G266400;TraesCS7D01G394800;TraesCS6A01G209600;TraesCS7A01G174700;TraesCS2D01G418400;TraesCS6B01G169000;TraesCS1A01G015300;TraesCS5A01G351300;TraesCS2A01G532800;TraesCS1D01G101100;TraesCS3D01G256600;TraesCS5D01G152300;TraesCS2A01G031000;TraesCS5D01G177800;TraesCS1A01G235200;TraesCS2D01G511300;TraesCS3B01G151200;TraesCS3A01G479800;TraesCS2A01G098700;TraesCS1D01G372800;TraesCS1D01G206900;TraesCS4D01G126800;TraesCS6B01G415600;TraesCS7A01G419500;TraesCS3B01G013200;TraesCS6D01G397500;TraesCS5A01G377900;TraesCS1A01G203400;TraesCS7D01G053900;TraesCS3A01G247000;TraesCS4B01G216000;TraesCS2D01G273700;TraesCS1A01G333800;TraesCS5A01G237700;TraesCS2A01G445100;TraesCS3B01G359000;TraesCS4A01G267300;TraesCS3D01G276200;TraesCS6B01G183300;TraesCS3D01G260200;TraesCS5D01G145100;TraesCS2A01G217600;TraesCS1B01G385300;TraesCS3A01G260000;TraesCS2B01G216800;TraesCS1B01G456700;TraesCS1A01G145100;TraesCS1A01G149700;TraesCS7A01G479800;TraesCS2B01G114900;TraesCS3B01G587400;TraesCS1A01G088900;TraesCS2A01G203200;TraesCS4D01G159500;TraesCS6D01G247700;TraesCS1B01G134500;TraesCS4D01G172700;TraesCS4D01G312300;TraesCS5D01G452500;TraesCS4A01G455800;TraesCS1D01G216700;TraesCS6B01G295200;TraesCS1B01G283400;TraesCS3A01G530200;TraesCS3B01G361100;TraesCS3B01G388600;TraesCS1B01G120100;TraesCS2A01G214100;TraesCS4A01G363700;TraesCS5D01G436000;TraesCS3B01G384000;TraesCS6D01G032300;TraesCS5A01G138600;TraesCS3A01G463400;TraesCS5D01G304700;TraesCS5A01G249900;TraesCS3B01G238600;TraesCS5D01G373700;TraesCS1A01G312300;TraesCS2B01G562100;TraesCS1A01G031200;TraesCS3B01G248400;TraesCS7A01G537100;TraesCS5B01G236200;TraesCS7B01G222500;TraesCS2A01G347400;TraesCS3A01G262200;TraesCS2A01G368700;TraesCS3B01G272300;TraesCS5D01G386800;TraesCS5B01G509700;TraesCS1B01G270300;TraesCS2B01G521800;TraesCS7A01G096800;TraesCS5D01G179100;TraesCS5B01G069900;TraesCS2A01G083000;TraesCS2A01G532600;TraesCS6D01G210200;TraesCS2D01G517200;TraesCS1D01G367800;TraesCS4D01G222600;TraesCS3D01G286600;TraesCS6D01G258600;TraesCS4D01G046900;TraesCS7D01G175800;TraesCS7A01G154900;TraesCS4A01G186700;TraesCS6B01G302400;TraesCS4A01G083900;TraesCS5D01G564000;TraesCS1D01G312500;TraesCS1B01G248400;TraesCS1D01G439500;TraesCS2B01G241800;TraesCS6B01G367100;TraesCS1B01G097700;TraesCS3D01G056500;TraesCS5A01G136200;TraesCS3A01G054100;TraesCS3D01G182300;TraesCS7B01G079500;TraesCS1D01G073000;TraesCS3D01G367200;TraesCS2D01G284200;TraesCS5B01G056800;TraesCS2D01G380800;TraesCS5D01G210600;TraesCS2D01G207400;TraesCS3A01G325600;TraesCS5A01G160100;TraesCS7B01G253600;TraesCS7D01G227900;TraesCS5A01G092600;TraesCS3B01G218800;TraesCS1D01G067800;TraesCS3A01G034700;TraesCS2B01G244000;TraesCS4B01G041300;TraesCS5B01G457000;TraesCS2B01G366600;TraesCS3D01G097000;TraesCS4A01G407500;TraesCS2B01G085500;TraesCS6D01G330800;TraesCS7B01G141900;TraesCS5B01G366400;TraesCS4A01G081700;TraesCS5A01G409700;TraesCS2D01G055600;TraesCS2A01G311200;TraesCS7B01G222700;TraesCS6D01G280700;TraesCS3D01G262200;TraesCS1A01G325800;TraesCS4B01G294300;TraesCS3D01G046900;TraesCS3A01G323200;TraesCS7A01G129300;TraesCS2D01G574000;TraesCS5A01G428000;TraesCS2D01G062100;TraesCS4D01G217000;TraesCS5D01G158000;TraesCS7D01G129500;TraesCS3B01G354400;TraesCS3B01G344600;TraesCS7B01G032400;TraesCS6D01G159100;TraesCS2B01G594100;TraesCS2A01G220600;TraesCS3B01G585400;TraesCS3D01G124200;TraesCS3D01G313600;TraesCS2B01G364400;TraesCS1A01G301600;TraesCS3A01G102200;TraesCS6A01G116200;TraesCS7D01G444500;TraesCS6B01G192400;TraesCS6A01G223500;TraesCS2A01G285300;TraesCS1B01G305200;TraesCS3D01G356300;TraesCS6A01G352800;TraesCS7D01G457800;TraesCS6A01G375900;TraesCS4B01G132100;TraesCS5B01G064400;TraesCS1A01G016000;TraesCS2D01G380600;TraesCS2A01G485600;TraesCS7A01G325000;TraesCS4B01G065700;TraesCS5D01G268800;TraesCS4A01G431600;TraesCS7B01G220500</t>
  </si>
  <si>
    <t>TraesCS7D01G063900;TraesCS6D01G255200;TraesCS5A01G424300;TraesCS5B01G373000;TraesCS5D01G346200;TraesCS6A01G240700;TraesCS5B01G152600;TraesCS1A01G275200;TraesCS1D01G067800;TraesCS6B01G169700;TraesCS5A01G341000;TraesCS6A01G141500;TraesCS6D01G212400;TraesCS5A01G156200;TraesCS1A01G217300;TraesCS2B01G339600;TraesCS1D01G219100;TraesCS5B01G468400;TraesCS6D01G130800;TraesCS4A01G122800;TraesCS6A01G359900;TraesCS7A01G339100;TraesCS2B01G198100;TraesCS5D01G183700;TraesCS6A01G244400;TraesCS1A01G066800;TraesCS1D01G039500;TraesCS6B01G258400;TraesCS3D01G077200;TraesCS4D01G315400;TraesCS5D01G432800;TraesCS7D01G346400;TraesCS4A01G091000;TraesCS6B01G284000;TraesCS6D01G226700;TraesCS1D01G111900;TraesCS6B01G280000;TraesCS7A01G412400;TraesCS5B01G339100;TraesCS6D01G222900;TraesCS2B01G605800;TraesCS6B01G392700;TraesCS2D01G517200;TraesCS4A01G419400;TraesCS2B01G393000;TraesCS6D01G342800;TraesCS1B01G048300;TraesCS7B01G250400;TraesCS1B01G048500;TraesCS7A01G069300;TraesCS3A01G077000;TraesCS6B01G258500;TraesCS5A01G375000;TraesCS6B01G105800;TraesCS2D01G598500;TraesCS1D01G274800;TraesCS4D01G183100</t>
  </si>
  <si>
    <t>TraesCS4B01G045400;TraesCS7B01G299200;TraesCS2B01G208900;TraesCS4B01G100100;TraesCS5B01G236900;TraesCS7D01G392800;TraesCS4A01G216100;TraesCS4D01G045300;TraesCS4D01G096400</t>
  </si>
  <si>
    <t>respiratory burst involved in defense response</t>
  </si>
  <si>
    <t>respiratory burst</t>
  </si>
  <si>
    <t>TraesCS1A01G428400;TraesCS1A01G188000;TraesCS5D01G346200;TraesCS1D01G188500;TraesCS7D01G523800;TraesCS5B01G339100;TraesCS7D01G523900;TraesCS7D01G071200;TraesCS5B01G445100;TraesCS7A01G075600;TraesCS5B01G445200;TraesCS7A01G454300;TraesCS6A01G080600;TraesCS7A01G392800;TraesCS5A01G341000;TraesCS7D01G305300;TraesCS1B01G463100;TraesCS6B01G108100;TraesCS7B01G208700;TraesCS1B01G206000;TraesCS2A01G291900;TraesCS1D01G437700;TraesCS7A01G308600;TraesCS7B01G294800;TraesCS6D01G225800;TraesCS1B01G195800;TraesCS4B01G335100;TraesCS5B01G372500;TraesCS7A01G537600;TraesCS5D01G379700;TraesCS6D01G074300;TraesCS7D01G388400;TraesCS5A01G505000;TraesCS2A01G292000;TraesCS7A01G537500</t>
  </si>
  <si>
    <t>TraesCS4A01G091000;TraesCS6D01G226700;TraesCS1D01G111900;TraesCS5A01G424300;TraesCS5B01G373000;TraesCS5D01G346200;TraesCS1D01G149100;TraesCS6B01G280000;TraesCS5B01G339100;TraesCS6B01G392700;TraesCS1A01G275200;TraesCS7A01G320000;TraesCS5A01G341000;TraesCS2D01G517200;TraesCS2B01G393000;TraesCS6D01G342800;TraesCS4A01G122800;TraesCS6A01G359900;TraesCS7A01G339100;TraesCS2B01G198100;TraesCS2D01G417800;TraesCS5D01G183700;TraesCS6A01G244400;TraesCS7B01G250400;TraesCS3A01G077000;TraesCS5A01G375000;TraesCS6B01G105800;TraesCS2A01G420800;TraesCS3D01G077200;TraesCS1D01G274800;TraesCS4D01G183100;TraesCS5D01G432800;TraesCS7D01G346400</t>
  </si>
  <si>
    <t>cellular lipid catabolic process</t>
  </si>
  <si>
    <t>TraesCS2B01G208900;TraesCS6D01G393600;TraesCS5B01G482400;TraesCS1B01G171400;TraesCS4B01G057400;TraesCS7B01G346600;TraesCS2A01G188000;TraesCS3D01G313900;TraesCS7D01G343800;TraesCS5A01G041100;TraesCS6D01G193700;TraesCS7D01G435100;TraesCS5A01G177800;TraesCS5D01G207400;TraesCS2A01G373200;TraesCS2D01G182100;TraesCS3B01G283800;TraesCS7D01G377000;TraesCS1D01G292400;TraesCS6D01G296700;TraesCS3A01G217200;TraesCS2B01G198100;TraesCS6A01G244400;TraesCS5A01G469800;TraesCS2A01G080000;TraesCS3A01G056700;TraesCS4D01G141000;TraesCS1D01G152000;TraesCS1B01G164200;TraesCS5A01G025400;TraesCS5B01G358900;TraesCS3D01G180500;TraesCS4A01G091000;TraesCS6A01G148600;TraesCS7D01G145500;TraesCS1A01G048700;TraesCS1D01G111900;TraesCS4A01G085000;TraesCS4D01G045300;TraesCS6D01G257000;TraesCS1A01G002500;TraesCS5D01G109500;TraesCS6B01G176800;TraesCS4B01G045400;TraesCS7A01G130600;TraesCS4B01G100100;TraesCS1A01G072600;TraesCS5D01G085800;TraesCS5D01G022200;TraesCS7A01G517100;TraesCS2B01G393000;TraesCS3A01G317400;TraesCS1A01G298900;TraesCS3D01G290000;TraesCS3A01G505200;TraesCS1A01G045300;TraesCS5A01G463000;TraesCS1A01G269400;TraesCS5B01G498400;TraesCS7D01G510000;TraesCS2A01G384100;TraesCS2B01G350600;TraesCS2B01G266000;TraesCS4B01G306900;TraesCS5D01G463100;TraesCS1A01G425400;TraesCS1D01G102400;TraesCS5B01G530800;TraesCS4A01G110200;TraesCS4D01G125000;TraesCS4D01G360300;TraesCS3D01G193200;TraesCS1B01G158500;TraesCS4A01G072700;TraesCS5A01G096800;TraesCS3D01G308100;TraesCS5B01G214500;TraesCS7D01G452600;TraesCS4D01G098500;TraesCS7B01G372400;TraesCS1A01G215600;TraesCS1D01G265400;TraesCS5A01G356400;TraesCS2A01G174700;TraesCS6A01G353600;TraesCS4A01G216100;TraesCS5D01G163400;TraesCS2D01G226300;TraesCS3A01G252800;TraesCS5A01G073000;TraesCS5A01G216000;TraesCS3B01G288900;TraesCS2B01G336000;TraesCS3B01G532300;TraesCS6D01G226700;TraesCS2B01G180500;TraesCS6B01G280000;TraesCS3D01G252800;TraesCS6A01G266600;TraesCS4D01G243100;TraesCS1A01G015300;TraesCS3B01G247500;TraesCS6A01G210600;TraesCS1A01G363200;TraesCS1D01G046000;TraesCS1B01G058600;TraesCS5D01G475800;TraesCS4D01G044800;TraesCS1D01G108300;TraesCS1D01G227700;TraesCS3D01G219900;TraesCS2D01G224100;TraesCS4B01G367200;TraesCS7B01G299200;TraesCS6B01G386200;TraesCS1D01G144600;TraesCS5B01G175100;TraesCS4B01G101900;TraesCS4D01G064000;TraesCS1D01G004700;TraesCS4B01G246000;TraesCS1D01G184900;TraesCS7A01G231600;TraesCS7D01G392800;TraesCS2A01G305900;TraesCS1A01G086600;TraesCS1A01G093800;TraesCS2B01G246100;TraesCS4D01G096400;TraesCS6B01G295200;TraesCS4D01G258000;TraesCS5A01G209200;TraesCS3D01G244500;TraesCS5B01G200000;TraesCS2D01G077300;TraesCS3B01G349100;TraesCS1B01G346500;TraesCS7D01G044300;TraesCS7D01G507300;TraesCS2D01G199600;TraesCS4D01G229700;TraesCS6B01G239500;TraesCS7A01G279100;TraesCS5B01G014400;TraesCS4B01G174200;TraesCS3D01G207900;TraesCS6D01G248100;TraesCS2D01G369400;TraesCS1B01G280100;TraesCS7D01G548200;TraesCS4B01G219200;TraesCS2B01G204800;TraesCS4B01G137700;TraesCS5D01G482800;TraesCS7A01G470400;TraesCS5D01G365300;TraesCS5B01G155700;TraesCS7A01G301700;TraesCS1D01G013200;TraesCS5D01G179100;TraesCS5A01G485000;TraesCS6D01G138000;TraesCSU01G076400;TraesCS4A01G130300;TraesCS1A01G265200;TraesCS7D01G278900;TraesCS3A01G175000;TraesCS2A01G155500;TraesCS5A01G425600;TraesCS1B01G229100;TraesCS1D01G368100;TraesCS4B01G052200;TraesCS5B01G156800;TraesCS1A01G192300;TraesCS5B01G102700;TraesCS1A01G385800;TraesCS1A01G251600;TraesCS4B01G174300;TraesCS3D01G056500;TraesCS4B01G065100;TraesCS3A01G337500;TraesCS1D01G002600;TraesCS6B01G231800;TraesCS5A01G424300;TraesCS6D01G039300;TraesCS1D01G050000;TraesCS1A01G153600;TraesCS5D01G031800;TraesCS3A01G309800;TraesCS3B01G218800;TraesCS4D01G219400;TraesCS5D01G223800;TraesCS5D01G187100;TraesCS4D01G132500;TraesCS1A01G005900;TraesCS5A01G534900;TraesCS4A01G046700;TraesCS1A01G005100;TraesCS4A01G407500;TraesCS2D01G392800;TraesCS4D01G176200;TraesCS5B01G427600;TraesCS1D01G198600;TraesCS5B01G316300;TraesCS5D01G182100;TraesCS2D01G304300;TraesCS2D01G277800;TraesCS5D01G432800;TraesCS1D01G073100;TraesCS4A01G066200;TraesCS7A01G143800;TraesCS5B01G073000;TraesCS6B01G456500;TraesCS1B01G308600;TraesCS5B01G079100;TraesCS6D01G335900;TraesCS3B01G287200;TraesCS2B01G223000;TraesCS4A01G268800;TraesCS2A01G220600;TraesCS4A01G174700;TraesCS4A01G249600;TraesCS4D01G176300;TraesCS4B01G142700;TraesCS1B01G063800;TraesCS5D01G215400;TraesCS4D01G300100;TraesCS7A01G520300;TraesCS7A01G561600;TraesCS4D01G305100;TraesCS7D01G457800;TraesCS3A01G295000;TraesCS3D01G253500;TraesCS1A01G295300;TraesCS1B01G001800;TraesCS3B01G284600;TraesCS2B01G201100;TraesCS6B01G294000</t>
  </si>
  <si>
    <t>MAPK cascade</t>
  </si>
  <si>
    <t>TraesCS5A01G499900;TraesCS7B01G440900;TraesCS4D01G324800;TraesCS6A01G270000;TraesCS6B01G074200;TraesCS2A01G303200;TraesCS6A01G320700;TraesCS7A01G246700;TraesCS3B01G127700;TraesCS6A01G240700;TraesCS1A01G275200;TraesCS5D01G407400;TraesCS2A01G389900;TraesCS4A01G406100;TraesCS6B01G169700;TraesCS5B01G231600;TraesCS2A01G262800;TraesCS7A01G012000;TraesCS1D01G250900;TraesCS2B01G359300;TraesCS3A01G481000;TraesCS4D01G094500;TraesCS6B01G406300;TraesCS1A01G217300;TraesCS1B01G363100;TraesCS6B01G056900;TraesCS3A01G349900;TraesCS7B01G024500;TraesCS5A01G280700;TraesCS2B01G177500;TraesCS5A01G205000;TraesCS5A01G129500;TraesCS6D01G130800;TraesCS4B01G335100;TraesCS2B01G198100;TraesCS4A01G109200;TraesCS3A01G084700;TraesCS5B01G209800;TraesCS3A01G061600;TraesCS7B01G092200;TraesCS1A01G291800;TraesCS3B01G446500;TraesCS3D01G136900;TraesCS5D01G168400;TraesCS7D01G420500;TraesCS2B01G279200;TraesCS2A01G546600;TraesCS1D01G111900;TraesCS4A01G234100;TraesCS5D01G407500;TraesCS5D01G535700;TraesCS2A01G395000;TraesCS4A01G385300;TraesCS2A01G005100;TraesCS1A01G277400;TraesCS6D01G369400;TraesCS2B01G393000;TraesCS6A01G271300;TraesCS2A01G467700;TraesCS3A01G102000;TraesCS2A01G396200;TraesCS2D01G436700;TraesCS2A01G325100;TraesCS2D01G506600;TraesCS5B01G318100;TraesCS2D01G549300;TraesCS3D01G444900;TraesCS6A01G213100;TraesCS7B01G469000;TraesCS3A01G136100;TraesCS4A01G251600;TraesCS6B01G351600;TraesCS4D01G206300;TraesCS1D01G238900;TraesCS1D01G302500;TraesCS3B01G446600;TraesCS3D01G285700;TraesCS1D01G134600;TraesCS1D01G004500;TraesCS5A01G403200;TraesCS6A01G331400;TraesCS1B01G251600;TraesCS1D01G310000;TraesCS3D01G225800;TraesCS6A01G353700;TraesCS6B01G125800;TraesCS4B01G003300;TraesCS4D01G035200;TraesCS1D01G176400;TraesCS5D01G410500;TraesCS1B01G285500;TraesCS2D01G151500;TraesCS4B01G098300;TraesCS5D01G183700;TraesCS4B01G178600;TraesCS5B01G318200;TraesCS1D01G179900;TraesCS5D01G306400;TraesCS5B01G192000;TraesCS7D01G271600;TraesCS7B01G161100;TraesCS1A01G310600;TraesCS2D01G367700;TraesCS4B01G327800;TraesCS6A01G305000;TraesCS3B01G421200;TraesCS2A01G546400;TraesCS3D01G432600;TraesCS4A01G232000;TraesCS6B01G280000;TraesCS5B01G339100;TraesCS6D01G222900;TraesCS7B01G194200;TraesCS2A01G121200;TraesCS3A01G439800;TraesCS7B01G311600;TraesCS6B01G423900;TraesCS3B01G354000;TraesCS7A01G255600;TraesCS3D01G225900;TraesCS6B01G406200;TraesCS4B01G366800;TraesCS1D01G080800;TraesCS6A01G174900;TraesCS1A01G435400;TraesCS3A01G152500;TraesCS7D01G354600;TraesCS5B01G246900;TraesCS4A01G331900;TraesCS6D01G038500;TraesCS2A01G225200;TraesCS7D01G432800;TraesCS1B01G437500;TraesCS3A01G077000;TraesCS4B01G237600;TraesCS4D01G269700;TraesCS3A01G266300;TraesCS7D01G080700;TraesCS4B01G086100;TraesCS3A01G448400;TraesCS4D01G330000;TraesCS5A01G048400;TraesCS7A01G277500;TraesCS4B01G174100;TraesCS4D01G183100;TraesCS7D01G122600;TraesCS5B01G404800;TraesCS7A01G187000;TraesCS1D01G098100;TraesCS1A01G079500;TraesCS2B01G275100;TraesCS3D01G293800;TraesCS5D01G084300;TraesCS3B01G446800;TraesCS4B01G106500;TraesCS2A01G505800;TraesCS5B01G174200;TraesCS7B01G254100;TraesCS3D01G407100;TraesCS5A01G341000;TraesCS7A01G031700;TraesCS2D01G364400;TraesCS1D01G327200;TraesCS7D01G368700;TraesCS7D01G511700;TraesCS2B01G230300;TraesCS3D01G364300;TraesCS1B01G262000;TraesCS4A01G122800;TraesCS6D01G353300;TraesCS6B01G306300;TraesCS5D01G545800;TraesCS2B01G429100;TraesCS2D01G279500;TraesCS3D01G305300;TraesCS4D01G162000;TraesCS1D01G175500;TraesCS4B01G195000;TraesCS7D01G512800;TraesCS6D01G284200;TraesCS1D01G004600;TraesCS3A01G323800;TraesCS6B01G406000;TraesCS6D01G083200;TraesCS3B01G360600;TraesCS5B01G224800;TraesCS6A01G280100;TraesCS7A01G263300;TraesCS7B01G218900;TraesCS6B01G362100;TraesCS2D01G467300;TraesCS6D01G243800;TraesCS1A01G235800;TraesCS1B01G056900;TraesCS3A01G280500;TraesCS3D01G407000;TraesCS5A01G269300;TraesCS5B01G103100;TraesCS6A01G277800;TraesCS2D01G000200;TraesCS1D01G080600;TraesCS1A01G078200;TraesCS6D01G353400;TraesCS2B01G381600;TraesCS2B01G459100;TraesCS3D01G305400;TraesCS5A01G375000;TraesCS3B01G452100;TraesCS2A01G078100;TraesCS3D01G356900;TraesCS7A01G449600;TraesCS2D01G231100;TraesCS4A01G196000;TraesCS6A01G167300;TraesCS1A01G375800;TraesCS6A01G280000;TraesCS1B01G230500;TraesCS2A01G250900;TraesCS3A01G109500;TraesCS2A01G152400;TraesCS4A01G076900;TraesCS5A01G424300;TraesCS6D01G039300;TraesCS7B01G476100;TraesCS1B01G066400;TraesCS2A01G548200;TraesCS3D01G084600;TraesCS6A01G157500;TraesCS5A01G301700;TraesCS3A01G414600;TraesCS5A01G374000;TraesCS5B01G128100;TraesCS6D01G260200;TraesCS4A01G250800;TraesCS2B01G357200;TraesCS1D01G351500;TraesCS7A01G354000;TraesCS7D01G188100;TraesCS1B01G371900;TraesCS3B01G357200;TraesCS3B01G256500;TraesCS5B01G408100;TraesCS7B01G349100;TraesCS1A01G351600;TraesCS1D01G219100;TraesCS5B01G363800;TraesCS4B01G188800;TraesCS1A01G221200;TraesCS1B01G195800;TraesCS6A01G376300;TraesCS7D01G077600;TraesCS5D01G310500;TraesCSU01G025000;TraesCS6D01G164000;TraesCS4B01G222500;TraesCS3D01G343900;TraesCS7D01G176000;TraesCS2A01G363600;TraesCS2A01G468500;TraesCS3A01G146800;TraesCS3B01G395600;TraesCS4D01G223000;TraesCS7A01G449500;TraesCS1D01G175700;TraesCS5B01G375900;TraesCS1D01G359100;TraesCS6B01G051900;TraesCS7B01G247500;TraesCS1B01G001900;TraesCS5A01G505000;TraesCS5B01G402800;TraesCS4D01G240800;TraesCS2D01G028900;TraesCS4D01G240900;TraesCS3B01G339800;TraesCS3D01G317400;TraesCS5B01G430100;TraesCS7D01G206500;TraesCS6A01G097400;TraesCS3A01G227800;TraesCS3D01G084700;TraesCS6D01G300600;TraesCS4B01G305600;TraesCS1D01G080400;TraesCS4B01G037700;TraesCS2A01G046100;TraesCS3D01G318500;TraesCS7B01G349000;TraesCS1A01G303100;TraesCS7B01G175200;TraesCS3A01G387600;TraesCS5A01G400000;TraesCS5A01G097600;TraesCS2B01G606600;TraesCS4A01G109300;TraesCS1A01G177800;TraesCS2A01G490500;TraesCS3A01G490300;TraesCS7D01G188000;TraesCS4D01G269300;TraesCS7D01G183900;TraesCS3D01G305200;TraesCS6A01G404500;TraesCS7B01G144600;TraesCS4A01G229900;TraesCS2A01G315100;TraesCS4A01G202200;TraesCS5D01G323900;TraesCS6D01G368800;TraesCS2B01G614100;TraesCS5B01G402900;TraesCS2A01G026700;TraesCS6A01G041900;TraesCS4D01G234200;TraesCS1B01G234500;TraesCS2D01G374600;TraesCS2A01G091000;TraesCS5D01G233800;TraesCS5D01G422000;TraesCS6B01G309400;TraesCS2D01G248700;TraesCS5D01G038800;TraesCS5D01G277500;TraesCS4D01G238800;TraesCS3D01G336900;TraesCS1A01G122500;TraesCS7B01G122500;TraesCS2D01G339600;TraesCS3A01G330600;TraesCS4D01G031600;TraesCS7A01G125600;TraesCS6A01G141500;TraesCS6D01G245000;TraesCS1B01G096300;TraesCS4D01G079900;TraesCS5A01G041100;TraesCS7A01G182500;TraesCS4B01G037800;TraesCS7B01G110400;TraesCS1A01G395100;TraesCS3D01G345600;TraesCS2D01G212500;TraesCS7D01G438600;TraesCS5B01G202700;TraesCS5A01G261400;TraesCS6D01G258300;TraesCS3B01G489700;TraesCS7A01G339100;TraesCS2D01G157800;TraesCS6A01G244400;TraesCS3B01G128000;TraesCS2D01G361400;TraesCS3B01G328700;TraesCS2A01G508900;TraesCS4B01G300700;TraesCS1A01G238700;TraesCS3D01G520900;TraesCS2B01G023500;TraesCS5D01G413300;TraesCS1B01G313400;TraesCS7D01G346400;TraesCS5D01G233700;TraesCS4A01G091000;TraesCS3A01G153000;TraesCS6D01G228800;TraesCS6D01G085100;TraesCS6B01G284000;TraesCS2A01G152500;TraesCS3D01G381800;TraesCS2A01G322500;TraesCS3A01G212300;TraesCS4D01G029500;TraesCS5B01G403000;TraesCS2D01G467700;TraesCS1D01G044300;TraesCS3A01G133400;TraesCS5B01G405300;TraesCS2D01G396300;TraesCS1A01G078600;TraesCS7D01G438700;TraesCS4B01G037900;TraesCS3B01G256400;TraesCS2D01G157900;TraesCS5A01G205700;TraesCS2B01G127700;TraesCS2A01G285100;TraesCS3D01G084900;TraesCS7B01G328400;TraesCS7B01G087400;TraesCS1A01G089600;TraesCS2B01G333600;TraesCS5D01G413200;TraesCS3D01G148300;TraesCS7A01G523400;TraesCS1B01G456900;TraesCS3A01G132000;TraesCS4D01G190100;TraesCS7D01G244800;TraesCS7D01G311200;TraesCS1A01G384000;TraesCS4B01G071500;TraesCS5D01G137000;TraesCS2D01G039500;TraesCS6B01G423000;TraesCS4A01G130400;TraesCS6B01G127300;TraesCS7A01G186900;TraesCS4B01G062800;TraesCS4B01G033400;TraesCS2D01G157600;TraesCS4B01G333800;TraesCS7A01G203200;TraesCS5A01G400500;TraesCS1A01G177300;TraesCS7A01G373100;TraesCS2D01G547700;TraesCS7B01G273600;TraesCS1A01G043900;TraesCS7B01G169500;TraesCS5D01G436200;TraesCS7D01G351900;TraesCS2D01G313400;TraesCS4A01G081300;TraesCS2D01G497300;TraesCS6D01G328200;TraesCS7A01G086000;TraesCS2A01G026800;TraesCS5A01G361100;TraesCS1D01G222800;TraesCS2D01G076900;TraesCS2B01G441000;TraesCS3D01G445000;TraesCS4D01G341800;TraesCS5A01G233100;TraesCS4A01G320100;TraesCS7D01G229100;TraesCS6D01G226700;TraesCS3D01G266400;TraesCS7B01G214900;TraesCS3A01G325100;TraesCS6A01G209600;TraesCS7A01G174700;TraesCS5D01G487900;TraesCS4A01G027800;TraesCS4B01G135200;TraesCS1B01G096400;TraesCS1D01G069800;TraesCS3A01G229700;TraesCS6B01G423100;TraesCS2D01G346200;TraesCS2A01G371400;TraesCS1A01G078400;TraesCS3A01G062200;TraesCS7D01G488800;TraesCS7B01G250400;TraesCS2A01G577800;TraesCS6B01G204400;TraesCS2D01G273700;TraesCS3D01G440900;TraesCS6A01G383800;TraesCS7B01G260200;TraesCS2D01G250600;TraesCS2D01G589200;TraesCS6D01G194600;TraesCS3D01G396800;TraesCS7A01G443600;TraesCS4A01G312100;TraesCS7B01G042100;TraesCS6A01G278000;TraesCS6D01G255200;TraesCS2A01G439400;TraesCS5D01G346200;TraesCS2D01G418900;TraesCS5D01G256400;TraesCS2A01G203200;TraesCS6A01G306800;TraesCS7A01G092300;TraesCS5B01G160700;TraesCS5D01G540800;TraesCS7A01G121400;TraesCS2D01G276900;TraesCS5A01G303400;TraesCS3A01G452400;TraesCS3B01G609400;TraesCS2A01G000600;TraesCS5D01G169300;TraesCS5B01G303800;TraesCS4D01G195700;TraesCS7B01G439400;TraesCS5D01G436000;TraesCS7A01G373300;TraesCS7D01G175900;TraesCS5D01G383500;TraesCS1A01G112400;TraesCS6B01G046800;TraesCS2A01G438200;TraesCS2A01G277900;TraesCS3D01G077200;TraesCS7D01G254000;TraesCS2D01G436200;TraesCS7A01G537100;TraesCS2A01G315600;TraesCS7B01G079400;TraesCS4D01G347300;TraesCS2D01G521700;TraesCS7B01G253700;TraesCS1D01G310100;TraesCS7A01G246200;TraesCS7A01G412400;TraesCS3A01G294000;TraesCS7B01G145200;TraesCS2B01G414500;TraesCS2D01G337800;TraesCS1D01G239600;TraesCS2D01G517200;TraesCS6B01G335400;TraesCS5D01G370100;TraesCS7D01G347300;TraesCS2D01G157500;TraesCS3B01G166100;TraesCS4B01G295200;TraesCS4D01G103100;TraesCS6D01G258600;TraesCS7A01G339600;TraesCS6A01G246400;TraesCS5A01G397800;TraesCS7D01G175800;TraesCS6B01G302400;TraesCS3B01G154000;TraesCS2A01G008100;TraesCS1B01G250600;TraesCS1A01G312400;TraesCS3A01G082900;TraesCS4D01G303800;TraesCS1B01G447900;TraesCS1D01G274800;TraesCS4A01G009400;TraesCS7B01G079500;TraesCS3D01G367200;TraesCS5D01G233600;TraesCS3B01G549200;TraesCS5B01G029300;TraesCS5D01G210600;TraesCS2B01G038500;TraesCS1A01G417800;TraesCS2A01G041100;TraesCS4A01G183600;TraesCS3B01G167400;TraesCS6A01G058300;TraesCS5A01G317600;TraesCS1D01G067800;TraesCS2B01G518400;TraesCS2D01G392900;TraesCS5B01G403100;TraesCS1A01G424100;TraesCS5D01G565100;TraesCS2A01G534600;TraesCS3D01G149600;TraesCS4D01G002800;TraesCS5B01G405400;TraesCS4A01G115400;TraesCS6B01G297300;TraesCS2A01G323300;TraesCS2D01G407700;TraesCS5A01G276300;TraesCS5A01G154900;TraesCS4B01G194900;TraesCS1A01G418900;TraesCS2B01G177300;TraesCS5A01G397900;TraesCS7D01G245500;TraesCS7D01G314200;TraesCS2B01G085500;TraesCS2D01G392800;TraesCS1D01G425400;TraesCS2D01G075200;TraesCS1A01G066800;TraesCS3A01G297200;TraesCS1D01G312600;TraesCS2B01G333900;TraesCS3B01G179500;TraesCS3D01G310200;TraesCS4B01G346900;TraesCS2A01G311200;TraesCS6B01G298500;TraesCS5D01G432800;TraesCS1A01G077700;TraesCS2D01G261100;TraesCS1B01G423400;TraesCS2D01G429700;TraesCS1D01G403300;TraesCS2D01G393900;TraesCS6B01G414100;TraesCS4B01G099700;TraesCS2B01G388600;TraesCS5D01G407300;TraesCS5A01G428000;TraesCS2B01G093100;TraesCS3B01G344600;TraesCS5A01G213900;TraesCS2D01G123300;TraesCS1B01G096800;TraesCS1A01G239400;TraesCS3A01G452500;TraesCS6D01G361500;TraesCS7D01G364900;TraesCS4A01G311000;TraesCS2D01G157300;TraesCS4D01G195600;TraesCS2A01G438300;TraesCS4B01G205400;TraesCS2D01G021600;TraesCS5D01G218100;TraesCS2D01G313700;TraesCS1D01G123400;TraesCS7B01G251100;TraesCS4A01G059900;TraesCS6B01G105800;TraesCS7A01G317500;TraesCS4A01G221500;TraesCS2A01G053300;TraesCS3A01G228100;TraesCS5D01G287300;TraesCS1A01G251400;TraesCS5D01G268800</t>
  </si>
  <si>
    <t>TraesCS7D01G225200;TraesCS2D01G284200;TraesCS2B01G208900;TraesCS4A01G089700;TraesCS6D01G393600;TraesCS5B01G482400;TraesCS7A01G246700;TraesCS7D01G392800;TraesCS4D01G215200;TraesCS4D01G238600;TraesCS6A01G240700;TraesCS6D01G039300;TraesCS5A01G204800;TraesCS2B01G189300;TraesCS4D01G264500;TraesCS3B01G304600;TraesCS4D01G096400;TraesCS7B01G372400;TraesCS2B01G530300;TraesCS2D01G285300;TraesCS1A01G072200;TraesCS6B01G222200;TraesCS7D01G245500;TraesCS2D01G392800;TraesCS1D01G074600;TraesCS4A01G216100;TraesCS5D01G183700;TraesCS5A01G469800;TraesCS5D01G104200;TraesCS4B01G237300;TraesCS7A01G110500;TraesCS3D01G524700;TraesCS7A01G365600;TraesCS5B01G142100;TraesCS4D01G315400;TraesCS2B01G336000;TraesCS7D01G548200;TraesCS1A01G182100;TraesCS6A01G190700;TraesCS6B01G284000;TraesCS7B01G008400;TraesCS1B01G198900;TraesCS5D01G482800;TraesCS7A01G470400;TraesCS2B01G180500;TraesCS4D01G045300;TraesCS4D01G326400;TraesCS6D01G257000;TraesCS6D01G222900;TraesCS2B01G605800;TraesCS4B01G045400;TraesCS4B01G322700;TraesCS7A01G264500;TraesCS5B01G097600;TraesCS4B01G100100;TraesCS2D01G517200;TraesCS6D01G252900;TraesCS2A01G033700;TraesCS2A01G551000;TraesCS2A01G155500;TraesCS7D01G551400;TraesCS1D01G108300;TraesCS1A01G261400;TraesCS7A01G327700;TraesCS1D01G185200;TraesCS1D01G074500;TraesCS6D01G180400;TraesCS2B01G127700;TraesCS7A01G561600;TraesCS5B01G392400;TraesCS5A01G266400;TraesCS7D01G457800;TraesCS7B01G299200;TraesCS2A01G384100;TraesCS2D01G552100;TraesCS3A01G517100;TraesCS7B01G144600;TraesCS2D01G598500;TraesCS5A01G329100;TraesCS4D01G319100;TraesCS1A01G295300;TraesCS6A01G272900;TraesCS4A01G043800</t>
  </si>
  <si>
    <t>response to biotic stimulus</t>
  </si>
  <si>
    <t>TraesCS1D01G270500;TraesCS2D01G460600;TraesCS7B01G440900;TraesCS1D01G220000;TraesCS6A01G240700;TraesCS6D01G335600;TraesCS4D01G232700;TraesCS3B01G574600;TraesCS5D01G407400;TraesCS4A01G159700;TraesCS5B01G231600;TraesCS2A01G262800;TraesCS7A01G012000;TraesCS3A01G481000;TraesCS3A01G349900;TraesCS7B01G024500;TraesCS2B01G177500;TraesCS5A01G129500;TraesCS2B01G440400;TraesCS4B01G335100;TraesCS5A01G314800;TraesCS4A01G122400;TraesCS3A01G084700;TraesCS5B01G104500;TraesCS3A01G061600;TraesCS7B01G274100;TraesCS4D01G093300;TraesCS3B01G446500;TraesCS3D01G136900;TraesCS5D01G168400;TraesCS7D01G420500;TraesCS2B01G279200;TraesCS2A01G546600;TraesCS1D01G111900;TraesCS5D01G407500;TraesCS5D01G535700;TraesCS4A01G385300;TraesCS2A01G005100;TraesCS5B01G069500;TraesCS1A01G277400;TraesCS6A01G080600;TraesCS6A01G271300;TraesCS3A01G449400;TraesCS2A01G467700;TraesCS2D01G264400;TraesCS7D01G492800;TraesCS4A01G262600;TraesCS2A01G325100;TraesCS2D01G506600;TraesCS5B01G318100;TraesCS7B01G469000;TraesCS3A01G136100;TraesCS4A01G251600;TraesCS4B01G124800;TraesCS4D01G206300;TraesCS1D01G302500;TraesCS3B01G446600;TraesCS3D01G285700;TraesCS1D01G134600;TraesCS1B01G089000;TraesCS1D01G004500;TraesCS5A01G403200;TraesCS1B01G251600;TraesCS1D01G310000;TraesCS3D01G225800;TraesCS6A01G353700;TraesCS6B01G125800;TraesCS1D01G176400;TraesCS5D01G410500;TraesCS6B01G108100;TraesCS4B01G222100;TraesCS2B01G339600;TraesCS1B01G285500;TraesCS1A01G181000;TraesCS2D01G151500;TraesCS7A01G505300;TraesCS3D01G435900;TraesCS1D01G074600;TraesCS5D01G183700;TraesCS4B01G178600;TraesCS5B01G318200;TraesCS7D01G271600;TraesCS3B01G353000;TraesCS2A01G177200;TraesCS6B01G399500;TraesCS5A01G059400;TraesCS2B01G585100;TraesCS2A01G546400;TraesCS6D01G222900;TraesCS7B01G311600;TraesCS4B01G097000;TraesCS3B01G354000;TraesCS3D01G225900;TraesCS4B01G366800;TraesCS1D01G080800;TraesCS1D01G106000;TraesCS6A01G174900;TraesCS1A01G435400;TraesCS3A01G152500;TraesCS1B01G231900;TraesCS5B01G246900;TraesCS7A01G505200;TraesCS4B01G237600;TraesCS4D01G269700;TraesCS3A01G266300;TraesCS7D01G080700;TraesCS7A01G277500;TraesCS7D01G122600;TraesCS6A01G140800;TraesCS5B01G404800;TraesCS1A01G079500;TraesCS7B01G052700;TraesCS5D01G084300;TraesCS3B01G446800;TraesCS2A01G505800;TraesCS3D01G378700;TraesCS5B01G174200;TraesCS7B01G254100;TraesCS3D01G407100;TraesCS7A01G031700;TraesCS6A01G365100;TraesCS7D01G368700;TraesCS7D01G511700;TraesCS2A01G516800;TraesCS2B01G230300;TraesCS7B01G294800;TraesCS3D01G364300;TraesCS3B01G141600;TraesCS5A01G186000;TraesCS1D01G209500;TraesCS3A01G385600;TraesCS2A01G174100;TraesCS3D01G305300;TraesCS1D01G175500;TraesCS3D01G442100;TraesCS7D01G512800;TraesCS1D01G004600;TraesCS3A01G323800;TraesCS7B01G052600;TraesCS3B01G360600;TraesCS2D01G555000;TraesCS2D01G481600;TraesCS7A01G470400;TraesCS5D01G412500;TraesCS6D01G243800;TraesCS3A01G280500;TraesCS3D01G407000;TraesCS5A01G269300;TraesCS5B01G103100;TraesCS6A01G277800;TraesCS1D01G080600;TraesCS4A01G075600;TraesCS1A01G078200;TraesCS2B01G381600;TraesCS3D01G305400;TraesCS5B01G396800;TraesCS5A01G375000;TraesCS2A01G078100;TraesCS6A01G381700;TraesCS7A01G449600;TraesCS1D01G198500;TraesCS4A01G043800;TraesCS4A01G196000;TraesCS1A01G329500;TraesCS2A01G250900;TraesCS3A01G109500;TraesCS2A01G152400;TraesCS4A01G076900;TraesCS4D01G238600;TraesCS7B01G476100;TraesCS3D01G084600;TraesCS6A01G157500;TraesCS3A01G414600;TraesCS5B01G128100;TraesCS7A01G392800;TraesCS2A01G421400;TraesCS2B01G357200;TraesCS7A01G354000;TraesCS1B01G371900;TraesCS3D01G240900;TraesCS3B01G357200;TraesCS7D01G354100;TraesCS3B01G256500;TraesCS7B01G349100;TraesCS1A01G351600;TraesCS5B01G363800;TraesCSU01G025000;TraesCS6D01G164000;TraesCS4B01G222500;TraesCS3D01G343900;TraesCS6A01G353200;TraesCS7D01G176000;TraesCS3A01G146800;TraesCS6D01G074300;TraesCS4D01G223000;TraesCS7A01G449500;TraesCS1D01G175700;TraesCS1D01G359100;TraesCS6B01G051900;TraesCS7D01G388400;TraesCS1B01G001900;TraesCS5A01G505000;TraesCS5B01G402800;TraesCS4D01G240800;TraesCS2B01G482000;TraesCS4D01G240900;TraesCS3B01G339800;TraesCS3D01G317400;TraesCS5B01G184100;TraesCS6D01G366400;TraesCS5B01G430100;TraesCS6A01G097400;TraesCS3A01G227800;TraesCS3B01G268800;TraesCS3D01G084700;TraesCS2D01G139200;TraesCS1D01G080400;TraesCS7A01G387000;TraesCS2A01G396400;TraesCS2D01G394200;TraesCS3D01G318500;TraesCS4A01G098900;TraesCS7B01G349000;TraesCS2A01G516500;TraesCS1A01G303100;TraesCS7B01G175200;TraesCS5A01G400000;TraesCS5A01G097600;TraesCS2B01G606600;TraesCS1A01G177800;TraesCS2A01G490500;TraesCS4D01G269300;TraesCS3D01G305200;TraesCS5D01G111500;TraesCS6A01G404500;TraesCS5D01G323900;TraesCS6D01G368800;TraesCS2B01G614100;TraesCS5B01G402900;TraesCS1D01G184500;TraesCS4D01G234200;TraesCS2D01G374600;TraesCS2D01G248700;TraesCS2A01G382700;TraesCS5D01G277500;TraesCS4D01G238800;TraesCS3D01G336900;TraesCS1A01G122500;TraesCS2B01G414800;TraesCS7B01G122500;TraesCS3A01G330600;TraesCS7A01G125600;TraesCS2A01G482200;TraesCS1B01G096300;TraesCS1A01G395100;TraesCS6D01G195900;TraesCS7D01G438600;TraesCS3D01G104500;TraesCS5A01G261400;TraesCS6D01G258300;TraesCS7A01G339100;TraesCS2D01G157800;TraesCS4A01G218200;TraesCS4B01G264500;TraesCS3B01G128000;TraesCS2A01G508900;TraesCS3D01G520900;TraesCS1B01G313400;TraesCS7D01G346400;TraesCS3A01G153000;TraesCS4A01G232600;TraesCS6D01G085100;TraesCS6B01G284000;TraesCS2A01G152500;TraesCS2A01G322500;TraesCS4D01G029500;TraesCS1D01G451900;TraesCS5B01G403000;TraesCS2D01G467700;TraesCS5B01G405300;TraesCS3D01G514300;TraesCS1B01G199300;TraesCS2D01G396300;TraesCS1A01G078600;TraesCS7D01G438700;TraesCS3B01G256400;TraesCS2D01G157900;TraesCS5A01G205700;TraesCS2B01G127700;TraesCS3D01G084900;TraesCS7B01G328400;TraesCS5D01G413200;TraesCS3D01G148300;TraesCS7A01G523400;TraesCS1B01G456900;TraesCS3D01G514400;TraesCS3A01G132000;TraesCS7D01G311200;TraesCS5A01G182400;TraesCS4D01G052500;TraesCS5D01G137000;TraesCS5B01G407300;TraesCS3B01G486100;TraesCS6B01G423000;TraesCS7B01G372400;TraesCS7D01G383600;TraesCS4B01G062800;TraesCS2D01G157600;TraesCS5A01G400500;TraesCS1A01G177300;TraesCS7A01G373100;TraesCS2D01G547700;TraesCS4B01G182300;TraesCS7B01G273600;TraesCS7D01G150500;TraesCS2D01G379000;TraesCS7B01G169500;TraesCS5D01G436200;TraesCS5D01G321100;TraesCS7D01G351900;TraesCS4A01G081300;TraesCS6D01G328200;TraesCS7A01G086000;TraesCS4B01G231400;TraesCSU01G249900;TraesCS5A01G361100;TraesCS2D01G076900;TraesCS2A01G481400;TraesCS5A01G233100;TraesCS3D01G266400;TraesCS7B01G214900;TraesCS3A01G325100;TraesCS6A01G209600;TraesCS7A01G174700;TraesCS2D01G418400;TraesCS5D01G487900;TraesCS2A01G553500;TraesCS3A01G443500;TraesCS4A01G080300;TraesCS4B01G135200;TraesCS1B01G096400;TraesCS6B01G423100;TraesCS1A01G078400;TraesCS1D01G414700;TraesCS3A01G062200;TraesCS7B01G250400;TraesCS2A01G577800;TraesCS6D01G397500;TraesCS6B01G204400;TraesCS2D01G273700;TraesCS6A01G383800;TraesCS2D01G589200;TraesCS6D01G255200;TraesCS2D01G500300;TraesCS5D01G256400;TraesCS2A01G203200;TraesCS4D01G159500;TraesCS1A01G443900;TraesCS5B01G160700;TraesCS3B01G609400;TraesCS1A01G072200;TraesCS7B01G439400;TraesCS5D01G436000;TraesCS7A01G373300;TraesCS7D01G175900;TraesCS4B01G237300;TraesCS3D01G077200;TraesCS7A01G537100;TraesCS7B01G079400;TraesCS3B01G100600;TraesCS1D01G184800;TraesCS2D01G521700;TraesCS7B01G253700;TraesCS7A01G412400;TraesCS6D01G348500;TraesCS2D01G337800;TraesCS1D01G239600;TraesCS5D01G370100;TraesCS7D01G347300;TraesCS4D01G222600;TraesCS2D01G157500;TraesCS6D01G258600;TraesCS2B01G400000;TraesCS7A01G339600;TraesCS5A01G397800;TraesCS7D01G175800;TraesCS6B01G302400;TraesCS7D01G054000;TraesCS3B01G154000;TraesCS2A01G008100;TraesCS3B01G477100;TraesCS1A01G312400;TraesCS3A01G082900;TraesCS7B01G079500;TraesCS1D01G073000;TraesCS3D01G367200;TraesCS3B01G549200;TraesCS5D01G210600;TraesCS4A01G183600;TraesCS3B01G167400;TraesCS7B01G253600;TraesCS5A01G317600;TraesCS4A01G127500;TraesCS1D01G067800;TraesCS2B01G518400;TraesCS5B01G403100;TraesCS1A01G424100;TraesCS2A01G534600;TraesCS4D01G264500;TraesCS5B01G405400;TraesCS1A01G418900;TraesCS2B01G177300;TraesCS4B01G052300;TraesCS5A01G397900;TraesCS7D01G314200;TraesCS1B01G478400;TraesCS2B01G085500;TraesCS5D01G070900;TraesCS1A01G066800;TraesCS3A01G297200;TraesCS4A01G081700;TraesCS1D01G312600;TraesCS4A01G431500;TraesCS3B01G179500;TraesCS3D01G310200;TraesCS2A01G311200;TraesCS6B01G298500;TraesCS1A01G077700;TraesCS2D01G261100;TraesCS7A01G059500;TraesCS2A01G586100;TraesCS1B01G423400;TraesCS2D01G429700;TraesCS1D01G403300;TraesCS4D01G054300;TraesCS5D01G407300;TraesCS5A01G428000;TraesCS2B01G093100;TraesCS3B01G344600;TraesCS1B01G096800;TraesCS1A01G239400;TraesCS3A01G102200;TraesCS2D01G157300;TraesCS2D01G482200;TraesCS4B01G205400;TraesCS2D01G021600;TraesCS1D01G123400;TraesCS7B01G251100;TraesCS7D01G457800;TraesCS4A01G059900;TraesCS7A01G317500;TraesCS7A01G149000;TraesCS2A01G053300;TraesCS3A01G228100;TraesCS4D01G183500;TraesCS6A01G211400;TraesCS5B01G180400;TraesCS5D01G268800;TraesCS4A01G431600</t>
  </si>
  <si>
    <t>TraesCS5B01G520200;TraesCS5D01G231500;TraesCS6A01G177700;TraesCS7B01G346600;TraesCS2D01G540600;TraesCS6A01G201100;TraesCS6B01G324800;TraesCS6A01G212000;TraesCS5D01G142900;TraesCS6B01G238800;TraesCS5A01G118600;TraesCS5A01G152400;TraesCS7D01G435100;TraesCS7D01G328400;TraesCS6D01G275100;TraesCS3D01G288600;TraesCS5A01G224100;TraesCS4A01G206900;TraesCS4A01G145300;TraesCS5D01G039900;TraesCS3A01G217200;TraesCS6A01G244400;TraesCS1D01G074400;TraesCS3B01G213600;TraesCS5D01G157600;TraesCS1B01G164200;TraesCS5A01G025400;TraesCS6D01G049600;TraesCS5B01G031800;TraesCS2D01G540500;TraesCS3B01G383400;TraesCS7D01G145500;TraesCS5B01G222900;TraesCS2B01G451400;TraesCS4A01G035900;TraesCS1A01G002500;TraesCS5A01G460300;TraesCS4D01G268000;TraesCS6B01G238700;TraesCS6D01G153600;TraesCS5D01G085800;TraesCS7A01G517100;TraesCS2D01G520900;TraesCS5A01G366700;TraesCS5B01G135200;TraesCS1B01G264600;TraesCS3A01G183800;TraesCS1A01G045300;TraesCS7A01G335400;TraesCS3A01G383600;TraesCS5D01G218300;TraesCS2B01G271700;TraesCS2B01G266000;TraesCS3D01G188000;TraesCS1A01G425400;TraesCS1D01G102400;TraesCS4A01G110200;TraesCS5D01G237800;TraesCS3D01G373600;TraesCS3D01G193200;TraesCS5B01G117600;TraesCSU01G003600;TraesCS3D01G308100;TraesCS5B01G214500;TraesCS7D01G452600;TraesCS5B01G151000;TraesCS1A01G332800;TraesCS3D01G443400;TraesCS5D01G183700;TraesCS5A01G073000;TraesCS5A01G216000;TraesCS4D01G271200;TraesCS5B01G217100;TraesCS2A01G539100;TraesCS2B01G336000;TraesCS4D01G316400;TraesCS3D01G373700;TraesCS1B01G288300;TraesCS2B01G348900;TraesCS3B01G532300;TraesCS6D01G226700;TraesCS1D01G335400;TraesCS6B01G280000;TraesCS5D01G270600;TraesCS2B01G605800;TraesCS4D01G243100;TraesCS3B01G323500;TraesCS1B01G324000;TraesCS3B01G247500;TraesCS1D01G046000;TraesCS1B01G058600;TraesCS1A01G047000;TraesCS4D01G147600;TraesCS3D01G219900;TraesCS7A01G419500;TraesCS2D01G443700;TraesCS6B01G059000;TraesCS7B01G247000;TraesCS1D01G047900;TraesCS1D01G144600;TraesCS5B01G217000;TraesCS5D01G226000;TraesCS4D01G064000;TraesCS1D01G004700;TraesCS6A01G209900;TraesCS7A01G231600;TraesCS2A01G305900;TraesCS5B01G373000;TraesCS3D01G344800;TraesCS1D01G335500;TraesCS3A01G414000;TraesCS1A01G093800;TraesCS2B01G326900;TraesCS2D01G362900;TraesCS7A01G480100;TraesCS5D01G225900;TraesCS4B01G125700;TraesCS6D01G302400;TraesCS1D01G112500;TraesCS1D01G296600;TraesCS4D01G258000;TraesCS7D01G467100;TraesCS4B01G268700;TraesCS7D01G507300;TraesCS1A01G312300;TraesCS4B01G174200;TraesCS6A01G043000;TraesCS2B01G451800;TraesCS2D01G540100;TraesCS5B01G261500;TraesCS2B01G569500;TraesCS2A01G121000;TraesCS6A01G210000;TraesCS4A01G130300;TraesCS5A01G213700;TraesCS3A01G288800;TraesCS5A01G492100;TraesCS5A01G360200;TraesCS3B01G487700;TraesCS4A01G352900;TraesCS3A01G380600;TraesCS5B01G156800;TraesCS1D01G253200;TraesCS2A01G064900;TraesCS5D01G519400;TraesCS1D01G312500;TraesCS1A01G071800;TraesCS2D01G063000;TraesCS4B01G174300;TraesCS4B01G065100;TraesCS5A01G136200;TraesCS7D01G388900;TraesCS5A01G229700;TraesCS7B01G056700;TraesCS5B01G362700;TraesCS7D01G342900;TraesCS5B01G228500;TraesCS6B01G231800;TraesCS5A01G424300;TraesCS6D01G039300;TraesCS1A01G111000;TraesCS5D01G031800;TraesCS3A01G309800;TraesCS3B01G218800;TraesCS2D01G118400;TraesCS5A01G263100;TraesCS2B01G569600;TraesCS5D01G223800;TraesCS7B01G116700;TraesCS2A01G539500;TraesCS4A01G046700;TraesCS6D01G193100;TraesCS3B01G388400;TraesCS4D01G176200;TraesCS2D01G304300;TraesCS5B01G217500;TraesCS6B01G128000;TraesCS1A01G253600;TraesCS2A01G047300;TraesCS4A01G066200;TraesCS7A01G143800;TraesCS6D01G146500;TraesCS7D01G055700;TraesCS3D01G204000;TraesCS4A01G033400;TraesCS5B01G079100;TraesCS3B01G593700;TraesCS5A01G031700;TraesCS4D01G108200;TraesCS3D01G376700;TraesCS3A01G206100;TraesCS4A01G249600;TraesCS2B01G135900;TraesCS2A01G539600;TraesCS3B01G416000;TraesCS4D01G176300;TraesCS2A01G365000;TraesCS6A01G294200;TraesCS6B01G192400;TraesCS2B01G141900;TraesCS3A01G295000;TraesCS5A01G218000;TraesCS1A01G295300;TraesCS1B01G001800;TraesCS5D01G130000;TraesCS3B01G280000</t>
  </si>
  <si>
    <t>TraesCS1A01G375800;TraesCS5B01G029300;TraesCS4D01G347300;TraesCS5D01G038800;TraesCS3D01G381800;TraesCS3B01G421200;TraesCS7D01G244800;TraesCS7A01G246200;TraesCS7B01G145200;TraesCS6A01G353700;TraesCS1A01G235800;TraesCS5A01G374000;TraesCS4A01G027800;TraesCS4D01G035200;TraesCS6B01G169700;TraesCS6A01G141500;TraesCS4B01G037800;TraesCS4B01G037700;TraesCS4B01G295200;TraesCS7D01G364900;TraesCS4B01G037900;TraesCS6D01G130800;TraesCS3A01G387600;TraesCS5D01G383500;TraesCS5D01G183700;TraesCS1B01G250600;TraesCS2B01G333600;TraesCS5B01G375900;TraesCS2D01G313400;TraesCS4B01G300700;TraesCS1A01G238700;TraesCS2A01G315100;TraesCS4A01G009400;TraesCS1D01G238900</t>
  </si>
  <si>
    <t>TraesCS2B01G208900;TraesCS1D01G398400;TraesCS5B01G482400;TraesCS7D01G392800;TraesCS1B01G456700;TraesCS4A01G035400;TraesCS7D01G353800;TraesCS6D01G039300;TraesCS1A01G275200;TraesCS5B01G214500;TraesCS5D01G223800;TraesCS4D01G096400;TraesCS7B01G372400;TraesCS3B01G361500;TraesCS2D01G285300;TraesCS5D01G207400;TraesCS7B01G259000;TraesCS2D01G392800;TraesCS5B01G200000;TraesCS2D01G077300;TraesCS4A01G216100;TraesCS3D01G139300;TraesCS5A01G469800;TraesCS5A01G216000;TraesCS7B01G316600;TraesCS2A01G080000;TraesCS7A01G110500;TraesCS4D01G001200;TraesCS3B01G156600;TraesCS1A01G389500;TraesCS1D01G073100;TraesCS2B01G174500;TraesCS7D01G548200;TraesCS7B01G008400;TraesCS5D01G482800;TraesCS7A01G470400;TraesCS2B01G180500;TraesCS3B01G310500;TraesCS4D01G045300;TraesCS7A01G412400;TraesCS7B01G272900;TraesCS4B01G045400;TraesCS7A01G264500;TraesCS4B01G100100;TraesCS7D01G368000;TraesCS1D01G119500;TraesCS2A01G155500;TraesCS7A01G561600;TraesCS2B01G271700;TraesCS7D01G457800;TraesCS3D01G276600;TraesCS7B01G299200;TraesCS7A01G369500;TraesCS2A01G384100;TraesCS3A01G276500;TraesCS5B01G236900;TraesCS1A01G295300;TraesCS1D01G274800;TraesCS4A01G001400</t>
  </si>
  <si>
    <t>TraesCS4A01G125300;TraesCS2A01G097400;TraesCS4D01G180800;TraesCS2A01G094700;TraesCS2A01G094500;TraesCS2B01G109800;TraesCS2D01G093000;TraesCS2B01G109700</t>
  </si>
  <si>
    <t>UDP-galactosyltransferase activity</t>
  </si>
  <si>
    <t>TraesCS3D01G260300;TraesCS5D01G205100;TraesCS6B01G246800;TraesCS2D01G348900;TraesCSU01G169600;TraesCS5B01G197800;TraesCS1D01G249600;TraesCS4D01G325500;TraesCS4D01G326400;TraesCS5D01G408200;TraesCS1D01G207100;TraesCS2B01G047300;TraesCS1A01G203700;TraesCS2D01G033100;TraesCS1A01G203600;TraesCS7B01G370700;TraesCS2D01G349000;TraesCSU01G020500;TraesCS6D01G199500;TraesCS4D01G035300;TraesCS6A01G216100;TraesCS2D01G349400</t>
  </si>
  <si>
    <t>TraesCS2B01G208900;TraesCS5B01G482400;TraesCS5D01G482800;TraesCS7A01G470400;TraesCS2B01G180500;TraesCS4D01G045300;TraesCS5D01G346200;TraesCS5B01G339100;TraesCS4B01G045400;TraesCS4B01G100100;TraesCS5D01G244800;TraesCS5A01G341000;TraesCS4D01G096400;TraesCS7B01G372400;TraesCS2A01G155500;TraesCS5A01G177800;TraesCS1A01G215600;TraesCS1B01G229100;TraesCS6A01G116000;TraesCS2D01G077300;TraesCS4A01G216100;TraesCS5A01G469800;TraesCS7D01G457800;TraesCS7B01G299200;TraesCS2A01G080000;TraesCS1D01G144600;TraesCS5B01G175100;TraesCS5D01G182100;TraesCS6D01G104800;TraesCS1A01G295300;TraesCS5A01G237900;TraesCS1B01G164200</t>
  </si>
  <si>
    <t>response to topologically incorrect protein</t>
  </si>
  <si>
    <t>TraesCS3B01G123700;TraesCS3A01G105300;TraesCS2B01G275100;TraesCS1A01G396900;TraesCS2A01G303200;TraesCS1B01G230500;TraesCS3B01G272600;TraesCS7A01G246700;TraesCS6A01G278000;TraesCS2D01G339600;TraesCS4A01G250800;TraesCS1D01G327200;TraesCS2B01G359300;TraesCS6B01G423000;TraesCS7A01G182500;TraesCS4A01G130400;TraesCS1B01G425200;TraesCS3A01G246700;TraesCS1A01G217300;TraesCS2A01G323300;TraesCS4B01G333800;TraesCS5B01G408100;TraesCS1D01G156600;TraesCS1D01G219100;TraesCS5A01G205000;TraesCS7D01G245500;TraesCS6B01G306300;TraesCS1A01G112400;TraesCS2A01G363600;TraesCS2D01G361400;TraesCS1D01G404800;TraesCS1D01G152000;TraesCS5D01G413300;TraesCS7B01G247500;TraesCS1A01G291800;TraesCS1D01G405200;TraesCS1A01G159200;TraesCS5A01G403300;TraesCS7D01G229100;TraesCS4A01G148500;TraesCS7B01G194200;TraesCS1D01G069800;TraesCS6B01G423100;TraesCS3D01G244800;TraesCS6D01G258600;TraesCS2B01G381600;TraesCS4D01G176100;TraesCS2A01G225200;TraesCS7B01G087400;TraesCS7D01G183900;TraesCS7B01G144600;TraesCS6A01G383800;TraesCS6D01G368800;TraesCS2D01G250600;TraesCS2B01G260500;TraesCS4D01G330000;TraesCS4B01G174100;TraesCS2D01G231100</t>
  </si>
  <si>
    <t>TraesCS2B01G208900;TraesCS1D01G398400;TraesCS5B01G482400;TraesCS7D01G392800;TraesCS1B01G456700;TraesCS4A01G035400;TraesCS6A01G278000;TraesCS7D01G353800;TraesCS4D01G238600;TraesCS6D01G039300;TraesCS1A01G275200;TraesCS3D01G308100;TraesCS5B01G214500;TraesCS5D01G223800;TraesCS4D01G264500;TraesCS4D01G096400;TraesCS7B01G372400;TraesCS3B01G361500;TraesCS2D01G285300;TraesCS5A01G177800;TraesCS5D01G207400;TraesCS7B01G259000;TraesCS1A01G215600;TraesCS2D01G392800;TraesCS5B01G200000;TraesCS2D01G077300;TraesCS6B01G306300;TraesCS4A01G216100;TraesCS3D01G139300;TraesCS5A01G469800;TraesCS4B01G237300;TraesCS5A01G216000;TraesCS7B01G316600;TraesCS2A01G080000;TraesCS7A01G110500;TraesCS4D01G001200;TraesCS5D01G182100;TraesCS1B01G164200;TraesCS3B01G156600;TraesCS1A01G389500;TraesCS1D01G073100;TraesCS2B01G174500;TraesCS7D01G548200;TraesCS7D01G229100;TraesCS7B01G008400;TraesCS5D01G482800;TraesCS7A01G470400;TraesCS2B01G180500;TraesCS3B01G310500;TraesCS4D01G045300;TraesCS7A01G412400;TraesCS7B01G272900;TraesCS7B01G194200;TraesCS4B01G045400;TraesCS7A01G264500;TraesCS2A01G121200;TraesCS4B01G100100;TraesCS5D01G244800;TraesCS7D01G368000;TraesCS1D01G119500;TraesCS6D01G252900;TraesCS2D01G123300;TraesCS2A01G155500;TraesCS1B01G229100;TraesCS6D01G258600;TraesCS6A01G116000;TraesCS7A01G561600;TraesCS5B01G392400;TraesCS2B01G271700;TraesCS7D01G457800;TraesCS3D01G276600;TraesCS7B01G299200;TraesCS3A01G295000;TraesCS7A01G369500;TraesCS2A01G384100;TraesCS3A01G276500;TraesCS5B01G236900;TraesCS1D01G144600;TraesCS5B01G175100;TraesCS6D01G104800;TraesCS1A01G295300;TraesCS1D01G274800;TraesCS5A01G237900;TraesCS6A01G272900;TraesCS4A01G001400;TraesCS4A01G043800</t>
  </si>
  <si>
    <t>TraesCS7A01G187000;TraesCS4A01G068400;TraesCS4D01G104100;TraesCS6A01G177700;TraesCS6D01G393600;TraesCS1A01G413400;TraesCS6D01G255200;TraesCS5B01G373000;TraesCS5D01G346200;TraesCS6A01G240700;TraesCS7B01G346600;TraesCS1A01G275200;TraesCS2A01G389900;TraesCS6A01G306800;TraesCS7A01G092300;TraesCS5A01G341000;TraesCS7A01G012000;TraesCS7D01G435100;TraesCS4D01G096400;TraesCS4B01G037800;TraesCS1A01G406200;TraesCS5A01G177800;TraesCS4A01G122800;TraesCS6A01G359900;TraesCS3D01G324400;TraesCS4B01G335100;TraesCS7A01G339100;TraesCS7B01G254900;TraesCS7D01G350500;TraesCS2B01G198100;TraesCS6A01G244400;TraesCS5B01G225200;TraesCS2D01G279500;TraesCS2B01G350500;TraesCS4D01G296400;TraesCS5D01G159100;TraesCS3D01G077200;TraesCS4D01G059100;TraesCS6B01G422900;TraesCS3D01G278000;TraesCS4D01G315400;TraesCS7D01G346400;TraesCS1D01G216200;TraesCS2B01G174500;TraesCS7D01G548200;TraesCS4A01G091000;TraesCS6B01G284000;TraesCS7A01G470400;TraesCS1D01G111900;TraesCS4D01G045300;TraesCS7A01G263300;TraesCS7D01G351000;TraesCS3A01G124800;TraesCS5B01G155700;TraesCS7A01G412400;TraesCS4B01G059400;TraesCS4B01G045400;TraesCS7A01G264500;TraesCS2B01G414500;TraesCS6D01G239700;TraesCS6D01G369400;TraesCS4B01G100100;TraesCS2D01G517200;TraesCS6B01G335400;TraesCS2B01G393000;TraesCS6A01G258500;TraesCS6D01G342800;TraesCS6B01G331600;TraesCS2A01G396200;TraesCS1B01G229100;TraesCS5D01G104900;TraesCS4B01G037900;TraesCS6A01G116000;TraesCS3B01G126400;TraesCS3B01G311900;TraesCS1D01G074500;TraesCS1B01G048500;TraesCS1B01G250600;TraesCS2A01G384100;TraesCS5A01G375000;TraesCS4A01G251600;TraesCS2B01G333600;TraesCS1A01G213400;TraesCS6D01G104800;TraesCS1D01G274800;TraesCS4A01G009400;TraesCS1D01G238900;TraesCS4B01G225500;TraesCS3A01G107600;TraesCS1D01G346200;TraesCS3B01G423200;TraesCS7D01G506300;TraesCS5A01G424300;TraesCS6D01G039300;TraesCS5A01G182400;TraesCS5A01G092600;TraesCS5B01G152600;TraesCS3A01G189300;TraesCS7D01G071200;TraesCS3D01G308100;TraesCS6A01G302400;TraesCS7A01G075600;TraesCS4D01G035200;TraesCS4A01G203300;TraesCS1D01G420900;TraesCS3A01G355700;TraesCS1B01G226800;TraesCS7B01G372400;TraesCS7A01G186900;TraesCS4B01G062800;TraesCS7D01G188100;TraesCS3B01G357200;TraesCS2B01G339600;TraesCS2D01G285300;TraesCS1D01G414600;TraesCS1A01G215600;TraesCS4B01G194900;TraesCS5B01G468400;TraesCS2D01G392800;TraesCS4A01G216100;TraesCS5D01G163400;TraesCS5D01G183700;TraesCS5B01G244300;TraesCS1D01G039500;TraesCS6A01G073300;TraesCS1D01G123700;TraesCS7A01G344600;TraesCS5D01G182100;TraesCS7B01G161100;TraesCS5A01G505000;TraesCS5D01G432800;TraesCS2B01G336000;TraesCS7D01G334900;TraesCS2D01G393900;TraesCS4A01G255600;TraesCS6D01G226700;TraesCS3D01G432600;TraesCS6B01G280000;TraesCS5B01G339100;TraesCS6D01G222900;TraesCS2B01G605800;TraesCS6B01G392700;TraesCS3D01G192800;TraesCS2A01G121200;TraesCS3A01G439800;TraesCS6B01G207000;TraesCS6B01G423900;TraesCS1A01G344000;TraesCS2D01G123300;TraesCS6D01G281900;TraesCS2A01G396400;TraesCS6B01G098300;TraesCS1B01G048300;TraesCS6D01G166600;TraesCS7D01G488800;TraesCS7B01G250400;TraesCS7A01G561600;TraesCS7D01G188000;TraesCS7D01G457800;TraesCS3A01G077000;TraesCS3A01G295000;TraesCS6B01G105800;TraesCS4A01G221500;TraesCS5B01G175100;TraesCS1A01G295300;TraesCS5B01G180400;TraesCS4D01G183100</t>
  </si>
  <si>
    <t>TraesCS1D01G437700;TraesCS7A01G308600;TraesCS7B01G294800;TraesCS1A01G428400;TraesCS4A01G089800;TraesCS4B01G318900;TraesCS6B01G284000;TraesCS4D01G215100;TraesCS6A01G240700;TraesCS1D01G074500;TraesCS7A01G412400;TraesCS6D01G222900;TraesCS4B01G214500;TraesCS5B01G445100;TraesCS5B01G445200;TraesCS7A01G392800;TraesCS7D01G388400;TraesCS7D01G305300;TraesCS1B01G463100;TraesCS4D01G315400;TraesCS7B01G208700</t>
  </si>
  <si>
    <t>TraesCS2B01G208900;TraesCS5B01G482400;TraesCS7D01G392800;TraesCS5D01G482800;TraesCS7A01G470400;TraesCS2B01G180500;TraesCS4D01G045300;TraesCS6D01G039300;TraesCS3D01G250500;TraesCS4B01G045400;TraesCS5B01G214500;TraesCS4B01G100100;TraesCS5D01G223800;TraesCS1B01G058600;TraesCS4D01G096400;TraesCS7B01G372400;TraesCS2A01G155500;TraesCS1A01G215600;TraesCS1B01G229100;TraesCS6A01G116000;TraesCS2D01G392800;TraesCS2D01G077300;TraesCS4A01G216100;TraesCS5A01G469800;TraesCS5B01G392400;TraesCS5A01G216000;TraesCS7D01G457800;TraesCS7B01G299200;TraesCS2A01G384100;TraesCS2A01G080000;TraesCS6D01G104800;TraesCS1A01G295300;TraesCS5B01G404800</t>
  </si>
  <si>
    <t>negative regulation of response to stimulus</t>
  </si>
  <si>
    <t>TraesCS1D01G004700;TraesCS7A01G118900;TraesCS7D01G114100;TraesCS5B01G371100;TraesCS6D01G393600;TraesCS6D01G161200;TraesCS1D01G335500;TraesCS2B01G485600;TraesCS5D01G142900;TraesCS4D01G302500;TraesCS7A01G480100;TraesCS2A01G056800;TraesCS4B01G125700;TraesCS3B01G562500;TraesCS5D01G378200;TraesCS3D01G288600;TraesCS2A01G373200;TraesCS2D01G182100;TraesCS2D01G451100;TraesCS4A01G101600;TraesCS7A01G230500;TraesCS7D01G014200;TraesCS4A01G145300;TraesCS4B01G203000;TraesCS5D01G039900;TraesCS3A01G257500;TraesCS7D01G467100;TraesCS2D01G277600;TraesCS1A01G312300;TraesCS2D01G464800;TraesCS2D01G369400;TraesCS5B01G031800;TraesCS4A01G091000;TraesCS3A01G300400;TraesCS4A01G404500;TraesCS3B01G255200;TraesCS1A01G002500;TraesCS5A01G460300;TraesCS1B01G195900;TraesCS6D01G153600;TraesCS5D01G085800;TraesCS5D01G378100;TraesCS2A01G121000;TraesCS2A01G463900;TraesCS4A01G130300;TraesCS3B01G562400;TraesCS3A01G288800;TraesCS7D01G230900;TraesCS5A01G366700;TraesCS5B01G135200;TraesCS1B01G264600;TraesCS3B01G336100;TraesCS5A01G368600;TraesCS1D01G357500;TraesCS5A01G467600;TraesCS1D01G253200;TraesCS1D01G312500;TraesCS2B01G266000;TraesCS6B01G145700;TraesCS3D01G257500;TraesCS2B01G417900;TraesCS5A01G136200;TraesCS6A01G171800;TraesCS5A01G229700;TraesCS5D01G237800;TraesCS5B01G228500;TraesCS5D01G480600;TraesCS3B01G290300;TraesCS7A01G130300;TraesCS4D01G203900;TraesCSU01G003600;TraesCS2D01G031100;TraesCS3A01G265100;TraesCS6D01G107600;TraesCS5D01G187100;TraesCS6B01G383300;TraesCS1A01G332800;TraesCS3A01G229400;TraesCS2A01G278400;TraesCS7D01G364700;TraesCS3B01G298700;TraesCS2A01G174700;TraesCS4D01G176200;TraesCS3A01G362500;TraesCS6B01G199700;TraesCS2D01G055600;TraesCS6B01G145800;TraesCS3A01G129000;TraesCS1A01G253600;TraesCS4B01G304300;TraesCS2A01G047300;TraesCS4A01G066200;TraesCS6D01G146500;TraesCS7D01G114200;TraesCS1B01G288300;TraesCS3D01G204000;TraesCS5B01G371200;TraesCS3B01G148100;TraesCS1D01G335400;TraesCS4D01G243100;TraesCS5A01G031700;TraesCS3B01G323500;TraesCS1B01G324000;TraesCS2A01G278500;TraesCS6D01G237600;TraesCS2B01G296100;TraesCS4D01G176300;TraesCS1A01G047000;TraesCS5A01G368800;TraesCS4D01G147600;TraesCS3A01G123000;TraesCS6B01G192400;TraesCS1D01G227700;TraesCS3B01G401600;TraesCS3D01G219900;TraesCS7A01G419500;TraesCS5A01G142000;TraesCS3D01G356300;TraesCS2B01G141900;TraesCS2D01G443700;TraesCS1D01G047900;TraesCS1A01G295300;TraesCS1B01G001800;TraesCS2B01G201100</t>
  </si>
  <si>
    <t>defense response by callose deposition</t>
  </si>
  <si>
    <t>TraesCS7D01G063900;TraesCS1D01G270500;TraesCS3A01G050700;TraesCS4B01G273500;TraesCS6A01G240700;TraesCS4D01G232700;TraesCS5B01G445100;TraesCS5A01G131300;TraesCS4B01G263300;TraesCS3D01G378700;TraesCS6B01G169700;TraesCS4B01G049100;TraesCS6A01G141500;TraesCS5A01G156200;TraesCS1A01G217300;TraesCS1D01G437700;TraesCS7B01G294800;TraesCS5B01G166300;TraesCS1A01G072200;TraesCS4B01G318900;TraesCS6D01G130800;TraesCS6D01G225800;TraesCS5A01G186000;TraesCS3A01G385600;TraesCS1B01G441900;TraesCS4B01G264500;TraesCS7A01G512300;TraesCS7B01G423900;TraesCS6B01G258400;TraesCS2A01G508900;TraesCS4D01G242100;TraesCS5D01G159100;TraesCS3D01G050100;TraesCS4D01G263500;TraesCS4D01G315400;TraesCS2A01G292000;TraesCS1A01G428400;TraesCS6B01G284000;TraesCS7A01G412400;TraesCS1D01G419400;TraesCS4D01G272500;TraesCS6D01G239700;TraesCS4A01G419400;TraesCS6A01G258500;TraesCS4A01G042700;TraesCS7D01G305300;TraesCS7B01G208700;TraesCS5D01G139800;TraesCS7A01G308600;TraesCS4A01G262600;TraesCS4A01G075600;TraesCS5D01G031200;TraesCS5B01G372500;TraesCS5A01G169500;TraesCS1D01G074500;TraesCS1B01G048500;TraesCS7D01G501700;TraesCS5D01G379700;TraesCS5A01G375000;TraesCS2D01G231100;TraesCS4A01G043800;TraesCS1A01G375800;TraesCS3A01G050500;TraesCS2A01G414700;TraesCS1D01G188500;TraesCS5B01G152600;TraesCS1D01G067800;TraesCS4D01G052500;TraesCS7A01G392800;TraesCS4D01G264500;TraesCS6D01G212400;TraesCS2A01G291900;TraesCS2B01G339600;TraesCS1D01G219100;TraesCS4B01G052300;TraesCS5B01G468400;TraesCS1B01G195800;TraesCS1D01G074600;TraesCS1A01G066800;TraesCS1D01G039500;TraesCS3A01G146800;TraesCS5D01G027600;TraesCS7D01G388400;TraesCS4B01G231400;TraesCS7B01G241200;TraesCS5B01G184100;TraesCS4A01G089800;TraesCS6D01G232300;TraesCS4D01G215100;TraesCS1A01G188000;TraesCS3D01G266400;TraesCS1A01G411600;TraesCS6D01G222900;TraesCS5B01G445200;TraesCS4A01G027800;TraesCS5D01G173900;TraesCS1B01G463100;TraesCS2A01G396400;TraesCS1B01G048300;TraesCS6A01G187300;TraesCS5B01G133500;TraesCS4B01G214500;TraesCS7A01G069300;TraesCS6B01G258500;TraesCS3A01G266300;TraesCS2D01G273700</t>
  </si>
  <si>
    <t>TraesCS2B01G208900;TraesCS5B01G371100;TraesCS6D01G393600;TraesCS5B01G482400;TraesCS7A01G246700;TraesCS6A01G201100;TraesCS1A01G275200;TraesCS5B01G426700;TraesCS6B01G238800;TraesCS3B01G562500;TraesCS5D01G378200;TraesCS5D01G397400;TraesCS4D01G015000;TraesCS3B01G361500;TraesCS4D01G285800;TraesCS5A01G177800;TraesCS5D01G207400;TraesCS3D01G072000;TraesCS4B01G335100;TraesCS6D01G332900;TraesCS1D01G074400;TraesCS5A01G469800;TraesCS2D01G277600;TraesCS5B01G262900;TraesCS2A01G080000;TraesCS4D01G141000;TraesCS1B01G164200;TraesCS3B01G156600;TraesCS2B01G367700;TraesCS3A01G300400;TraesCS4A01G297000;TraesCS4A01G404500;TraesCS4D01G045300;TraesCS3B01G255200;TraesCS3A01G124800;TraesCS6D01G257000;TraesCS1B01G201800;TraesCS4B01G045400;TraesCS6D01G239700;TraesCS4B01G100100;TraesCS5D01G244800;TraesCS1D01G119500;TraesCS6B01G238700;TraesCS5D01G378100;TraesCS6D01G252900;TraesCS3B01G562400;TraesCS7D01G230900;TraesCS4D01G015100;TraesCS6B01G383800;TraesCS3B01G336100;TraesCS7B01G102000;TraesCS1D01G074500;TraesCS2B01G271700;TraesCS2A01G384100;TraesCS2D01G598500;TraesCS1D01G102400;TraesCS4A01G110200;TraesCS4A01G001400;TraesCS5A01G424700;TraesCS4A01G089700;TraesCS4A01G035400;TraesCS4D01G215200;TraesCS6A01G216800;TraesCS3D01G308100;TraesCS5B01G214500;TraesCS3A01G265100;TraesCS7D01G106000;TraesCS7B01G370900;TraesCS2A01G278400;TraesCS7B01G372400;TraesCS2B01G530300;TraesCS2A01G430400;TraesCS4B01G222100;TraesCS1A01G215600;TraesCS4A01G017000;TraesCS3B01G298700;TraesCS4A01G216100;TraesCS5D01G183700;TraesCS5A01G216000;TraesCS7B01G316600;TraesCS1A01G205800;TraesCS7D01G409700;TraesCS4D01G267500;TraesCS4D01G001200;TraesCS2B01G336000;TraesCS7D01G229100;TraesCS2B01G180500;TraesCS6B01G246000;TraesCS7B01G369900;TraesCS5B01G339100;TraesCS2B01G605800;TraesCS7B01G194200;TraesCS6B01G255400;TraesCS2A01G278500;TraesCS2A01G121200;TraesCS6D01G237600;TraesCS5B01G426800;TraesCS3D01G104200;TraesCS5B01G307300;TraesCS1D01G108300;TraesCS3D01G219900;TraesCS5B01G392400;TraesCS7B01G299200;TraesCS1D01G144600;TraesCS5B01G175100;TraesCS7D01G455900;TraesCS6A01G383800;TraesCS4D01G064000;TraesCS6A01G209900;TraesCS1D01G398400;TraesCS7D01G392800;TraesCS1B01G456700;TraesCS6A01G278000;TraesCS1A01G178700;TraesCS5D01G346200;TraesCS3A01G437000;TraesCS1A01G093800;TraesCS4D01G302500;TraesCS5A01G341000;TraesCS4D01G096400;TraesCS7B01G259000;TraesCS5D01G169300;TraesCS6B01G383500;TraesCS7A01G230500;TraesCS7D01G014200;TraesCS5B01G200000;TraesCS2D01G077300;TraesCS3D01G324400;TraesCS6B01G306300;TraesCS3B01G108000;TraesCS3D01G139300;TraesCS4B01G237300;TraesCS7A01G110500;TraesCS1D01G177000;TraesCS1D01G349900;TraesCS1A01G389500;TraesCS2B01G174500;TraesCS7D01G548200;TraesCS3B01G471300;TraesCS7B01G008400;TraesCS5D01G482800;TraesCS7A01G470400;TraesCS7A01G412400;TraesCS7B01G272900;TraesCS5D01G433200;TraesCS7A01G264500;TraesCS5B01G097600;TraesCS1B01G195900;TraesCS7D01G368000;TraesCS6A01G258500;TraesCS6A01G210000;TraesCS4D01G222600;TraesCS2A01G155500;TraesCS2D01G428000;TraesCS4D01G289900;TraesCS1B01G229100;TraesCS5A01G368600;TraesCS6D01G258600;TraesCS6A01G116000;TraesCS1D01G357500;TraesCS6A01G246400;TraesCS7A01G469200;TraesCS7D01G243700;TraesCS5A01G455100;TraesCS7A01G369500;TraesCS5B01G236900;TraesCS3A01G299000;TraesCS6D01G104800;TraesCS1D01G274800;TraesCS5A01G237900;TraesCS2B01G417900;TraesCS4B01G065100;TraesCS6A01G272900;TraesCS4A01G043800;TraesCS6A01G226200;TraesCS7D01G353800;TraesCS4D01G238600;TraesCS6D01G039300;TraesCS3A01G309800;TraesCS7A01G130300;TraesCS1D01G067800;TraesCS1B01G219300;TraesCS5D01G223800;TraesCS6B01G383300;TraesCS4D01G264500;TraesCS3A01G229400;TraesCS4B01G228600;TraesCS6D01G193100;TraesCS2D01G285300;TraesCS7D01G245500;TraesCS2D01G392800;TraesCS5D01G104200;TraesCS1A01G066800;TraesCS4A01G081700;TraesCS5D01G182100;TraesCS5D01G465500;TraesCS5B01G463900;TraesCS5A01G505000;TraesCS4B01G304300;TraesCS1A01G423800;TraesCS6D01G198700;TraesCS7A01G416400;TraesCS1D01G073100;TraesCS5B01G371200;TraesCS1A01G308900;TraesCS3B01G310500;TraesCS6D01G333600;TraesCS7D01G456700;TraesCS2B01G296100;TraesCS4A01G174700;TraesCS2D01G123300;TraesCS4A01G249600;TraesCS4B01G142700;TraesCS5A01G368800;TraesCS7D01G146400;TraesCS4A01G277500;TraesCS5B01G502200;TraesCS5A01G142000;TraesCS7A01G561600;TraesCS7D01G457800;TraesCS3D01G276600;TraesCS3A01G295000;TraesCS7B01G144600;TraesCS3A01G276500;TraesCS6D01G368800;TraesCS1A01G295300;TraesCS4B01G287100;TraesCS3B01G490900</t>
  </si>
  <si>
    <t>TraesCS1B01G234500;TraesCS1A01G375800;TraesCS3D01G293800;TraesCS5B01G029300;TraesCS5D01G233800;TraesCS2B01G038500;TraesCS7B01G042100;TraesCS5D01G038800;TraesCS6A01G331400;TraesCS7D01G244800;TraesCS1A01G384000;TraesCS5A01G374000;TraesCS5D01G565100;TraesCS4B01G003300;TraesCS4D01G035200;TraesCS6B01G169700;TraesCS6A01G141500;TraesCS4D01G079900;TraesCS7A01G121400;TraesCS1D01G250900;TraesCS4B01G037800;TraesCS7B01G110400;TraesCS7A01G203200;TraesCS1B01G262000;TraesCS6D01G130800;TraesCS4D01G195700;TraesCS2D01G392800;TraesCS5D01G383500;TraesCS4A01G109200;TraesCS5D01G183700;TraesCS5B01G375900;TraesCS2D01G313400;TraesCS4B01G300700;TraesCS4B01G195000;TraesCS4B01G346900;TraesCS2A01G026800;TraesCS1D01G222800;TraesCS5D01G233700;TraesCS5B01G224800;TraesCS4A01G320100;TraesCS4D01G347300;TraesCS4A01G234100;TraesCS2A01G395000;TraesCS7A01G246200;TraesCS3A01G294000;TraesCS7B01G145200;TraesCS6D01G300600;TraesCS4A01G027800;TraesCS4B01G037700;TraesCS4B01G295200;TraesCS4A01G311000;TraesCS4B01G037900;TraesCS5A01G400000;TraesCS6D01G038500;TraesCS1B01G250600;TraesCS2B01G333600;TraesCS2A01G315100;TraesCS2D01G273700;TraesCS4A01G009400;TraesCS6B01G351600;TraesCS1D01G238900;TraesCS5B01G404800</t>
  </si>
  <si>
    <t>TraesCS1D01G073100;TraesCS2B01G174500;TraesCS5B01G482400;TraesCS7D01G392800;TraesCS1B01G456700;TraesCS5D01G482800;TraesCS7A01G470400;TraesCS2B01G180500;TraesCS4D01G045300;TraesCS6B01G246000;TraesCS7A01G412400;TraesCS4B01G045400;TraesCS7A01G264500;TraesCS6A01G216800;TraesCS5B01G214500;TraesCS4B01G100100;TraesCS5D01G244800;TraesCS5D01G223800;TraesCS4D01G096400;TraesCS7B01G372400;TraesCS2A01G155500;TraesCS2D01G285300;TraesCS5D01G207400;TraesCS3D01G072000;TraesCS5B01G502200;TraesCS5B01G200000;TraesCS3B01G108000;TraesCS4A01G216100;TraesCS5D01G183700;TraesCS5A01G469800;TraesCS2B01G271700;TraesCS5A01G216000;TraesCS7D01G457800;TraesCS7B01G299200;TraesCS5A01G455100;TraesCS5D01G465500;TraesCS1A01G295300;TraesCS5B01G463900;TraesCS5A01G237900;TraesCS6D01G198700</t>
  </si>
  <si>
    <t>response to abscisic acid</t>
  </si>
  <si>
    <t>response to alcohol</t>
  </si>
  <si>
    <t>TraesCS2A01G155500;TraesCS2B01G367700;TraesCS7D01G548200;TraesCS2D01G285300;TraesCS5D01G207400;TraesCS5D01G069700;TraesCS5B01G200000;TraesCS7A01G470400;TraesCS2B01G180500;TraesCS7A01G412400;TraesCS7A01G561600;TraesCS7D01G457800;TraesCS5A01G375000;TraesCS5D01G244800;TraesCS5A01G237900;TraesCS7B01G372400</t>
  </si>
  <si>
    <t>hyperosmotic salinity response</t>
  </si>
  <si>
    <t>TraesCS7B01G440900;TraesCS2D01G248700;TraesCS4D01G238800;TraesCS3D01G336900;TraesCS5D01G407400;TraesCS7B01G122500;TraesCS5B01G231600;TraesCS2A01G262800;TraesCS5A01G152400;TraesCS4D01G079900;TraesCS4B01G037800;TraesCS1A01G395100;TraesCS7D01G438600;TraesCS2B01G177500;TraesCS5A01G129500;TraesCS2D01G157800;TraesCS4A01G109200;TraesCS4A01G218200;TraesCS3A01G084700;TraesCS3B01G328700;TraesCS3A01G061600;TraesCS7B01G092200;TraesCS3D01G520900;TraesCS5D01G157600;TraesCS1B01G313400;TraesCS4D01G093300;TraesCS5D01G233700;TraesCS3A01G153000;TraesCS3D01G136900;TraesCS6D01G085100;TraesCS2B01G279200;TraesCS2A01G152500;TraesCS2A01G546600;TraesCS3D01G381800;TraesCS4A01G234100;TraesCS5D01G407500;TraesCS5D01G535700;TraesCS2A01G322500;TraesCS4A01G385300;TraesCS2A01G005100;TraesCS1A01G277400;TraesCS6D01G369400;TraesCS5B01G403000;TraesCS6A01G271300;TraesCS2D01G396300;TraesCS2A01G396200;TraesCS2A01G325100;TraesCS7D01G438700;TraesCS3B01G256400;TraesCS2D01G157900;TraesCS2D01G506600;TraesCS5B01G318100;TraesCS3D01G084900;TraesCS7B01G469000;TraesCS3A01G136100;TraesCS2B01G333600;TraesCS5D01G413200;TraesCS3D01G148300;TraesCS1D01G302500;TraesCS7A01G523400;TraesCS1D01G004500;TraesCS3A01G132000;TraesCS5A01G403200;TraesCS1B01G251600;TraesCS1D01G310000;TraesCS3D01G225800;TraesCS5B01G151000;TraesCS5D01G137000;TraesCS6B01G125800;TraesCS4D01G035200;TraesCS1D01G176400;TraesCS7A01G186900;TraesCS2D01G157600;TraesCS1A01G177300;TraesCS7A01G373100;TraesCS2D01G547700;TraesCS5B01G318200;TraesCS7B01G169500;TraesCS5D01G436200;TraesCS7A01G086000;TraesCS7D01G271600;TraesCS5A01G361100;TraesCS5A01G233100;TraesCS4A01G320100;TraesCS3D01G266400;TraesCS3B01G421200;TraesCS2A01G546400;TraesCS5D01G487900;TraesCS6B01G423900;TraesCS4B01G097000;TraesCS4A01G027800;TraesCS4B01G135200;TraesCS3D01G225900;TraesCS1D01G106000;TraesCS6A01G174900;TraesCS1D01G414700;TraesCS1A01G435400;TraesCS3A01G152500;TraesCS3A01G062200;TraesCS7D01G488800;TraesCS2A01G577800;TraesCS4B01G237600;TraesCS6B01G204400;TraesCS3A01G266300;TraesCS7D01G080700;TraesCS2D01G273700;TraesCS2D01G589200;TraesCS7A01G277500;TraesCS5B01G404800;TraesCS7A01G187000;TraesCS3D01G293800;TraesCS5D01G084300;TraesCS2A01G505800;TraesCS6A01G306800;TraesCS5B01G174200;TraesCS7B01G254100;TraesCS7A01G031700;TraesCS7D01G511700;TraesCS3B01G609400;TraesCS3D01G364300;TraesCS4D01G195700;TraesCS7B01G439400;TraesCS5D01G436000;TraesCS7A01G373300;TraesCS4B01G237300;TraesCS1D01G175500;TraesCS7D01G512800;TraesCS1D01G004600;TraesCS5B01G224800;TraesCS2D01G521700;TraesCS7B01G253700;TraesCS3A01G294000;TraesCS6D01G243800;TraesCS2B01G414500;TraesCS2D01G337800;TraesCS3A01G280500;TraesCS1D01G239600;TraesCS6B01G335400;TraesCS2D01G157500;TraesCS3B01G166100;TraesCS4B01G295200;TraesCS5A01G397800;TraesCS3B01G154000;TraesCS2A01G008100;TraesCS2A01G078100;TraesCS3A01G082900;TraesCS7A01G449600;TraesCS4A01G009400;TraesCS4A01G183600;TraesCS2A01G152400;TraesCS4D01G238600;TraesCS3B01G167400;TraesCS5A01G317600;TraesCS3D01G084600;TraesCS2B01G518400;TraesCS5B01G128100;TraesCS5B01G403100;TraesCS5D01G565100;TraesCS2A01G534600;TraesCS3D01G149600;TraesCS2B01G357200;TraesCS7D01G188100;TraesCS1B01G371900;TraesCS3D01G240900;TraesCS3B01G256500;TraesCS7B01G349100;TraesCS1A01G351600;TraesCS5B01G363800;TraesCS2B01G177300;TraesCS5A01G397900;TraesCS1B01G195800;TraesCS7D01G077600;TraesCSU01G025000;TraesCS6D01G164000;TraesCS7A01G449500;TraesCS1D01G175700;TraesCS1D01G359100;TraesCS6B01G051900;TraesCS1B01G001900;TraesCS3B01G179500;TraesCS5B01G402800;TraesCS4D01G240800;TraesCS6B01G298500;TraesCS2D01G261100;TraesCS4D01G240900;TraesCS1B01G423400;TraesCS2D01G429700;TraesCS5B01G430100;TraesCS1D01G403300;TraesCS2D01G393900;TraesCS4B01G099700;TraesCS6A01G097400;TraesCS3A01G227800;TraesCS3B01G268800;TraesCS3D01G084700;TraesCS5D01G407300;TraesCS6D01G300600;TraesCS5A01G428000;TraesCS2B01G093100;TraesCS1A01G239400;TraesCS7D01G364900;TraesCS7B01G349000;TraesCS1A01G303100;TraesCS2D01G157300;TraesCS7B01G175200;TraesCS3A01G387600;TraesCS5A01G400000;TraesCS2B01G606600;TraesCS1A01G177800;TraesCS2A01G490500;TraesCS2D01G021600;TraesCS7D01G188000;TraesCS6A01G404500;TraesCS4A01G221500;TraesCS2A01G053300;TraesCS3A01G228100;TraesCS5D01G323900;TraesCS5B01G402900</t>
  </si>
  <si>
    <t>TraesCS4D01G064000;TraesCS1D01G004700;TraesCS7A01G231600;TraesCS3D01G193200;TraesCS6B01G231800;TraesCS2A01G305900;TraesCS5D01G031800;TraesCS3A01G309800;TraesCS3B01G218800;TraesCS3D01G308100;TraesCS5B01G214500;TraesCS7D01G452600;TraesCS1A01G093800;TraesCS5D01G223800;TraesCS4A01G046700;TraesCS4D01G258000;TraesCS3A01G217200;TraesCS4D01G176200;TraesCS6A01G244400;TraesCS5A01G073000;TraesCS5A01G216000;TraesCS7D01G507300;TraesCS2D01G304300;TraesCS4B01G174200;TraesCS5A01G025400;TraesCS2B01G336000;TraesCS4A01G066200;TraesCS3B01G532300;TraesCS6D01G226700;TraesCS5B01G079100;TraesCS6B01G280000;TraesCS1A01G002500;TraesCS4D01G243100;TraesCS3B01G247500;TraesCS5D01G085800;TraesCS7A01G517100;TraesCS1D01G046000;TraesCS4A01G249600;TraesCS1B01G058600;TraesCS4A01G130300;TraesCS4D01G176300;TraesCS1A01G045300;TraesCS3D01G219900;TraesCS3A01G295000;TraesCS1A01G425400;TraesCS1A01G295300;TraesCS1B01G001800;TraesCS1D01G102400;TraesCS4B01G174300;TraesCS4A01G110200;TraesCS4B01G065100</t>
  </si>
  <si>
    <t>organic anion transport</t>
  </si>
  <si>
    <t>TraesCS4D01G064000;TraesCS1D01G004700;TraesCS6A01G209900;TraesCS5A01G229700;TraesCS5D01G237800;TraesCS7A01G231600;TraesCS5B01G228500;TraesCS3D01G193200;TraesCS6B01G231800;TraesCS2A01G305900;TraesCS5B01G373000;TraesCS6D01G039300;TraesCS6A01G201100;TraesCS5D01G031800;TraesCS3A01G309800;TraesCS3B01G218800;TraesCS3D01G308100;TraesCS5B01G214500;TraesCS6B01G238800;TraesCS7D01G452600;TraesCS1A01G093800;TraesCS2B01G326900;TraesCS5D01G223800;TraesCS3D01G288600;TraesCS4A01G046700;TraesCS6D01G193100;TraesCS4D01G258000;TraesCS3A01G217200;TraesCS4D01G176200;TraesCS5D01G183700;TraesCS6A01G244400;TraesCS5A01G073000;TraesCS5A01G216000;TraesCS7D01G507300;TraesCS2D01G304300;TraesCS4B01G174200;TraesCS1B01G164200;TraesCS5A01G025400;TraesCS2A01G047300;TraesCS2B01G336000;TraesCS4A01G066200;TraesCS7A01G143800;TraesCS7D01G145500;TraesCS1B01G288300;TraesCS3B01G532300;TraesCS6D01G226700;TraesCS5B01G079100;TraesCS6B01G280000;TraesCS1A01G002500;TraesCS5A01G460300;TraesCS2B01G605800;TraesCS4D01G243100;TraesCS3B01G323500;TraesCS6B01G238700;TraesCS3B01G247500;TraesCS5D01G085800;TraesCS7A01G517100;TraesCS6A01G210000;TraesCS1D01G046000;TraesCS4A01G249600;TraesCS1B01G058600;TraesCS4A01G130300;TraesCS3A01G288800;TraesCS4D01G176300;TraesCS5A01G366700;TraesCS1A01G045300;TraesCS3D01G219900;TraesCS3A01G295000;TraesCS1D01G144600;TraesCS1A01G425400;TraesCS1A01G295300;TraesCS1B01G001800;TraesCS1D01G102400;TraesCS4B01G174300;TraesCS4A01G110200;TraesCS4B01G065100</t>
  </si>
  <si>
    <t>anion transport</t>
  </si>
  <si>
    <t>TraesCS5A01G499900;TraesCS3B01G551600;TraesCS7B01G440900;TraesCS4D01G324800;TraesCS6A01G270000;TraesCS6B01G074200;TraesCS2A01G303200;TraesCS6A01G320700;TraesCS7A01G246700;TraesCS3B01G127700;TraesCS5D01G407400;TraesCS2A01G389900;TraesCS4A01G406100;TraesCS6B01G169700;TraesCS5B01G231600;TraesCS2A01G262800;TraesCS5A01G152400;TraesCS7B01G355200;TraesCS7A01G012000;TraesCS1D01G250900;TraesCS2B01G359300;TraesCS3A01G481000;TraesCS4D01G094500;TraesCS6B01G406300;TraesCS1A01G217300;TraesCS1B01G363100;TraesCS6B01G056900;TraesCS3A01G349900;TraesCS7B01G024500;TraesCS5A01G280700;TraesCS1D01G156600;TraesCS2B01G177500;TraesCS5A01G205000;TraesCS5A01G129500;TraesCS6D01G130800;TraesCS4A01G109200;TraesCS3A01G084700;TraesCS3A01G035300;TraesCS5B01G209800;TraesCS3A01G061600;TraesCS7B01G092200;TraesCS1D01G152000;TraesCS5D01G157600;TraesCS1A01G291800;TraesCS4D01G032000;TraesCS3B01G446500;TraesCS3D01G136900;TraesCS5D01G168400;TraesCS7D01G420500;TraesCS6A01G297500;TraesCS2B01G279200;TraesCS5A01G403300;TraesCS2A01G546600;TraesCS1D01G111900;TraesCS4A01G234100;TraesCS5D01G407500;TraesCS5D01G535700;TraesCS2A01G395000;TraesCS4A01G385300;TraesCS2A01G005100;TraesCS1A01G277400;TraesCS6D01G369400;TraesCS7D01G389700;TraesCS6A01G271300;TraesCS2A01G467700;TraesCS2D01G264400;TraesCS3A01G102000;TraesCS2A01G396200;TraesCS2D01G436700;TraesCS2A01G325100;TraesCS2D01G506600;TraesCS5B01G318100;TraesCS2D01G549300;TraesCS3D01G444900;TraesCS6A01G213100;TraesCS7B01G469000;TraesCS3A01G136100;TraesCS4A01G251600;TraesCS4B01G271800;TraesCS6B01G351600;TraesCS4D01G206300;TraesCS1D01G238900;TraesCS1D01G302500;TraesCS3B01G446600;TraesCS3A01G105300;TraesCS3D01G285700;TraesCS1D01G134600;TraesCS1D01G004500;TraesCS1A01G396900;TraesCS5A01G403200;TraesCS6A01G331400;TraesCS7A01G542600;TraesCS1B01G251600;TraesCS1D01G310000;TraesCS3D01G225800;TraesCS6A01G353700;TraesCS6B01G125800;TraesCS4B01G003300;TraesCS4D01G035200;TraesCS1D01G176400;TraesCS3A01G246700;TraesCS5D01G410500;TraesCS1B01G285500;TraesCS2D01G151500;TraesCS4B01G098300;TraesCS5D01G183700;TraesCS4D01G270900;TraesCS4B01G178600;TraesCS5B01G318200;TraesCS1D01G179900;TraesCS5D01G306400;TraesCS5B01G192000;TraesCS7D01G271600;TraesCS3B01G353000;TraesCS7B01G161100;TraesCS1A01G310600;TraesCS2D01G367700;TraesCS4B01G327800;TraesCS6A01G305000;TraesCS1D01G405200;TraesCS1A01G159200;TraesCS2B01G585100;TraesCS3B01G421200;TraesCS2A01G546400;TraesCS4A01G232000;TraesCS5B01G339100;TraesCS7A01G454600;TraesCS7B01G194200;TraesCS2A01G121200;TraesCS7A01G349600;TraesCS7B01G311600;TraesCS6B01G423900;TraesCS3B01G354000;TraesCS3D01G225900;TraesCS6B01G406200;TraesCS4B01G366800;TraesCS1D01G080800;TraesCS6A01G174900;TraesCS1A01G435400;TraesCS3A01G152500;TraesCS7D01G354600;TraesCS5B01G246900;TraesCS4A01G331900;TraesCS6D01G038500;TraesCS2A01G225200;TraesCS7D01G432800;TraesCS1B01G437500;TraesCS3A01G077000;TraesCS4B01G237600;TraesCS4D01G269700;TraesCS3A01G266300;TraesCS7D01G080700;TraesCS4B01G086100;TraesCS3A01G448400;TraesCS4D01G330000;TraesCS5A01G048400;TraesCS7A01G277500;TraesCS4B01G174100;TraesCS7D01G122600;TraesCS5B01G404800;TraesCS7A01G187000;TraesCS1D01G098100;TraesCS1A01G079500;TraesCS2B01G275100;TraesCS3D01G293800;TraesCS5D01G084300;TraesCS3B01G446800;TraesCS4B01G106500;TraesCS2A01G505800;TraesCS5B01G174200;TraesCS7B01G254100;TraesCS3D01G407100;TraesCS5A01G341000;TraesCS7A01G031700;TraesCS2D01G364400;TraesCS1D01G327200;TraesCS7D01G368700;TraesCS7D01G511700;TraesCS2B01G230300;TraesCS3D01G364300;TraesCS1B01G262000;TraesCS6D01G353300;TraesCS6B01G306300;TraesCS5D01G545800;TraesCS2B01G429100;TraesCS2D01G279500;TraesCS3D01G305300;TraesCS4D01G162000;TraesCS1D01G175500;TraesCS4B01G195000;TraesCS7D01G512800;TraesCS6D01G284200;TraesCS1D01G004600;TraesCS3A01G323800;TraesCS6B01G406000;TraesCS6D01G083200;TraesCS3B01G360600;TraesCS5B01G224800;TraesCS6A01G280100;TraesCS7A01G263300;TraesCS7B01G218900;TraesCS6B01G362100;TraesCS2D01G467300;TraesCS6D01G243800;TraesCS1A01G235800;TraesCS1B01G056900;TraesCS3A01G280500;TraesCS3D01G407000;TraesCS5A01G269300;TraesCS5B01G103100;TraesCS6A01G277800;TraesCS2D01G000200;TraesCS7D01G329100;TraesCS1D01G080600;TraesCS1A01G078200;TraesCS6D01G353400;TraesCS2B01G381600;TraesCS2B01G459100;TraesCS3D01G305400;TraesCS3B01G452100;TraesCS2A01G078100;TraesCS3D01G356900;TraesCS7A01G449600;TraesCS2D01G231100;TraesCS4A01G196000;TraesCS1A01G375800;TraesCS6A01G280000;TraesCS1B01G230500;TraesCS2A01G250900;TraesCS3A01G109500;TraesCS2A01G152400;TraesCS4A01G076900;TraesCS6D01G039300;TraesCS7B01G476100;TraesCS1B01G066400;TraesCS2A01G548200;TraesCS3D01G084600;TraesCS6A01G157500;TraesCS5A01G301700;TraesCS3A01G414600;TraesCS5A01G374000;TraesCS5B01G128100;TraesCS6D01G260200;TraesCS4A01G250800;TraesCS2B01G357200;TraesCS1D01G351500;TraesCS7A01G354000;TraesCS7D01G188100;TraesCS1B01G371900;TraesCS3B01G357200;TraesCS3B01G256500;TraesCS5B01G408100;TraesCS7B01G349100;TraesCS1A01G351600;TraesCS1D01G219100;TraesCS5B01G363800;TraesCS4B01G188800;TraesCS1A01G221200;TraesCS1B01G195800;TraesCS6A01G376300;TraesCS7D01G077600;TraesCS5D01G310500;TraesCSU01G025000;TraesCS6D01G164000;TraesCS4B01G222500;TraesCS3D01G343900;TraesCS7D01G176000;TraesCS2A01G363600;TraesCS2A01G468500;TraesCS3A01G146800;TraesCS3B01G395600;TraesCS4D01G223000;TraesCS7A01G449500;TraesCS1D01G175700;TraesCS5B01G375900;TraesCS1D01G359100;TraesCS6B01G051900;TraesCS7B01G247500;TraesCS1B01G001900;TraesCS5B01G402800;TraesCS4D01G240800;TraesCS2D01G028900;TraesCS4D01G240900;TraesCS3B01G339800;TraesCS3D01G317400;TraesCS5B01G430100;TraesCS7D01G206500;TraesCS6A01G097400;TraesCS3A01G227800;TraesCS3D01G084700;TraesCS6D01G300600;TraesCS4B01G305600;TraesCS1D01G080400;TraesCS3B01G048900;TraesCS4B01G037700;TraesCS2A01G046100;TraesCS3D01G318500;TraesCS4A01G098900;TraesCS7B01G349000;TraesCS1A01G303100;TraesCS6B01G327200;TraesCS7B01G175200;TraesCS3A01G387600;TraesCS5A01G400000;TraesCS5A01G097600;TraesCS2B01G606600;TraesCS4A01G109300;TraesCS1A01G177800;TraesCS2A01G490500;TraesCS3A01G490300;TraesCS7D01G188000;TraesCS4D01G269300;TraesCS7D01G183900;TraesCS3D01G305200;TraesCS6A01G404500;TraesCS7B01G144600;TraesCS4A01G229900;TraesCS2A01G315100;TraesCS4A01G202200;TraesCS5D01G323900;TraesCS6D01G368800;TraesCS2B01G614100;TraesCS5B01G402900;TraesCS2A01G026700;TraesCS6A01G041900;TraesCS4D01G234200;TraesCS1B01G234500;TraesCS2D01G374600;TraesCS2A01G091000;TraesCS1D01G415900;TraesCS5D01G233800;TraesCS6B01G309400;TraesCS2D01G248700;TraesCS5D01G038800;TraesCS5D01G277500;TraesCS4D01G238800;TraesCS3A01G490500;TraesCS3D01G336900;TraesCS1A01G122500;TraesCS7B01G122500;TraesCS2D01G339600;TraesCS3A01G330600;TraesCS4D01G031600;TraesCS7A01G125600;TraesCS6A01G141500;TraesCS6D01G245000;TraesCS1B01G096300;TraesCS4D01G079900;TraesCS5A01G041100;TraesCS7A01G182500;TraesCS4B01G037800;TraesCS7B01G110400;TraesCS1A01G395100;TraesCS3D01G345600;TraesCS2D01G212500;TraesCS7D01G438600;TraesCS5B01G202700;TraesCS5A01G261400;TraesCS6D01G258300;TraesCS3B01G489700;TraesCS2D01G543300;TraesCS7A01G339100;TraesCS2D01G157800;TraesCS3B01G128000;TraesCS2D01G361400;TraesCS3B01G328700;TraesCS2A01G508900;TraesCS4B01G300700;TraesCS1A01G238700;TraesCS3D01G520900;TraesCS2B01G023500;TraesCS5D01G413300;TraesCS1B01G313400;TraesCS7D01G346400;TraesCS5D01G233700;TraesCS3A01G153000;TraesCS6D01G228800;TraesCS6D01G085100;TraesCS2A01G152500;TraesCS3D01G381800;TraesCS2A01G322500;TraesCS3A01G212300;TraesCS4D01G029500;TraesCS5B01G403000;TraesCS2D01G467700;TraesCS1D01G044300;TraesCS3A01G133400;TraesCS5B01G405300;TraesCS2D01G396300;TraesCS3D01G104400;TraesCS1A01G078600;TraesCS7D01G438700;TraesCS4B01G037900;TraesCS3B01G256400;TraesCS2D01G157900;TraesCS4D01G176100;TraesCS5A01G205700;TraesCS2B01G127700;TraesCS2A01G285100;TraesCS3D01G084900;TraesCS7B01G328400;TraesCS7B01G087400;TraesCS1A01G089600;TraesCS2B01G333600;TraesCS5D01G413200;TraesCS3D01G148300;TraesCS7A01G523400;TraesCS1B01G456900;TraesCS3A01G132000;TraesCS4D01G190100;TraesCS7D01G244800;TraesCS7D01G311200;TraesCS1A01G384000;TraesCS3A01G490700;TraesCS4B01G071500;TraesCS5B01G151000;TraesCS5D01G137000;TraesCS6B01G423000;TraesCS4A01G130400;TraesCS6B01G127300;TraesCS1B01G425200;TraesCS7A01G186900;TraesCS4B01G062800;TraesCS4B01G033400;TraesCS2D01G157600;TraesCS4B01G333800;TraesCS7A01G203200;TraesCS5A01G400500;TraesCS1A01G177300;TraesCS7A01G373100;TraesCS2D01G547700;TraesCS7B01G273600;TraesCS1A01G043900;TraesCS7B01G169500;TraesCS5D01G436200;TraesCS1D01G404800;TraesCS7D01G304800;TraesCS7D01G351900;TraesCS2D01G313400;TraesCS4A01G081300;TraesCS2D01G497300;TraesCS6D01G328200;TraesCS7A01G086000;TraesCS2A01G026800;TraesCS5A01G361100;TraesCS1D01G222800;TraesCS2D01G076900;TraesCS2B01G441000;TraesCS3D01G445000;TraesCS4D01G341800;TraesCS5A01G233100;TraesCS4A01G320100;TraesCS7D01G229100;TraesCS3D01G266400;TraesCS7B01G214900;TraesCS3A01G325100;TraesCS6A01G209600;TraesCS7A01G174700;TraesCS5D01G487900;TraesCS2A01G553500;TraesCS4A01G027800;TraesCS7B01G208100;TraesCS4B01G135200;TraesCS1B01G096400;TraesCS1D01G069800;TraesCS3A01G229700;TraesCS6B01G423100;TraesCS2D01G346200;TraesCS2A01G371400;TraesCS3D01G104200;TraesCS1A01G078400;TraesCS3A01G062200;TraesCS7D01G488800;TraesCS7B01G250400;TraesCS2A01G577800;TraesCS6B01G204400;TraesCS2D01G543000;TraesCS2D01G273700;TraesCS3D01G440900;TraesCS6A01G383800;TraesCS7B01G260200;TraesCS2D01G250600;TraesCS2D01G589200;TraesCS6D01G194600;TraesCS3D01G396800;TraesCS7A01G443600;TraesCS7D01G527600;TraesCS4A01G312100;TraesCS7B01G042100;TraesCS3D01G103800;TraesCS6A01G278000;TraesCS6D01G255200;TraesCS2A01G439400;TraesCS5D01G346200;TraesCS2D01G418900;TraesCS7A01G307900;TraesCS5D01G256400;TraesCS2A01G203200;TraesCS6A01G306800;TraesCS7A01G092300;TraesCS5B01G160700;TraesCS7B01G296300;TraesCS5D01G540800;TraesCS7A01G121400;TraesCS7B01G208200;TraesCS7B01G464600;TraesCS2D01G276900;TraesCS5A01G303400;TraesCS3A01G452400;TraesCS3B01G609400;TraesCS2A01G000600;TraesCS3D01G496400;TraesCS5D01G169300;TraesCS5B01G303800;TraesCS4D01G195700;TraesCS7B01G439400;TraesCS5D01G436000;TraesCS7A01G373300;TraesCS7D01G175900;TraesCS5D01G383500;TraesCS1A01G112400;TraesCS6B01G046800;TraesCS2A01G438200;TraesCS2A01G277900;TraesCS3D01G077200;TraesCS2D01G436200;TraesCS7A01G537100;TraesCS2A01G315600;TraesCS7B01G079400;TraesCS4D01G041100;TraesCS4D01G347300;TraesCS2D01G521700;TraesCS2A01G542400;TraesCS7B01G253700;TraesCS4A01G148500;TraesCS1D01G310100;TraesCS7A01G246200;TraesCS7A01G412400;TraesCS3A01G294000;TraesCS7B01G145200;TraesCS2B01G414500;TraesCS2D01G337800;TraesCS1D01G239600;TraesCS6B01G335400;TraesCS5D01G370100;TraesCS7D01G347300;TraesCS2D01G157500;TraesCS3B01G166100;TraesCS4B01G295200;TraesCS4D01G103100;TraesCS6D01G258600;TraesCS3D01G496300;TraesCS7A01G339600;TraesCS6A01G246400;TraesCS5A01G397800;TraesCS7D01G175800;TraesCS6B01G302400;TraesCS3B01G154000;TraesCS2A01G008100;TraesCS1B01G250600;TraesCS1A01G312400;TraesCS3A01G082900;TraesCS4D01G303800;TraesCS1B01G447900;TraesCS4A01G009400;TraesCS7B01G079500;TraesCS3B01G123700;TraesCS3D01G367200;TraesCS5D01G233600;TraesCS3B01G549200;TraesCS5B01G029300;TraesCS5D01G210600;TraesCS2B01G038500;TraesCS1A01G417800;TraesCS3B01G272600;TraesCS4A01G183600;TraesCS3B01G167400;TraesCS6A01G058300;TraesCS5A01G317600;TraesCS1D01G067800;TraesCS2B01G518400;TraesCS2D01G392900;TraesCS5B01G403100;TraesCS1A01G424100;TraesCS5D01G565100;TraesCS2A01G534600;TraesCS3D01G149600;TraesCS4D01G002800;TraesCS5B01G405400;TraesCS4A01G115400;TraesCS6B01G297300;TraesCS2A01G323300;TraesCS2D01G407700;TraesCS5A01G276300;TraesCS5A01G154900;TraesCS2B01G572100;TraesCS4B01G194900;TraesCS1A01G418900;TraesCS2B01G177300;TraesCS3D01G496600;TraesCS5A01G397900;TraesCS7D01G245500;TraesCS7D01G314200;TraesCS2B01G085500;TraesCS2D01G392800;TraesCS1D01G425400;TraesCS2D01G075200;TraesCS2D01G543500;TraesCS1A01G066800;TraesCS3A01G297200;TraesCS1D01G312600;TraesCS2B01G333900;TraesCS3B01G179500;TraesCS3D01G310200;TraesCS4B01G346900;TraesCS2A01G311200;TraesCS6B01G298500;TraesCS1A01G077700;TraesCS3B01G551300;TraesCS2D01G261100;TraesCS1B01G423400;TraesCS2D01G429700;TraesCS1D01G403300;TraesCS2D01G393900;TraesCS6B01G414100;TraesCS4B01G099700;TraesCS2B01G388600;TraesCS5D01G407300;TraesCS5A01G428000;TraesCS2B01G093100;TraesCS3B01G344600;TraesCS5A01G213900;TraesCS2D01G123300;TraesCS1B01G096800;TraesCS1A01G239400;TraesCS3A01G452500;TraesCS6D01G361500;TraesCS7D01G364900;TraesCS4A01G311000;TraesCS3D01G244800;TraesCS2D01G157300;TraesCS4D01G195600;TraesCS2D01G543400;TraesCS2A01G438300;TraesCS4B01G205400;TraesCS2D01G021600;TraesCS5D01G218100;TraesCS2D01G313700;TraesCS1D01G123400;TraesCS7B01G251100;TraesCS4A01G059900;TraesCS7A01G317500;TraesCS4A01G221500;TraesCS2A01G053300;TraesCS3A01G228100;TraesCS5D01G287300;TraesCS2B01G260500;TraesCSU01G222700;TraesCS1A01G251400;TraesCS5D01G268800</t>
  </si>
  <si>
    <t>inositol 3-alpha-galactosyltransferase activity</t>
  </si>
  <si>
    <t>TraesCS7D01G225200;TraesCS2D01G284200;TraesCS2B01G208900;TraesCS4A01G089700;TraesCS6D01G393600;TraesCS5B01G482400;TraesCS7A01G246700;TraesCS7D01G392800;TraesCS4D01G215200;TraesCS4D01G238600;TraesCS6A01G240700;TraesCS6D01G039300;TraesCS5A01G204800;TraesCS2B01G189300;TraesCS4D01G264500;TraesCS3B01G304600;TraesCS4D01G096400;TraesCS7B01G372400;TraesCS2B01G530300;TraesCS2D01G285300;TraesCS1A01G072200;TraesCS6B01G222200;TraesCS7D01G245500;TraesCS2D01G392800;TraesCS1D01G074600;TraesCS4A01G216100;TraesCS5D01G183700;TraesCS5A01G469800;TraesCS5D01G104200;TraesCS4B01G237300;TraesCS7A01G110500;TraesCS3D01G524700;TraesCS7A01G365600;TraesCS5B01G142100;TraesCS4D01G315400;TraesCS2B01G336000;TraesCS7D01G548200;TraesCS1A01G182100;TraesCS6A01G190700;TraesCS6B01G284000;TraesCS7B01G008400;TraesCS1B01G198900;TraesCS5D01G482800;TraesCS7A01G470400;TraesCS2B01G180500;TraesCS4D01G045300;TraesCS4D01G326400;TraesCS6D01G257000;TraesCS6D01G222900;TraesCS2B01G605800;TraesCS4B01G045400;TraesCS7A01G264500;TraesCS5B01G097600;TraesCS4B01G100100;TraesCS2D01G517200;TraesCS6D01G252900;TraesCS2A01G033700;TraesCS2A01G551000;TraesCS2A01G155500;TraesCS1D01G108300;TraesCS7A01G327700;TraesCS1D01G185200;TraesCS1D01G074500;TraesCS6D01G180400;TraesCS2B01G127700;TraesCS7A01G561600;TraesCS5B01G392400;TraesCS5A01G266400;TraesCS7D01G457800;TraesCS7B01G299200;TraesCS2A01G384100;TraesCS2D01G552100;TraesCS3A01G517100;TraesCS7B01G144600;TraesCS2D01G598500;TraesCS5A01G329100;TraesCS1A01G295300;TraesCS6A01G272900;TraesCS4A01G043800</t>
  </si>
  <si>
    <t>response to other organism</t>
  </si>
  <si>
    <t>response to external biotic stimulus</t>
  </si>
  <si>
    <t>TraesCS2D01G183700;TraesCS4D01G316500;TraesCS2B01G208900;TraesCS2D01G097700;TraesCS1D01G398400;TraesCS5B01G482400;TraesCS7D01G392800;TraesCS1B01G456700;TraesCS2A01G397000;TraesCS1A01G275200;TraesCS5B01G533000;TraesCS5D01G225900;TraesCS2D01G534600;TraesCS1D01G082600;TraesCS4D01G312300;TraesCS2B01G246100;TraesCS4A01G455800;TraesCS5A01G041100;TraesCS7A01G182500;TraesCS1D01G082200;TraesCS4D01G096400;TraesCS6B01G295200;TraesCS3B01G361500;TraesCS5A01G177800;TraesCS5D01G207400;TraesCS1A01G080600;TraesCS7B01G259000;TraesCS1D01G156600;TraesCS3D01G244500;TraesCS5B01G200000;TraesCS2D01G077300;TraesCS3D01G139300;TraesCS5A01G469800;TraesCS4B01G237300;TraesCS2A01G080000;TraesCS3A01G056700;TraesCS7A01G110500;TraesCS5B01G014400;TraesCS1B01G164200;TraesCS3B01G156600;TraesCS1A01G389500;TraesCS2B01G174500;TraesCS7D01G548200;TraesCS7B01G008400;TraesCS3B01G272300;TraesCS5D01G482800;TraesCS7A01G470400;TraesCS4D01G045300;TraesCS7A01G412400;TraesCS7B01G272900;TraesCS1D01G013200;TraesCS4B01G045400;TraesCS7A01G264500;TraesCS5D01G179100;TraesCS4B01G100100;TraesCS5D01G244800;TraesCS7D01G368000;TraesCS1D01G119500;TraesCS2B01G114000;TraesCS1D01G082500;TraesCS3A01G135700;TraesCS5D01G022200;TraesCS4B01G104700;TraesCS6B01G163100;TraesCS7A01G033500;TraesCS3D01G290000;TraesCS3D01G315700;TraesCS4A01G071800;TraesCS2A01G155500;TraesCS1A01G080500;TraesCS1B01G229100;TraesCS5D01G097900;TraesCS1A01G045300;TraesCS6A01G116000;TraesCS2D01G394800;TraesCS2A01G176300;TraesCS6B01G174400;TraesCS7B01G087400;TraesCS2B01G271700;TraesCS6D01G246900;TraesCS7A01G369500;TraesCS2A01G384100;TraesCS2B01G350600;TraesCS5B01G236900;TraesCS2A01G150600;TraesCS4B01G306900;TraesCS2A01G231000;TraesCS3A01G299000;TraesCS6D01G104800;TraesCS1D01G274800;TraesCS5B01G530800;TraesCS5A01G237900;TraesCS5D01G321800;TraesCS3D01G056500;TraesCS4A01G171500;TraesCS4A01G001400;TraesCS4A01G043800;TraesCS1A01G184500;TraesCS5A01G315700;TraesCS5B01G381500;TraesCS2B01G124100;TraesCS2D01G284200;TraesCS6A01G146200;TraesCS7A01G011900;TraesCS7D01G030100;TraesCS2A01G106500;TraesCS4A01G035400;TraesCS7D01G353800;TraesCS1B01G158500;TraesCS4D01G238600;TraesCS6D01G039300;TraesCS5B01G214500;TraesCS1B01G347100;TraesCS5D01G223800;TraesCS5A01G085900;TraesCS6A01G268000;TraesCS3B01G153800;TraesCS4D01G264500;TraesCS2A01G551100;TraesCS7B01G372400;TraesCS6A01G107800;TraesCS2B01G175800;TraesCS2D01G107100;TraesCS2D01G285300;TraesCS1A01G215600;TraesCS4A01G407500;TraesCS2D01G392800;TraesCS5D01G387900;TraesCS4A01G216100;TraesCS6D01G330800;TraesCS2D01G226300;TraesCS5A01G216000;TraesCS5B01G316300;TraesCS6D01G135500;TraesCS6B01G280300;TraesCS7B01G316600;TraesCS2D01G296300;TraesCS4D01G001200;TraesCS5D01G182100;TraesCS2B01G415300;TraesCS2D01G235600;TraesCS5B01G217500;TraesCS3B01G156800;TraesCS5B01G217100;TraesCS1D01G073100;TraesCS6D01G226300;TraesCS1A01G159200;TraesCS6D01G095700;TraesCS3D01G136700;TraesCS2B01G180500;TraesCS7B01G274600;TraesCS3B01G310500;TraesCS5D01G531300;TraesCS1A01G015300;TraesCS2A01G532800;TraesCS2B01G202700;TraesCS2A01G220600;TraesCS1D01G046000;TraesCS1B01G058600;TraesCS1A01G080700;TraesCS2B01G257100;TraesCS6B01G381300;TraesCS7A01G561600;TraesCS4D01G305100;TraesCS5B01G392400;TraesCS7D01G183900;TraesCS7D01G457800;TraesCS3D01G276600;TraesCS5A01G377900;TraesCS7B01G299200;TraesCS5A01G218000;TraesCS3A01G276500;TraesCS1D01G144600;TraesCS3A01G247000;TraesCS5B01G102900;TraesCS5B01G175100;TraesCS6A01G135100;TraesCS1A01G333800;TraesCS1A01G295300;TraesCS5B01G217000;TraesCS5D01G226000</t>
  </si>
  <si>
    <t>signal transduction</t>
  </si>
  <si>
    <t>TraesCS2A01G217600;TraesCS7D01G225200;TraesCS2D01G284200;TraesCS1D01G218200;TraesCS2B01G208900;TraesCS3A01G493100;TraesCS5B01G482400;TraesCS7B01G029200;TraesCS7D01G392800;TraesCS6D01G039300;TraesCS3A01G272900;TraesCS7D01G392600;TraesCS1D01G233800;TraesCS3D01G273200;TraesCS5B01G214500;TraesCS4B01G215100;TraesCS5A01G297900;TraesCS5D01G223800;TraesCS7D01G106000;TraesCS4D01G312300;TraesCS4D01G096400;TraesCS7B01G372400;TraesCS5B01G380400;TraesCS2D01G285300;TraesCS5A01G177800;TraesCS5D01G207400;TraesCS1A01G215600;TraesCS5A01G337100;TraesCS5D01G329100;TraesCS2D01G392800;TraesCS5B01G200000;TraesCS2D01G077300;TraesCS4A01G216100;TraesCS2A01G081400;TraesCS2D01G079200;TraesCS4D01G176200;TraesCS5A01G469800;TraesCS5A01G216000;TraesCS5B01G366400;TraesCS7B01G299100;TraesCS3D01G272300;TraesCS5D01G304700;TraesCS2A01G080000;TraesCS7A01G110500;TraesCS1A01G016100;TraesCS5D01G182100;TraesCS3B01G114200;TraesCS6D01G047500;TraesCS1B01G164200;TraesCS1D01G073100;TraesCS7D01G548200;TraesCS4B01G315400;TraesCS5B01G134400;TraesCS5D01G482800;TraesCS7A01G470400;TraesCS2B01G180500;TraesCS4D01G045300;TraesCS3D01G250500;TraesCS4D01G293200;TraesCS4B01G045400;TraesCS6A01G262200;TraesCS4B01G100100;TraesCS6D01G243000;TraesCS1B01G245700;TraesCS1B01G058600;TraesCS4A01G071800;TraesCS2A01G155500;TraesCS4D01G176300;TraesCS1B01G229100;TraesCS6A01G116000;TraesCS6B01G289500;TraesCS7A01G561600;TraesCS5B01G392400;TraesCS7D01G457800;TraesCS1A01G232500;TraesCS7B01G299200;TraesCS2A01G384100;TraesCS1D01G144600;TraesCS5B01G175100;TraesCS6D01G104800;TraesCS1A01G295300;TraesCS2B01G096000;TraesCS4A01G267300;TraesCS5B01G404800</t>
  </si>
  <si>
    <t>regulation of response to stimulus</t>
  </si>
  <si>
    <t>TraesCS2D01G538400;TraesCS3B01G490000;TraesCS1A01G218400;TraesCS5D01G359000;TraesCS2D01G022300;TraesCS5D01G038000;TraesCS6D01G358600;TraesCS7D01G092900;TraesCS1B01G454000;TraesCS3B01G295000;TraesCS4D01G232700;TraesCS7B01G473700;TraesCS2A01G389900;TraesCS4A01G079700;TraesCS3B01G455000;TraesCS4A01G159700;TraesCS4D01G207500;TraesCS6A01G124500;TraesCS7A01G163300;TraesCS3A01G481000;TraesCS6B01G052400;TraesCS2D01G479100;TraesCS3A01G349900;TraesCS2B01G236800;TraesCS7D01G318600;TraesCS2D01G079200;TraesCS2A01G190200;TraesCS5D01G383100;TraesCS4B01G157800;TraesCS3B01G485900;TraesCS5B01G104500;TraesCS7A01G476700;TraesCS2B01G350500;TraesCS3A01G276200;TraesCS7B01G274100;TraesCS3D01G049000;TraesCS3D01G278000;TraesCS2D01G380500;TraesCS3A01G033000;TraesCS6D01G360900;TraesCS2A01G292000;TraesCS7B01G245800;TraesCS3A01G342000;TraesCS2D01G219800;TraesCS6B01G225700;TraesCS5B01G526200;TraesCS6A01G052100;TraesCS4B01G376800;TraesCS5A01G447200;TraesCS5A01G350800;TraesCS2A01G170600;TraesCS2D01G255700;TraesCS2D01G297300;TraesCS4B01G054900;TraesCS3D01G351600;TraesCS2A01G467700;TraesCS1A01G367200;TraesCS2D01G264400;TraesCS2A01G182800;TraesCS2A01G216700;TraesCS3D01G234400;TraesCS5B01G135200;TraesCS2A01G537900;TraesCS7D01G444700;TraesCS3B01G126400;TraesCS2B01G477600;TraesCS2D01G506600;TraesCS1D01G074500;TraesCS7B01G047300;TraesCS3D01G270300;TraesCS3A01G274000;TraesCS3A01G163300;TraesCS5B01G371800;TraesCS4B01G306900;TraesCS6B01G145700;TraesCS3D01G316400;TraesCS1A01G343000;TraesCS1D01G100900;TraesCS6B01G407500;TraesCS1A01G184500;TraesCS3A01G344400;TraesCS1A01G243400;TraesCS3A01G048700;TraesCS7B01G239300;TraesCS3A01G107600;TraesCS1B01G385100;TraesCS1B01G089000;TraesCS4A01G089700;TraesCS1B01G158500;TraesCS2A01G479900;TraesCS3A01G034300;TraesCS4B01G238700;TraesCS5D01G328300;TraesCS6A01G078700;TraesCS3B01G113500;TraesCS5B01G183500;TraesCS4B01G222100;TraesCS2D01G537100;TraesCS1A01G181000;TraesCS2D01G151500;TraesCS5D01G387900;TraesCS2D01G226300;TraesCS5B01G146100;TraesCS1D01G439400;TraesCS7B01G356500;TraesCS3B01G353000;TraesCS2A01G384000;TraesCS5D01G524800;TraesCS3B01G049700;TraesCS3B01G196900;TraesCS1A01G182300;TraesCS5A01G197200;TraesCS4A01G062000;TraesCS7B01G415400;TraesCS2B01G180500;TraesCS1D01G335400;TraesCS6A01G377700;TraesCS2B01G605800;TraesCS6A01G000500;TraesCS7B01G311600;TraesCS2B01G437300;TraesCS4B01G106000;TraesCS5B01G526000;TraesCS7D01G087100;TraesCS3B01G306400;TraesCS3D01G030600;TraesCS6A01G250800;TraesCS2B01G097300;TraesCS4B01G047100;TraesCS1A01G367000;TraesCS5A01G322300;TraesCS3A01G357700;TraesCS4B01G366800;TraesCS2A01G216500;TraesCS7D01G165300;TraesCS3A01G045200;TraesCS3A01G347900;TraesCS4B01G224300;TraesCS3B01G390400;TraesCS1B01G231900;TraesCS2D01G415700;TraesCS3B01G401600;TraesCS5D01G181500;TraesCS6A01G225400;TraesCS2A01G418300;TraesCS6B01G020800;TraesCS1B01G162400;TraesCS7A01G455800;TraesCS3A01G310400;TraesCS2D01G057600;TraesCS1D01G146900;TraesCS1D01G345200;TraesCS5B01G184600;TraesCS6D01G211900;TraesCS6A01G140800;TraesCS5B01G404800;TraesCS1D01G243400;TraesCS1D01G163400;TraesCS1D01G218200;TraesCS2D01G097700;TraesCS7A01G118900;TraesCS5B01G188600;TraesCS7A01G435300;TraesCS5D01G328100;TraesCS2B01G537800;TraesCS2D01G223000;TraesCS3A01G272900;TraesCS2B01G485600;TraesCS3B01G289400;TraesCS6D01G157900;TraesCS2B01G053300;TraesCS7A01G480100;TraesCS3D01G378700;TraesCS7A01G031700;TraesCS2D01G364400;TraesCS7D01G368700;TraesCS2A01G516800;TraesCS3A01G152200;TraesCS2D01G216700;TraesCS3D01G104100;TraesCS7B01G294800;TraesCS3B01G141600;TraesCS3A01G257500;TraesCS3A01G385600;TraesCS1B01G384900;TraesCS5A01G370800;TraesCS2A01G525300;TraesCS3B01G307700;TraesCS1B01G091900;TraesCS6B01G051700;TraesCS3D01G442100;TraesCS2D01G537700;TraesCS7D01G495700;TraesCS4A01G414700;TraesCS4D01G261400;TraesCS3A01G256200;TraesCS5A01G401400;TraesCS5B01G501300;TraesCS7D01G097500;TraesCS2B01G242200;TraesCS1D01G419400;TraesCS6A01G178500;TraesCS7D01G324900;TraesCS3A01G280500;TraesCS4A01G098600;TraesCS3D01G256400;TraesCS2B01G001400;TraesCS6B01G163100;TraesCS2B01G097100;TraesCS7A01G333500;TraesCS7A01G167300;TraesCS2B01G045700;TraesCS1A01G080500;TraesCS1A01G330500;TraesCS5D01G104900;TraesCS3A01G290300;TraesCS7B01G309900;TraesCS6B01G300900;TraesCS2B01G536500;TraesCS5B01G028700;TraesCS5B01G372500;TraesCS6D01G122100;TraesCS7A01G264400;TraesCS1D01G372600;TraesCS5A01G294600;TraesCSU01G111800;TraesCS1D01G230100;TraesCS5D01G379700;TraesCS1B01G382500;TraesCS5A01G375000;TraesCS1A01G035100;TraesCS3D01G257500;TraesCS5D01G063800;TraesCS4B01G174300;TraesCS6B01G204600;TraesCS7B01G260800;TraesCS2B01G096000;TraesCS5B01G538800;TraesCS6B01G412500;TraesCS7D01G248200;TraesCS2B01G124100;TraesCS1A01G329500;TraesCS1A01G304200;TraesCS1A01G430100;TraesCS7B01G107300;TraesCS7B01G069100;TraesCS7B01G476100;TraesCS5B01G247700;TraesCS2A01G493800;TraesCS5B01G152600;TraesCS6A01G155200;TraesCS5A01G297900;TraesCS3D01G290100;TraesCS1D01G379000;TraesCS3B01G153800;TraesCS3A01G261800;TraesCS3A01G355700;TraesCS4A01G029800;TraesCS7A01G354000;TraesCS7B01G395000;TraesCS3B01G357200;TraesCS7D01G335800;TraesCS1A01G372400;TraesCS5B01G363800;TraesCS5D01G312800;TraesCS4B01G222500;TraesCSU01G238700;TraesCS3A01G224400;TraesCS6B01G199700;TraesCS1B01G376000;TraesCS7D01G176000;TraesCS5B01G316300;TraesCS3A01G146800;TraesCS6D01G110100;TraesCS7A01G242800;TraesCS2D01G491600;TraesCS3B01G291900;TraesCS3A01G129000;TraesCS7D01G065500;TraesCS1D01G236900;TraesCS4D01G059300;TraesCS6D01G146500;TraesCS2A01G211200;TraesCS1D01G140300;TraesCS4B01G315400;TraesCS2A01G431100;TraesCS5A01G426500;TraesCS1A01G411600;TraesCS2A01G040900;TraesCS5B01G540900;TraesCS2D01G139200;TraesCS1B01G356200;TraesCS6B01G205900;TraesCS5D01G190600;TraesCS2A01G396400;TraesCS5D01G509800;TraesCS2B01G070900;TraesCS4B01G201600;TraesCS4D01G176300;TraesCS5A01G205500;TraesCS3D01G261800;TraesCS5B01G204900;TraesCS7D01G146400;TraesCS5A01G097600;TraesCS1D01G372400;TraesCS4D01G305100;TraesCS5A01G016200;TraesCS6B01G256200;TraesCS2D01G117200;TraesCS2B01G302400;TraesCS3B01G473100;TraesCS6D01G368800;TraesCS1B01G001800;TraesCS5B01G538600;TraesCS2B01G394700;TraesCS7D01G355100;TraesCS7D01G086900;TraesCS2B01G208900;TraesCS2A01G343100;TraesCS7D01G114100;TraesCS7D01G449500;TraesCS2A01G382700;TraesCS6A01G241000;TraesCS2D01G582800;TraesCS2A01G049700;TraesCS2B01G101300;TraesCS2B01G414800;TraesCS6B01G471400;TraesCS1B01G167700;TraesCS3B01G600300;TraesCS1D01G082600;TraesCS2B01G060900;TraesCS7B01G225500;TraesCS2A01G538200;TraesCS5B01G384300;TraesCS5D01G475900;TraesCS7A01G249400;TraesCS7D01G356200;TraesCS6D01G166100;TraesCS7D01G085800;TraesCS6A01G336600;TraesCS6B01G415700;TraesCS6D01G195900;TraesCS6A01G378000;TraesCS2D01G451100;TraesCS3D01G104500;TraesCS5A01G261400;TraesCS2D01G222300;TraesCS4B01G203000;TraesCS4D01G340500;TraesCS7A01G339100;TraesCS2A01G199700;TraesCS5D01G380500;TraesCS1A01G016100;TraesCS1D01G364000;TraesCS5D01G358600;TraesCS4B01G162700;TraesCS5D01G048600;TraesCS1D01G381800;TraesCS1A01G259500;TraesCS7D01G346400;TraesCS6B01G412400;TraesCS2D01G509300;TraesCS4A01G010000;TraesCS5B01G375600;TraesCS4A01G255400;TraesCS6D01G257000;TraesCS4D01G238900;TraesCS4D01G293200;TraesCS3B01G348200;TraesCS2D01G463100;TraesCS2A01G509900;TraesCS1B01G119600;TraesCS2D01G467700;TraesCS2B01G324900;TraesCS1A01G273600;TraesCS2A01G463900;TraesCS5D01G022200;TraesCS7A01G213000;TraesCS6A01G258900;TraesCS6B01G413500;TraesCS6D01G359100;TraesCS2A01G371600;TraesCS7A01G343800;TraesCS5D01G163500;TraesCS2B01G127700;TraesCS3A01G477300;TraesCS3D01G049700;TraesCS5D01G519800;TraesCS3D01G335700;TraesCS4B01G287300;TraesCS5A01G429000;TraesCS7A01G091400;TraesCS2D01G112700;TraesCS3B01G119600;TraesCS2A01G106500;TraesCS1A01G079700;TraesCS2D01G485300;TraesCS4D01G360300;TraesCS7D01G506300;TraesCS4A01G402100;TraesCS5A01G030000;TraesCS6D01G056600;TraesCS4B01G345400;TraesCS3A01G230900;TraesCS2A01G083300;TraesCS5A01G376700;TraesCSU01G003600;TraesCS1A01G342600;TraesCS3D01G441900;TraesCS1B01G347100;TraesCS6D01G210100;TraesCS3B01G325100;TraesCS5B01G428400;TraesCS5B01G407300;TraesCS3A01G317700;TraesCS5D01G059300;TraesCS1A01G332800;TraesCS4A01G396700;TraesCS7B01G372400;TraesCS7D01G383600;TraesCS7D01G085600;TraesCS2A01G291900;TraesCS7A01G226500;TraesCS2D01G107100;TraesCSU01G016900;TraesCS1D01G372900;TraesCS2D01G455900;TraesCS2D01G577000;TraesCS3A01G064400;TraesCS4D01G126900;TraesCS3A01G362500;TraesCS3B01G166600;TraesCS3B01G288100;TraesCS6D01G328200;TraesCS7D01G300200;TraesCSU01G249900;TraesCS3D01G220900;TraesCS1A01G048100;TraesCS5D01G390500;TraesCS3A01G122300;TraesCS5B01G327800;TraesCS1D01G052000;TraesCS3D01G172200;TraesCS6D01G105000;TraesCS1B01G324000;TraesCSU01G047400;TraesCS7D01G265400;TraesCS3A01G443500;TraesCS4A01G323500;TraesCS4D01G352700;TraesCS6B01G423100;TraesCS3D01G345700;TraesCS1A01G047000;TraesCS1A01G080700;TraesCS6A01G277600;TraesCS6B01G381300;TraesCS2B01G035300;TraesCS3D01G219900;TraesCS1D01G076200;TraesCS7B01G250400;TraesCS5B01G208300;TraesCS2B01G100200;TraesCS4B01G367200;TraesCS6B01G152700;TraesCS7A01G321600;TraesCS7D01G451300;TraesCS1B01G269800;TraesCS6A01G301300;TraesCS1D01G047900;TraesCS6A01G383800;TraesCS6B01G059800;TraesCS6D01G158300;TraesCS4D01G089300;TraesCS5D01G069700;TraesCS2A01G112300;TraesCS5B01G520600;TraesCS5D01G514500;TraesCS1D01G335500;TraesCS5B01G474500;TraesCS1A01G296300;TraesCS2B01G240800;TraesCS1D01G239700;TraesCS2B01G246100;TraesCS6A01G327500;TraesCS1D01G082200;TraesCS7B01G301400;TraesCS7D01G463300;TraesCS1D01G032600;TraesCS1A01G072200;TraesCS2D01G222700;TraesCS2D01G564300;TraesCS5A01G152800;TraesCS3D01G244500;TraesCS7D01G175900;TraesCS3D01G324400;TraesCS4A01G384500;TraesCS5B01G225200;TraesCS6A01G375800;TraesCS3D01G272300;TraesCS2D01G528200;TraesCS1B01G109400;TraesCS2B01G241900;TraesCS2D01G464800;TraesCS4B01G132000;TraesCS5D01G455900;TraesCS6D01G328800;TraesCS7B01G079400;TraesCS4B01G216700;TraesCS6D01G335300;TraesCS7D01G357100;TraesCS1D01G293200;TraesCS3B01G100600;TraesCS5B01G056700;TraesCS1A01G073300;TraesCS1B01G385200;TraesCS4B01G055600;TraesCS5A01G373600;TraesCS1B01G251700;TraesCS7A01G131300;TraesCS3A01G439200;TraesCS7A01G412400;TraesCS4D01G224900;TraesCS1B01G375400;TraesCS3A01G357100;TraesCS3B01G352300;TraesCS2B01G539200;TraesCS4D01G312400;TraesCS5D01G370100;TraesCS2A01G182400;TraesCS3D01G315700;TraesCS4A01G071800;TraesCS3D01G349700;TraesCS1B01G157700;TraesCS2B01G400000;TraesCS1D01G259300;TraesCS3D01G542300;TraesCS7D01G054000;TraesCS2D01G098200;TraesCS3B01G477100;TraesCS6B01G069800;TraesCS7B01G167100;TraesCS5A01G222300;TraesCS2A01G150600;TraesCS5D01G195700;TraesCS3A01G337500;TraesCS4A01G171500;TraesCS5A01G048600;TraesCS4A01G211600;TraesCS3D01G262300;TraesCS5D01G212900;TraesCS7A01G384500;TraesCS6D01G362500;TraesCS3D01G319000;TraesCS6D01G316600;TraesCS3D01G273200;TraesCS2A01G117800;TraesCS2D01G190200;TraesCS1A01G424100;TraesCS3B01G379800;TraesCS5D01G158100;TraesCS6D01G107600;TraesCS4D01G264500;TraesCS2A01G209900;TraesCS7D01G364700;TraesCS5A01G173300;TraesCS7D01G167900;TraesCS7D01G444400;TraesCS2A01G023900;TraesCS4D01G229100;TraesCS7D01G037700;TraesCS1A01G418900;TraesCS3D01G230300;TraesCS4B01G052300;TraesCS7D01G314200;TraesCS5A01G463100;TraesCS5D01G070900;TraesCS1D01G359900;TraesCS2D01G227300;TraesCS1A01G066800;TraesCS5A01G185500;TraesCS3A01G419600;TraesCS6D01G050900;TraesCS5A01G514500;TraesCS3B01G410000;TraesCS4A01G431500;TraesCS3B01G376300;TraesCS5A01G210300;TraesCS3D01G310200;TraesCS6D01G047500;TraesCS3D01G182600;TraesCS3D01G337900;TraesCS1D01G073100;TraesCS7A01G059500;TraesCS2A01G586100;TraesCS6D01G381200;TraesCS3B01G253900;TraesCS1D01G333500;TraesCS2D01G509500;TraesCS2B01G401300;TraesCS3B01G295500;TraesCS3D01G136300;TraesCS7D01G130600;TraesCS3B01G053800;TraesCS6A01G374700;TraesCS2B01G187300;TraesCS3A01G034600;TraesCS2A01G033700;TraesCS6D01G115200;TraesCS4D01G220500;TraesCS2D01G178100;TraesCS5B01G437300;TraesCS7D01G203800;TraesCS1B01G157900;TraesCS7D01G341800;TraesCS3A01G123000;TraesCS4B01G054700;TraesCS4D01G325500;TraesCS4B01G205400;TraesCS2A01G008300;TraesCS7D01G048600;TraesCS4A01G059900;TraesCS7A01G091200;TraesCS7A01G317500;TraesCS7D01G128300;TraesCS1A01G429800;TraesCS4D01G267800;TraesCS2B01G071200;TraesCS6A01G211400;TraesCS3B01G374100;TraesCS1B01G204700;TraesCS2A01G030200;TraesCS3B01G280000;TraesCS1D01G295800;TraesCS1D01G270500;TraesCS3D01G535700;TraesCS7B01G325900;TraesCS3A01G493100;TraesCS1D01G220000;TraesCS2B01G197000;TraesCS6D01G161200;TraesCS6B01G305600;TraesCS7A01G127100;TraesCS2A01G056800;TraesCS3A01G097800;TraesCS1D01G005400;TraesCS4A01G101600;TraesCS2B01G440400;TraesCS3A01G255600;TraesCS7D01G136700;TraesCS1B01G254900;TraesCS2A01G418200;TraesCS5D01G031500;TraesCS6A01G225300;TraesCS2A01G455600;TraesCS5B01G151600;TraesCS2D01G549400;TraesCS2B01G243000;TraesCS4B01G181800;TraesCS6D01G240100;TraesCS5D01G021700;TraesCS3B01G194400;TraesCS2D01G217500;TraesCS6D01G354100;TraesCS5D01G478700;TraesCS1D01G111900;TraesCS1A01G002500;TraesCS5D01G374300;TraesCS2A01G503800;TraesCS1A01G424200;TraesCS6D01G153600;TraesCS2B01G489700;TraesCS3A01G449400;TraesCS5A01G062600;TraesCS3D01G290000;TraesCS2B01G236900;TraesCS3D01G209100;TraesCS4A01G262600;TraesCS6B01G006600;TraesCSU01G008300;TraesCS3B01G206500;TraesCS2D01G321400;TraesCS1B01G157300;TraesCS3B01G311900;TraesCS2D01G504300;TraesCS2B01G271700;TraesCS6D01G246900;TraesCS7B01G255500;TraesCS2A01G384100;TraesCS2B01G350600;TraesCS2D01G197600;TraesCS1D01G259700;TraesCS7B01G356400;TraesCS5B01G530800;TraesCS4B01G124800;TraesCS4D01G206300;TraesCS3A01G096500;TraesCS2D01G219900;TraesCS5A01G315700;TraesCS1D01G346200;TraesCS5B01G381500;TraesCS6B01G225800;TraesCS7B01G287100;TraesCS1D01G134600;TraesCS2B01G365900;TraesCS7D01G030100;TraesCS3D01G472000;TraesCS5D01G480600;TraesCS2B01G437200;TraesCS4D01G215200;TraesCS3D01G500800;TraesCS2D01G031100;TraesCS3D01G036000;TraesCS5A01G085900;TraesCS6A01G268000;TraesCS1A01G367100;TraesCS7D01G366600;TraesCS5B01G380400;TraesCS1D01G303700;TraesCS2D01G562200;TraesCS2A01G346000;TraesCS2D01G415600;TraesCS3D01G435900;TraesCS1D01G074600;TraesCS3A01G232300;TraesCS7D01G316100;TraesCS1D01G037200;TraesCS1D01G123700;TraesCS6B01G197000;TraesCS2D01G428900;TraesCS3D01G316700;TraesCS5A01G369500;TraesCS3B01G158300;TraesCS4B01G214600;TraesCS1B01G089100;TraesCS3D01G178300;TraesCS5B01G138400;TraesCS1B01G385000;TraesCS3D01G048000;TraesCS3D01G136700;TraesCS1B01G217500;TraesCS1B01G198700;TraesCS4D01G184200;TraesCS7D01G395100;TraesCS4D01G002500;TraesCS1D01G273800;TraesCS1A01G344000;TraesCS3D01G053600;TraesCS1D01G301300;TraesCS6A01G204600;TraesCS2D01G344700;TraesCS6B01G153000;TraesCS4B01G261800;TraesCS4D01G269700;TraesCS6A01G135100;TraesCS3A01G266300;TraesCS6D01G383900;TraesCS4D01G055000;TraesCS1D01G439300;TraesCS6D01G360800;TraesCS7D01G124900;TraesCS5B01G572600;TraesCS1D01G004700;TraesCS2B01G044700;TraesCS3A01G256300;TraesCS3D01G046000;TraesCS1D01G140400;TraesCS7A01G231600;TraesCS2A01G505800;TraesCS3B01G321100;TraesCS5B01G321800;TraesCS6A01G132400;TraesCS3B01G306500;TraesCS3D01G256500;TraesCS1A01G141300;TraesCS2D01G572600;TraesCS1B01G447200;TraesCS2B01G230300;TraesCS1B01G392400;TraesCS1A01G080600;TraesCS1B01G044800;TraesCS2B01G532000;TraesCS2B01G536600;TraesCS5A01G186000;TraesCS7D01G467100;TraesCS1D01G372700;TraesCS6D01G145100;TraesCS1B01G441900;TraesCS1A01G259900;TraesCS5D01G434500;TraesCS1A01G213900;TraesCS2D01G493700;TraesCS5B01G014400;TraesCS4B01G174200;TraesCS3A01G323800;TraesCS7B01G031900;TraesCS4A01G207800;TraesCS7A01G470400;TraesCS5D01G216400;TraesCS1D01G013200;TraesCS5D01G412500;TraesCS1A01G122800;TraesCS5D01G357800;TraesCS2B01G114000;TraesCS2A01G255300;TraesCS3B01G304300;TraesCS1A01G051700;TraesCS5B01G103100;TraesCS4A01G130300;TraesCS6A01G124800;TraesCS2A01G155500;TraesCS6D01G363200;TraesCS4A01G075600;TraesCS3B01G141500;TraesCS6A01G266900;TraesCS7D01G321500;TraesCS5D01G157900;TraesCS7B01G333700;TraesCS7D01G380900;TraesCS1B01G311400;TraesCS3A01G050300;TraesCS5D01G321800;TraesCS3D01G104000;TraesCS5A01G380700;TraesCS7B01G356800;TraesCS5A01G321300;TraesCS4A01G043800;TraesCS6A01G171800;TraesCS2B01G130900;TraesCS2A01G211300;TraesCS1D01G130400;TraesCS2A01G250900;TraesCS3A01G109500;TraesCS5B01G428000;TraesCS5A01G206700;TraesCS7D01G261300;TraesCS1B01G356100;TraesCS7A01G392800;TraesCS7D01G041400;TraesCS1A01G070600;TraesCS1B01G314700;TraesCS2A01G421400;TraesCS2B01G175800;TraesCS5A01G534900;TraesCS6A01G311400;TraesCS1D01G185500;TraesCS1A01G049600;TraesCS6D01G122200;TraesCS5D01G329100;TraesCS4B01G220200;TraesCS3A01G049500;TraesCS1D01G372500;TraesCS2A01G081400;TraesCS3B01G038900;TraesCS4D01G176200;TraesCS3D01G343900;TraesCS6B01G256300;TraesCS7D01G430800;TraesCS4D01G223000;TraesCS7D01G388400;TraesCS6B01G145800;TraesCS3D01G317400;TraesCS4A01G102900;TraesCS5B01G184100;TraesCS5B01G188700;TraesCS1A01G430000;TraesCS7D01G248100;TraesCS3A01G101800;TraesCS5B01G430100;TraesCS3B01G148100;TraesCS3D01G048400;TraesCS2A01G548300;TraesCS3A01G272800;TraesCS1A01G342900;TraesCS6B01G238900;TraesCS6B01G385500;TraesCS3B01G524400;TraesCS6D01G191500;TraesCS7A01G387000;TraesCS3A01G261700;TraesCS3B01G289500;TraesCS2D01G394200;TraesCS3A01G217900;TraesCS4A01G098900;TraesCS2A01G516500;TraesCS6D01G307100;TraesCS2B01G452400;TraesCS1A01G215900;TraesCS2B01G511300;TraesCS5A01G400000;TraesCS3D01G341500;TraesCS1D01G036500;TraesCS7B01G271600;TraesCS4D01G269300;TraesCS1D01G338400;TraesCS5D01G111500;TraesCS5A01G321500;TraesCS1B01G242500;TraesCS7A01G053400;TraesCS5D01G281200;TraesCS7B01G228900;TraesCS4D01G202300;TraesCS1D01G184500;TraesCS5D01G210800;TraesCS4B01G059700;TraesCS4D01G316500;TraesCS2D01G374600;TraesCS3A01G285700;TraesCS2A01G217200;TraesCS2D01G248700;TraesCS3A01G101700;TraesCS2D01G509400;TraesCS1D01G094700;TraesCS2A01G211900;TraesCS5D01G142900;TraesCS2D01G534600;TraesCS2B01G504600;TraesCS6D01G191400;TraesCS4B01G068300;TraesCS5A01G156200;TraesCS7D01G417800;TraesCS7B01G030400;TraesCS3D01G412400;TraesCS6B01G136100;TraesCS6B01G152800;TraesCS4B01G264500;TraesCS2A01G508900;TraesCS2B01G220900;TraesCS3A01G056700;TraesCS5D01G159100;TraesCS2B01G266900;TraesCS7A01G091500;TraesCS1A01G257200;TraesCS4A01G391100;TraesCS1D01G081400;TraesCS3A01G021600;TraesCS5A01G147500;TraesCS3D01G432000;TraesCS2B01G435600;TraesCS2D01G066900;TraesCS1D01G101300;TraesCS1D01G082500;TraesCS3A01G110400;TraesCS3A01G135700;TraesCS7A01G364200;TraesCS2A01G371700;TraesCS5A01G320600;TraesCS7B01G225600;TraesCS6B01G358800;TraesCS4D01G180700;TraesCS1B01G430800;TraesCS5D01G097900;TraesCS6D01G258200;TraesCS7B01G301100;TraesCS5A01G467600;TraesCS2D01G419700;TraesCS4D01G032900;TraesCS4A01G221700;TraesCS4D01G168600;TraesCS3B01G110500;TraesCS2A01G462700;TraesCS3B01G310000;TraesCS1A01G048000;TraesCS1B01G456900;TraesCS2D01G509200;TraesCS7B01G029200;TraesCS3D01G193200;TraesCS1B01G062200;TraesCS3B01G290300;TraesCS4D01G203900;TraesCS1B01G119700;TraesCS4D01G052500;TraesCS1A01G103900;TraesCS2D01G201700;TraesCS6B01G257800;TraesCS3A01G351500;TraesCS2D01G534400;TraesCS3B01G486100;TraesCS6A01G168900;TraesCS6B01G423000;TraesCS1D01G344700;TraesCS5B01G202900;TraesCS3D01G045400;TraesCS6B01G266500;TraesCS7A01G400900;TraesCS4B01G228200;TraesCS7A01G434300;TraesCS5B01G042800;TraesCS5D01G343000;TraesCS7B01G273600;TraesCS1D01G330300;TraesCS2B01G100300;TraesCS5B01G208200;TraesCS2A01G308400;TraesCS2D01G379000;TraesCS6B01G152600;TraesCS5D01G436200;TraesCS2B01G220700;TraesCS7D01G351900;TraesCS4A01G081300;TraesCS2B01G323700;TraesCS4B01G231400;TraesCS6D01G158400;TraesCS5A01G361100;TraesCS2D01G076900;TraesCS3B01G119500;TraesCS7A01G328100;TraesCS7D01G114200;TraesCS2B01G067000;TraesCS2D01G485200;TraesCS5D01G073900;TraesCS3D01G266400;TraesCS7D01G394800;TraesCS7A01G174700;TraesCS2D01G418400;TraesCS6B01G169000;TraesCS1A01G015300;TraesCS5A01G351300;TraesCS2A01G532800;TraesCS1D01G101100;TraesCS3D01G256600;TraesCS5D01G152300;TraesCS2A01G031000;TraesCS5D01G177800;TraesCS1A01G235200;TraesCS2D01G511300;TraesCS3B01G151200;TraesCS3A01G479800;TraesCS2A01G098700;TraesCS1D01G372800;TraesCS1D01G206900;TraesCS4D01G126800;TraesCS6B01G415600;TraesCS7A01G419500;TraesCS3B01G013200;TraesCS6D01G397500;TraesCS5A01G377900;TraesCS1A01G203400;TraesCS7D01G053900;TraesCS3A01G247000;TraesCS4B01G216000;TraesCS2D01G273700;TraesCS1A01G333800;TraesCS5A01G237700;TraesCS3B01G359000;TraesCS4A01G267300;TraesCS3D01G276200;TraesCS6B01G183300;TraesCS5D01G145100;TraesCS2A01G217600;TraesCS1B01G385300;TraesCS2B01G216800;TraesCS1B01G456700;TraesCS1A01G145100;TraesCS1A01G149700;TraesCS7A01G479800;TraesCS2B01G114900;TraesCS3B01G587400;TraesCS1A01G088900;TraesCS2A01G203200;TraesCS4D01G159500;TraesCS6D01G247700;TraesCS4D01G172700;TraesCS4D01G312300;TraesCS5D01G452500;TraesCS4A01G455800;TraesCS1D01G216700;TraesCS6B01G295200;TraesCS1B01G283400;TraesCS3A01G530200;TraesCS3B01G361100;TraesCS3B01G388600;TraesCS1B01G120100;TraesCS2A01G214100;TraesCS4A01G363700;TraesCS5D01G436000;TraesCS3B01G384000;TraesCS6D01G032300;TraesCS5A01G138600;TraesCS3A01G463400;TraesCS5D01G304700;TraesCS5A01G249900;TraesCS3B01G238600;TraesCS5D01G373700;TraesCS1A01G312300;TraesCS2B01G562100;TraesCS1A01G031200;TraesCS3B01G248400;TraesCS7A01G537100;TraesCS5B01G236200;TraesCS7B01G222500;TraesCS2A01G347400;TraesCS3A01G262200;TraesCS2A01G368700;TraesCS3B01G272300;TraesCS5D01G386800;TraesCS5B01G509700;TraesCS1B01G270300;TraesCS2B01G521800;TraesCS7A01G096800;TraesCS5D01G179100;TraesCS5B01G069900;TraesCS2A01G083000;TraesCS2A01G532600;TraesCS6D01G210200;TraesCS2D01G517200;TraesCS1D01G367800;TraesCS4D01G222600;TraesCS3D01G286600;TraesCS6D01G258600;TraesCS4D01G046900;TraesCS7D01G175800;TraesCS7A01G154900;TraesCS4A01G186700;TraesCS4A01G083900;TraesCS5D01G564000;TraesCS1D01G312500;TraesCS1B01G248400;TraesCS1D01G439500;TraesCS2B01G241800;TraesCS6B01G367100;TraesCS1B01G097700;TraesCS3D01G056500;TraesCS5A01G136200;TraesCS3A01G054100;TraesCS3D01G182300;TraesCS7B01G079500;TraesCS1D01G073000;TraesCS3D01G367200;TraesCS2D01G284200;TraesCS5B01G056800;TraesCS2D01G380800;TraesCS2D01G207400;TraesCS3A01G325600;TraesCS5A01G160100;TraesCS7B01G253600;TraesCS7D01G227900;TraesCS5A01G092600;TraesCS3B01G218800;TraesCS1D01G067800;TraesCS3A01G034700;TraesCS2B01G244000;TraesCS4B01G041300;TraesCS5B01G457000;TraesCS2B01G366600;TraesCS3D01G097000;TraesCS4A01G407500;TraesCS2B01G085500;TraesCS6D01G330800;TraesCS7B01G141900;TraesCS5B01G366400;TraesCS4A01G081700;TraesCS5A01G409700;TraesCS2D01G055600;TraesCS2A01G311200;TraesCS7B01G222700;TraesCS6D01G280700;TraesCS3D01G262200;TraesCS1A01G325800;TraesCS4B01G294300;TraesCS3D01G046900;TraesCS3A01G323200;TraesCS1A01G228300;TraesCS7A01G129300;TraesCS2D01G574000;TraesCS5A01G428000;TraesCS2D01G062100;TraesCS4D01G217000;TraesCS5D01G158000;TraesCS7D01G129500;TraesCS3B01G354400;TraesCS3B01G344600;TraesCS6D01G159100;TraesCS2B01G594100;TraesCS2A01G220600;TraesCS3B01G585400;TraesCS3D01G124200;TraesCS3D01G313600;TraesCS2B01G364400;TraesCS1A01G301600;TraesCS3A01G102200;TraesCS6A01G116200;TraesCS7D01G444500;TraesCS6B01G192400;TraesCS6A01G223500;TraesCS2A01G285300;TraesCS1B01G305200;TraesCS3D01G356300;TraesCS6A01G352800;TraesCS7D01G457800;TraesCS6A01G375900;TraesCS4B01G132100;TraesCS5B01G064400;TraesCS1A01G016000;TraesCS2D01G380600;TraesCS2A01G485600;TraesCS7A01G325000;TraesCS5D01G268800;TraesCS4A01G431600;TraesCS7B01G220500</t>
  </si>
  <si>
    <t>TraesCS2B01G336000;TraesCS4A01G066200;TraesCS3B01G532300;TraesCS6D01G226700;TraesCS2A01G305900;TraesCS5B01G079100;TraesCS6B01G280000;TraesCS5D01G031800;TraesCS3A01G309800;TraesCS4D01G243100;TraesCS3D01G308100;TraesCS5B01G214500;TraesCS7D01G452600;TraesCS1A01G093800;TraesCS5D01G223800;TraesCS3B01G247500;TraesCS5D01G085800;TraesCS7A01G517100;TraesCS1D01G046000;TraesCS1B01G058600;TraesCS4A01G046700;TraesCS4D01G258000;TraesCS1A01G045300;TraesCS3A01G217200;TraesCS6A01G244400;TraesCS5A01G073000;TraesCS5A01G216000;TraesCS3A01G295000;TraesCS7D01G507300;TraesCS2D01G304300;TraesCS1A01G425400;TraesCS1A01G295300;TraesCS1D01G102400;TraesCS5A01G025400</t>
  </si>
  <si>
    <t>TraesCS2D01G538400;TraesCS5D01G359000;TraesCS4B01G059700;TraesCS2A01G211300;TraesCS2D01G485300;TraesCS5B01G520600;TraesCS2A01G211900;TraesCS5A01G351400;TraesCS7A01G127100;TraesCS6A01G078700;TraesCS2D01G364400;TraesCS2D01G534400;TraesCS1D01G239700;TraesCS2A01G209900;TraesCS2A01G538200;TraesCS2D01G216700;TraesCS2B01G236800;TraesCS7D01G444400;TraesCS2D01G537100;TraesCS4D01G126900;TraesCS1D01G330300;TraesCS5A01G351700;TraesCS6B01G136100;TraesCS1A01G259900;TraesCS4A01G353100;TraesCS5A01G138600;TraesCS1A01G016100;TraesCS2B01G562100;TraesCS3B01G291900;TraesCS3D01G316700;TraesCS5D01G358600;TraesCS7B01G356500;TraesCS4B01G132000;TraesCS2D01G537700;TraesCS4D01G059300;TraesCS2D01G217500;TraesCS2A01G211200;TraesCS2D01G485200;TraesCS4A01G255400;TraesCS4B01G376800;TraesCS1B01G251700;TraesCS5A01G350800;TraesCS3A01G323200;TraesCS1B01G270300;TraesCS6A01G000500;TraesCS5D01G357800;TraesCS2D01G297300;TraesCS2A01G532600;TraesCS3B01G352300;TraesCS5D01G152300;TraesCS1D01G367800;TraesCS5B01G437300;TraesCS2B01G236900;TraesCS7D01G444500;TraesCS2A01G537900;TraesCS7D01G444700;TraesCS2B01G511300;TraesCS4A01G186700;TraesCS4D01G126800;TraesCS5D01G519800;TraesCS5D01G463900;TraesCS5D01G519600;TraesCS7A01G455800;TraesCS1D01G259700;TraesCS4B01G132100;TraesCS1A01G016000;TraesCS4B01G216000;TraesCS7B01G356400;TraesCS2A01G485600;TraesCS3D01G316400;TraesCS7B01G356800;TraesCS7D01G124900</t>
  </si>
  <si>
    <t>TraesCS7B01G241200;TraesCS1A01G428400;TraesCS4A01G089800;TraesCS6B01G284000;TraesCS4D01G215100;TraesCS6A01G240700;TraesCS7A01G412400;TraesCS6D01G222900;TraesCS5B01G445100;TraesCS5B01G445200;TraesCS7A01G392800;TraesCS5D01G173900;TraesCS7D01G305300;TraesCS1B01G463100;TraesCS7B01G208700;TraesCS1D01G437700;TraesCS7A01G308600;TraesCS7B01G294800;TraesCS5B01G166300;TraesCS5D01G169300;TraesCS4B01G318900;TraesCS5A01G169500;TraesCS1D01G074500;TraesCS7D01G501700;TraesCS4B01G214500;TraesCS7A01G512300;TraesCS7B01G423900;TraesCS7D01G388400;TraesCS4D01G315400</t>
  </si>
  <si>
    <t>TraesCS4A01G123100;TraesCS5A01G499900;TraesCS7D01G086900;TraesCS3B01G553900;TraesCS4D01G324800;TraesCS1B01G456700;TraesCS2D01G509400;TraesCS4B01G223400;TraesCS2B01G537800;TraesCS3B01G536200;TraesCS2D01G173900;TraesCS7D01G506900;TraesCS5B01G474500;TraesCS3A01G038300;TraesCS2A01G425800;TraesCS2D01G423700;TraesCS5D01G475900;TraesCS2B01G446100;TraesCS7D01G085800;TraesCS3B01G552700;TraesCS5B01G135100;TraesCS2B01G536600;TraesCS7D01G136700;TraesCS5D01G142800;TraesCS7A01G450400;TraesCS6A01G225300;TraesCS2A01G199700;TraesCS6D01G032300;TraesCS1D01G125800;TraesCS7A01G516900;TraesCS1B01G382600;TraesCS4B01G132800;TraesCS5D01G434500;TraesCS4A01G135100;TraesCS5D01G373700;TraesCS4B01G170000;TraesCS7A01G091500;TraesCS4A01G391100;TraesCS7B01G350200;TraesCS1B01G370900;TraesCS2A01G378900;TraesCS3D01G499700;TraesCS7D01G439800;TraesCS4A01G181400;TraesCS1A01G308700;TraesCS7A01G133200;TraesCS7D01G133400;TraesCS1A01G424200;TraesCS2A01G509900;TraesCS6D01G210200;TraesCS2B01G489700;TraesCS1B01G446400;TraesCS1A01G051700;TraesCS1A01G187400;TraesCS7A01G134000;TraesCS7B01G277900;TraesCS2B01G536500;TraesCS7B01G433000;TraesCS6D01G350800;TraesCS7A01G516800;TraesCS7A01G091400;TraesCS7D01G507000;TraesCS4D01G131100;TraesCS1A01G238800;TraesCS7A01G384500;TraesCS7B01G287100;TraesCS1A01G134000;TraesCS2D01G509200;TraesCS2A01G368600;TraesCS6D01G276900;TraesCS2D01G207400;TraesCS3D01G500000;TraesCS6D01G056600;TraesCS1B01G250900;TraesCS3B01G538300;TraesCS7B01G034000;TraesCS5D01G269400;TraesCS4A01G080600;TraesCS5A01G301700;TraesCS6D01G210100;TraesCS5B01G428400;TraesCS3D01G447600;TraesCS7A01G406100;TraesCS6A01G296700;TraesCS4A01G132300;TraesCS7D01G085600;TraesCSU01G016900;TraesCS3A01G454900;TraesCS5A01G337100;TraesCS5D01G068000;TraesCS5A01G463100;TraesCS7B01G433100;TraesCS2D01G375200;TraesCS1D01G189300;TraesCS1D01G370600;TraesCS1D01G037200;TraesCS3A01G488400;TraesCS3B01G351500;TraesCS6B01G256300;TraesCS6B01G280300;TraesCS7D01G430800;TraesCS6D01G050900;TraesCS7A01G242800;TraesCS5D01G306400;TraesCS7D01G507100;TraesCS6B01G403400;TraesCS7A01G483700;TraesCS4B01G327800;TraesCS5D01G524800;TraesCS3D01G484900;TraesCS1D01G239000;TraesCS4D01G127600;TraesCS6D01G276600;TraesCS6D01G226300;TraesCS2D01G509500;TraesCS5A01G057100;TraesCS7D01G206100;TraesCS3D01G499900;TraesCS2B01G367500;TraesCS6A01G377700;TraesCS5A01G426500;TraesCS4B01G182900;TraesCS3D01G500100;TraesCS3D01G483200;TraesCS4A01G186100;TraesCS5A01G343000;TraesCS5B01G526000;TraesCS7D01G087100;TraesCS7D01G471300;TraesCS2B01G395900;TraesCS1A01G365100;TraesCS2D01G511300;TraesCS5B01G059900;TraesCS4D01G174400;TraesCS7B01G433200;TraesCS4D01G172100;TraesCS4D01G182800;TraesCS3D01G041500;TraesCS6A01G225400;TraesCS5B01G152400;TraesCS6B01G256200;TraesCS7A01G091200;TraesCS5A01G262200;TraesCS7D01G053900;TraesCS1A01G416100;TraesCS5D01G348900;TraesCS4B01G136300;TraesCS5A01G153400;TraesCS2B01G394700;TraesCS5D01G281200</t>
  </si>
  <si>
    <t>TraesCS4A01G125300;TraesCS2A01G097400;TraesCS4D01G180800;TraesCS2D01G460600;TraesCS1B01G478400;TraesCS5A01G314800;TraesCS2B01G109800;TraesCS2D01G093000;TraesCS2B01G109700;TraesCS5D01G321100;TraesCS1D01G451900;TraesCS1A01G443900;TraesCS2A01G094700;TraesCS5B01G181300;TraesCS2A01G094500;TraesCS2B01G482000</t>
  </si>
  <si>
    <t>TraesCS1D01G073100;TraesCS2B01G174500;TraesCS5B01G482400;TraesCS7D01G392800;TraesCS1B01G456700;TraesCS5D01G482800;TraesCS7A01G470400;TraesCS2B01G180500;TraesCS4D01G045300;TraesCS7A01G412400;TraesCS7B01G272900;TraesCS4B01G045400;TraesCS7A01G264500;TraesCS5B01G214500;TraesCS4B01G100100;TraesCS7D01G368000;TraesCS5D01G223800;TraesCS4D01G096400;TraesCS7B01G372400;TraesCS2A01G155500;TraesCS2D01G285300;TraesCS5D01G207400;TraesCS5B01G200000;TraesCS4A01G216100;TraesCS3D01G139300;TraesCS5A01G469800;TraesCS2B01G271700;TraesCS5A01G216000;TraesCS7D01G457800;TraesCS7B01G299200;TraesCS1A01G295300;TraesCS3B01G156600</t>
  </si>
  <si>
    <t>cellular response to lipid</t>
  </si>
  <si>
    <t>TraesCS5A01G424700;TraesCS6A01G209900;TraesCS6A01G278000;TraesCS7D01G353800;TraesCS6D01G039300;TraesCS6A01G201100;TraesCS5B01G426700;TraesCS3D01G308100;TraesCS6B01G238800;TraesCS1B01G219300;TraesCS7D01G106000;TraesCS7B01G372400;TraesCS4B01G222100;TraesCS6D01G193100;TraesCS2D01G285300;TraesCS5D01G207400;TraesCS7B01G259000;TraesCS6B01G383500;TraesCS5B01G200000;TraesCS4B01G335100;TraesCS6B01G306300;TraesCS5D01G183700;TraesCS6D01G332900;TraesCS1D01G074400;TraesCS5B01G262900;TraesCS4A01G081700;TraesCS1A01G205800;TraesCS4D01G267500;TraesCS7A01G110500;TraesCS4D01G141000;TraesCS5A01G505000;TraesCS1B01G164200;TraesCS1D01G349900;TraesCS1A01G423800;TraesCS2B01G367700;TraesCS7D01G548200;TraesCS7D01G229100;TraesCS7B01G008400;TraesCS7A01G470400;TraesCS2B01G180500;TraesCS3A01G124800;TraesCS6D01G257000;TraesCS6D01G333600;TraesCS7A01G412400;TraesCS5D01G433200;TraesCS2B01G605800;TraesCS7B01G194200;TraesCS2A01G121200;TraesCS5D01G244800;TraesCS6B01G238700;TraesCS6D01G252900;TraesCS4A01G174700;TraesCS5B01G426800;TraesCS6A01G210000;TraesCS2D01G123300;TraesCS4D01G222600;TraesCS2A01G155500;TraesCS4B01G142700;TraesCS6B01G383800;TraesCS6D01G258600;TraesCS7B01G102000;TraesCS7D01G146400;TraesCS4A01G277500;TraesCS7D01G243700;TraesCS1D01G074500;TraesCS7A01G561600;TraesCS2B01G271700;TraesCS7D01G457800;TraesCS3A01G295000;TraesCS7A01G369500;TraesCS1D01G144600;TraesCS3A01G299000;TraesCS5A01G237900;TraesCS6A01G272900;TraesCS3B01G490900</t>
  </si>
  <si>
    <t>TraesCS1D01G073100;TraesCS5D01G531600;TraesCS7D01G548200;TraesCS1D01G184900;TraesCS2B01G208900;TraesCS4D01G360300;TraesCS5B01G482400;TraesCS7D01G392800;TraesCS5D01G482800;TraesCS7A01G470400;TraesCS2B01G180500;TraesCS4D01G045300;TraesCS6D01G039300;TraesCS4B01G045400;TraesCS4B01G100100;TraesCS4D01G096400;TraesCS7B01G372400;TraesCS5A01G534900;TraesCS2A01G155500;TraesCS4D01G176300;TraesCS5A01G177800;TraesCS5D01G207400;TraesCS1A01G215600;TraesCS1B01G229100;TraesCS2D01G392800;TraesCS5B01G200000;TraesCS2D01G077300;TraesCS4A01G216100;TraesCS4D01G176200;TraesCS7A01G561600;TraesCS5A01G469800;TraesCS4B01G367200;TraesCS7D01G457800;TraesCS7B01G299200;TraesCS2A01G384100;TraesCS2A01G080000;TraesCS1D01G144600;TraesCS5B01G175100;TraesCS5D01G182100;TraesCS1A01G295300;TraesCS1B01G164200</t>
  </si>
  <si>
    <t>TraesCS1D01G073100;TraesCS2B01G174500;TraesCS7A01G246700;TraesCS7D01G392800;TraesCS4A01G035400;TraesCS7A01G470400;TraesCS7D01G353800;TraesCS2B01G180500;TraesCS4D01G045300;TraesCS7A01G412400;TraesCS4B01G045400;TraesCS7B01G372400;TraesCS2A01G155500;TraesCS2D01G285300;TraesCS5D01G207400;TraesCS7B01G259000;TraesCS7D01G245500;TraesCS5B01G200000;TraesCS2B01G271700;TraesCS7D01G457800;TraesCS7B01G299200;TraesCS7A01G369500;TraesCS7B01G144600;TraesCS5B01G236900;TraesCS4D01G001200;TraesCS4A01G001400</t>
  </si>
  <si>
    <t>TraesCS2B01G208900;TraesCS1D01G398400;TraesCS5B01G482400;TraesCS7D01G392800;TraesCS1B01G456700;TraesCS4A01G035400;TraesCS7D01G353800;TraesCS4D01G238600;TraesCS6D01G039300;TraesCS1A01G275200;TraesCS5B01G214500;TraesCS5D01G223800;TraesCS4D01G264500;TraesCS4D01G096400;TraesCS7B01G372400;TraesCS3B01G361500;TraesCS2D01G285300;TraesCS5D01G207400;TraesCS7B01G259000;TraesCS1A01G215600;TraesCS2D01G392800;TraesCS5B01G200000;TraesCS2D01G077300;TraesCS4A01G216100;TraesCS3D01G139300;TraesCS5A01G469800;TraesCS4B01G237300;TraesCS5A01G216000;TraesCS7B01G316600;TraesCS2A01G080000;TraesCS7A01G110500;TraesCS4D01G001200;TraesCS3B01G156600;TraesCS1A01G389500;TraesCS1D01G073100;TraesCS2B01G174500;TraesCS7D01G548200;TraesCS7B01G008400;TraesCS5D01G482800;TraesCS7A01G470400;TraesCS2B01G180500;TraesCS3B01G310500;TraesCS4D01G045300;TraesCS7A01G412400;TraesCS7B01G272900;TraesCS4B01G045400;TraesCS7A01G264500;TraesCS4B01G100100;TraesCS7D01G368000;TraesCS1D01G119500;TraesCS2A01G155500;TraesCS1B01G229100;TraesCS6A01G116000;TraesCS7A01G561600;TraesCS5B01G392400;TraesCS2B01G271700;TraesCS7D01G457800;TraesCS3D01G276600;TraesCS7B01G299200;TraesCS7A01G369500;TraesCS2A01G384100;TraesCS3A01G276500;TraesCS5B01G236900;TraesCS6D01G104800;TraesCS1A01G295300;TraesCS1D01G274800;TraesCS4A01G001400;TraesCS4A01G043800</t>
  </si>
  <si>
    <t>TraesCS1D01G270500;TraesCS2D01G460600;TraesCS3A01G050700;TraesCS2A01G303200;TraesCS6D01G393600;TraesCS1A01G413400;TraesCS6A01G240700;TraesCS2A01G343900;TraesCS4D01G232700;TraesCS7B01G346600;TraesCS2B01G109700;TraesCS1A01G275200;TraesCS5B01G445100;TraesCS2A01G389900;TraesCS3B01G455000;TraesCS6B01G169700;TraesCS4B01G049100;TraesCS3B01G415900;TraesCS7A01G012000;TraesCS3A01G097800;TraesCS3A01G400000;TraesCS1A01G217300;TraesCS1B01G363100;TraesCS5A01G177800;TraesCS5A01G058100;TraesCS5A01G205000;TraesCS4B01G318900;TraesCS6D01G130800;TraesCS4B01G335100;TraesCS5A01G314800;TraesCS2B01G198100;TraesCS5D01G031500;TraesCS3B01G485900;TraesCS4B01G235400;TraesCS6B01G258400;TraesCS2B01G350500;TraesCS7B01G274100;TraesCS3D01G050100;TraesCS6B01G422900;TraesCS3D01G278000;TraesCS2A01G292000;TraesCS3B01G194400;TraesCS4D01G150300;TraesCS5A01G403300;TraesCS1D01G111900;TraesCS4D01G045300;TraesCS6D01G369400;TraesCS6A01G080600;TraesCS2A01G285900;TraesCS4B01G054900;TraesCS4A01G419400;TraesCS2B01G393000;TraesCS7D01G305300;TraesCS7B01G208700;TraesCS2A01G396200;TraesCS4A01G262600;TraesCS3B01G126400;TraesCS3B01G311900;TraesCS1D01G074500;TraesCS7D01G501700;TraesCS7D01G235000;TraesCS2A01G384100;TraesCS4A01G251600;TraesCS2D01G598500;TraesCS3A01G163300;TraesCS4B01G124800;TraesCS1D01G238900;TraesCS4B01G225500;TraesCS3A01G107600;TraesCS1D01G346200;TraesCS3D01G285700;TraesCS1B01G089000;TraesCS4A01G089700;TraesCS5A01G071500;TraesCS1D01G188500;TraesCS6A01G216800;TraesCS7A01G075600;TraesCS3B01G113500;TraesCS2B01G189300;TraesCS4D01G035200;TraesCS1D01G420900;TraesCS6B01G108100;TraesCS5A01G209800;TraesCS2B01G339600;TraesCS3B01G319600;TraesCS5B01G468400;TraesCS1D01G074600;TraesCS5D01G183700;TraesCS1D01G039500;TraesCS1D01G123700;TraesCS4B01G178600;TraesCS7B01G161100;TraesCS4B01G214600;TraesCS2B01G336000;TraesCS7D01G334900;TraesCS1D01G004400;TraesCS4A01G089800;TraesCS5B01G207900;TraesCS4D01G215100;TraesCS3D01G432600;TraesCS2B01G109800;TraesCS6B01G246000;TraesCS6B01G280000;TraesCS5B01G339100;TraesCS6D01G222900;TraesCS2B01G605800;TraesCS3D01G192800;TraesCS1B01G461600;TraesCS2A01G121200;TraesCS3A01G439800;TraesCS6B01G207000;TraesCS7D01G395100;TraesCS2B01G303200;TraesCS5B01G445200;TraesCS6B01G423900;TraesCS5D01G173900;TraesCS1A01G344000;TraesCS6D01G166600;TraesCS4B01G261800;TraesCS4B01G214500;TraesCS1B01G162400;TraesCS3A01G077000;TraesCS3A01G310400;TraesCS5A01G051800;TraesCS3A01G266300;TraesCS2D01G382500;TraesCS4D01G055000;TraesCS4B01G174100;TraesCS4D01G183100;TraesCS7A01G187000;TraesCS1D01G163400;TraesCS7D01G523800;TraesCS5A01G131300;TraesCS5B01G419200;TraesCS3D01G378700;TraesCS5A01G341000;TraesCS5D01G309700;TraesCS7A01G031700;TraesCS1D01G327200;TraesCS4D01G096400;TraesCS2A01G516800;TraesCS7B01G294800;TraesCS4A01G122800;TraesCS6A01G359900;TraesCS5A01G186000;TraesCS3A01G385600;TraesCS1B01G441900;TraesCS7A01G342100;TraesCS2D01G279500;TraesCS4D01G059100;TraesCS5D01G424600;TraesCS2B01G174500;TraesCS6D01G083200;TraesCS4D01G261400;TraesCS7A01G470400;TraesCS6B01G175200;TraesCS7A01G263300;TraesCS7D01G351000;TraesCS5B01G155700;TraesCS4B01G059400;TraesCS1D01G419400;TraesCS7A01G264500;TraesCS3D01G036100;TraesCS4A01G042700;TraesCS5A01G269300;TraesCS6A01G277800;TraesCS6B01G331600;TraesCS7A01G167300;TraesCS1B01G229100;TraesCS5D01G104900;TraesCS4A01G075600;TraesCS2B01G381600;TraesCS5B01G372500;TraesCS5D01G379700;TraesCS5A01G375000;TraesCS6D01G104800;TraesCS2D01G231100;TraesCS4A01G043800;TraesCS6A01G167300;TraesCS1A01G329500;TraesCS1A01G375800;TraesCS7B01G107300;TraesCS3A01G050500;TraesCS2A01G414700;TraesCS5A01G424300;TraesCS6D01G039300;TraesCS5B01G152600;TraesCS6A01G157500;TraesCS7A01G392800;TraesCS2A01G094700;TraesCS4A01G203300;TraesCS3A01G355700;TraesCS1D01G351500;TraesCS7D01G188100;TraesCS3B01G357200;TraesCS4D01G180800;TraesCS5B01G408100;TraesCS5A01G100300;TraesCS1D01G219100;TraesCS1B01G195800;TraesCS4B01G220200;TraesCS5B01G244300;TraesCS6A01G073300;TraesCS3A01G146800;TraesCS6D01G074300;TraesCS7D01G388400;TraesCS5A01G505000;TraesCS2B01G482000;TraesCS1D01G236900;TraesCS5B01G184100;TraesCS1A01G411600;TraesCS2A01G548300;TraesCS7D01G523900;TraesCS1B01G304800;TraesCS7A01G387000;TraesCS2A01G396400;TraesCS2A01G516500;TraesCS1D01G148000;TraesCS7D01G188000;TraesCS6B01G258500;TraesCS2B01G302400;TraesCS7D01G063900;TraesCS3A01G285700;TraesCS2D01G301100;TraesCS5D01G422000;TraesCS6A01G177700;TraesCS2A01G382700;TraesCS1D01G094700;TraesCS5D01G277500;TraesCS5D01G216100;TraesCS1A01G122500;TraesCS4B01G263300;TraesCS3A01G110300;TraesCS5D01G062900;TraesCS6A01G141500;TraesCS2A01G094500;TraesCS7D01G435100;TraesCS4B01G068300;TraesCS5A01G156200;TraesCS4B01G037800;TraesCS1A01G406200;TraesCS1D01G437700;TraesCS5B01G166300;TraesCS2A01G291700;TraesCS6D01G258300;TraesCS7A01G339100;TraesCS6A01G244400;TraesCS4B01G264500;TraesCS7A01G512300;TraesCS3B01G128000;TraesCS5B01G262900;TraesCS7B01G423900;TraesCS2A01G508900;TraesCS5D01G159100;TraesCS5D01G048600;TraesCS5D01G413300;TraesCS4D01G315400;TraesCS7A01G235000;TraesCS7A01G537500;TraesCS7D01G346400;TraesCS1D01G216200;TraesCS4A01G091000;TraesCS6B01G284000;TraesCS4B01G149400;TraesCS3A01G124800;TraesCS4B01G045400;TraesCS4D01G272500;TraesCS1D01G101300;TraesCS6D01G239700;TraesCS4B01G100100;TraesCS1D01G451900;TraesCS6D01G342800;TraesCS5A01G320600;TraesCS7A01G308600;TraesCS4B01G037900;TraesCS4D01G176100;TraesCS5A01G169500;TraesCS7A01G537600;TraesCS4D01G032900;TraesCS2B01G333600;TraesCS1A01G213400;TraesCS7D01G449700;TraesCS7D01G506300;TraesCS7D01G311200;TraesCS5A01G182400;TraesCS3A01G189300;TraesCS7D01G071200;TraesCS3D01G308100;TraesCS3D01G441900;TraesCS6A01G302400;TraesCS4D01G052500;TraesCS2D01G039500;TraesCS6D01G212400;TraesCS4A01G130400;TraesCS6B01G127300;TraesCS7B01G372400;TraesCS7A01G186900;TraesCS7D01G383600;TraesCS4B01G062800;TraesCS2A01G291900;TraesCS1D01G414600;TraesCS1A01G215600;TraesCS5B01G042800;TraesCS2B01G308200;TraesCS4A01G216100;TraesCS5D01G163400;TraesCS2D01G379000;TraesCS5D01G027600;TraesCS5D01G321100;TraesCS7A01G344600;TraesCS4B01G231400;TraesCS7D01G300200;TraesCS1B01G168600;TraesCSU01G249900;TraesCS2D01G076900;TraesCS3A01G044800;TraesCS5B01G327800;TraesCS6D01G226700;TraesCS3D01G266400;TraesCS7B01G214900;TraesCS3B01G278200;TraesCS2D01G093000;TraesCS6A01G209600;TraesCS2D01G284700;TraesCS4D01G236800;TraesCS4A01G027800;TraesCS1B01G463100;TraesCS1A01G235200;TraesCS7B01G133200;TraesCS7D01G488800;TraesCS6A01G187300;TraesCS7B01G250400;TraesCS3B01G013200;TraesCS5B01G133500;TraesCS3A01G249300;TraesCS5B01G175100;TraesCS2D01G273700;TraesCS2D01G322200;TraesCS3D01G285500;TraesCS5D01G069700;TraesCS4B01G273500;TraesCS4A01G068400;TraesCS4D01G104100;TraesCS6D01G255200;TraesCS5B01G373000;TraesCS5D01G346200;TraesCS1A01G145100;TraesCS6A01G306800;TraesCS3D01G502500;TraesCS7A01G092300;TraesCS1A01G443900;TraesCS7B01G301400;TraesCS1A01G072200;TraesCS5D01G169300;TraesCS6D01G225800;TraesCS3D01G324400;TraesCS7B01G254900;TraesCS7D01G350500;TraesCS1A01G112400;TraesCS5B01G225200;TraesCS4A01G059800;TraesCS4D01G242100;TraesCS4D01G296400;TraesCS3D01G077200;TraesCS4D01G263500;TraesCS4A01G125300;TraesCS2A01G097400;TraesCS7D01G548200;TraesCS3B01G100600;TraesCS1A01G428400;TraesCS7A01G412400;TraesCS2B01G414500;TraesCS7B01G362900;TraesCS5B01G181300;TraesCS2D01G517200;TraesCS6B01G335400;TraesCS6A01G258500;TraesCS5D01G139800;TraesCS2A01G407900;TraesCS2B01G400000;TraesCS6A01G116000;TraesCS5D01G031200;TraesCS1B01G048500;TraesCS7D01G054000;TraesCS2A01G302400;TraesCS4A01G083900;TraesCS1B01G250600;TraesCS1B01G248400;TraesCS2A01G386000;TraesCS1D01G274800;TraesCS4A01G009400;TraesCS1D01G073000;TraesCS7A01G225800;TraesCS2A01G041100;TraesCS3B01G423200;TraesCS5A01G160100;TraesCS5A01G092600;TraesCS1D01G067800;TraesCS5B01G065400;TraesCS4D01G264500;TraesCS1B01G226800;TraesCS2B01G341400;TraesCS2D01G285300;TraesCS7D01G167900;TraesCS4B01G194900;TraesCS3B01G334900;TraesCS4B01G052300;TraesCS1B01G478400;TraesCS2D01G392800;TraesCS2D01G075200;TraesCS1A01G066800;TraesCS3A01G419600;TraesCS5D01G182100;TraesCS4A01G431500;TraesCS7B01G222700;TraesCS5D01G432800;TraesCS6D01G198700;TraesCS7A01G059500;TraesCS7B01G241200;TraesCS6D01G232300;TraesCS1D01G333500;TraesCS2D01G393900;TraesCS3D01G300200;TraesCS4A01G255600;TraesCS1A01G188000;TraesCS3D01G136300;TraesCS6B01G392700;TraesCS2B01G187300;TraesCS6D01G159100;TraesCS4D01G220500;TraesCS2D01G123300;TraesCS6D01G281900;TraesCS7D01G203800;TraesCS7D01G364900;TraesCS6B01G098300;TraesCS1B01G048300;TraesCS7A01G561600;TraesCS7A01G069300;TraesCS1D01G123400;TraesCS7D01G457800;TraesCS3A01G295000;TraesCS6B01G105800;TraesCS4A01G221500;TraesCS2B01G595300;TraesCS1A01G295300;TraesCS5B01G180400;TraesCS2B01G260500;TraesCS1B01G204700;TraesCS4A01G431600;TraesCS3B01G280000</t>
  </si>
  <si>
    <t>TraesCS2B01G208900;TraesCS6D01G393600;TraesCS5B01G482400;TraesCS7A01G246700;TraesCS7D01G392800;TraesCS6D01G039300;TraesCS5A01G204800;TraesCS3B01G304600;TraesCS4D01G096400;TraesCS7B01G372400;TraesCS2B01G530300;TraesCS2D01G285300;TraesCS6B01G222200;TraesCS7D01G245500;TraesCS2D01G392800;TraesCS4A01G216100;TraesCS5D01G183700;TraesCS5A01G469800;TraesCS5D01G104200;TraesCS3D01G524700;TraesCS2B01G336000;TraesCS7D01G548200;TraesCS5D01G482800;TraesCS7A01G470400;TraesCS2B01G180500;TraesCS4D01G045300;TraesCS2B01G605800;TraesCS4B01G045400;TraesCS7A01G264500;TraesCS5B01G097600;TraesCS4B01G100100;TraesCS6D01G252900;TraesCS2A01G551000;TraesCS2A01G155500;TraesCS1D01G108300;TraesCS1D01G074500;TraesCS6D01G180400;TraesCS2B01G127700;TraesCS7A01G561600;TraesCS5A01G266400;TraesCS7D01G457800;TraesCS7B01G299200;TraesCS2A01G384100;TraesCS2D01G552100;TraesCS3A01G517100;TraesCS7B01G144600;TraesCS2D01G598500;TraesCS5A01G329100;TraesCS1A01G295300;TraesCS6A01G272900</t>
  </si>
  <si>
    <t>response to fungus</t>
  </si>
  <si>
    <t>TraesCS1A01G217300;TraesCS2A01G323300;TraesCS4B01G333800;TraesCS5B01G408100;TraesCS2B01G275100;TraesCS1D01G219100;TraesCS5A01G205000;TraesCS1B01G230500;TraesCS2A01G225200;TraesCS2D01G339600;TraesCS4A01G250800;TraesCS5D01G413300;TraesCS7B01G247500;TraesCS1A01G291800;TraesCS1D01G069800;TraesCS2B01G359300;TraesCS4D01G330000;TraesCS2D01G231100</t>
  </si>
  <si>
    <t>TraesCS7B01G241200;TraesCS1A01G428400;TraesCS4A01G089800;TraesCS6B01G284000;TraesCS4D01G215100;TraesCS6A01G240700;TraesCS7A01G412400;TraesCS6D01G222900;TraesCS5B01G445100;TraesCS5B01G445200;TraesCS7A01G392800;TraesCS5D01G173900;TraesCS7D01G305300;TraesCS1B01G463100;TraesCS7B01G208700;TraesCS1D01G437700;TraesCS7A01G308600;TraesCS7B01G294800;TraesCS5B01G166300;TraesCS4B01G318900;TraesCS5A01G169500;TraesCS7D01G501700;TraesCS4B01G214500;TraesCS7A01G512300;TraesCS7B01G423900;TraesCS7D01G388400;TraesCS4D01G315400</t>
  </si>
  <si>
    <t>TraesCS2B01G367700;TraesCS7D01G548200;TraesCS2B01G208900;TraesCS4A01G089700;TraesCS6D01G393600;TraesCS4D01G215200;TraesCS4D01G045300;TraesCS6D01G039300;TraesCS3A01G309800;TraesCS4B01G045400;TraesCS1A01G093800;TraesCS4B01G100100;TraesCS4A01G174700;TraesCS4D01G096400;TraesCS4B01G142700;TraesCS5B01G307300;TraesCS5D01G169300;TraesCS6A01G116000;TraesCS2D01G392800;TraesCS4A01G216100;TraesCS7A01G561600;TraesCS2A01G384100;TraesCS4D01G141000;TraesCS6D01G104800;TraesCS1A01G295300;TraesCS1D01G102400</t>
  </si>
  <si>
    <t>response to organonitrogen compound</t>
  </si>
  <si>
    <t>TraesCS1D01G073000;TraesCS1D01G184500;TraesCS1D01G270500;TraesCS1A01G329500;TraesCS1B01G089000;TraesCS2A01G382700;TraesCS7B01G253600;TraesCS4D01G232700;TraesCS2B01G414800;TraesCS3D01G441900;TraesCS4D01G052500;TraesCS4D01G159500;TraesCS3D01G378700;TraesCS7A01G392800;TraesCS4A01G159700;TraesCS5B01G407300;TraesCS3B01G486100;TraesCS4D01G264500;TraesCS2A01G421400;TraesCS7B01G372400;TraesCS7D01G383600;TraesCS2A01G516800;TraesCS4B01G222100;TraesCS7B01G294800;TraesCS1A01G072200;TraesCS3D01G104500;TraesCS1A01G181000;TraesCS3B01G141600;TraesCS4B01G052300;TraesCS2B01G440400;TraesCS3D01G435900;TraesCS5A01G186000;TraesCS1D01G074600;TraesCS3A01G385600;TraesCS3B01G485900;TraesCS4B01G264500;TraesCS2D01G379000;TraesCS4A01G081700;TraesCS7B01G274100;TraesCS7D01G388400;TraesCS4A01G431500;TraesCS4B01G231400;TraesCS3D01G442100;TraesCSU01G249900;TraesCS2D01G076900;TraesCS7A01G059500;TraesCS3B01G100600;TraesCS5B01G184100;TraesCS7A01G470400;TraesCS2D01G418400;TraesCS5D01G412500;TraesCS2D01G139200;TraesCS3A01G443500;TraesCS3A01G449400;TraesCS7A01G387000;TraesCS4D01G222600;TraesCS2A01G396400;TraesCS2D01G394200;TraesCS3A01G102200;TraesCS4A01G262600;TraesCS2A01G516500;TraesCS2B01G400000;TraesCS4A01G075600;TraesCS5A01G400000;TraesCS7D01G054000;TraesCS3B01G477100;TraesCS6D01G397500;TraesCS7D01G457800;TraesCS5A01G375000;TraesCS2D01G273700;TraesCS4B01G124800;TraesCS4A01G431600;TraesCS4A01G043800;TraesCS5B01G404800</t>
  </si>
  <si>
    <t>vitamin binding</t>
  </si>
  <si>
    <t>TraesCS1D01G184500;TraesCS1D01G270500;TraesCS2D01G374600;TraesCS2D01G460600;TraesCS2D01G248700;TraesCS2A01G382700;TraesCS5D01G277500;TraesCS6D01G335600;TraesCS4D01G232700;TraesCS3B01G574600;TraesCS1A01G122500;TraesCS2B01G414800;TraesCS3A01G330600;TraesCS7A01G125600;TraesCS4A01G159700;TraesCS2A01G482200;TraesCS7A01G012000;TraesCS3A01G481000;TraesCS3A01G349900;TraesCS7B01G024500;TraesCS3D01G104500;TraesCS5A01G261400;TraesCS6D01G258300;TraesCS2B01G440400;TraesCS5A01G314800;TraesCS7A01G339100;TraesCS4B01G264500;TraesCS3B01G128000;TraesCS2A01G508900;TraesCS7B01G274100;TraesCS7D01G346400;TraesCS5D01G168400;TraesCS1D01G111900;TraesCS5B01G069500;TraesCS1D01G451900;TraesCS2D01G467700;TraesCS3D01G514300;TraesCS3A01G449400;TraesCS2A01G467700;TraesCS2D01G264400;TraesCS7D01G492800;TraesCS4A01G262600;TraesCS2D01G506600;TraesCS5A01G205700;TraesCS2B01G127700;TraesCS4B01G124800;TraesCS4D01G206300;TraesCS1B01G456900;TraesCS3D01G285700;TraesCS3D01G514400;TraesCS1D01G134600;TraesCS1B01G089000;TraesCS4D01G052500;TraesCS5B01G407300;TraesCS3B01G486100;TraesCS6B01G423000;TraesCS7B01G372400;TraesCS7D01G383600;TraesCS4B01G222100;TraesCS1A01G181000;TraesCS2D01G151500;TraesCS7A01G505300;TraesCS3D01G435900;TraesCS7B01G273600;TraesCS7D01G150500;TraesCS1D01G074600;TraesCS2D01G379000;TraesCS4B01G178600;TraesCS5D01G436200;TraesCS5D01G321100;TraesCS7D01G351900;TraesCS4A01G081300;TraesCS6D01G328200;TraesCS4B01G231400;TraesCS3B01G353000;TraesCSU01G249900;TraesCS5A01G361100;TraesCS2D01G076900;TraesCS2A01G177200;TraesCS2A01G481400;TraesCS3D01G266400;TraesCS6A01G209600;TraesCS7A01G174700;TraesCS2D01G418400;TraesCS7B01G311600;TraesCS3A01G443500;TraesCS4A01G080300;TraesCS6B01G423100;TraesCS4B01G366800;TraesCS7B01G250400;TraesCS7A01G505200;TraesCS6D01G397500;TraesCS4D01G269700;TraesCS3A01G266300;TraesCS2D01G273700;TraesCS6A01G383800;TraesCS7D01G122600;TraesCS5B01G404800;TraesCS7B01G052700;TraesCS6D01G255200;TraesCS2D01G500300;TraesCS2A01G505800;TraesCS2A01G203200;TraesCS4D01G159500;TraesCS3D01G378700;TraesCS1A01G443900;TraesCS5B01G160700;TraesCS7D01G368700;TraesCS2A01G516800;TraesCS2B01G230300;TraesCS7B01G294800;TraesCS1A01G072200;TraesCS3B01G141600;TraesCS5D01G436000;TraesCS7D01G175900;TraesCS5A01G186000;TraesCS3A01G385600;TraesCS2A01G174100;TraesCS3D01G077200;TraesCS3D01G442100;TraesCS7A01G537100;TraesCS7B01G079400;TraesCS3A01G323800;TraesCS7B01G052600;TraesCS3B01G360600;TraesCS3B01G100600;TraesCS2D01G481600;TraesCS7A01G470400;TraesCS7A01G412400;TraesCS5D01G412500;TraesCS3A01G280500;TraesCS5A01G269300;TraesCS5B01G103100;TraesCS5D01G370100;TraesCS6A01G277800;TraesCS4D01G222600;TraesCS6D01G258600;TraesCS2B01G400000;TraesCS4A01G075600;TraesCS7D01G175800;TraesCS2B01G381600;TraesCS6B01G302400;TraesCS7D01G054000;TraesCS3B01G477100;TraesCS5A01G375000;TraesCS1A01G312400;TraesCS6A01G381700;TraesCS1D01G198500;TraesCS4A01G043800;TraesCS7B01G079500;TraesCS1D01G073000;TraesCS3D01G367200;TraesCS1A01G329500;TraesCS5D01G210600;TraesCS2A01G250900;TraesCS3A01G109500;TraesCS7B01G476100;TraesCS7B01G253600;TraesCS6A01G157500;TraesCS1D01G067800;TraesCS1A01G424100;TraesCS7A01G392800;TraesCS4D01G264500;TraesCS2A01G421400;TraesCS7A01G354000;TraesCS3B01G357200;TraesCS5B01G363800;TraesCS1A01G418900;TraesCS4B01G052300;TraesCS7D01G314200;TraesCS1B01G478400;TraesCS2B01G085500;TraesCS4B01G222500;TraesCS3D01G343900;TraesCS6A01G353200;TraesCS1A01G066800;TraesCS7D01G176000;TraesCS3A01G146800;TraesCS4A01G081700;TraesCS1D01G312600;TraesCS4D01G223000;TraesCS7D01G388400;TraesCS4A01G431500;TraesCS3D01G310200;TraesCS2A01G311200;TraesCS2B01G482000;TraesCS7A01G059500;TraesCS2A01G586100;TraesCS3D01G317400;TraesCS5B01G184100;TraesCS6D01G366400;TraesCS5B01G430100;TraesCS5A01G428000;TraesCS2D01G139200;TraesCS3B01G344600;TraesCS7A01G387000;TraesCS2A01G396400;TraesCS2D01G394200;TraesCS3A01G102200;TraesCS4A01G098900;TraesCS2A01G516500;TraesCS5A01G400000;TraesCS5A01G097600;TraesCS2D01G482200;TraesCS4B01G205400;TraesCS4D01G269300;TraesCS1D01G123400;TraesCS7D01G457800;TraesCS4A01G059900;TraesCS7A01G317500;TraesCS7A01G149000;TraesCS6D01G368800;TraesCS5D01G268800;TraesCS4A01G431600</t>
  </si>
  <si>
    <t>TraesCS2B01G208900;TraesCS5B01G482400;TraesCS7A01G246700;TraesCS7D01G392800;TraesCS5D01G482800;TraesCS7A01G470400;TraesCS2B01G180500;TraesCS4D01G238600;TraesCS4D01G326400;TraesCS6D01G039300;TraesCS6D01G257000;TraesCS4B01G100100;TraesCS2B01G189300;TraesCS4D01G264500;TraesCS4D01G096400;TraesCS7B01G372400;TraesCS2A01G155500;TraesCS7D01G245500;TraesCS2D01G392800;TraesCS4A01G216100;TraesCS5D01G183700;TraesCS5A01G469800;TraesCS5B01G392400;TraesCS4B01G237300;TraesCS7D01G457800;TraesCS7B01G299200;TraesCS2A01G384100;TraesCS7B01G144600;TraesCS1A01G295300;TraesCS4D01G315400;TraesCS4A01G043800</t>
  </si>
  <si>
    <t>systemic acquired resistance</t>
  </si>
  <si>
    <t>TraesCS6D01G393600;TraesCS5A01G118600;TraesCS2B01G449100;TraesCS6A01G032500;TraesCS7D01G343800;TraesCS3B01G413600;TraesCS7A01G188600;TraesCS4D01G058400;TraesCS3D01G279100;TraesCS6B01G052400;TraesCS7D01G328400;TraesCS6D01G275100;TraesCS2B01G177500;TraesCS1B01G197900;TraesCS4A01G145300;TraesCS3A01G217200;TraesCS5A01G188700;TraesCS2D01G554900;TraesCS7D01G145500;TraesCS1D01G130300;TraesCS2B01G451400;TraesCS5B01G526200;TraesCS4D01G196500;TraesCS7A01G288200;TraesCS5D01G109500;TraesCS7A01G130600;TraesCS7A01G517100;TraesCS2B01G393000;TraesCS3B01G562400;TraesCS5D01G362200;TraesCS2A01G396200;TraesCS5B01G135200;TraesCS6B01G113900;TraesCS7B01G187600;TraesCS2A01G537900;TraesCS5A01G402100;TraesCS3A01G383600;TraesCS2B01G266000;TraesCS5D01G463100;TraesCS6B01G145700;TraesCS1A01G425400;TraesCS3A01G507500;TraesCS3D01G316400;TraesCS1A01G343000;TraesCS4A01G110200;TraesCS6B01G407500;TraesCS3B01G469600;TraesCS5B01G033400;TraesCS5D01G237800;TraesCS3B01G304000;TraesCS3D01G411800;TraesCS5A01G359800;TraesCS5B01G117600;TraesCS4B01G052700;TraesCS3B01G023700;TraesCS6A01G361100;TraesCS4B01G222100;TraesCS1B01G174600;TraesCS3B01G298700;TraesCS2A01G132100;TraesCS2A01G302300;TraesCS6D01G265500;TraesCS2B01G117400;TraesCS4A01G062000;TraesCS6A01G056500;TraesCS6D01G095700;TraesCS1D01G335400;TraesCS3D01G246000;TraesCS3D01G250500;TraesCS6A01G000500;TraesCS4A01G115700;TraesCS4B01G106000;TraesCS5B01G526000;TraesCS2D01G264200;TraesCS2A01G367700;TraesCS3A01G255300;TraesCS3B01G401600;TraesCS7B01G299200;TraesCS2A01G248300;TraesCS5D01G201400;TraesCS7D01G080700;TraesCS4D01G319100;TraesCS1D01G345200;TraesCS3A01G245500;TraesCS5B01G217000;TraesCS5B01G404800;TraesCS6D01G037200;TraesCS7A01G118900;TraesCS3B01G465200;TraesCS5B01G188600;TraesCS7A01G502900;TraesCS7D01G392800;TraesCS1D01G149100;TraesCS2B01G485600;TraesCS3B01G132900;TraesCS7A01G480100;TraesCS6D01G344600;TraesCS5D01G133800;TraesCS5A01G003100;TraesCS5D01G402100;TraesCS6A01G359900;TraesCS3A01G257500;TraesCS5A01G409100;TraesCS1A01G280400;TraesCS4A01G049200;TraesCS5A01G354300;TraesCS7D01G507300;TraesCS2B01G593500;TraesCS4D01G229700;TraesCS1B01G091900;TraesCS4B01G015500;TraesCS3A01G363100;TraesCS2B01G242200;TraesCS5A01G437800;TraesCS5A01G521500;TraesCS1B01G195900;TraesCS7B01G187200;TraesCS7A01G553000;TraesCS1D01G382400;TraesCS6B01G163100;TraesCS7A01G312800;TraesCS1A01G265200;TraesCS7D01G278900;TraesCS7A01G356600;TraesCS7B01G410300;TraesCS2B01G345300;TraesCS2B01G536500;TraesCS6D01G122100;TraesCS2D01G396700;TraesCS5D01G519400;TraesCS7D01G178400;TraesCS1A01G035100;TraesCS1A01G071800;TraesCS3D01G257500;TraesCS5D01G063800;TraesCS4B01G174300;TraesCS7B01G260800;TraesCS5D01G228500;TraesCS7A01G409900;TraesCS4A01G412500;TraesCS5A01G229700;TraesCS5B01G465300;TraesCS1A01G304200;TraesCS5B01G117200;TraesCS1A01G153600;TraesCS5D01G031800;TraesCS4D01G312900;TraesCS5B01G128100;TraesCS3D01G447600;TraesCS5A01G494800;TraesCS7B01G395000;TraesCS1D01G292600;TraesCS1A01G248700;TraesCS3B01G164700;TraesCS3B01G160100;TraesCS7D01G150900;TraesCS6B01G199700;TraesCS7D01G318000;TraesCS2B01G245900;TraesCS5B01G150200;TraesCS3B01G291900;TraesCS2D01G304300;TraesCS3A01G129000;TraesCS2A01G047300;TraesCS1D01G186500;TraesCS6D01G146500;TraesCS1D01G083900;TraesCS7D01G055700;TraesCS5B01G371200;TraesCS6B01G456500;TraesCS2A01G431100;TraesCS4B01G200500;TraesCS6B01G173100;TraesCS3B01G287200;TraesCS1B01G356200;TraesCS2A01G188700;TraesCS7D01G471300;TraesCS3D01G376700;TraesCS5A01G190400;TraesCS3B01G416000;TraesCS4D01G176300;TraesCS7D01G310300;TraesCS4B01G142700;TraesCS1A01G183000;TraesCS6A01G294200;TraesCS1A01G150100;TraesCS5D01G215400;TraesCS2A01G490500;TraesCS5A01G016200;TraesCS5B01G155900;TraesCS2B01G141900;TraesCS2D01G200300;TraesCS4D01G294600;TraesCS5B01G215900;TraesCS1B01G001800;TraesCS7D01G355100;TraesCS5B01G520200;TraesCS5D01G445000;TraesCS2B01G208900;TraesCS2A01G343100;TraesCS7D01G114100;TraesCS6A01G177700;TraesCS3A01G120100;TraesCS7D01G449500;TraesCS5A01G182600;TraesCS2B01G218700;TraesCS6D01G331800;TraesCS4B01G057400;TraesCS5A01G143000;TraesCS3D01G313900;TraesCS4A01G384900;TraesCS3B01G451200;TraesCS2B01G060900;TraesCS7D01G435100;TraesCS5D01G378200;TraesCS7D01G309200;TraesCS7B01G347000;TraesCS2D01G451100;TraesCS6D01G258300;TraesCS2A01G153700;TraesCS4B01G203000;TraesCS5D01G039900;TraesCS4D01G303300;TraesCS6A01G406700;TraesCS4D01G141000;TraesCS3B01G213600;TraesCS5B01G031800;TraesCS1D01G216200;TraesCS4A01G091000;TraesCS3B01G383400;TraesCS1B01G395400;TraesCS6D01G085100;TraesCS6B01G284000;TraesCS4A01G404500;TraesCS4D01G326400;TraesCS3B01G442700;TraesCS1A01G361100;TraesCS3A01G492900;TraesCS4B01G347800;TraesCS4B01G322700;TraesCS5D01G085800;TraesCS2A01G463900;TraesCS5A01G144100;TraesCS6D01G359100;TraesCS4D01G342700;TraesCS5A01G366700;TraesCS2B01G169300;TraesCS4A01G009000;TraesCS4D01G124700;TraesCS3B01G290000;TraesCS4B01G044300;TraesCS1A01G257300;TraesCS4A01G269800;TraesCS6A01G083200;TraesCS3B01G119600;TraesCS6B01G269900;TraesCS7D01G189700;TraesCS4D01G360300;TraesCS4A01G072700;TraesCS4D01G125800;TraesCS4D01G201600;TraesCSU01G003600;TraesCS7D01G452600;TraesCS7D01G263200;TraesCS6D01G210100;TraesCS2A01G209500;TraesCS7A01G406100;TraesCS1A01G332800;TraesCS5D01G418900;TraesCS6A01G107800;TraesCS2D01G157600;TraesCS1D01G265400;TraesCS3A01G380900;TraesCS4B01G243500;TraesCS3A01G362500;TraesCS6A01G059100;TraesCS4D01G271200;TraesCS4B01G023600;TraesCS3B01G156800;TraesCS3A01G377500;TraesCS5A01G235400;TraesCS4A01G045100;TraesCS1B01G288300;TraesCS5B01G337600;TraesCS6D01G226700;TraesCS4B01G096700;TraesCS3B01G300300;TraesCS1B01G324000;TraesCS7D01G265400;TraesCS6D01G237600;TraesCS4D01G352700;TraesCS1A01G047000;TraesCS4D01G147600;TraesCS1D01G034600;TraesCS6D01G256100;TraesCS2A01G174600;TraesCS3D01G219900;TraesCS6B01G198900;TraesCS1D01G076200;TraesCS4B01G367200;TraesCS6B01G152700;TraesCS2D01G443700;TraesCS4B01G044500;TraesCS6A01G301300;TraesCS1D01G047900;TraesCS5B01G175100;TraesCS5B01G362100;TraesCS5D01G453900;TraesCS5D01G226000;TraesCS4D01G064000;TraesCS4D01G192200;TraesCS2A01G305900;TraesCS1D01G335500;TraesCS6B01G045600;TraesCS6A01G351600;TraesCS2A01G205500;TraesCS2D01G362900;TraesCS6A01G306800;TraesCS1D01G239700;TraesCS4B01G125700;TraesCS6D01G302400;TraesCS7B01G053000;TraesCS1D01G112500;TraesCS5D01G312200;TraesCS7B01G043200;TraesCS3B01G349100;TraesCS3D01G383600;TraesCS2B01G354700;TraesCS2B01G241900;TraesCS2D01G464800;TraesCS7B01G207000;TraesCS6A01G349300;TraesCS5B01G406800;TraesCS4D01G041100;TraesCS5A01G342900;TraesCS2D01G324400;TraesCS7D01G357100;TraesCS5B01G056700;TraesCS3D01G157400;TraesCS6D01G160400;TraesCS7B01G357200;TraesCS2B01G539200;TraesCS2A01G121000;TraesCS3B01G413100;TraesCS1A01G261400;TraesCS3D01G542300;TraesCS4A01G352900;TraesCS1A01G248200;TraesCS7D01G339700;TraesCS6D01G133900;TraesCS2D01G426500;TraesCS7D01G294800;TraesCS1A01G251600;TraesCS5D01G195700;TraesCS2B01G417900;TraesCS3A01G337500;TraesCS2A01G401000;TraesCS7D01G388900;TraesCS7B01G241100;TraesCS7A01G225800;TraesCS5B01G228500;TraesCS7A01G410200;TraesCS2A01G106900;TraesCS7D01G005700;TraesCS1A01G111000;TraesCSU01G137500;TraesCS6D01G107600;TraesCS2A01G209900;TraesCS7D01G364700;TraesCS3B01G247000;TraesCS4B01G190300;TraesCS2D01G564100;TraesCS2B01G177300;TraesCS5B01G229600;TraesCS5D01G297200;TraesCS5D01G536500;TraesCS6D01G050900;TraesCS1D01G248200;TraesCS5D01G465500;TraesCS3B01G179500;TraesCS1D01G073100;TraesCS3D01G514900;TraesCS4A01G066200;TraesCS2A01G586100;TraesCS3D01G204000;TraesCS4D01G255600;TraesCS2D01G483300;TraesCS3B01G053800;TraesCS3B01G342300;TraesCS6D01G115200;TraesCS6A01G271900;TraesCS1B01G318400;TraesCS2B01G135900;TraesCS1B01G279200;TraesCS2B01G282400;TraesCS5B01G191400;TraesCS3A01G123000;TraesCS4D01G325500;TraesCS5D01G014800;TraesCS2A01G283000;TraesCS7D01G048600;TraesCS4A01G059900;TraesCS5A01G218000;TraesCS4D01G183500;TraesCS6D01G236900;TraesCS2D01G216200;TraesCS3B01G280000;TraesCS1D01G295800;TraesCS5A01G392300;TraesCS1B01G171400;TraesCS6B01G177200;TraesCS6A01G240700;TraesCS6D01G161200;TraesCS7B01G346600;TraesCS2A01G188000;TraesCS3D01G500600;TraesCS6A01G212000;TraesCS5B01G342100;TraesCS2A01G056800;TraesCS3D01G256100;TraesCS4B01G100800;TraesCS5B01G380600;TraesCS2A01G373200;TraesCS2D01G182100;TraesCS4A01G101600;TraesCS6A01G032400;TraesCS4A01G206900;TraesCS2B01G198100;TraesCS1D01G074400;TraesCS4B01G339700;TraesCS2D01G277600;TraesCS2B01G243000;TraesCS1D01G152000;TraesCS5A01G025400;TraesCS2A01G378900;TraesCS3A01G149300;TraesCS6A01G148600;TraesCS4B01G353800;TraesCS5B01G243600;TraesCS4D01G347700;TraesCS7D01G189000;TraesCS1A01G002500;TraesCS5A01G460300;TraesCS6D01G302700;TraesCS6D01G369400;TraesCS2B01G403000;TraesCS6D01G153600;TraesCS5B01G233800;TraesCS7B01G093500;TraesCS2A01G259500;TraesCS2B01G154500;TraesCS2B01G489700;TraesCS3D01G183900;TraesCS3A01G505200;TraesCS2D01G321400;TraesCS5D01G259500;TraesCS5B01G288700;TraesCS3B01G163900;TraesCS1A01G033200;TraesCS4D01G187900;TraesCS5B01G255800;TraesCS6B01G225800;TraesCS3D01G260400;TraesCS5D01G480600;TraesCS2B01G437200;TraesCS6A01G240900;TraesCS4B01G187300;TraesCS2A01G152000;TraesCS4B01G131500;TraesCS2D01G031100;TraesCS2B01G288100;TraesCS3B01G436800;TraesCS6A01G388700;TraesCS6D01G254700;TraesCS5B01G139500;TraesCS2D01G375200;TraesCS3D01G251700;TraesCS5A01G516400;TraesCS5B01G217100;TraesCS6A01G215700;TraesCS4D01G057400;TraesCS6D01G037300;TraesCS2D01G483700;TraesCS3D01G136700;TraesCS6B01G280000;TraesCS6D01G222900;TraesCS2D01G198900;TraesCS3B01G323500;TraesCS1A01G124100;TraesCS3B01G382900;TraesCS7A01G255600;TraesCS4A01G315200;TraesCS2A01G237300;TraesCS7D01G490300;TraesCS3D01G209300;TraesCS1D01G227700;TraesCS5D01G236600;TraesCS5A01G220600;TraesCS5B01G392400;TraesCS6A01G135100;TraesCS3A01G184300;TraesCS1A01G025200;TraesCS1D01G004700;TraesCS1D01G025400;TraesCS6B01G382400;TraesCS7A01G231600;TraesCS4A01G257400;TraesCS2B01G326900;TraesCS4D01G115000;TraesCS4A01G117100;TraesCS5D01G376300;TraesCS5D01G156800;TraesCS1B01G044800;TraesCS1B01G346500;TraesCS7D01G467100;TraesCS7A01G300700;TraesCS4A01G028400;TraesCS7A01G267800;TraesCS2D01G199600;TraesCS4D01G041900;TraesCS5D01G228600;TraesCS4B01G174200;TraesCS2D01G001300;TraesCS1B01G433800;TraesCS1D01G310900;TraesCS2B01G193500;TraesCS4A01G207800;TraesCS3D01G023100;TraesCS4B01G149000;TraesCS5A01G189500;TraesCS4D01G188600;TraesCS1A01G279300;TraesCS2B01G460200;TraesCS3B01G304300;TraesCS5A01G269300;TraesCS2B01G189000;TraesCS6A01G277800;TraesCS2D01G106400;TraesCS4A01G130300;TraesCS7A01G299600;TraesCS1D01G209400;TraesCS4D01G303000;TraesCS3B01G022100;TraesCS5B01G396800;TraesCS5A01G455100;TraesCS3B01G370500;TraesCS5D01G157900;TraesCS5B01G408400;TraesCS1A01G385800;TraesCS4D01G059000;TraesCS6D01G104800;TraesCS4B01G065100;TraesCS4B01G057200;TraesCS5D01G531600;TraesCS7D01G309400;TraesCS6A01G171800;TraesCS1A01G331700;TraesCS3A01G176500;TraesCS2A01G404900;TraesCS2D01G118400;TraesCS1B01G356100;TraesCS3B01G105600;TraesCS2A01G593300;TraesCS5D01G187100;TraesCS5B01G231000;TraesCS2A01G188600;TraesCS5D01G041500;TraesCS6B01G266100;TraesCS5A01G534900;TraesCS1A01G049600;TraesCS4A01G050500;TraesCS7B01G309600;TraesCS4D01G176200;TraesCS1A01G246400;TraesCS6A01G073300;TraesCS3B01G208300;TraesCS6B01G145800;TraesCS1D01G268600;TraesCS5A01G390700;TraesCS4A01G102900;TraesCS3B01G148100;TraesCS5D01G147900;TraesCS5A01G031700;TraesCS1A01G342900;TraesCS4A01G113800;TraesCS4D01G108200;TraesCS2B01G296100;TraesCS6B01G140100;TraesCS2B01G395900;TraesCS6D01G344500;TraesCS4A01G249600;TraesCS6D01G191500;TraesCS3B01G422800;TraesCS2B01G452400;TraesCS2B01G012600;TraesCS5B01G458900;TraesCS1D01G036500;TraesCS3A01G385300;TraesCS4B01G058500;TraesCS3B01G408500;TraesCS4A01G164100;TraesCS7A01G053400;TraesCS5D01G130000;TraesCS4A01G190600;TraesCS2A01G345400;TraesCS5B01G371100;TraesCS1A01G262800;TraesCS5D01G277500;TraesCS3B01G352800;TraesCS5D01G142900;TraesCS3B01G373500;TraesCS6D01G191400;TraesCS4D01G262900;TraesCS3B01G361500;TraesCS3D01G288600;TraesCS3B01G283800;TraesCS5B01G305700;TraesCS4D01G063200;TraesCS6A01G244400;TraesCS3B01G556500;TraesCS6B01G152800;TraesCS2B01G220900;TraesCS2D01G200400;TraesCS6D01G213300;TraesCS3B01G473000;TraesCS7D01G403400;TraesCS6A01G144900;TraesCS6B01G176800;TraesCS5D01G378100;TraesCS2A01G220400;TraesCS7D01G435200;TraesCS5B01G143200;TraesCS6D01G342800;TraesCS3A01G317400;TraesCS7D01G337800;TraesCS3B01G336100;TraesCS6D01G258200;TraesCS5A01G467600;TraesCS5D01G218300;TraesCS5D01G461600;TraesCS5B01G498400;TraesCS3B01G395500;TraesCS3B01G110500;TraesCS2B01G318100;TraesCS1A01G213400;TraesCS2D01G199100;TraesCS7D01G357200;TraesCS1A01G048000;TraesCS4B01G116500;TraesCS5A01G235300;TraesCS7B01G212500;TraesCS3D01G193200;TraesCS3B01G290300;TraesCS4D01G203900;TraesCS3B01G132700;TraesCS4D01G134400;TraesCS6A01G168900;TraesCS4B01G255600;TraesCS2A01G278400;TraesCS1A01G361000;TraesCS2B01G419100;TraesCS5D01G347600;TraesCS1B01G289300;TraesCS2A01G174700;TraesCS2D01G398500;TraesCS5B01G357100;TraesCS2B01G591000;TraesCS4B01G044400;TraesCS4B01G124300;TraesCS7D01G539500;TraesCS4A01G269700;TraesCS3B01G119500;TraesCS7D01G114200;TraesCS4B01G277600;TraesCS5B01G071100;TraesCS2D01G399600;TraesCS4D01G243100;TraesCS2B01G219700;TraesCS4D01G132000;TraesCS6A01G223900;TraesCS3B01G247500;TraesCS5B01G107100;TraesCS3B01G507100;TraesCS2B01G232900;TraesCS4D01G122200;TraesCS7A01G419500;TraesCS3D01G024500;TraesCS5D01G400500;TraesCS4A01G187600;TraesCS6A01G255700;TraesCS5B01G440600;TraesCS4B01G246000;TraesCS1D01G184900;TraesCS4D01G259900;TraesCS2A01G452500;TraesCS3B01G373100;TraesCS5D01G078300;TraesCS1A01G088900;TraesCS6A01G285100;TraesCS5D01G225900;TraesCS3B01G413200;TraesCS2B01G446100;TraesCS7A01G085900;TraesCS4A01G103500;TraesCS2A01G214100;TraesCS5A01G209200;TraesCS5B01G460200;TraesCS2A01G438200;TraesCS4D01G057600;TraesCS2B01G413200;TraesCS4D01G296400;TraesCS7A01G313000;TraesCS1A01G312300;TraesCS2B01G562100;TraesCS7D01G254000;TraesCS7A01G279100;TraesCS2A01G428400;TraesCS2D01G369400;TraesCS1D01G107000;TraesCS7D01G143600;TraesCS3D01G348500;TraesCS2A01G368700;TraesCS2A01G399200;TraesCS2B01G414500;TraesCS3A01G298600;TraesCS6D01G235500;TraesCS1B01G377700;TraesCS6A01G210000;TraesCS6D01G138000;TraesCS4D01G222600;TraesCS5A01G213700;TraesCS3A01G288800;TraesCS5A01G360200;TraesCS5B01G485500;TraesCS6A01G116000;TraesCS4B01G052200;TraesCS2A01G499800;TraesCS5B01G397100;TraesCS3A01G251300;TraesCS4A01G186700;TraesCS5B01G074000;TraesCS2B01G519900;TraesCS5D01G564000;TraesCS1D01G312500;TraesCS3B01G479400;TraesCS7D01G327600;TraesCS3B01G110100;TraesCS5A01G136200;TraesCS1A01G073200;TraesCS5A01G235700;TraesCS2B01G319600;TraesCS5D01G369400;TraesCS6B01G231800;TraesCS7D01G443200;TraesCS3B01G218800;TraesCS2D01G335600;TraesCS7B01G116700;TraesCS2D01G366100;TraesCS6A01G271800;TraesCS1B01G226800;TraesCS2B01G351100;TraesCS1A01G158600;TraesCS5B01G191300;TraesCS3B01G021900;TraesCS4D01G021200;TraesCS3A01G454900;TraesCS3B01G388400;TraesCS3B01G575600;TraesCS4A01G081700;TraesCS5B01G016100;TraesCS5D01G182100;TraesCS2A01G057800;TraesCS5B01G217500;TraesCS2D01G055600;TraesCS5B01G463900;TraesCS6D01G280700;TraesCS7A01G143800;TraesCS2D01G393900;TraesCS4A01G033400;TraesCS6B01G045700;TraesCS6B01G392700;TraesCS2D01G574000;TraesCS2B01G093100;TraesCS3D01G160500;TraesCS4A01G174700;TraesCS5D01G003800;TraesCS7A01G037600;TraesCS5A01G454500;TraesCS5B01G193700;TraesCS2A01G365000;TraesCS3A01G183600;TraesCS6B01G192400;TraesCS1B01G459800;TraesCS6D01G164700;TraesCS1B01G305200;TraesCS3D01G356300;TraesCS3A01G278800;TraesCS4D01G223900;TraesCS4B01G132100;TraesCS6B01G105800;TraesCS4A01G221500;TraesCS5B01G064400;TraesCS1A01G295300;TraesCS4A01G020100;TraesCS5B01G219700;TraesCS2B01G201100</t>
  </si>
  <si>
    <t>TraesCS1D01G270500;TraesCS6A01G240700;TraesCS1D01G188500;TraesCS5B01G445100;TraesCS2A01G389900;TraesCS7A01G392800;TraesCS2B01G189300;TraesCS6B01G169700;TraesCS5D01G062900;TraesCS5D01G309700;TraesCS6A01G141500;TraesCS6D01G212400;TraesCS2A01G291900;TraesCS1D01G437700;TraesCS2B01G339600;TraesCS7B01G294800;TraesCS5B01G166300;TraesCS3B01G334900;TraesCS4B01G318900;TraesCS5B01G468400;TraesCS6D01G130800;TraesCS1B01G195800;TraesCS5D01G163400;TraesCS1D01G039500;TraesCS7A01G512300;TraesCS7B01G423900;TraesCS6B01G258400;TraesCS7D01G388400;TraesCS4D01G315400;TraesCS2A01G292000;TraesCS7B01G241200;TraesCS1A01G428400;TraesCS1D01G004400;TraesCS4A01G089800;TraesCS6B01G284000;TraesCS3D01G300200;TraesCS4D01G215100;TraesCS1A01G188000;TraesCS5B01G155700;TraesCS7A01G412400;TraesCS6D01G222900;TraesCS2B01G605800;TraesCS7A01G264500;TraesCS6D01G239700;TraesCS5B01G445200;TraesCS6A01G258500;TraesCS5D01G173900;TraesCS7D01G305300;TraesCS1B01G463100;TraesCS7B01G208700;TraesCS7A01G308600;TraesCS1B01G048300;TraesCS5B01G372500;TraesCS5A01G169500;TraesCS1B01G048500;TraesCS7D01G501700;TraesCS4B01G214500;TraesCS1B01G250600;TraesCS5D01G379700;TraesCS6B01G258500;TraesCS5A01G051800;TraesCS1D01G238900</t>
  </si>
  <si>
    <t>TraesCS1D01G437700;TraesCS7A01G308600;TraesCS7B01G294800;TraesCS1A01G428400;TraesCS4A01G089800;TraesCS4B01G318900;TraesCS4D01G215100;TraesCS4B01G214500;TraesCS5B01G445100;TraesCS5B01G445200;TraesCS7A01G392800;TraesCS7D01G388400;TraesCS7D01G305300;TraesCS1B01G463100;TraesCS4D01G315400;TraesCS7B01G208700</t>
  </si>
  <si>
    <t>TraesCS3B01G490000;TraesCS6A01G419200;TraesCS7D01G092900;TraesCS6D01G393600;TraesCS4D01G232700;TraesCS7B01G473700;TraesCS5B01G445100;TraesCS2A01G389900;TraesCS4A01G252900;TraesCS6B01G169700;TraesCS2B01G359300;TraesCS3A01G400000;TraesCS2B01G236800;TraesCS4D01G210900;TraesCS5A01G469000;TraesCS1B01G197900;TraesCS4B01G318900;TraesCS6D01G130800;TraesCS5D01G148900;TraesCS2D01G079200;TraesCS3B01G036800;TraesCS2A01G417200;TraesCS6B01G258400;TraesCS7A01G476700;TraesCS2B01G350500;TraesCS3A01G138300;TraesCS7B01G274100;TraesCS3D01G049000;TraesCS1A01G381500;TraesCS5B01G494500;TraesCS6B01G422900;TraesCS3D01G278000;TraesCS2A01G292000;TraesCS4D01G150300;TraesCS3A01G342000;TraesCS5D01G204700;TraesCS3D01G340500;TraesCS5B01G526200;TraesCS4D01G196500;TraesCS6A01G052100;TraesCS4B01G376800;TraesCS2D01G255700;TraesCS7A01G130600;TraesCS6A01G080600;TraesCS2A01G316500;TraesCS1A01G367200;TraesCS5B01G101200;TraesCS2A01G182800;TraesCS2A01G216700;TraesCS2A01G396200;TraesCS7B01G187600;TraesCS2A01G537900;TraesCS3B01G305100;TraesCS1D01G221000;TraesCS3B01G126400;TraesCS7B01G047300;TraesCS2A01G157400;TraesCS4A01G251600;TraesCS3A01G163300;TraesCS3D01G316400;TraesCS1A01G184500;TraesCS3A01G048700;TraesCS3A01G107600;TraesCS1B01G385100;TraesCS4A01G089700;TraesCS2B01G182900;TraesCS2B01G478700;TraesCS3A01G289300;TraesCS3A01G170000;TraesCS1D01G363500;TraesCS4B01G238700;TraesCS6D01G289700;TraesCS6A01G078700;TraesCS7D01G322900;TraesCS1D01G207100;TraesCS3B01G113500;TraesCS6B01G300000;TraesCS5D01G183700;TraesCS2A01G040300;TraesCS2A01G302300;TraesCS1D01G039500;TraesCS5A01G216000;TraesCS2D01G449900;TraesCS5B01G146100;TraesCS7B01G356500;TraesCS1A01G106600;TraesCS6D01G137400;TraesCS4B01G268100;TraesCS3B01G049700;TraesCS3D01G260300;TraesCS5B01G415700;TraesCS5A01G197200;TraesCS7D01G334900;TraesCS1D01G004400;TraesCS4A01G160700;TraesCS7B01G415400;TraesCS6A01G377700;TraesCS1D01G186100;TraesCS2B01G109800;TraesCS6B01G246000;TraesCS5B01G241100;TraesCS3D01G246000;TraesCS2B01G605800;TraesCS2D01G192000;TraesCS6A01G000500;TraesCS3B01G346500;TraesCS2B01G437300;TraesCS4B01G106000;TraesCS7D01G087100;TraesCS4D01G035300;TraesCS5A01G152300;TraesCS2B01G097300;TraesCS4B01G047100;TraesCS5D01G173900;TraesCS1B01G182000;TraesCS3A01G045200;TraesCS7B01G183200;TraesCS2D01G415700;TraesCS5D01G181500;TraesCS6A01G225400;TraesCS7D01G113900;TraesCS3A01G219800;TraesCS1B01G162400;TraesCS7A01G455800;TraesCS3A01G310400;TraesCS1D01G146900;TraesCS6D01G112100;TraesCS6D01G211900;TraesCS1D01G163400;TraesCS1D01G218200;TraesCS7D01G392800;TraesCS7A01G435300;TraesCS5D01G328100;TraesCS1D01G149100;TraesCS3A01G272900;TraesCS3B01G289400;TraesCS6D01G157900;TraesCS2B01G053300;TraesCS3B01G394600;TraesCS5B01G419200;TraesCS3D01G378700;TraesCS6D01G344600;TraesCS7A01G031700;TraesCS2D01G364400;TraesCS3A01G152200;TraesCS2D01G409400;TraesCS4D01G258000;TraesCS6A01G273100;TraesCS7B01G290200;TraesCS4A01G122800;TraesCS6A01G359900;TraesCS3A01G385600;TraesCS2D01G445500;TraesCS3D01G245500;TraesCS3B01G307700;TraesCS1B01G091900;TraesCS6B01G051700;TraesCS2D01G537700;TraesCS6D01G154400;TraesCS7D01G495700;TraesCS4A01G414700;TraesCS1B01G129800;TraesCS5A01G401400;TraesCS4B01G015500;TraesCS5A01G180800;TraesCS5B01G492700;TraesCS2B01G535400;TraesCS4A01G167700;TraesCS7D01G351000;TraesCS5B01G501300;TraesCS2B01G242200;TraesCS1B01G411900;TraesCS3D01G036100;TraesCS6A01G216100;TraesCS6B01G163100;TraesCS6B01G331600;TraesCS5D01G104900;TraesCS3A01G290300;TraesCS3D01G366700;TraesCS2B01G381600;TraesCS5B01G372500;TraesCS1D01G185200;TraesCS5D01G379700;TraesCS5A01G375000;TraesCS6B01G384500;TraesCS5D01G063800;TraesCS6B01G204600;TraesCS2B01G096000;TraesCS2A01G479500;TraesCS3A01G094600;TraesCS2B01G124100;TraesCS5D01G098900;TraesCS3D01G289100;TraesCS5B01G117200;TraesCS7B01G069100;TraesCS2A01G493800;TraesCS3A01G309800;TraesCS5A01G297900;TraesCS7A01G320000;TraesCS3D01G290100;TraesCS4D01G132500;TraesCS3A01G261800;TraesCS5B01G384500;TraesCS1D01G351500;TraesCS3B01G357200;TraesCS1D01G219100;TraesCS7D01G052400;TraesCS7A01G528000;TraesCS1D01G223600;TraesCS3A01G224400;TraesCS3A01G146800;TraesCS6B01G280300;TraesCS4B01G346100;TraesCS7A01G242800;TraesCS3A01G113900;TraesCS3A01G040800;TraesCS1A01G385500;TraesCS1D01G236900;TraesCS4D01G059300;TraesCS4D01G229900;TraesCS1D01G186500;TraesCS7D01G412000;TraesCS1D01G140300;TraesCS4B01G315400;TraesCS2A01G431100;TraesCS3B01G406200;TraesCS1A01G095800;TraesCS3A01G141100;TraesCS6A01G199000;TraesCS4A01G176200;TraesCS5B01G204900;TraesCS7D01G146400;TraesCS1D01G372400;TraesCS6B01G256200;TraesCS2D01G117200;TraesCS2B01G302400;TraesCS3B01G473100;TraesCS5B01G538600;TraesCS1A01G377900;TraesCS6A01G312400;TraesCS6A01G177700;TraesCS1B01G383400;TraesCS6A01G241000;TraesCS2B01G363000;TraesCS2D01G582800;TraesCS2B01G516700;TraesCS6B01G471400;TraesCS1B01G167700;TraesCS4B01G263300;TraesCS3A01G110300;TraesCS5D01G062900;TraesCS5D01G332200;TraesCS3B01G176200;TraesCS3B01G042700;TraesCS7B01G225500;TraesCS4B01G037800;TraesCS5D01G475900;TraesCS7A01G249400;TraesCS7D01G356200;TraesCS5D01G205100;TraesCS7D01G085800;TraesCS6B01G415700;TraesCS7A01G419200;TraesCS2D01G222300;TraesCS4D01G340500;TraesCS7A01G339100;TraesCS2A01G199700;TraesCS2A01G136100;TraesCS2D01G117100;TraesCS7A01G001900;TraesCS4A01G244500;TraesCS6A01G406700;TraesCS7B01G169700;TraesCS1A01G016100;TraesCS1A01G203700;TraesCS1D01G312800;TraesCS1D01G364000;TraesCS5D01G048600;TraesCS1D01G381800;TraesCS3B01G156600;TraesCS5D01G302800;TraesCS4A01G001300;TraesCS7D01G346400;TraesCS2A01G320200;TraesCS1A01G077500;TraesCS2A01G458100;TraesCS2D01G509300;TraesCS4D01G238900;TraesCS6D01G407400;TraesCS1A01G361100;TraesCS4D01G293200;TraesCS2A01G509900;TraesCS1B01G119600;TraesCS1A01G273600;TraesCS7A01G213000;TraesCS6B01G413500;TraesCS3D01G435400;TraesCS3A01G477300;TraesCS6B01G300500;TraesCS1B01G210500;TraesCS4B01G287300;TraesCS5A01G429000;TraesCS4A01G219500;TraesCS2B01G333600;TraesCS6D01G110400;TraesCS7A01G091400;TraesCS1B01G269600;TraesCS1D01G389300;TraesCS7B01G226800;TraesCS5A01G027000;TraesCS7A01G120000;TraesCS1B01G198000;TraesCS3B01G119600;TraesCS1A01G300000;TraesCS1A01G079700;TraesCS2D01G223600;TraesCS7D01G449700;TraesCS7D01G071200;TraesCS5A01G376700;TraesCS6D01G210100;TraesCS3B01G325100;TraesCS7D01G303700;TraesCS1D01G327000;TraesCS5D01G059300;TraesCS4A01G396700;TraesCS3D01G401200;TraesCS2A01G291900;TraesCS4B01G299700;TraesCS5A01G337100;TraesCS5B01G326500;TraesCS1D01G372900;TraesCS2B01G308200;TraesCS2D01G577000;TraesCS3A01G064400;TraesCS5A01G295200;TraesCS4A01G248900;TraesCS3B01G288100;TraesCS6B01G150300;TraesCS5D01G188600;TraesCS5D01G321100;TraesCS2D01G296700;TraesCS7B01G285700;TraesCS7D01G300200;TraesCS1A01G048100;TraesCS6B01G246800;TraesCS1B01G232300;TraesCS3A01G044800;TraesCS3A01G122300;TraesCS5B01G327800;TraesCS6A01G190700;TraesCS2D01G284700;TraesCS6D01G105000;TraesCS3B01G300300;TraesCS3D01G332400;TraesCSU01G047400;TraesCS7D01G265400;TraesCS3A01G374000;TraesCS2B01G109000;TraesCS3B01G214700;TraesCS3A01G229700;TraesCS1B01G463100;TraesCS1D01G384900;TraesCS3D01G345700;TraesCS1A01G080700;TraesCS5B01G026200;TraesCS6B01G291800;TraesCS6B01G289500;TraesCS7D01G451300;TraesCS6A01G301300;TraesCS3A01G249300;TraesCS7D01G029700;TraesCS1D01G081100;TraesCS4A01G322400;TraesCS7D01G325500;TraesCS6D01G158300;TraesCS7B01G115900;TraesCS2D01G322200;TraesCS3D01G258000;TraesCS3D01G287800;TraesCS4B01G273500;TraesCS4A01G068400;TraesCS3D01G138900;TraesCS6D01G224700;TraesCS5B01G373000;TraesCS1B01G224300;TraesCS4D01G136500;TraesCS5B01G474500;TraesCS7A01G092300;TraesCS1A01G296300;TraesCS1A01G443900;TraesCS2B01G240800;TraesCS6A01G327500;TraesCS2D01G148700;TraesCS3B01G528300;TraesCS7B01G301400;TraesCS7D01G463300;TraesCS7B01G259000;TraesCS1A01G072200;TraesCS2D01G222700;TraesCS5A01G152800;TraesCS6D01G334000;TraesCS3D01G324400;TraesCS7D01G350500;TraesCS3B01G156200;TraesCS3D01G272300;TraesCS5B01G064100;TraesCS4D01G242100;TraesCS1B01G109400;TraesCS2A01G420800;TraesCS7B01G249200;TraesCS5B01G406800;TraesCS1A01G389500;TraesCS4D01G041100;TraesCS6D01G335300;TraesCS7D01G357100;TraesCS6D01G299000;TraesCS1B01G385200;TraesCS5A01G398900;TraesCS4B01G055600;TraesCS1B01G375400;TraesCS5A01G513200;TraesCS3B01G352300;TraesCS2A01G488800;TraesCS4D01G180200;TraesCS4D01G312400;TraesCS6D01G243000;TraesCS2A01G182400;TraesCS4B01G083200;TraesCS1A01G112500;TraesCS2B01G198400;TraesCS2B01G320700;TraesCS2B01G400000;TraesCS2A01G101400;TraesCS3D01G542300;TraesCS1A01G248200;TraesCS2D01G417800;TraesCS2A01G302400;TraesCS6B01G069800;TraesCS1B01G250600;TraesCS5A01G138500;TraesCS5A01G222300;TraesCS1A01G312400;TraesCS1B01G447900;TraesCS2A01G386000;TraesCS4A01G211600;TraesCS7A01G384500;TraesCS6D01G358000;TraesCS6D01G362500;TraesCS7A01G225800;TraesCS7D01G015500;TraesCS3A01G124100;TraesCS2A01G041100;TraesCS7A01G267200;TraesCS6D01G316600;TraesCS3D01G273200;TraesCS2B01G439900;TraesCS2A01G117800;TraesCS2D01G190200;TraesCS5D01G223800;TraesCS6A01G080500;TraesCS1D01G199000;TraesCS3A01G338800;TraesCS2A01G209900;TraesCS1D01G321300;TraesCS5A01G173300;TraesCS5A01G196400;TraesCS7D01G524300;TraesCS2A01G323300;TraesCS4B01G142000;TraesCS7D01G444400;TraesCS4B01G194900;TraesCS4D01G229100;TraesCS7D01G037700;TraesCS3B01G334900;TraesCS1D01G425400;TraesCS1D01G229700;TraesCS5D01G070900;TraesCS1A01G066800;TraesCS2B01G480500;TraesCS5A01G514500;TraesCS3B01G376300;TraesCS5A01G210300;TraesCS6D01G047500;TraesCS3D01G182600;TraesCS5D01G432800;TraesCS1B01G257200;TraesCS6D01G381200;TraesCS3B01G253900;TraesCS6D01G232300;TraesCS3B01G356700;TraesCS4A01G255600;TraesCS3B01G310500;TraesCS3D01G136300;TraesCS3B01G053800;TraesCS6A01G374700;TraesCS3B01G377600;TraesCS2B01G187300;TraesCS3A01G034600;TraesCS5B01G084100;TraesCS7A01G326200;TraesCS6D01G115200;TraesCS1A01G365100;TraesCS2D01G178100;TraesCS6B01G098300;TraesCS4D01G254500;TraesCS4A01G126300;TraesCS3A01G276500;TraesCS2D01G459200;TraesCS3B01G374100;TraesCS1B01G204700;TraesCS3D01G238000;TraesCS2D01G286300;TraesCS2D01G460600;TraesCS3A01G050700;TraesCS7D01G351300;TraesCS5B01G482400;TraesCS7D01G390900;TraesCS6A01G240700;TraesCS4D01G081300;TraesCS6B01G285900;TraesCS7B01G370700;TraesCS7A01G012000;TraesCS5D01G397400;TraesCS3A01G097800;TraesCS5A01G366000;TraesCS7D01G136700;TraesCS3D01G267000;TraesCS5A01G314800;TraesCS2A01G418200;TraesCS2B01G198100;TraesCS2A01G455600;TraesCS5B01G151600;TraesCS7A01G405600;TraesCS2D01G549400;TraesCS2D01G231600;TraesCS5D01G375600;TraesCS3D01G339600;TraesCS3B01G194400;TraesCS2D01G217500;TraesCS6B01G370000;TraesCS1A01G358600;TraesCS5B01G138600;TraesCS5D01G374300;TraesCS1A01G424200;TraesCS2D01G033100;TraesCS2B01G403000;TraesCS2B01G449200;TraesCS4A01G419400;TraesCS2B01G489700;TraesCS1D01G199300;TraesCS7B01G208700;TraesCS2A01G214400;TraesCS2B01G236900;TraesCS3D01G183900;TraesCS6B01G293500;TraesCS7D01G419400;TraesCS5B01G334700;TraesCS3B01G367500;TraesCS4D01G013600;TraesCS1B01G157300;TraesCS3B01G311900;TraesCS7D01G501700;TraesCS6D01G311400;TraesCS2A01G417300;TraesCS2B01G271700;TraesCS7A01G344100;TraesCS1D01G118300;TraesCS7B01G356400;TraesCS4B01G124800;TraesCS3A01G096500;TraesCS1D01G346200;TraesCS6B01G225800;TraesCS6A01G146200;TraesCS2B01G365900;TraesCS2B01G437200;TraesCS4D01G215200;TraesCS3D01G500800;TraesCS7A01G075600;TraesCS4D01G266400;TraesCS3D01G036000;TraesCS5A01G085900;TraesCS1A01G367100;TraesCS7B01G206500;TraesCS5B01G380400;TraesCS5A01G526200;TraesCS2B01G339600;TraesCS2A01G346000;TraesCS2D01G415600;TraesCS1A01G357300;TraesCS1D01G185100;TraesCS7D01G228700;TraesCS7D01G316100;TraesCS2B01G243200;TraesCS1D01G123700;TraesCS4B01G178600;TraesCS3B01G093300;TraesCS4D01G001200;TraesCS2D01G428900;TraesCS5A01G369500;TraesCS2D01G382600;TraesCS1A01G219400;TraesCS3B01G158300;TraesCS5A01G451400;TraesCS4B01G214600;TraesCS4B01G143500;TraesCS7A01G464400;TraesCS2A01G324200;TraesCS3B01G102300;TraesCS3D01G048000;TraesCS3B01G591000;TraesCS3D01G136700;TraesCS1B01G217500;TraesCS3D01G432600;TraesCS5B01G339100;TraesCS6D01G222900;TraesCS3D01G527900;TraesCS1D01G101900;TraesCS3D01G192800;TraesCS3A01G439800;TraesCS2B01G303200;TraesCS6B01G423900;TraesCS1A01G218100;TraesCS1D01G273800;TraesCS1A01G344000;TraesCS1B01G058600;TraesCS6D01G302500;TraesCS6A01G204600;TraesCS2D01G344700;TraesCS7D01G291100;TraesCS4A01G331900;TraesCS4B01G261800;TraesCS4B01G216800;TraesCS7A01G158900;TraesCS6A01G135100;TraesCS4D01G055000;TraesCS4D01G183100;TraesCS6D01G360800;TraesCS7A01G187000;TraesCS3A01G256300;TraesCS2B01G210700;TraesCS4D01G064800;TraesCS2B01G535500;TraesCS5B01G201100;TraesCS5B01G321800;TraesCS6A01G132400;TraesCS1B01G241200;TraesCS5A01G131300;TraesCS3B01G306500;TraesCS5D01G309700;TraesCS2D01G572600;TraesCS5A01G307200;TraesCS4D01G096400;TraesCS1A01G080600;TraesCS2B01G532000;TraesCS5A01G186000;TraesCS3D01G139300;TraesCS3D01G320600;TraesCS1B01G441900;TraesCS1A01G259900;TraesCS1B01G382600;TraesCS5D01G434500;TraesCS3D01G467300;TraesCS3A01G029700;TraesCS4A01G100900;TraesCS2B01G174500;TraesCS7B01G031900;TraesCS2D01G458700;TraesCS5D01G499000;TraesCS5D01G216400;TraesCS3B01G409400;TraesCS7A01G264500;TraesCS1A01G122800;TraesCS5D01G357800;TraesCS1B01G404000;TraesCS2B01G114000;TraesCS7D01G028400;TraesCS2A01G255300;TraesCS3B01G304300;TraesCS5A01G269300;TraesCS6A01G124800;TraesCS7A01G299600;TraesCS2A01G155500;TraesCS7D01G295100;TraesCS2A01G512100;TraesCS3A01G345800;TraesCS5D01G089900;TraesCS1B01G229100;TraesCS1B01G182700;TraesCS4B01G098000;TraesCS1D01G072600;TraesCS3B01G141500;TraesCS4D01G239600;TraesCS5A01G076600;TraesCS7D01G321500;TraesCS5D01G157900;TraesCS7B01G333700;TraesCS3A01G050300;TraesCS6D01G104800;TraesCS7B01G356800;TraesCS4A01G043800;TraesCS5D01G531600;TraesCS2A01G211300;TraesCS2A01G414700;TraesCS1B01G230500;TraesCS1D01G130400;TraesCS6D01G039300;TraesCSU01G216800;TraesCS1A01G245300;TraesCS2A01G058100;TraesCS7D01G261300;TraesCS3A01G471900;TraesCS5B01G197400;TraesCS1A01G141500;TraesCS4A01G226300;TraesCS7D01G041400;TraesCS7A01G364100;TraesCS1B01G310100;TraesCS5A01G437500;TraesCS2B01G175800;TraesCS6D01G122200;TraesCS5A01G100300;TraesCS7D01G417600;TraesCS1D01G133900;TraesCS1D01G372500;TraesCS3B01G038900;TraesCS5B01G244300;TraesCS6A01G353200;TraesCS6A01G073300;TraesCS6D01G135500;TraesCS1B01G368300;TraesCS5B01G184100;TraesCS3D01G048400;TraesCS7A01G376100;TraesCS6B01G385500;TraesCS2A01G144800;TraesCS2D01G100900;TraesCS3A01G261700;TraesCS3B01G289500;TraesCSU01G095400;TraesCS4B01G203900;TraesCS2A01G046100;TraesCS2A01G233100;TraesCS2A01G516500;TraesCS1A01G305400;TraesCS2B01G452400;TraesCS1A01G215900;TraesCS4A01G109300;TraesCS5A01G321500;TraesCS7A01G053400;TraesCS1D01G213700;TraesCS4D01G202300;TraesCS5D01G199800;TraesCS4B01G059700;TraesCS4B01G254700;TraesCS2D01G456900;TraesCS3A01G285700;TraesCS5D01G493200;TraesCS5D01G422000;TraesCS6B01G309400;TraesCS2D01G509400;TraesCS1D01G094700;TraesCS1B01G324300;TraesCS3D01G438800;TraesCS2D01G095000;TraesCS4D01G268100;TraesCS4B01G215100;TraesCS2A01G094500;TraesCS3D01G370800;TraesCS5A01G156200;TraesCS5B01G166300;TraesCS7B01G326200;TraesCS4D01G176000;TraesCS6B01G152800;TraesCS4B01G264500;TraesCS5B01G262900;TraesCS2A01G508900;TraesCS2B01G220900;TraesCS1B01G269500;TraesCS4A01G391100;TraesCS4D01G315400;TraesCS1D01G081400;TraesCS6A01G108800;TraesCS3A01G258100;TraesCS4A01G232600;TraesCS4A01G498700;TraesCS3A01G327200;TraesCS7A01G195800;TraesCS6D01G155100;TraesCS5D01G481200;TraesCS2D01G066900;TraesCS4D01G029500;TraesCS7B01G416100;TraesCS6D01G239700;TraesCS5D01G244800;TraesCS3A01G110400;TraesCS3A01G135700;TraesCS4D01G136800;TraesCS7A01G364200;TraesCS4D01G339400;TraesCS5A01G320600;TraesCS7B01G225600;TraesCS6B01G358800;TraesCS5D01G097900;TraesCS7A01G306300;TraesCS4B01G037900;TraesCS7A01G113600;TraesCS5A01G463000;TraesCS5B01G118200;TraesCS5A01G169500;TraesCS5D01G461600;TraesCS6D01G192500;TraesCS7A01G057800;TraesCS2A01G462700;TraesCS6B01G370900;TraesCS7D01G279900;TraesCS1A01G048000;TraesCS7B01G029200;TraesCS4A01G035400;TraesCS3B01G203700;TraesCS7D01G311200;TraesCS5D01G216300;TraesCS6A01G119900;TraesCS1B01G062200;TraesCS5A01G204800;TraesCS7B01G364900;TraesCSU01G051800;TraesCS3B01G514900;TraesCS1B01G268600;TraesCS6B01G257800;TraesCS2A01G201900;TraesCS2D01G534400;TraesCS6A01G168900;TraesCS2D01G198200;TraesCS7A01G186900;TraesCS4B01G062800;TraesCS5B01G202900;TraesCS3D01G045400;TraesCS1B01G229000;TraesCS4A01G216100;TraesCS5D01G163400;TraesCS6A01G311000;TraesCS1D01G330300;TraesCS2B01G100300;TraesCS2D01G398500;TraesCS5B01G208200;TraesCS2D01G379000;TraesCS5D01G027600;TraesCS7A01G344600;TraesCS7D01G516400;TraesCS2B01G323700;TraesCS3D01G094800;TraesCS3B01G119500;TraesCS7A01G328100;TraesCS5D01G073900;TraesCS7B01G214900;TraesCS7D01G394800;TraesCS1D01G079600;TraesCS3B01G589600;TraesCS5A01G351300;TraesCS1D01G101100;TraesCS4A01G027800;TraesCS5D01G152300;TraesCS2D01G511300;TraesCS3B01G151200;TraesCS5B01G187200;TraesCS5D01G475800;TraesCS1A01G305800;TraesCS3A01G209200;TraesCS1D01G206900;TraesCS3B01G013200;TraesCS2A01G046500;TraesCS5A01G377900;TraesCS7A01G212000;TraesCS1A01G203400;TraesCS7D01G053900;TraesCS3A01G406000;TraesCS4B01G216000;TraesCS1A01G333800;TraesCS5A01G237700;TraesCS4A01G267300;TraesCS5D01G145100;TraesCS2B01G166100;TraesCS1B01G385300;TraesCS2B01G216800;TraesCS1A01G145100;TraesCS4A01G080400;TraesCS1D01G361000;TraesCS2B01G114900;TraesCS5D01G078300;TraesCS4D01G312300;TraesCS1B01G283400;TraesCS3A01G530200;TraesCS3B01G229900;TraesCS1B01G120100;TraesCS5B01G460200;TraesCS2B01G498100;TraesCS7B01G254900;TraesCS3B01G384000;TraesCS6D01G032300;TraesCS5D01G408200;TraesCS3A01G463400;TraesCS4A01G059800;TraesCS2B01G436300;TraesCS7A01G110500;TraesCS1D01G223000;TraesCS1A01G031200;TraesCS3B01G439600;TraesCS2D01G459100;TraesCS2A01G386100;TraesCS5B01G236200;TraesCS7B01G222500;TraesCS4A01G125300;TraesCS2A01G347400;TraesCS3A01G262200;TraesCS2B01G204800;TraesCS5A01G202600;TraesCS2A01G368700;TraesCS5D01G386800;TraesCS1D01G228700;TraesCS5D01G034700;TraesCS2B01G521800;TraesCS2B01G414500;TraesCS6A01G209000;TraesCS2A01G083000;TraesCS2A01G532600;TraesCS1B01G377700;TraesCS1A01G235000;TraesCS3A01G483000;TraesCS2D01G343000;TraesCS4B01G085500;TraesCS1A01G072100;TraesCS2B01G121200;TraesCS2A01G407900;TraesCS4D01G046900;TraesCS6A01G116000;TraesCS5D01G031200;TraesCS7A01G154900;TraesCS4A01G186700;TraesCS4A01G083900;TraesCS4B01G258200;TraesCS3D01G230200;TraesCS2B01G241800;TraesCS2B01G467400;TraesCS1B01G097700;TraesCS1D01G073000;TraesCS1A01G302700;TraesCS2B01G504000;TraesCS6D01G253100;TraesCS2D01G284200;TraesCS5B01G056800;TraesCS2D01G380800;TraesCS3B01G423200;TraesCS2D01G580700;TraesCS5A01G092600;TraesCS3A01G521300;TraesCS3A01G034700;TraesCS2A01G488900;TraesCS7A01G423800;TraesCS1B01G226800;TraesCS6A01G363900;TraesCS3D01G097000;TraesCS1D01G259000;TraesCS2D01G392800;TraesCS7B01G141900;TraesCS4A01G081700;TraesCS4B01G214200;TraesCS3A01G136200;TraesCS7B01G297200;TraesCS6D01G198700;TraesCS6D01G280700;TraesCS3D01G262200;TraesCS7B01G241200;TraesCS4B01G294300;TraesCS2D01G137700;TraesCS7A01G395300;TraesCS3A01G323200;TraesCS4B01G099700;TraesCS6B01G392700;TraesCS2D01G574000;TraesCS2D01G062100;TraesCS4D01G217000;TraesCS5D01G158000;TraesCS7D01G129500;TraesCS4A01G417300;TraesCS6B01G337900;TraesCS5D01G504800;TraesCS7D01G171000;TraesCS3D01G124200;TraesCS5A01G454500;TraesCS1A01G259000;TraesCS1B01G048300;TraesCS4D01G195600;TraesCS1B01G305200;TraesCS1B01G248600;TraesCS6A01G352800;TraesCS6A01G375900;TraesCS4A01G221500;TraesCS5B01G064400;TraesCS1A01G016000;TraesCS5B01G087500;TraesCS7A01G325000;TraesCS6A01G165800;TraesCS4A01G431600;TraesCS1D01G087600;TraesCS7D01G386800;TraesCS2D01G538400;TraesCS5D01G359000;TraesCS6D01G358600;TraesCS3D01G042600;TraesCS1A01G413400;TraesCS1B01G454000;TraesCS6D01G102100;TraesCS3B01G295000;TraesCS2A01G343900;TraesCS7B01G229300;TraesCS1A01G275200;TraesCS1B01G375100;TraesCS3B01G455000;TraesCS4B01G049100;TraesCS7A01G188600;TraesCS4D01G207500;TraesCS6A01G124500;TraesCS7B01G445000;TraesCS7A01G163300;TraesCS6B01G052400;TraesCS1A01G217300;TraesCS1B01G363100;TraesCS5A01G253200;TraesCS5D01G314100;TraesCS3D01G072000;TraesCS6B01G222200;TraesCS7A01G528200;TraesCS6A01G319600;TraesCS7D01G318600;TraesCS4D01G069300;TraesCS2A01G190200;TraesCS4B01G157800;TraesCS4B01G235400;TraesCS3A01G276200;TraesCS6D01G291800;TraesCS1A01G312700;TraesCS3A01G033000;TraesCS4B01G088700;TraesCS6D01G360900;TraesCS2A01G456600;TraesCS2D01G219800;TraesCS5B01G182000;TraesCS6B01G225700;TraesCS4D01G366100;TraesCS1A01G182100;TraesCS1A01G206200;TraesCS5A01G350800;TraesCS2A01G170600;TraesCS2D01G297300;TraesCS1D01G119500;TraesCS2A01G285900;TraesCS4B01G054900;TraesCS2B01G393000;TraesCS7D01G305300;TraesCS6B01G398500;TraesCS1A01G045300;TraesCS7D01G444700;TraesCS1A01G370600;TraesCS5A01G402100;TraesCS2B01G477600;TraesCS7A01G287100;TraesCS1D01G074500;TraesCS4B01G077600;TraesCS3D01G467600;TraesCS4B01G210100;TraesCS3D01G270300;TraesCS3A01G274000;TraesCS5B01G371800;TraesCS2B01G151100;TraesCS3A01G507500;TraesCS6D01G198600;TraesCS1D01G100900;TraesCS6A01G238500;TraesCS1D01G238900;TraesCS3A01G344400;TraesCS3A01G373800;TraesCS4A01G213500;TraesCS7D01G118100;TraesCS6A01G119100;TraesCS1B01G089000;TraesCS1D01G188500;TraesCS3A01G034300;TraesCS5D01G328300;TraesCS3D01G171800;TraesCS2B01G454500;TraesCS4A01G050000;TraesCS2B01G189300;TraesCS2B01G118500;TraesCS6D01G199500;TraesCS6A01G361100;TraesCS6B01G108100;TraesCS2D01G000300;TraesCS4B01G222100;TraesCS2D01G537100;TraesCSU01G169600;TraesCS5B01G468400;TraesCS5D01G387900;TraesCS5D01G232100;TraesCS6A01G351300;TraesCS2A01G204500;TraesCS2D01G426600;TraesCS3D01G039400;TraesCS5D01G249800;TraesCS5D01G524800;TraesCS3B01G196900;TraesCS4A01G062000;TraesCS1D01G249600;TraesCS4D01G215100;TraesCS2B01G180500;TraesCS3D01G008700;TraesCS2B01G542300;TraesCS1B01G461600;TraesCS2D01G529500;TraesCS2A01G121200;TraesCS6B01G207000;TraesCS5B01G526000;TraesCS7A01G427100;TraesCS3D01G030600;TraesCS1A01G367000;TraesCS1D01G046000;TraesCS5A01G322300;TraesCS5D01G320800;TraesCS2A01G216500;TraesCS7D01G165300;TraesCS5B01G141900;TraesCS2A01G323000;TraesCS3B01G506700;TraesCS7B01G129500;TraesCS6D01G166600;TraesCS2A01G418300;TraesCS7B01G194100;TraesCS4B01G214500;TraesCS3A01G077000;TraesCS7B01G299200;TraesCS5A01G051800;TraesCS5B01G184600;TraesCS2D01G382500;TraesCS3A01G245500;TraesCS3A01G222400;TraesCS6D01G087700;TraesCS2D01G097700;TraesCS2B01G537800;TraesCS2D01G223000;TraesCS1D01G258900;TraesCS5A01G481300;TraesCS7D01G052600;TraesCS2D01G349000;TraesCS5A01G341000;TraesCS2D01G163300;TraesCS2D01G232400;TraesCS2A01G516800;TraesCS5B01G307600;TraesCS7A01G194900;TraesCS2D01G216700;TraesCS3D01G104100;TraesCS7B01G294800;TraesCS1A01G221400;TraesCS2D01G317400;TraesCS1D01G209500;TraesCS1B01G088500;TraesCS1B01G384900;TraesCS2A01G525300;TraesCS3D01G137000;TraesCS2D01G279500;TraesCS4D01G059100;TraesCS6D01G320400;TraesCS5D01G424600;TraesCS5D01G390700;TraesCS5A01G468300;TraesCS3B01G360600;TraesCS4D01G261400;TraesCS3A01G256200;TraesCS1D01G140500;TraesCS5D01G208900;TraesCS5D01G365300;TraesCS5B01G155700;TraesCS1D01G419400;TraesCS6A01G262200;TraesCS3B01G406000;TraesCS1B01G241100;TraesCS6B01G281800;TraesCS7D01G324900;TraesCS3B01G046800;TraesCS3D01G256400;TraesCS2B01G001400;TraesCS6B01G421400;TraesCS2B01G097100;TraesCS5D01G421100;TraesCS7A01G167300;TraesCS1A01G080500;TraesCS1A01G330500;TraesCS1A01G187400;TraesCS6B01G375400;TraesCS7B01G309900;TraesCS4A01G484800;TraesCS2B01G536500;TraesCS6D01G122100;TraesCS7A01G264400;TraesCS1D01G372600;TraesCS5A01G294600;TraesCSU01G111800;TraesCS7A01G369500;TraesCS2A01G189600;TraesCS5B01G538800;TraesCS2D01G231100;TraesCS6B01G412500;TraesCS7D01G248200;TraesCS2B01G229000;TraesCS1A01G329500;TraesCS1A01G304200;TraesCS7B01G107300;TraesCS1D01G218000;TraesCS6A01G312600;TraesCS6A01G280000;TraesCS5A01G424300;TraesCS2A01G433500;TraesCS5B01G152600;TraesCS2A01G458800;TraesCS1D01G283900;TraesCS6A01G155200;TraesCS6D01G260200;TraesCS4A01G203300;TraesCS3B01G153800;TraesCS4A01G029800;TraesCS7B01G395000;TraesCS4D01G180800;TraesCS4A01G017400;TraesCSU01G238700;TraesCS1B01G376000;TraesCS2B01G304800;TraesCS6B01G340300;TraesCS2A01G384400;TraesCS2D01G491600;TraesCS3B01G291900;TraesCS5A01G505000;TraesCS5D01G040500;TraesCS6A01G226100;TraesCS2A01G211200;TraesCS6D01G226300;TraesCS5A01G426500;TraesCS1A01G411600;TraesCS2A01G040900;TraesCS5B01G313000;TraesCS5B01G095900;TraesCS4D01G004400;TraesCS2A01G396400;TraesCS4B01G201600;TraesCS5A01G205500;TraesCS3A01G097900;TraesCS1A01G183000;TraesCS3D01G261800;TraesCS3A01G362200;TraesCS4A01G124800;TraesCS3A01G477100;TraesCS6A01G264800;TraesCS7D01G188000;TraesCS5D01G333700;TraesCS2D01G199700;TraesCS5B01G215900;TraesCS2B01G394700;TraesCS7D01G086900;TraesCS2B01G208900;TraesCS2A01G343100;TraesCS2D01G301100;TraesCS7D01G449500;TraesCS2A01G382700;TraesCS1B01G326600;TraesCS7B01G327400;TraesCS2D01G144500;TraesCS3B01G371200;TraesCS7A01G264800;TraesCS3B01G600300;TraesCS3D01G015900;TraesCS5D01G183100;TraesCS3B01G484000;TraesCS1D01G082600;TraesCS6A01G141500;TraesCS5B01G294600;TraesCS2A01G538200;TraesCS7B01G347000;TraesCS4A01G130600;TraesCS6A01G336600;TraesCS6A01G378000;TraesCS7D01G010000;TraesCS2A01G291700;TraesCS6D01G258300;TraesCS6D01G319900;TraesCS7B01G100600;TraesCS7A01G512300;TraesCS4B01G070500;TraesCS2B01G480300;TraesCS2D01G464400;TraesCS7D01G000200;TraesCS5D01G358600;TraesCS4B01G162700;TraesCS6D01G248500;TraesCS3A01G377700;TraesCS1D01G216200;TraesCS6B01G412400;TraesCS4A01G091000;TraesCS5B01G165100;TraesCS6B01G284000;TraesCS4A01G010000;TraesCS4A01G255400;TraesCS6D01G257000;TraesCS2D01G463100;TraesCS4D01G272500;TraesCS5A01G078400;TraesCS7D01G024200;TraesCS1D01G451900;TraesCS2B01G324900;TraesCS6A01G258900;TraesCS7D01G335500;TraesCS6D01G359100;TraesCS7A01G308600;TraesCS2A01G371600;TraesCS7D01G516100;TraesCS7A01G282200;TraesCS6D01G180400;TraesCS3D01G049700;TraesCS5D01G519800;TraesCS3D01G335700;TraesCS6D01G217800;TraesCS3A01G486000;TraesCS7A01G101500;TraesCS7D01G197300;TraesCS7D01G189700;TraesCS2A01G106500;TraesCS2D01G485300;TraesCS7D01G506300;TraesCS2D01G185000;TraesCS1D01G299400;TraesCS6B01G193200;TraesCS1B01G234700;TraesCS5A01G182400;TraesCS6D01G056600;TraesCS4B01G345400;TraesCS1A01G284900;TraesCS2A01G083300;TraesCS1A01G342600;TraesCS3D01G308100;TraesCS5B01G214500;TraesCS6A01G302400;TraesCS6B01G255500;TraesCS1B01G347100;TraesCS5B01G428400;TraesCS7A01G406100;TraesCS5D01G261000;TraesCS6B01G127300;TraesCS7B01G372400;TraesCS7D01G383600;TraesCS7D01G085600;TraesCS2B01G196400;TraesCS2D01G107100;TraesCSU01G016900;TraesCS2D01G455900;TraesCS4D01G126900;TraesCS3B01G166600;TraesCS3B01G441600;TraesCS7A01G323800;TraesCS7A01G365600;TraesCS3B01G156800;TraesCSU01G249900;TraesCS1D01G232700;TraesCS7A01G223000;TraesCS2D01G431500;TraesCS5A01G235400;TraesCS6D01G226700;TraesCS7A01G197900;TraesCS7B01G101500;TraesCS3A01G254900;TraesCS3D01G172200;TraesCS3B01G004600;TraesCS2D01G314400;TraesCS4A01G080300;TraesCS5D01G185300;TraesCS5D01G288100;TraesCS4A01G323500;TraesCS4D01G352700;TraesCS2D01G513600;TraesCS2A01G201800;TraesCS7A01G010200;TraesCS4D01G098600;TraesCS3A01G477500;TraesCS6A01G277600;TraesCS1A01G215500;TraesCS4B01G251100;TraesCS2B01G035300;TraesCS7D01G488800;TraesCS6A01G187300;TraesCS1D01G076200;TraesCS7B01G250400;TraesCS5B01G208300;TraesCS5B01G133500;TraesCS6D01G110600;TraesCS6B01G152700;TraesCS7A01G321600;TraesCS2A01G187900;TraesCS6B01G059800;TraesCS4B01G007300;TraesCS4D01G089300;TraesCS5A01G090100;TraesCS3D01G472200;TraesCS4D01G104100;TraesCS1D01G398400;TraesCS7A01G328600;TraesCS6A01G245200;TraesCS5B01G520600;TraesCS5D01G346200;TraesCS2B01G047300;TraesCS6A01G306800;TraesCS3D01G502500;TraesCS1D01G239700;TraesCS5D01G540800;TraesCS1D01G082200;TraesCS5A01G198800;TraesCS7D01G201600;TraesCS5D01G064000;TraesCS1D01G032600;TraesCS3D01G179200;TraesCS5B01G078500;TraesCS2B01G318600;TraesCS2D01G564300;TraesCS4B01G171600;TraesCS6D01G225800;TraesCS7A01G306800;TraesCS4A01G384500;TraesCS7D01G224700;TraesCS5B01G225200;TraesCS6A01G375800;TraesCS2D01G528200;TraesCS2B01G241900;TraesCS4B01G132000;TraesCS6D01G328800;TraesCS4B01G216700;TraesCS2A01G324400;TraesCS5B01G056700;TraesCS1A01G073300;TraesCS6A01G243000;TraesCS4B01G137700;TraesCS7B01G008400;TraesCS1B01G251700;TraesCS7A01G131300;TraesCS3A01G439200;TraesCS7A01G412400;TraesCS7D01G372500;TraesCS4B01G286600;TraesCS7D01G368000;TraesCS2B01G539200;TraesCS6B01G335400;TraesCS6A01G258500;TraesCS2B01G315100;TraesCS7A01G423900;TraesCS2A01G339900;TraesCS5D01G139800;TraesCS4A01G071800;TraesCS4B01G228700;TraesCS4D01G147400;TraesCS1B01G157700;TraesCS2B01G169700;TraesCS7B01G277900;TraesCS7D01G054000;TraesCS2D01G098200;TraesCS1D01G314800;TraesCS2A01G150600;TraesCS4A01G009400;TraesCS7A01G537200;TraesCS5A01G080300;TraesCS4A01G171500;TraesCS5A01G048600;TraesCS2A01G401000;TraesCS7D01G474200;TraesCS3D01G262300;TraesCS5D01G212900;TraesCS7B01G025800;TraesCS7D01G359100;TraesCS1A01G417800;TraesCS6A01G148100;TraesCS7D01G353800;TraesCS2D01G450600;TraesCS3A01G191100;TraesCS7A01G118300;TraesCS6D01G290400;TraesCS5D01G158100;TraesCS6A01G266100;TraesCS1B01G398700;TraesCS4D01G264500;TraesCS6A01G120600;TraesCS2B01G341400;TraesCS5A01G152600;TraesCS7D01G167900;TraesCS2A01G023900;TraesCS4B01G052300;TraesCS7B01G104600;TraesCS1B01G478400;TraesCS5A01G463100;TraesCS1D01G312600;TraesCS3A01G419600;TraesCS6D01G050900;TraesCS5D01G465500;TraesCS4A01G431500;TraesCS3D01G337900;TraesCS1D01G073100;TraesCS3D01G514900;TraesCS7A01G059500;TraesCS1D01G237100;TraesCS4D01G173700;TraesCS2D01G509500;TraesCS3D01G300200;TraesCS3B01G295500;TraesCS7D01G130600;TraesCS3A01G009400;TraesCS7D01G213600;TraesCS4D01G220500;TraesCS1A01G215100;TraesCS5B01G437300;TraesCS6D01G281900;TraesCS7D01G203800;TraesCS5A01G312000;TraesCS7D01G364900;TraesCSU01G150500;TraesCS6B01G190100;TraesCS4D01G325500;TraesCS7A01G069300;TraesCS7D01G048600;TraesCS3A01G295000;TraesCS7A01G091200;TraesCS7D01G128300;TraesCS2B01G595300;TraesCS4A01G175900;TraesCS1B01G095600;TraesCS2A01G428500;TraesCS3B01G280000;TraesCS1D01G295800;TraesCS1D01G270500;TraesCS3D01G535700;TraesCS7B01G325900;TraesCS4D01G175700;TraesCS3B01G356600;TraesCS3A01G493100;TraesCS7B01G105600;TraesCS2B01G197000;TraesCS6D01G335600;TraesCS2B01G109700;TraesCS6B01G305600;TraesCS7A01G127100;TraesCS3D01G250800;TraesCS5A01G217000;TraesCS3B01G415900;TraesCS5B01G082500;TraesCS3A01G255600;TraesCS4B01G335100;TraesCS6A01G225300;TraesCS7D01G113800;TraesCS2B01G243000;TraesCS6D01G240100;TraesCS3D01G050100;TraesCS7B01G092200;TraesCS6B01G420600;TraesCS6B01G141000;TraesCS5B01G358900;TraesCS5D01G478700;TraesCS5B01G203100;TraesCS1B01G198900;TraesCS2D01G137500;TraesCS2B01G407600;TraesCS3A01G199600;TraesCS1D01G111900;TraesCS2D01G507800;TraesCS1A01G228100;TraesCS2A01G503800;TraesCS1B01G333800;TraesCS6D01G369400;TraesCS5B01G233800;TraesCS7B01G093500;TraesCS7D01G303000;TraesCS5A01G062600;TraesCS3D01G078900;TraesCS3B01G279900;TraesCS4A01G262600;TraesCS6B01G006600;TraesCSU01G008300;TraesCS3B01G206500;TraesCS2D01G321400;TraesCS1A01G093300;TraesCS2D01G504300;TraesCS2D01G275400;TraesCS1A01G276200;TraesCS7B01G255500;TraesCS2A01G384100;TraesCS2D01G197600;TraesCS1D01G259700;TraesCS6A01G272500;TraesCS4A01G131000;TraesCS2D01G219900;TraesCS4B01G225500;TraesCS5B01G381500;TraesCS7B01G287100;TraesCS5D01G340300;TraesCS3D01G472000;TraesCS5A01G071500;TraesCS2D01G414500;TraesCS6A01G216800;TraesCS4D01G035200;TraesCS5B01G193200;TraesCS5B01G252100;TraesCS1D01G420900;TraesCS5D01G194700;TraesCS7D01G341300;TraesCS2D01G214200;TraesCS3B01G529700;TraesCS5A01G209800;TraesCS1D01G303700;TraesCS2D01G562200;TraesCS3B01G319600;TraesCS5A01G356400;TraesCS5D01G211300;TraesCS7D01G356800;TraesCS2B01G436100;TraesCS7A01G241200;TraesCS1D01G074600;TraesCS7D01G201000;TraesCS1D01G037200;TraesCS6B01G197000;TraesCS4B01G080900;TraesCS3D01G316700;TraesCS3B01G584500;TraesCS2B01G430800;TraesCS4A01G110100;TraesCS4B01G174000;TraesCS1B01G089100;TraesCS3D01G178300;TraesCS2A01G217700;TraesCS5B01G138400;TraesCS5A01G390300;TraesCS1B01G385000;TraesCS4A01G089800;TraesCS5B01G207900;TraesCS5A01G059400;TraesCS3A01G293900;TraesCS6B01G280000;TraesCS7D01G395100;TraesCS5B01G445200;TraesCS1D01G237500;TraesCS5B01G275200;TraesCS1D01G199500;TraesCS2A01G237300;TraesCS3B01G357500;TraesCS4B01G098200;TraesCS3B01G275500;TraesCS5A01G335500;TraesCS3A01G138200;TraesCS3A01G266300;TraesCS3D01G039300;TraesCSU01G021700;TraesCS7D01G124900;TraesCS3D01G046000;TraesCS4B01G141500;TraesCS2A01G288000;TraesCS1A01G210400;TraesCS3A01G471700;TraesCS7B01G179900;TraesCS3B01G155900;TraesCS3D01G256500;TraesCS1A01G141300;TraesCS6D01G367600;TraesCS2D01G567000;TraesCS2A01G446500;TraesCS5D01G225100;TraesCS2B01G536600;TraesCS2D01G315100;TraesCS5B01G191900;TraesCS1D01G372700;TraesCS6D01G145100;TraesCS6D01G220900;TraesCS7A01G342100;TraesCS3B01G240000;TraesCS2A01G304000;TraesCS2D01G493700;TraesCS3A01G408000;TraesCS6D01G083200;TraesCS3D01G478200;TraesCS3D01G212100;TraesCS4A01G207800;TraesCS6A01G280100;TraesCS5D01G482800;TraesCS7A01G470400;TraesCS1B01G158000;TraesCS6D01G109000;TraesCS2D01G489200;TraesCS4B01G059400;TraesCS7B01G272900;TraesCS6A01G242700;TraesCS4A01G042700;TraesCS2B01G189000;TraesCS6A01G277800;TraesCS5B01G223600;TraesCS6D01G363200;TraesCS4A01G075600;TraesCS7D01G243700;TraesCS2A01G141100;TraesCS5A01G455100;TraesCS3B01G370500;TraesCS5B01G236900;TraesCS1D01G114100;TraesCS7D01G380900;TraesCS3A01G037100;TraesCS3D01G104000;TraesCS5A01G321300;TraesCS6A01G167300;TraesCS6A01G310300;TraesCS1A01G375800;TraesCS3A01G176500;TraesCS3A01G050500;TraesCS2A01G198400;TraesCS5A01G206700;TraesCS6A01G157500;TraesCS7B01G015200;TraesCS7A01G392800;MORE</t>
  </si>
  <si>
    <t>TraesCS1D01G073000;TraesCS1D01G184500;TraesCS1D01G270500;TraesCS1A01G329500;TraesCS1B01G089000;TraesCS2A01G382700;TraesCS7B01G253600;TraesCS4D01G232700;TraesCS2B01G414800;TraesCS4D01G052500;TraesCS4D01G159500;TraesCS3D01G378700;TraesCS7A01G392800;TraesCS4A01G159700;TraesCS5B01G407300;TraesCS4D01G264500;TraesCS2A01G421400;TraesCS7B01G372400;TraesCS7D01G383600;TraesCS2A01G516800;TraesCS4B01G222100;TraesCS7B01G294800;TraesCS1A01G072200;TraesCS1A01G181000;TraesCS3B01G141600;TraesCS4B01G052300;TraesCS2B01G440400;TraesCS3D01G435900;TraesCS5A01G186000;TraesCS1D01G074600;TraesCS3A01G385600;TraesCS4B01G264500;TraesCS2D01G379000;TraesCS4A01G081700;TraesCS7B01G274100;TraesCS7D01G388400;TraesCS4A01G431500;TraesCS4B01G231400;TraesCSU01G249900;TraesCS7A01G059500;TraesCS3B01G100600;TraesCS5B01G184100;TraesCS7A01G470400;TraesCS2D01G418400;TraesCS5D01G412500;TraesCS2D01G139200;TraesCS3A01G443500;TraesCS7A01G387000;TraesCS4D01G222600;TraesCS2A01G396400;TraesCS2D01G394200;TraesCS4A01G262600;TraesCS2A01G516500;TraesCS2B01G400000;TraesCS4A01G075600;TraesCS7D01G054000;TraesCS3B01G477100;TraesCS6D01G397500;TraesCS7D01G457800;TraesCS5A01G375000;TraesCS4B01G124800;TraesCS4A01G431600;TraesCS4A01G043800</t>
  </si>
  <si>
    <t>vitamin B6 binding</t>
  </si>
  <si>
    <t>TraesCS7D01G225200;TraesCS2D01G284200;TraesCS2B01G208900;TraesCS6A01G190700;TraesCS5B01G482400;TraesCS7A01G246700;TraesCS7D01G392800;TraesCS5D01G482800;TraesCS7A01G470400;TraesCS2B01G180500;TraesCS4D01G238600;TraesCS4D01G326400;TraesCS6D01G039300;TraesCS6D01G257000;TraesCS4B01G100100;TraesCS2B01G189300;TraesCS4D01G264500;TraesCS2A01G033700;TraesCS4D01G096400;TraesCS7B01G372400;TraesCS2A01G155500;TraesCS6B01G222200;TraesCS7D01G245500;TraesCS2D01G392800;TraesCS4A01G216100;TraesCS1D01G074500;TraesCS5D01G183700;TraesCS6D01G180400;TraesCS5A01G469800;TraesCS5B01G392400;TraesCS4B01G237300;TraesCS7D01G457800;TraesCS7B01G299200;TraesCS2A01G384100;TraesCS7B01G144600;TraesCS7A01G365600;TraesCS1A01G295300;TraesCS4D01G315400;TraesCS4A01G043800</t>
  </si>
  <si>
    <t>defense response, incompatible interaction</t>
  </si>
  <si>
    <t>TraesCS3B01G276600;TraesCS5A01G392300;TraesCS6D01G393600;TraesCS5B01G482400;TraesCS1B01G171400;TraesCS6D01G161200;TraesCS7B01G346600;TraesCS2D01G540600;TraesCS6A01G201100;TraesCS2A01G188000;TraesCS3D01G500600;TraesCS6A01G212000;TraesCS5B01G342100;TraesCS6B01G238800;TraesCS2A01G389900;TraesCS5A01G118600;TraesCS2A01G056800;TraesCS2B01G449100;TraesCS6A01G032500;TraesCS7D01G343800;TraesCS5A01G152400;TraesCS3B01G562500;TraesCS7D01G328400;TraesCS6D01G275100;TraesCS5B01G380600;TraesCS5A01G177800;TraesCS7B01G221800;TraesCS2A01G373200;TraesCS2D01G182100;TraesCS4A01G101600;TraesCS6A01G032400;TraesCS1D01G292400;TraesCS2A01G583700;TraesCS4A01G206900;TraesCS4A01G145300;TraesCS3A01G217200;TraesCS4B01G335100;TraesCS1A01G150400;TraesCS2B01G198100;TraesCS1D01G074400;TraesCS4B01G339700;TraesCS2D01G277600;TraesCS1D01G152000;TraesCS5D01G157600;TraesCS5A01G025400;TraesCS6D01G049600;TraesCS2D01G540500;TraesCS5B01G358900;TraesCS3D01G180500;TraesCS3A01G149300;TraesCS6A01G148600;TraesCS7D01G145500;TraesCS3A01G300400;TraesCS5B01G222900;TraesCS2B01G451400;TraesCS7A01G223600;TraesCS1A01G048700;TraesCS4B01G353800;TraesCS5B01G243600;TraesCS1D01G111900;TraesCS4A01G085000;TraesCS4D01G045300;TraesCS4D01G347700;TraesCS2B01G293700;TraesCS4A01G035900;TraesCS1A01G002500;TraesCS5A01G460300;TraesCS5D01G109500;TraesCS7A01G130600;TraesCS6B01G238700;TraesCS6D01G153600;TraesCS1A01G072600;TraesCS2A01G259500;TraesCS7A01G517100;TraesCS2B01G393000;TraesCS1B01G182200;TraesCS3B01G562400;TraesCS3D01G290000;TraesCS5D01G362200;TraesCS7D01G230900;TraesCS2D01G520900;TraesCS5B01G135200;TraesCS1B01G264600;TraesCS3A01G505200;TraesCS1A01G045300;TraesCS7A01G335400;TraesCS3A01G383600;TraesCS2B01G271700;TraesCS7D01G510000;TraesCS2A01G061000;TraesCS2A01G384100;TraesCS2B01G350600;TraesCS7A01G321000;TraesCS2B01G266000;TraesCS3D01G188000;TraesCS4B01G306900;TraesCS5D01G463100;TraesCS6B01G145700;TraesCS4A01G200100;TraesCS1A01G425400;TraesCS5B01G530800;TraesCS1A01G343000;TraesCS4A01G110200;TraesCS5B01G033400;TraesCS7D01G225200;TraesCS5D01G237800;TraesCS3D01G373600;TraesCS4D01G125000;TraesCS5D01G480600;TraesCS6A01G240900;TraesCS1B01G158500;TraesCS5A01G096800;TraesCS4B01G076400;TraesCS5B01G117600;TraesCS7D01G260600;TraesCS4B01G131500;TraesCS2D01G031100;TraesCS3A01G265100;TraesCS7D01G106000;TraesCS3D01G443400;TraesCS3B01G298700;TraesCS5A01G356400;TraesCS6A01G353600;TraesCS1B01G307200;TraesCS5D01G183700;TraesCS2D01G226300;TraesCS3D01G251700;TraesCS5A01G216000;TraesCS6A01G097100;TraesCS3B01G288900;TraesCS5B01G217100;TraesCS2B01G336000;TraesCS6D01G037300;TraesCS3D01G373700;TraesCS1D01G293400;TraesCS2D01G483700;TraesCS6A01G056500;TraesCS3D01G136700;TraesCS2B01G180500;TraesCS1D01G335400;TraesCS3A01G293900;TraesCS6B01G280000;TraesCS3D01G252800;TraesCS5D01G270600;TraesCS2B01G605800;TraesCS2D01G198900;TraesCS3B01G323500;TraesCS4D01G012300;TraesCS1D01G046000;TraesCS1B01G058600;TraesCS2A01G237300;TraesCS2D01G264200;TraesCS3D01G209300;TraesCS1D01G108300;TraesCS1D01G227700;TraesCS3B01G401600;TraesCS2D01G224100;TraesCS7B01G299200;TraesCS6B01G386200;TraesCS6B01G059000;TraesCS1D01G144600;TraesCSU01G073900;TraesCS5D01G201400;TraesCS1D01G345200;TraesCS4B01G101900;TraesCS5B01G217000;TraesCS1D01G004700;TraesCS3B01G467500;TraesCS6D01G037200;TraesCS6A01G209900;TraesCS7A01G118900;TraesCS5B01G188600;TraesCS7A01G231600;TraesCS7D01G392800;TraesCS3D01G344800;TraesCS2B01G485600;TraesCS1A01G093800;TraesCS2B01G326900;TraesCS7A01G480100;TraesCS5A01G003100;TraesCS4D01G096400;TraesCS4D01G258000;TraesCS4B01G115200;TraesCS7A01G230500;TraesCS5D01G402100;TraesCS5B01G200000;TraesCS3A01G257500;TraesCS1B01G346500;TraesCS7D01G467100;TraesCS7A01G267800;TraesCS4B01G268700;TraesCS5A01G354300;TraesCS7D01G507300;TraesCS2B01G593500;TraesCS2D01G199600;TraesCS4D01G229700;TraesCS5A01G300800;TraesCS5B01G014400;TraesCS4B01G174200;TraesCS3D01G207900;TraesCS6D01G248100;TraesCS4B01G219200;TraesCS5D01G482800;TraesCS7A01G470400;TraesCS5D01G365300;TraesCS5A01G189500;TraesCS5B01G155700;TraesCS7A01G301700;TraesCS1D01G013200;TraesCS1A01G279300;TraesCS5A01G521500;TraesCS1B01G195900;TraesCS2B01G569500;TraesCS3D01G424900;TraesCS7A01G553000;TraesCS1D01G382400;TraesCS4A01G130300;TraesCS2A01G276000;TraesCS1A01G265200;TraesCS7D01G278900;TraesCS3A01G175000;TraesCS5A01G492100;TraesCS2A01G155500;TraesCS5A01G425600;TraesCS1B01G229100;TraesCS5A01G368600;TraesCS1D01G368100;TraesCS3B01G487700;TraesCS2D01G396700;TraesCS5B01G156800;TraesCS1D01G253200;TraesCS2A01G064900;TraesCS5D01G519400;TraesCS2D01G275000;TraesCS4D01G034000;TraesCS1A01G071800;TraesCS1A01G385800;TraesCS3D01G257500;TraesCS4B01G174300;TraesCS7B01G260800;TraesCS4B01G065100;TraesCS4A01G412500;TraesCS5D01G531600;TraesCS6A01G171800;TraesCS5A01G229700;TraesCS1D01G002600;TraesCS5B01G362700;TraesCS4A01G129000;TraesCS4D01G238600;TraesCS5A01G424300;TraesCS6D01G039300;TraesCS1A01G153600;TraesCS5D01G031800;TraesCS3A01G309800;TraesCS2D01G118400;TraesCS1B01G356100;TraesCS2B01G569600;TraesCS4D01G191700;TraesCS6B01G283800;TraesCS5D01G187100;TraesCS6B01G383300;TraesCS4D01G132500;TraesCS3A01G355700;TraesCS2A01G188600;TraesCS5D01G041500;TraesCS1A01G005900;TraesCS2A01G539500;TraesCS5A01G534900;TraesCS4A01G050500;TraesCS1A01G150200;TraesCS4D01G176200;TraesCS1A01G246400;TraesCS6B01G199700;TraesCS7D01G318000;TraesCS1D01G198600;TraesCS5B01G316300;TraesCS2B01G245900;TraesCS2A01G284900;TraesCS2D01G304300;TraesCS4D01G112900;TraesCS6B01G128000;TraesCS6B01G145800;TraesCS3A01G129000;TraesCS5A01G505000;TraesCS4B01G304300;TraesCS1D01G268600;TraesCS2A01G047300;TraesCS6D01G085300;TraesCS6D01G146500;TraesCS3B01G280800;TraesCS7D01G055700;TraesCS5B01G371200;TraesCS6B01G456500;TraesCS3B01G148100;TraesCS5B01G079100;TraesCS6D01G335900;TraesCS3B01G593700;TraesCS3B01G287200;TraesCS5A01G031700;TraesCS1A01G342900;TraesCS1B01G356200;TraesCS4A01G113800;TraesCS4D01G108200;TraesCS2A01G188700;TraesCS2B01G296100;TraesCS4B01G175700;TraesCS3D01G376700;TraesCS4A01G249600;TraesCS2A01G539600;TraesCS3B01G416000;TraesCS1D01G269700;TraesCS4D01G176300;TraesCS4B01G142700;TraesCS5A01G368800;TraesCS6A01G294200;TraesCS3A01G385300;TraesCS5D01G215400;TraesCS5A01G142000;TraesCS7A01G520300;TraesCS4D01G305100;TraesCS5A01G016200;TraesCS5B01G155900;TraesCS2B01G141900;TraesCS4D01G294600;TraesCS6A01G347900;TraesCS1B01G001800;TraesCS5D01G130000;TraesCS7A01G365100;TraesCS1B01G168100;TraesCS7D01G355100;TraesCS5B01G520200;TraesCS5D01G231500;TraesCS2B01G208900;TraesCS7D01G114100;TraesCS7B01G157600;TraesCS5B01G371100;TraesCS6A01G177700;TraesCS2D01G576000;TraesCS5A01G182600;TraesCS5D01G307000;TraesCS2B01G218700;TraesCS4B01G057400;TraesCS6B01G324800;TraesCS3D01G313900;TraesCS5D01G142900;TraesCS3B01G373500;TraesCS4A01G384900;TraesCS5A01G041100;TraesCS6D01G193700;TraesCS7D01G435100;TraesCS5D01G378200;TraesCS4D01G262900;TraesCS3B01G361500;TraesCS3D01G288600;TraesCS5D01G207400;TraesCS3B01G283800;TraesCS2D01G451100;TraesCS5A01G224100;TraesCS7D01G377000;TraesCS2A01G153700;TraesCS4B01G203000;TraesCS5D01G039900;TraesCS6D01G296700;TraesCS6A01G244400;TraesCS2D01G283600;TraesCS5A01G469800;TraesCS2A01G080000;TraesCS3A01G056700;TraesCS4D01G141000;TraesCS3B01G213600;TraesCS5A01G453100;TraesCS1B01G164200;TraesCS5B01G031800;TraesCS5D01G174400;TraesCS4A01G091000;TraesCS3B01G383400;TraesCS1B01G395400;TraesCS4A01G404500;TraesCS3B01G255200;TraesCS6D01G257000;TraesCS6B01G176800;TraesCS3A01G492900;TraesCS2D01G060000;TraesCS4B01G045400;TraesCS4D01G268000;TraesCS6A01G323400;TraesCS4B01G100100;TraesCS5D01G085800;TraesCS5D01G378100;TraesCS2A01G220400;TraesCS2A01G463900;TraesCS5D01G022200;TraesCS3A01G317400;TraesCS1A01G298900;TraesCS5A01G366700;TraesCS3A01G183800;TraesCS3B01G336100;TraesCS4A01G009000;TraesCS5A01G463000;TraesCS1A01G269400;TraesCS5A01G467600;TraesCS5D01G218300;TraesCS5D01G463900;TraesCS5B01G498400;TraesCS1D01G102400;TraesCS2D01G199100;TraesCS1A01G297800;TraesCS5A01G510300;TraesCS4D01G360300;TraesCS3D01G193200;TraesCS4A01G072700;TraesCS4D01G125800;TraesCS1D01G147400;TraesCS3B01G290300;TraesCS4D01G203900;TraesCSU01G003600;TraesCS3D01G308100;TraesCS5B01G214500;TraesCS7D01G452600;TraesCS5B01G151000;TraesCS4D01G098500;TraesCS1A01G332800;TraesCS2A01G278400;TraesCS7B01G372400;TraesCS1A01G215600;TraesCS1D01G265400;TraesCS5D01G347600;TraesCS4B01G243500;TraesCS2A01G174700;TraesCS4A01G216100;TraesCS5D01G163400;TraesCS3A01G362500;TraesCS5B01G357100;TraesCS3A01G252800;TraesCS5A01G073000;TraesCS4D01G271200;TraesCS7D01G539500;TraesCS3D01G299200;TraesCS2A01G539100;TraesCS3A01G377500;TraesCS4D01G316400;TraesCS7D01G357300;TraesCS7D01G114200;TraesCS1B01G288300;TraesCS2B01G348900;TraesCS3B01G532300;TraesCS7B01G190400;TraesCS6D01G226700;TraesCS4B01G096700;TraesCS6A01G266600;TraesCS4D01G243100;TraesCS1A01G015300;TraesCS1B01G324000;TraesCS2A01G278500;TraesCS6D01G237600;TraesCS3B01G247500;TraesCS6A01G210600;TraesCS5B01G107100;TraesCS1A01G363200;TraesCS5D01G475800;TraesCS1A01G047000;TraesCS2B01G232900;TraesCS4A01G277100;TraesCS4D01G044800;TraesCS4D01G147600;TraesCS4B01G035800;TraesCS3D01G219900;TraesCS7A01G419500;TraesCS4B01G367200;TraesCS2D01G443700;TraesCS4A01G187600;TraesCS7B01G247000;TraesCS1D01G047900;TraesCS5B01G175100;TraesCS5D01G226000;TraesCS4D01G064000;TraesCS4B01G246000;TraesCS1D01G184900;TraesCS6A01G245200;TraesCS2A01G305900;TraesCS5B01G373000;TraesCS1D01G335500;TraesCS6B01G045600;TraesCS6B01G125600;TraesCS3A01G414000;TraesCS6A01G351600;TraesCS2A01G205500;TraesCS1A01G086600;TraesCS4D01G302500;TraesCS2D01G362900;TraesCS5D01G225900;TraesCS2B01G246100;TraesCS3A01G181100;TraesCS4B01G125700;TraesCS6B01G295200;TraesCS6D01G302400;TraesCS2A01G098600;TraesCS3A01G429600;TraesCS7A01G085900;TraesCS1D01G112500;TraesCS1D01G296600;TraesCS2D01G373900;TraesCS5A01G209200;TraesCS3D01G244500;TraesCS7B01G043200;TraesCS2A01G541100;TraesCS7D01G014200;TraesCS2D01G077300;TraesCS3B01G349100;TraesCS2D01G098100;TraesCS3D01G414300;TraesCS4B01G237300;TraesCS4D01G055300;TraesCS7D01G044300;TraesCS7A01G110500;TraesCS2A01G420800;TraesCS1A01G312300;TraesCS2D01G464800;TraesCS6B01G239500;TraesCS7A01G279100;TraesCS6A01G043000;TraesCS2A01G428400;TraesCS2D01G369400;TraesCS4D01G070700;TraesCS5A01G342900;TraesCS1B01G280100;TraesCS7D01G548200;TraesCS2B01G451800;TraesCS7D01G143600;TraesCS2D01G540100;TraesCS2B01G204800;TraesCS2A01G399200;TraesCS4B01G137700;TraesCS7B01G008400;TraesCS6B01G450200;TraesCS5B01G261500;TraesCS5D01G179100;TraesCS3A01G418700;TraesCS5A01G485000;TraesCS2A01G121000;TraesCS6A01G210000;TraesCS6D01G138000;TraesCS7A01G259600;TraesCSU01G076400;TraesCS5A01G213700;TraesCS2A01G031200;TraesCS3A01G288800;TraesCS5A01G360200;TraesCS4D01G289900;TraesCS1D01G357500;TraesCS4B01G052200;TraesCS4A01G352900;TraesCS5B01G397100;TraesCS3A01G251300;TraesCS2D01G417800;TraesCS3A01G380600;TraesCS5D01G564000;TraesCS1D01G312500;TraesCS1A01G192300;TraesCS5B01G102700;TraesCS2D01G426500;TraesCS1A01G251600;TraesCS2D01G063000;TraesCS5D01G195700;TraesCS2B01G417900;TraesCS3D01G056500;TraesCS5A01G136200;TraesCS3A01G337500;TraesCS7D01G388900;TraesCS7B01G056700;TraesCS7D01G342900;TraesCS3A01G302600;TraesCS5B01G228500;TraesCS6B01G231800;TraesCS1A01G111000;TraesCS1D01G050000;TraesCS3B01G218800;TraesCS7A01G130300;TraesCS4D01G219400;TraesCS5A01G263100;TraesCS6B01G309200;TraesCS5D01G223800;TraesCS6D01G107600;TraesCS7B01G116700;TraesCS3A01G229400;TraesCS7D01G364700;TraesCS4A01G046700;TraesCS6D01G193100;TraesCS4B01G190300;TraesCS2D01G564100;TraesCS2A01G381800;TraesCS1A01G005100;TraesCS4A01G407500;TraesCS2D01G392800;TraesCS3B01G388400;TraesCS5B01G427600;TraesCS2D01G596100;TraesCS2B01G602900;TraesCS5D01G182100;TraesCS5B01G217500;TraesCS2D01G055600;TraesCS1A01G253600;TraesCS7A01G420300;TraesCS2D01G277800;TraesCS5D01G432800;TraesCS1D01G073100;TraesCS4A01G066200;TraesCS7A01G143800;TraesCS3D01G204000;TraesCS5B01G073000;TraesCS2D01G483300;TraesCS4A01G033400;TraesCS1B01G308600;TraesCS2D01G378300;TraesCS6B01G045700;TraesCS2B01G223000;TraesCS4A01G268800;TraesCS2A01G220600;TraesCS3A01G206100;TraesCS4A01G174700;TraesCS5D01G003800;TraesCS2B01G135900;TraesCS1B01G279200;TraesCS2B01G282400;TraesCS5B01G193700;TraesCS2A01G365000;TraesCS3A01G123000;TraesCS6B01G192400;TraesCS1B01G063800;TraesCS4D01G300100;TraesCS5D01G012500;TraesCS7A01G561600;TraesCS2D01G596000;TraesCS3D01G356300;TraesCS7D01G457800;TraesCS3A01G295000;TraesCS3D01G253500;TraesCS5A01G218000;TraesCS1A01G295300;TraesCS3B01G284600;TraesCS2B01G201100;TraesCS6B01G294000;TraesCS3B01G280000</t>
  </si>
  <si>
    <t>TraesCS2A01G155500;TraesCS2B01G208900;TraesCS5B01G482400;TraesCS7D01G392800;TraesCS2D01G392800;TraesCS5D01G482800;TraesCS7A01G470400;TraesCS2B01G180500;TraesCS4A01G216100;TraesCS4D01G238600;TraesCS6D01G039300;TraesCS5A01G469800;TraesCS5B01G392400;TraesCS4B01G237300;TraesCS7D01G457800;TraesCS7B01G299200;TraesCS2A01G384100;TraesCS4B01G100100;TraesCS4D01G264500;TraesCS1A01G295300;TraesCS4D01G096400;TraesCS7B01G372400;TraesCS4A01G043800</t>
  </si>
  <si>
    <t>systemic acquired resistance, salicylic acid mediated signaling pathway</t>
  </si>
  <si>
    <t>TraesCS2D01G538400;TraesCS3B01G490000;TraesCS5D01G359000;TraesCS6A01G419200;TraesCS6D01G358600;TraesCS7D01G092900;TraesCS3D01G042600;TraesCS1B01G454000;TraesCS6D01G102100;TraesCS3B01G295000;TraesCS7B01G473700;TraesCS1B01G375100;TraesCS3B01G455000;TraesCS4A01G252900;TraesCS7A01G188600;TraesCS2B01G359300;TraesCS4D01G207500;TraesCS6A01G124500;TraesCS7B01G445000;TraesCS7A01G163300;TraesCS6B01G052400;TraesCS1A01G217300;TraesCS5D01G314100;TraesCS2B01G236800;TraesCS4D01G210900;TraesCS3D01G072000;TraesCS6B01G222200;TraesCS7A01G528200;TraesCS7D01G318600;TraesCS2D01G079200;TraesCS2A01G190200;TraesCS7A01G476700;TraesCS3A01G138300;TraesCS3A01G276200;TraesCS3D01G049000;TraesCS3A01G033000;TraesCS4B01G088700;TraesCS6D01G360900;TraesCS3A01G342000;TraesCS2D01G219800;TraesCS5B01G182000;TraesCS6B01G225700;TraesCS4D01G366100;TraesCS5D01G204700;TraesCS3D01G340500;TraesCS5B01G526200;TraesCS6A01G052100;TraesCS4B01G376800;TraesCS1A01G206200;TraesCS5A01G350800;TraesCS2A01G170600;TraesCS2D01G255700;TraesCS7A01G130600;TraesCS2D01G297300;TraesCS4B01G054900;TraesCS2A01G316500;TraesCS1A01G367200;TraesCS5B01G101200;TraesCS2A01G182800;TraesCS2A01G216700;TraesCS6B01G398500;TraesCS2A01G537900;TraesCS1A01G045300;TraesCS7D01G444700;TraesCS5A01G402100;TraesCS2B01G477600;TraesCS7A01G287100;TraesCS7B01G047300;TraesCS4B01G077600;TraesCS3D01G467600;TraesCS4B01G210100;TraesCS3D01G270300;TraesCS3A01G274000;TraesCS3A01G163300;TraesCS5B01G371800;TraesCS2B01G151100;TraesCS3D01G316400;TraesCS6D01G198600;TraesCS1D01G100900;TraesCS6A01G238500;TraesCS1A01G184500;TraesCS3A01G344400;TraesCS3A01G048700;TraesCS1B01G385100;TraesCS4A01G213500;TraesCS7D01G118100;TraesCS6A01G119100;TraesCS4A01G089700;TraesCS1D01G363500;TraesCS3A01G034300;TraesCS4B01G238700;TraesCS5D01G328300;TraesCS6D01G289700;TraesCS6A01G078700;TraesCS3B01G113500;TraesCS4A01G050000;TraesCS2D01G000300;TraesCS2D01G537100;TraesCS5D01G387900;TraesCS5D01G232100;TraesCS5A01G216000;TraesCS2D01G449900;TraesCS5B01G146100;TraesCS2D01G426600;TraesCS3D01G039400;TraesCS7B01G356500;TraesCS6D01G137400;TraesCS5D01G524800;TraesCS3B01G049700;TraesCS3B01G196900;TraesCS5A01G197200;TraesCS7D01G334900;TraesCS4A01G062000;TraesCS7B01G415400;TraesCS2B01G180500;TraesCS3D01G008700;TraesCS6A01G377700;TraesCS1D01G186100;TraesCS2D01G192000;TraesCS6A01G000500;TraesCS2D01G529500;TraesCS3B01G346500;TraesCS2B01G437300;TraesCS4B01G106000;TraesCS5B01G526000;TraesCS7D01G087100;TraesCS3D01G030600;TraesCS4D01G035300;TraesCS2B01G097300;TraesCS4B01G047100;TraesCS1A01G367000;TraesCS1D01G046000;TraesCS5A01G322300;TraesCS2A01G216500;TraesCS7D01G165300;TraesCS3A01G045200;TraesCS7B01G183200;TraesCS2A01G323000;TraesCS7B01G129500;TraesCS2D01G415700;TraesCS5D01G181500;TraesCS6A01G225400;TraesCS7D01G113900;TraesCS2A01G418300;TraesCS7B01G194100;TraesCS1B01G162400;TraesCS7A01G455800;TraesCS7B01G299200;TraesCS3A01G310400;TraesCS1D01G146900;TraesCS5B01G184600;TraesCS6D01G211900;TraesCS1D01G163400;TraesCS1D01G218200;TraesCS2D01G097700;TraesCS7D01G392800;TraesCS7A01G435300;TraesCS5D01G328100;TraesCS2B01G537800;TraesCS2D01G223000;TraesCS3A01G272900;TraesCS3B01G289400;TraesCS6D01G157900;TraesCS2B01G053300;TraesCS3B01G394600;TraesCS5A01G341000;TraesCS7A01G031700;TraesCS2D01G232400;TraesCS2D01G364400;TraesCS3A01G152200;TraesCS5B01G307600;TraesCS7A01G194900;TraesCS2D01G216700;TraesCS3D01G104100;TraesCS1A01G221400;TraesCS2D01G409400;TraesCS6A01G273100;TraesCS7B01G290200;TraesCS2D01G317400;TraesCS1D01G209500;TraesCS1B01G384900;TraesCS2A01G525300;TraesCS2D01G445500;TraesCS3B01G307700;TraesCS1B01G091900;TraesCS6B01G051700;TraesCS2D01G537700;TraesCS7D01G495700;TraesCS4A01G414700;TraesCS4D01G261400;TraesCS3A01G256200;TraesCS5A01G401400;TraesCS5B01G492700;TraesCS5D01G365300;TraesCS5B01G501300;TraesCS2B01G242200;TraesCS6A01G262200;TraesCS7D01G324900;TraesCS3B01G046800;TraesCS3D01G256400;TraesCS2B01G001400;TraesCS6B01G163100;TraesCS6B01G421400;TraesCS2B01G097100;TraesCS1A01G080500;TraesCS1A01G330500;TraesCS3A01G290300;TraesCS7B01G309900;TraesCS2B01G536500;TraesCS6D01G122100;TraesCS7A01G264400;TraesCS1D01G372600;TraesCS5A01G294600;TraesCSU01G111800;TraesCS5D01G063800;TraesCS6B01G204600;TraesCS2B01G096000;TraesCS5B01G538800;TraesCS2A01G479500;TraesCS6B01G412500;TraesCS7D01G248200;TraesCS2B01G229000;TraesCS2B01G124100;TraesCS1A01G304200;TraesCS7B01G107300;TraesCS6A01G312600;TraesCS5B01G117200;TraesCS7B01G069100;TraesCS2A01G493800;TraesCS2A01G458800;TraesCS6A01G155200;TraesCS3A01G309800;TraesCS5A01G297900;TraesCS3D01G290100;TraesCS3B01G153800;TraesCS3A01G261800;TraesCS4A01G029800;TraesCS7B01G395000;TraesCS1D01G219100;TraesCS7A01G528000;TraesCSU01G238700;TraesCS3A01G224400;TraesCS1B01G376000;TraesCS6B01G340300;TraesCS7A01G242800;TraesCS2D01G491600;TraesCS3B01G291900;TraesCS3A01G040800;TraesCS1D01G236900;TraesCS4D01G059300;TraesCS4D01G229900;TraesCS6A01G226100;TraesCS2A01G211200;TraesCS1D01G140300;TraesCS4B01G315400;TraesCS2A01G431100;TraesCS5A01G426500;TraesCS2A01G040900;TraesCS1A01G095800;TraesCS4D01G004400;TraesCS6A01G199000;TraesCS4B01G201600;TraesCS5A01G205500;TraesCS3D01G261800;TraesCS5B01G204900;TraesCS7D01G146400;TraesCS3A01G362200;TraesCS1D01G372400;TraesCS6A01G264800;TraesCS6B01G256200;TraesCS2D01G117200;TraesCS3B01G473100;TraesCS5B01G215900;TraesCS5B01G538600;TraesCS2B01G394700;TraesCS1A01G377900;TraesCS7D01G086900;TraesCS2B01G208900;TraesCS2A01G343100;TraesCS7D01G449500;TraesCS6A01G241000;TraesCS2B01G363000;TraesCS2D01G582800;TraesCS2D01G144500;TraesCS6B01G471400;TraesCS1B01G167700;TraesCS3B01G600300;TraesCS5D01G332200;TraesCS1D01G082600;TraesCS3B01G042700;TraesCS7B01G225500;TraesCS2A01G538200;TraesCS5D01G475900;TraesCS7A01G249400;TraesCS7D01G356200;TraesCS7D01G085800;TraesCS6A01G336600;TraesCS6B01G415700;TraesCS6A01G378000;TraesCS2D01G222300;TraesCS4D01G340500;TraesCS2A01G199700;TraesCS6D01G319900;TraesCS7B01G100600;TraesCS7A01G001900;TraesCS2B01G480300;TraesCS1A01G016100;TraesCS1D01G364000;TraesCS5D01G358600;TraesCS4B01G162700;TraesCS5D01G048600;TraesCS1D01G381800;TraesCS6B01G412400;TraesCS2A01G320200;TraesCS1A01G077500;TraesCS2A01G458100;TraesCS2D01G509300;TraesCS4A01G010000;TraesCS4A01G255400;TraesCS4D01G238900;TraesCS6D01G407400;TraesCS1A01G361100;TraesCS4D01G293200;TraesCS2D01G463100;TraesCS5A01G078400;TraesCS7D01G024200;TraesCS2A01G509900;TraesCS1B01G119600;TraesCS2B01G324900;TraesCS1A01G273600;TraesCS7A01G213000;TraesCS6A01G258900;TraesCS6B01G413500;TraesCS6D01G359100;TraesCS2A01G371600;TraesCS7D01G516100;TraesCS3D01G435400;TraesCS7A01G282200;TraesCS6D01G180400;TraesCS3A01G477300;TraesCS3D01G049700;TraesCS5D01G519800;TraesCS6B01G300500;TraesCS3D01G335700;TraesCS4B01G287300;TraesCS5A01G429000;TraesCS4A01G219500;TraesCS7A01G091400;TraesCS7D01G197300;TraesCS5A01G027000;TraesCS7A01G120000;TraesCS1B01G198000;TraesCS3B01G119600;TraesCS7D01G189700;TraesCS1A01G300000;TraesCS2A01G106500;TraesCS1A01G079700;TraesCS2D01G223600;TraesCS2D01G485300;TraesCS7D01G506300;TraesCS1D01G299400;TraesCS1B01G234700;TraesCS5A01G182400;TraesCS6D01G056600;TraesCS4B01G345400;TraesCS2A01G083300;TraesCS5A01G376700;TraesCS1A01G342600;TraesCS5B01G214500;TraesCS6B01G255500;TraesCS1B01G347100;TraesCS6D01G210100;TraesCS3B01G325100;TraesCS5B01G428400;TraesCS7D01G303700;TraesCS1D01G327000;TraesCS5D01G059300;TraesCS4A01G396700;TraesCS7B01G372400;TraesCS7D01G085600;TraesCS2B01G196400;TraesCS2D01G107100;TraesCSU01G016900;TraesCS5B01G326500;TraesCS1D01G372900;TraesCS2D01G455900;TraesCS2D01G577000;TraesCS3A01G064400;TraesCS4D01G126900;TraesCS3B01G166600;TraesCS4A01G248900;TraesCS3B01G288100;TraesCS5D01G188600;TraesCS7A01G365600;TraesCS2D01G296700;TraesCS7D01G300200;TraesCS3B01G156800;TraesCS1A01G048100;TraesCS7A01G223000;TraesCS3A01G122300;TraesCS5B01G327800;TraesCS6A01G190700;TraesCS7B01G101500;TraesCS3A01G254900;TraesCS3D01G172200;TraesCS6D01G105000;TraesCS3B01G004600;TraesCS3D01G332400;TraesCSU01G047400;TraesCS2D01G314400;TraesCS7D01G265400;TraesCS2B01G109000;TraesCS5D01G288100;TraesCS4A01G323500;TraesCS4D01G352700;TraesCS2D01G513600;TraesCS1D01G384900;TraesCS4D01G098600;TraesCS3A01G477500;TraesCS3D01G345700;TraesCS1A01G080700;TraesCS6A01G277600;TraesCS2B01G035300;TraesCS5B01G026200;TraesCS6B01G291800;TraesCS1D01G076200;TraesCS5B01G208300;TraesCS6B01G289500;TraesCS6B01G152700;TraesCS7A01G321600;TraesCS7D01G451300;TraesCS6A01G301300;TraesCS6B01G059800;TraesCS6D01G158300;TraesCS7B01G115900;TraesCS3D01G287800;TraesCS4B01G007300;TraesCS4D01G089300;TraesCS3D01G472200;TraesCS3D01G138900;TraesCS6A01G245200;TraesCS5B01G373000;TraesCS5B01G520600;TraesCS5D01G346200;TraesCS5B01G474500;TraesCS1A01G296300;TraesCS2B01G240800;TraesCS1D01G239700;TraesCS6A01G327500;TraesCS1D01G082200;TraesCS7B01G301400;TraesCS5A01G198800;TraesCS7D01G201600;TraesCS7D01G463300;TraesCS1D01G032600;TraesCS5B01G078500;TraesCS2D01G222700;TraesCS2D01G564300;TraesCS5A01G152800;TraesCS4B01G171600;TraesCS7A01G306800;TraesCS4A01G384500;TraesCS7D01G224700;TraesCS6A01G375800;TraesCS3B01G156200;TraesCS3D01G272300;TraesCS2D01G528200;TraesCS1B01G109400;TraesCS7B01G249200;TraesCS2B01G241900;TraesCS4B01G132000;TraesCS5B01G406800;TraesCS6D01G328800;TraesCS4B01G216700;TraesCS6D01G335300;TraesCS7D01G357100;TraesCS5B01G056700;TraesCS1A01G073300;TraesCS1B01G385200;TraesCS6A01G243000;TraesCS7B01G008400;TraesCS5A01G398900;TraesCS4B01G055600;TraesCS1B01G251700;TraesCS7A01G131300;TraesCS3A01G439200;TraesCS1B01G375400;TraesCS3B01G352300;TraesCS2B01G539200;TraesCS4D01G312400;TraesCS6D01G243000;TraesCS2B01G315100;TraesCS7A01G423900;TraesCS2A01G182400;TraesCS2A01G339900;TraesCS4A01G071800;TraesCS4B01G083200;TraesCS4B01G228700;TraesCS1A01G112500;TraesCS2B01G198400;TraesCS1B01G157700;TraesCS3D01G542300;TraesCS1A01G248200;TraesCS2D01G098200;TraesCS6B01G069800;TraesCS5A01G138500;TraesCS5A01G222300;TraesCS2A01G150600;TraesCS7A01G537200;TraesCS4A01G171500;TraesCS5A01G048600;TraesCS2A01G401000;TraesCS7D01G474200;TraesCS4A01G211600;TraesCS3D01G262300;TraesCS5D01G212900;TraesCS7A01G384500;TraesCS6D01G362500;TraesCS6A01G148100;TraesCS7A01G267200;TraesCS3A01G191100;TraesCS6D01G316600;TraesCS7A01G118300;TraesCS3D01G273200;TraesCS2A01G117800;TraesCS2D01G190200;TraesCS5D01G158100;TraesCS5D01G223800;TraesCS1B01G398700;TraesCS1D01G199000;TraesCS3A01G338800;TraesCS2A01G209900;TraesCS5A01G173300;TraesCS5A01G196400;TraesCS7D01G524300;TraesCS2A01G323300;TraesCS5A01G152600;TraesCS7D01G444400;TraesCS2A01G023900;TraesCS4D01G229100;TraesCS7D01G037700;TraesCS5A01G463100;TraesCS1D01G229700;TraesCS5D01G070900;TraesCS3A01G419600;TraesCS6D01G050900;TraesCS2B01G480500;TraesCS5A01G514500;TraesCS3B01G376300;TraesCS5A01G210300;TraesCS6D01G047500;TraesCS3D01G182600;TraesCS3D01G337900;TraesCS1B01G257200;TraesCS1D01G073100;TraesCS1D01G237100;TraesCS6D01G381200;TraesCS3B01G253900;TraesCS4D01G173700;TraesCS2D01G509500;TraesCS3B01G356700;TraesCS3B01G295500;TraesCS3D01G136300;TraesCS7D01G130600;TraesCS3A01G009400;TraesCS3B01G053800;TraesCS6A01G374700;TraesCS7D01G213600;TraesCS3B01G377600;TraesCS3A01G034600;TraesCS6D01G115200;TraesCS1A01G215100;TraesCS2D01G178100;TraesCS5B01G437300;TraesCS7D01G203800;TraesCSU01G150500;TraesCS4D01G325500;TraesCS4D01G254500;TraesCS7D01G048600;TraesCS7A01G091200;TraesCS7D01G128300;TraesCS2D01G459200;TraesCS3B01G374100;TraesCS1B01G095600;TraesCS1B01G204700;TraesCS3D01G238000;TraesCS2A01G428500;TraesCS1D01G295800;TraesCS3D01G535700;TraesCS7B01G325900;TraesCS3B01G356600;TraesCS3A01G493100;TraesCS5B01G482400;TraesCS7B01G105600;TraesCS7D01G390900;TraesCS2B01G197000;TraesCS4D01G081300;TraesCS6B01G305600;TraesCS7A01G127100;TraesCS3D01G250800;TraesCS5A01G217000;TraesCS6B01G285900;TraesCS3A01G097800;TraesCS5B01G082500;TraesCS3A01G255600;TraesCS7D01G136700;TraesCS2A01G418200;TraesCS2B01G198100;TraesCS6A01G225300;TraesCS7D01G113800;TraesCS2A01G455600;TraesCS5B01G151600;TraesCS7A01G405600;TraesCS2B01G243000;TraesCS6D01G240100;TraesCS3D01G339600;TraesCS6B01G420600;TraesCS6B01G141000;TraesCS3B01G194400;TraesCS5B01G358900;TraesCS2D01G217500;TraesCS6B01G370000;TraesCS5D01G478700;TraesCS1A01G358600;TraesCS3A01G199600;TraesCS5B01G138600;TraesCS1A01G228100;TraesCS5D01G374300;TraesCS2A01G503800;TraesCS1A01G424200;TraesCS7B01G093500;TraesCS2B01G449200;TraesCS2B01G489700;TraesCS5A01G062600;TraesCS2B01G236900;TraesCS3B01G279900;TraesCS6B01G006600;TraesCSU01G008300;TraesCS3B01G206500;TraesCS5B01G334700;TraesCS2D01G321400;TraesCS1B01G157300;TraesCS2D01G504300;TraesCS2B01G271700;TraesCS2D01G275400;TraesCS7B01G255500;TraesCS1D01G118300;TraesCS2A01G384100;TraesCS2D01G197600;TraesCS1D01G259700;TraesCS7B01G356400;TraesCS3A01G096500;TraesCS2D01G219900;TraesCS5B01G381500;TraesCS6B01G225800;TraesCS7B01G287100;TraesCS2B01G365900;TraesCS5D01G340300;TraesCS3D01G472000;TraesCS2B01G437200;TraesCS4D01G215200;TraesCS3D01G500800;TraesCS3D01G036000;TraesCS5A01G085900;TraesCS5D01G194700;TraesCS7D01G341300;TraesCS1A01G367100;TraesCS2D01G214200;TraesCS5B01G380400;TraesCS1D01G303700;TraesCS2B01G339600;TraesCS2A01G346000;TraesCS5A01G356400;TraesCS2D01G415600;TraesCS5D01G211300;TraesCS7D01G356800;TraesCS7D01G316100;TraesCS1D01G037200;TraesCS2B01G243200;TraesCS6B01G197000;TraesCS2D01G428900;TraesCS3D01G316700;TraesCS5A01G369500;TraesCS3B01G158300;TraesCS2B01G430800;TraesCS4A01G110100;TraesCS5A01G451400;TraesCS4B01G214600;TraesCS1B01G089100;TraesCS3D01G178300;TraesCS2A01G217700;TraesCS5B01G138400;TraesCS2A01G324200;TraesCS5A01G390300;TraesCS1B01G385000;TraesCS3D01G048000;TraesCS3B01G591000;TraesCS3D01G136700;TraesCS5A01G059400;TraesCS1B01G217500;TraesCS5B01G339100;TraesCS3D01G527900;TraesCS7D01G395100;TraesCS1D01G273800;TraesCS1B01G058600;TraesCS2A01G237300;TraesCS6A01G204600;TraesCS2D01G344700;TraesCS7D01G291100;TraesCS5A01G335500;TraesCS4B01G261800;TraesCS3A01G138200;TraesCS6A01G135100;TraesCS3D01G039300;TraesCSU01G021700;TraesCS4D01G055000;TraesCS6D01G360800;TraesCS7D01G124900;TraesCS3A01G256300;TraesCS3D01G046000;TraesCS2B01G210700;TraesCS4D01G064800;TraesCS5B01G321800;TraesCS6A01G132400;TraesCS1B01G241200;TraesCS3A01G471700;TraesCS7B01G179900;TraesCS3B01G155900;TraesCS3B01G306500;TraesCS3D01G256500;TraesCS1A01G141300;TraesCS6D01G367600;TraesCS2D01G572600;TraesCS5A01G307200;TraesCS2A01G446500;TraesCS4D01G096400;TraesCS5D01G225100;TraesCS1A01G080600;TraesCS2B01G532000;TraesCS2B01G536600;TraesCS2D01G315100;TraesCS5B01G191900;TraesCS1D01G372700;TraesCS3D01G320600;TraesCS6D01G145100;TraesCS6D01G220900;TraesCS1A01G259900;TraesCS5D01G434500;TraesCS3B01G240000;TraesCS3D01G467300;TraesCS2D01G493700;TraesCS4A01G100900;TraesCS2B01G174500;TraesCS7B01G031900;TraesCS3D01G212100;TraesCS4A01G207800;TraesCS2D01G458700;TraesCS5D01G482800;TraesCS7A01G470400;TraesCS5D01G216400;TraesCS3B01G409400;TraesCS6D01G109000;TraesCS5D01G357800;TraesCS2B01G114000;TraesCS7D01G028400;TraesCS2A01G255300;TraesCS3B01G304300;TraesCS2B01G189000;TraesCS6A01G124800;TraesCS2A01G155500;TraesCS2A01G512100;TraesCS3A01G345800;TraesCS5D01G089900;TraesCS1B01G229100;TraesCS1B01G182700;TraesCS6D01G363200;TraesCS4B01G098000;TraesCS3B01G141500;TraesCS7D01G243700;TraesCS5A01G076600;TraesCS2A01G141100;TraesCS7D01G321500;TraesCS3B01G370500;TraesCS1D01G114100;TraesCS5D01G157900;TraesCS7B01G333700;TraesCS7D01G380900;TraesCS3A01G037100;TraesCS3A01G050300;TraesCS3D01G104000;TraesCS7B01G356800;TraesCS5A01G321300;TraesCS6A01G310300;TraesCS2A01G211300;TraesCS2A01G198400;TraesCS1B01G230500;TraesCS1D01G130400;TraesCS6D01G039300;TraesCS5A01G206700;TraesCS7D01G261300;TraesCS3A01G471900;TraesCS5B01G197400;TraesCS7B01G015200;TraesCS4A01G226300;TraesCS7D01G041400;TraesCS3D01G355900;TraesCS1A01G070600;TraesCS1B01G314700;TraesCS1B01G310100;TraesCS2B01G175800;TraesCS6D01G122200;TraesCS7D01G417600;TraesCS1D01G133900;TraesCS5D01G329100;TraesCS3A01G049500;TraesCS1D01G372500;TraesCS2A01G081400;TraesCS3B01G038900;TraesCS6B01G256300;TraesCS7B01G247500;TraesCS4A01G102900;TraesCS5B01G188700;TraesCS7D01G248100;TraesCS3A01G101800;TraesCS3D01G359000;TraesCS3D01G048400;TraesCS6B01G238900;TraesCS6B01G385500;TraesCS6D01G191500;TraesCS3A01G261700;TraesCS3B01G289500;TraesCS7B01G261800;TraesCS4B01G203900;TraesCS2A01G233100;TraesCS4A01G094300;TraesCS6D01G307100;TraesCS1A01G305400;TraesCS2B01G452400;TraesCS1A01G215900;TraesCS2B01G511300;TraesCSU01G129000;TraesCS5A01G321500;TraesCS7A01G053400;TraesCS5D01G281200;TraesCS7B01G228900;TraesCS4D01G202300;TraesCS5D01G199800;TraesCS5D01G210800;TraesCS4B01G059700;TraesCS4B01G254700;TraesCS4D01G316500;TraesCS5D01G493200;TraesCS3A01G319800;TraesCS2A01G217200;TraesCS3A01G101700;TraesCS2D01G509400;TraesCS1D01G094700;TraesCS2A01G211900;TraesCS2A01G412200;TraesCS3D01G438800;TraesCS6D01G167300;TraesCS2D01G339600;TraesCS4B01G215100;TraesCS1D01G174700;TraesCS6D01G191400;TraesCS7B01G030400;TraesCS7B01G326200;TraesCS3A01G477400;TraesCS5A01G469800;TraesCS6B01G136100;TraesCS6B01G152800;TraesCS2D01G141100;TraesCS5B01G262900;TraesCS2B01G220900;TraesCS2B01G266900;TraesCS7A01G091500;TraesCS4A01G391100;TraesCS1D01G081400;TraesCS3A01G021600;TraesCS5A01G147500;TraesCS4A01G232600;TraesCS4A01G498700;TraesCS3D01G432000;TraesCS3A01G327200;TraesCS2B01G250100;TraesCS7A01G195800;TraesCS1A01G086100;TraesCS2D01G066900;TraesCS7B01G416100;TraesCS2A01G276400;TraesCS1D01G101300;TraesCS4B01G100100;TraesCS1D01G082500;TraesCS3A01G110400;TraesCS3A01G135700;TraesCS7A01G364200;TraesCS2A01G371700;TraesCS5A01G320600;TraesCS6B01G358800;TraesCS5D01G097900;TraesCS6D01G225300;TraesCS6D01G258200;TraesCS5A01G463000;TraesCS2A01G113100;TraesCS7B01G301100;TraesCS5D01G461600;TraesCS6B01G147200;TraesCS2D01G419700;TraesCS4D01G032900;TraesCS4A01G221700;TraesCS3B01G110500;TraesCS7B01G444800;TraesCS6D01G192500;TraesCS2A01G462700;TraesCS3B01G310000;TraesCS7D01G279900;TraesCS1A01G048000;TraesCS2D01G509200;TraesCS5A01G235300;TraesCS7B01G029200;TraesCS7D01G311200;TraesCS5D01G216300;TraesCS6A01G119900;TraesCS1B01G062200;TraesCS5A01G204800;TraesCS1A01G202300;TraesCS1B01G119700;TraesCSU01G051800;TraesCS1A01G103900;TraesCS2D01G201700;TraesCS3B01G514900;TraesCS1B01G268600;TraesCS6B01G257800;TraesCS3A01G351500;TraesCS2A01G201900;TraesCS2D01G534400;TraesCS6A01G168900;TraesCS1D01G344700;TraesCS2B01G419100;TraesCS5B01G202900;TraesCS3D01G045400;TraesCS6B01G266500;TraesCS1A01G215600;TraesCS7A01G400900;TraesCS4B01G228200;TraesCS4A01G309300;TraesCS7A01G434300;TraesCS5B01G042800;TraesCS5D01G343000;TraesCS4A01G216100;TraesCS1D01G330300;TraesCS2B01G100300;TraesCS2D01G398500;TraesCS5B01G208200;TraesCS2A01G308400;TraesCS6B01G152600;TraesCS5A01G183600;TraesCS7A01G344600;TraesCS7D01G516400;TraesCS2B01G220700;TraesCS2B01G323700;TraesCS6D01G158400;TraesCS3B01G119500;TraesCS7A01G328100;TraesCS2B01G067000;TraesCS2D01G485200;TraesCS5D01G073900;TraesCS7B01G214900;TraesCS7D01G394800;TraesCS1D01G079600;TraesCS3B01G589600;TraesCS7D01G001600;TraesCS5A01G351300;TraesCS5A01G326100;TraesCS1D01G101100;TraesCS3D01G256600;TraesCS5A01G479600;TraesCS5D01G152300;TraesCS5D01G177800;TraesCS7D01G345200;TraesCS1A01G235200;TraesCS2D01G511300;TraesCS3B01G151200;TraesCS5B01G187200;TraesCS5D01G475800;TraesCS2A01G098700;TraesCS3A01G209200;TraesCS7A01G333700;TraesCS1D01G372800;TraesCS1D01G206900;TraesCS4D01G126800;TraesCS2A01G046500;TraesCS5A01G377900;TraesCS7A01G212000;TraesCS4D01G194900;TraesCS1A01G203400;TraesCS7D01G053900;TraesCS1D01G305100;TraesCS4B01G216000;TraesCS2B01G557100;TraesCS2D01G273700;TraesCS1A01G333800;TraesCS5A01G237700;TraesCS4A01G267300;TraesCS3D01G276200;TraesCS6B01G183300;TraesCS5D01G145100;TraesCS2A01G217600;TraesCS2B01G166100;TraesCS1B01G385300;TraesCS2B01G216800;TraesCS1B01G456700;TraesCS5D01G369200;TraesCS1A01G145100;TraesCS1A01G149700;TraesCS2B01G114900;TraesCS4D01G172700;TraesCS4D01G312300;TraesCS7D01G496100;TraesCS1B01G283400;TraesCS3A01G530200;TraesCS3B01G229900;TraesCS1B01G120100;TraesCS2A01G214100;TraesCS5B01G460200;TraesCS2B01G498100;TraesCS2A01G545700;TraesCS3B01G384000;TraesCS6D01G032300;TraesCS5A01G138600;TraesCS3A01G463400;TraesCS5D01G304700;TraesCS7A01G110500;TraesCS1D01G223000;TraesCS5D01G373700;TraesCS2B01G562100;TraesCS1A01G031200;TraesCS2D01G459100;TraesCS5B01G236200;TraesCS7B01G222500;TraesCS2A01G347400;TraesCS3D01G472100;TraesCS3A01G262200;TraesCS2B01G204800;TraesCS2A01G368700;TraesCS5D01G386800;TraesCS7A01G118200;TraesCS1D01G228700;TraesCS5D01G034700;TraesCS1B01G270300;TraesCS2B01G521800;TraesCS7A01G096800;TraesCS6A01G209000;TraesCS5B01G069900;TraesCS2A01G083000;TraesCS2A01G532600;TraesCS6D01G210200;TraesCS1B01G377700;TraesCS7D01G236600;TraesCS1A01G235000;TraesCS1D01G367800;TraesCS2D01G343000;TraesCS4B01G085500;TraesCS2B01G121200;TraesCS5D01G093700;TraesCS4D01G046900;TraesCS6A01G116000;TraesCS7A01G154900;TraesCS4A01G186700;TraesCS1B01G248400;TraesCS2B01G480600;TraesCS2B01G241800;TraesCS7B01G207100;TraesCS2B01G467400;TraesCS6B01G367100;TraesCS1B01G097700;TraesCS3D01G201900;TraesCS3D01G182300;TraesCS2B01G504000;TraesCS5A01G235700;TraesCS6D01G253100;TraesCS2D01G284200;TraesCS5B01G056800;TraesCS2D01G380800;TraesCS2D01G207400;TraesCS4D01G087200;TraesCS2D01G580700;TraesCS5A01G160100;TraesCS7D01G223300;TraesCS2A01G195800;TraesCS3A01G521300;TraesCS3A01G034700;TraesCS2A01G458000;TraesCS3B01G004100;TraesCS4B01G041300;TraesCS6A01G363900;TraesCS2B01G366600;TraesCS2A01G474500;TraesCS3D01G097000;TraesCS2D01G392800;TraesCS7D01G268600;TraesCS7B01G141900;TraesCS5B01G366400;TraesCS4B01G214200;TraesCS7B01G297200;TraesCS1D01G104800;TraesCS7B01G222700;TraesCS6D01G280700;TraesCS1B01G316100;TraesCS2B01G101800;TraesCS3D01G262200;TraesCS4B01G294300;TraesCS3D01G046900;TraesCS7A01G395300;TraesCS3A01G323200;TraesCS4D01G054300;TraesCS7A01G129300;TraesCS2D01G574000;TraesCS2D01G062100;TraesCS4D01G217000;TraesCS5D01G158000;TraesCS7D01G129500;TraesCS6B01G337900;TraesCS2B01G594100;TraesCS3D01G124200;TraesCS2B01G364400;TraesCS3B01G042800;TraesCS7D01G444500;TraesCS6A01G223500;TraesCS1B01G305200;TraesCS1B01G248600;TraesCS6A01G352800;TraesCS7D01G457800;TraesCS6A01G375900;TraesCS4B01G132100;TraesCS5B01G064400;TraesCS1A01G016000;TraesCS5B01G087500;TraesCS2A01G485600;TraesCS7A01G325000;TraesCS1A01G295300;TraesCS4B01G065700;TraesCS5B01G180400;TraesCS2A01G298600;TraesCS1A01G182700;TraesCS2B01G201100;TraesCS7B01G220500;TraesCS1D01G087600;TraesCS7D01G386800</t>
  </si>
  <si>
    <t>TraesCS5B01G520200;TraesCS2B01G208900;TraesCS5B01G482400;TraesCS1B01G171400;TraesCS4B01G057400;TraesCS7B01G346600;TraesCS6A01G201100;TraesCS2A01G188000;TraesCS3D01G313900;TraesCS6B01G238800;TraesCS7D01G343800;TraesCS5A01G041100;TraesCS6D01G193700;TraesCS7D01G435100;TraesCS5A01G177800;TraesCS5D01G207400;TraesCS2D01G182100;TraesCS3B01G283800;TraesCS7D01G377000;TraesCS1D01G292400;TraesCS3A01G217200;TraesCS2B01G198100;TraesCS6A01G244400;TraesCS5A01G469800;TraesCS2A01G080000;TraesCS3A01G056700;TraesCS4D01G141000;TraesCS1D01G152000;TraesCS1B01G164200;TraesCS5A01G025400;TraesCS5B01G358900;TraesCS3D01G180500;TraesCS4A01G091000;TraesCS3B01G383400;TraesCS7D01G145500;TraesCS1D01G111900;TraesCS4A01G085000;TraesCS4D01G045300;TraesCS6D01G257000;TraesCS5D01G109500;TraesCS4B01G045400;TraesCS7A01G130600;TraesCS4B01G100100;TraesCS6B01G238700;TraesCS1A01G072600;TraesCS5D01G085800;TraesCS5D01G022200;TraesCS7A01G517100;TraesCS2B01G393000;TraesCS3A01G317400;TraesCS1A01G298900;TraesCS3D01G290000;TraesCS3A01G505200;TraesCS1A01G045300;TraesCS5A01G463000;TraesCS1A01G269400;TraesCS5B01G498400;TraesCS7D01G510000;TraesCS2A01G384100;TraesCS2B01G350600;TraesCS2B01G266000;TraesCS4B01G306900;TraesCS1A01G425400;TraesCS1D01G102400;TraesCS5B01G530800;TraesCS5B01G033400;TraesCS4D01G125000;TraesCS4D01G360300;TraesCS1B01G158500;TraesCS4A01G072700;TraesCS5A01G096800;TraesCS3D01G308100;TraesCS5B01G214500;TraesCS7D01G452600;TraesCS4D01G098500;TraesCS7B01G372400;TraesCS1A01G215600;TraesCS5A01G356400;TraesCS2A01G174700;TraesCS6A01G353600;TraesCS4A01G216100;TraesCS5D01G163400;TraesCS5D01G183700;TraesCS2D01G226300;TraesCS3A01G252800;TraesCS5A01G073000;TraesCS5A01G216000;TraesCS3B01G288900;TraesCS2B01G336000;TraesCS1B01G288300;TraesCS3B01G532300;TraesCS6D01G226700;TraesCS2B01G180500;TraesCS6B01G280000;TraesCS3D01G252800;TraesCS6A01G266600;TraesCS2B01G605800;TraesCS4D01G243100;TraesCS1A01G015300;TraesCS3B01G247500;TraesCS6A01G210600;TraesCS1A01G363200;TraesCS1D01G046000;TraesCS1B01G058600;TraesCS5D01G475800;TraesCS4D01G044800;TraesCS1D01G108300;TraesCS1D01G227700;TraesCS3D01G219900;TraesCS2D01G224100;TraesCS4B01G367200;TraesCS7B01G299200;TraesCS6B01G386200;TraesCS1D01G144600;TraesCS5B01G175100;TraesCSU01G073900;TraesCS4B01G101900;TraesCS4D01G064000;TraesCS4B01G246000;TraesCS6A01G209900;TraesCS1D01G184900;TraesCS7D01G392800;TraesCS2A01G305900;TraesCS3D01G344800;TraesCS1A01G086600;TraesCS1A01G093800;TraesCS2D01G362900;TraesCS2B01G246100;TraesCS4D01G096400;TraesCS6B01G295200;TraesCS1D01G296600;TraesCS4D01G258000;TraesCS5A01G209200;TraesCS3D01G244500;TraesCS5B01G200000;TraesCS2D01G077300;TraesCS3B01G349100;TraesCS1B01G346500;TraesCS7D01G044300;TraesCS7D01G507300;TraesCS2D01G199600;TraesCS4D01G229700;TraesCS6B01G239500;TraesCS7A01G279100;TraesCS5B01G014400;TraesCS3D01G207900;TraesCS6D01G248100;TraesCS1B01G280100;TraesCS7D01G548200;TraesCS4B01G219200;TraesCS2B01G204800;TraesCS4B01G137700;TraesCS5D01G482800;TraesCS7A01G470400;TraesCS5D01G365300;TraesCS5B01G155700;TraesCS7A01G301700;TraesCS1D01G013200;TraesCS5D01G179100;TraesCS5A01G485000;TraesCS6A01G210000;TraesCSU01G076400;TraesCS7D01G278900;TraesCS3A01G175000;TraesCS2A01G155500;TraesCS5A01G425600;TraesCS1B01G229100;TraesCS1D01G368100;TraesCS4B01G052200;TraesCS4A01G352900;TraesCS5B01G156800;TraesCS5D01G519400;TraesCS1A01G192300;TraesCS5B01G102700;TraesCS1A01G385800;TraesCS1A01G251600;TraesCS3D01G056500;TraesCS4B01G065100;TraesCS3A01G337500;TraesCS1D01G002600;TraesCS6B01G231800;TraesCS5A01G424300;TraesCS6D01G039300;TraesCS1A01G153600;TraesCS5D01G031800;TraesCS3A01G309800;TraesCS4D01G219400;TraesCS5D01G223800;TraesCS4D01G132500;TraesCS5D01G041500;TraesCS1A01G005900;TraesCS5A01G534900;TraesCS4A01G046700;TraesCS6D01G193100;TraesCS1A01G005100;TraesCS4A01G407500;TraesCS2D01G392800;TraesCS4D01G176200;TraesCS5B01G427600;TraesCS1D01G198600;TraesCS5B01G316300;TraesCS5D01G182100;TraesCS2D01G304300;TraesCS2D01G277800;TraesCS5D01G432800;TraesCS1D01G073100;TraesCS4A01G066200;TraesCS7A01G143800;TraesCS5B01G073000;TraesCS1B01G308600;TraesCS5B01G079100;TraesCS6D01G335900;TraesCS2B01G223000;TraesCS2A01G220600;TraesCS4A01G174700;TraesCS4A01G249600;TraesCS4D01G176300;TraesCS4B01G142700;TraesCS2A01G365000;TraesCS5D01G215400;TraesCS4D01G300100;TraesCS7A01G520300;TraesCS7A01G561600;TraesCS4D01G305100;TraesCS7D01G457800;TraesCS3A01G295000;TraesCS3D01G253500;TraesCS1A01G295300;TraesCS3B01G284600;TraesCS2B01G201100;TraesCS6B01G294000</t>
  </si>
  <si>
    <t>TraesCS1D01G073100;TraesCS7D01G548200;TraesCS2B01G208900;TraesCS4D01G360300;TraesCS5B01G482400;TraesCS7D01G392800;TraesCS5D01G482800;TraesCS7A01G470400;TraesCS2B01G180500;TraesCS4D01G045300;TraesCS6D01G039300;TraesCS4B01G045400;TraesCS4B01G100100;TraesCS4D01G096400;TraesCS7B01G372400;TraesCS5A01G534900;TraesCS2A01G155500;TraesCS4D01G176300;TraesCS5A01G177800;TraesCS5D01G207400;TraesCS1A01G215600;TraesCS1B01G229100;TraesCS2D01G392800;TraesCS5B01G200000;TraesCS2D01G077300;TraesCS4A01G216100;TraesCS4D01G176200;TraesCS7A01G561600;TraesCS5A01G469800;TraesCS4B01G367200;TraesCS7D01G457800;TraesCS7B01G299200;TraesCS2A01G384100;TraesCS2A01G080000;TraesCS1D01G144600;TraesCS5B01G175100;TraesCS5D01G182100;TraesCS1A01G295300;TraesCS1B01G164200</t>
  </si>
  <si>
    <t>TraesCS2B01G208900;TraesCS5B01G482400;TraesCS7D01G392800;TraesCS1B01G456700;TraesCS6A01G278000;TraesCS4D01G238600;TraesCS6D01G039300;TraesCS3D01G308100;TraesCS5B01G214500;TraesCS5D01G223800;TraesCS4D01G264500;TraesCS4D01G096400;TraesCS7B01G372400;TraesCS2D01G285300;TraesCS5D01G207400;TraesCS1A01G215600;TraesCS2D01G392800;TraesCS5B01G200000;TraesCS2D01G077300;TraesCS6B01G306300;TraesCS4A01G216100;TraesCS3D01G139300;TraesCS5A01G469800;TraesCS4B01G237300;TraesCS5A01G216000;TraesCS2A01G080000;TraesCS3B01G156600;TraesCS1A01G389500;TraesCS1D01G073100;TraesCS2B01G174500;TraesCS7D01G548200;TraesCS7D01G229100;TraesCS5D01G482800;TraesCS7A01G470400;TraesCS2B01G180500;TraesCS4D01G045300;TraesCS7A01G412400;TraesCS7B01G272900;TraesCS7B01G194200;TraesCS4B01G045400;TraesCS7A01G264500;TraesCS2A01G121200;TraesCS4B01G100100;TraesCS7D01G368000;TraesCS6D01G252900;TraesCS2D01G123300;TraesCS2A01G155500;TraesCS1B01G229100;TraesCS6D01G258600;TraesCS6A01G116000;TraesCS7A01G561600;TraesCS5B01G392400;TraesCS2B01G271700;TraesCS7D01G457800;TraesCS7B01G299200;TraesCS3A01G295000;TraesCS2A01G384100;TraesCS6D01G104800;TraesCS1A01G295300;TraesCS6A01G272900;TraesCS4A01G043800</t>
  </si>
  <si>
    <t>TraesCS7D01G225200;TraesCS2D01G284200;TraesCS2B01G208900;TraesCS5B01G482400;TraesCS7A01G246700;TraesCS7D01G392800;TraesCS4D01G238600;TraesCS6D01G039300;TraesCS2B01G189300;TraesCS4D01G264500;TraesCS4D01G096400;TraesCS7B01G372400;TraesCS1A01G215600;TraesCS6B01G222200;TraesCS7D01G245500;TraesCS2D01G392800;TraesCS4A01G216100;TraesCS5D01G183700;TraesCS5A01G469800;TraesCS3D01G272100;TraesCS4B01G237300;TraesCS7A01G110500;TraesCS3D01G524700;TraesCS7A01G365600;TraesCS5B01G142100;TraesCS4D01G315400;TraesCS3B01G306200;TraesCS6A01G190700;TraesCS7B01G008400;TraesCS5D01G482800;TraesCS7A01G470400;TraesCS2B01G180500;TraesCS4D01G045300;TraesCS4D01G326400;TraesCS6D01G257000;TraesCS4B01G045400;TraesCS4B01G100100;TraesCS2A01G033700;TraesCS2A01G155500;TraesCS1B01G229100;TraesCS6A01G116000;TraesCS1D01G074500;TraesCS6D01G180400;TraesCS5B01G392400;TraesCS7D01G457800;TraesCS7B01G299200;TraesCS2A01G384100;TraesCS3A01G517100;TraesCS5A01G375000;TraesCS7B01G144600;TraesCS6D01G104800;TraesCS1A01G295300;TraesCS4A01G043800</t>
  </si>
  <si>
    <t>immune response</t>
  </si>
  <si>
    <t>TraesCS7D01G225200;TraesCS2D01G284200;TraesCS2B01G208900;TraesCS5B01G482400;TraesCS7D01G392800;TraesCS6D01G039300;TraesCS1D01G233800;TraesCS4B01G215100;TraesCS7D01G106000;TraesCS4D01G096400;TraesCS7B01G372400;TraesCS5A01G177800;TraesCS5D01G207400;TraesCS1A01G215600;TraesCS2D01G392800;TraesCS5B01G200000;TraesCS2D01G077300;TraesCS4A01G216100;TraesCS4D01G176200;TraesCS5A01G469800;TraesCS2A01G080000;TraesCS7A01G110500;TraesCS5D01G182100;TraesCS1B01G164200;TraesCS1D01G073100;TraesCS7D01G548200;TraesCS5D01G482800;TraesCS7A01G470400;TraesCS2B01G180500;TraesCS4D01G045300;TraesCS4B01G045400;TraesCS6A01G262200;TraesCS4B01G100100;TraesCS6D01G243000;TraesCS1B01G245700;TraesCS4A01G071800;TraesCS2A01G155500;TraesCS4D01G176300;TraesCS1B01G229100;TraesCS6A01G116000;TraesCS6B01G289500;TraesCS7A01G561600;TraesCS5B01G392400;TraesCS7D01G457800;TraesCS1A01G232500;TraesCS7B01G299200;TraesCS2A01G384100;TraesCS1D01G144600;TraesCS5B01G175100;TraesCS6D01G104800;TraesCS1A01G295300;TraesCS5B01G404800</t>
  </si>
  <si>
    <t>TraesCS2B01G208900;TraesCS5B01G482400;TraesCS7D01G392800;TraesCS5D01G482800;TraesCS7A01G470400;TraesCS2B01G180500;TraesCS4D01G045300;TraesCS6D01G039300;TraesCS4B01G045400;TraesCS4B01G100100;TraesCS4D01G096400;TraesCS7B01G372400;TraesCS2A01G155500;TraesCS1A01G215600;TraesCS1B01G229100;TraesCS6A01G116000;TraesCS2D01G392800;TraesCS2D01G077300;TraesCS4A01G216100;TraesCS5A01G469800;TraesCS5B01G392400;TraesCS7D01G457800;TraesCS7B01G299200;TraesCS2A01G384100;TraesCS2A01G080000;TraesCS6D01G104800;TraesCS1A01G295300;TraesCS5B01G404800</t>
  </si>
  <si>
    <t>negative regulation of defense response</t>
  </si>
  <si>
    <t>innate immune response</t>
  </si>
  <si>
    <t>TraesCS2B01G336000;TraesCS7D01G548200;TraesCS2B01G208900;TraesCS6D01G393600;TraesCS5B01G482400;TraesCS7D01G392800;TraesCS5D01G482800;TraesCS7A01G470400;TraesCS2B01G180500;TraesCS4D01G045300;TraesCS6D01G039300;TraesCS7A01G412400;TraesCS4B01G045400;TraesCS4B01G100100;TraesCS4D01G096400;TraesCS7B01G372400;TraesCS2A01G155500;TraesCS2D01G285300;TraesCS5D01G207400;TraesCS2D01G392800;TraesCS5B01G200000;TraesCS2D01G077300;TraesCS4A01G216100;TraesCS7A01G561600;TraesCS5A01G469800;TraesCS7D01G457800;TraesCS7B01G299200;TraesCS2A01G384100;TraesCS2A01G080000;TraesCS1A01G295300;TraesCS1A01G389500</t>
  </si>
  <si>
    <t>response to jasmonic acid</t>
  </si>
  <si>
    <t>TraesCS3B01G490000;TraesCS6A01G419200;TraesCS7D01G092900;TraesCS2A01G303200;TraesCS6D01G393600;TraesCS4D01G232700;TraesCS7B01G473700;TraesCS5B01G445100;TraesCS2A01G389900;TraesCS4A01G252900;TraesCS6B01G169700;TraesCS2B01G359300;TraesCS3A01G481000;TraesCS4D01G094500;TraesCS3A01G400000;TraesCS2B01G236800;TraesCS4D01G210900;TraesCS5A01G469000;TraesCS1B01G197900;TraesCS4B01G318900;TraesCS6D01G130800;TraesCS5D01G148900;TraesCS2D01G079200;TraesCS3B01G036800;TraesCS2A01G417200;TraesCS3B01G485900;TraesCS6B01G258400;TraesCS7A01G476700;TraesCS2B01G350500;TraesCS3A01G138300;TraesCS7B01G274100;TraesCS3D01G049000;TraesCS1A01G381500;TraesCS5B01G494500;TraesCS6B01G422900;TraesCS3D01G278000;TraesCS2A01G292000;TraesCS4D01G150300;TraesCS3A01G342000;TraesCS5D01G204700;TraesCS3D01G340500;TraesCS5B01G526200;TraesCS4D01G196500;TraesCS6A01G052100;TraesCS4B01G376800;TraesCS2D01G255700;TraesCS7A01G130600;TraesCS6A01G080600;TraesCS2A01G316500;TraesCS1A01G367200;TraesCS5B01G101200;TraesCS2A01G182800;TraesCS2A01G216700;TraesCS2A01G396200;TraesCS7B01G187600;TraesCS2A01G537900;TraesCS3B01G305100;TraesCS1D01G221000;TraesCS3B01G126400;TraesCS7B01G047300;TraesCS2A01G157400;TraesCS4A01G251600;TraesCS3A01G163300;TraesCS3D01G316400;TraesCS1A01G184500;TraesCS3A01G048700;TraesCS3A01G107600;TraesCS1B01G385100;TraesCS4A01G089700;TraesCS2B01G182900;TraesCS7B01G069500;TraesCS2B01G478700;TraesCS3A01G289300;TraesCS3A01G170000;TraesCS1D01G363500;TraesCS4B01G238700;TraesCS6D01G289700;TraesCS6A01G078700;TraesCS7D01G322900;TraesCS1D01G207100;TraesCS3B01G113500;TraesCS6B01G300000;TraesCS4B01G098300;TraesCS5D01G183700;TraesCS2A01G040300;TraesCS2A01G302300;TraesCS1D01G039500;TraesCS5A01G216000;TraesCS2D01G449900;TraesCS5B01G146100;TraesCS7B01G356500;TraesCS1A01G106600;TraesCS6D01G137400;TraesCS4B01G268100;TraesCS3B01G049700;TraesCS3D01G260300;TraesCS5B01G415700;TraesCS5A01G197200;TraesCS7D01G334900;TraesCS1D01G004400;TraesCS4A01G160700;TraesCS7B01G415400;TraesCS3D01G103900;TraesCS6A01G377700;TraesCS1D01G186100;TraesCS2B01G109800;TraesCS6B01G246000;TraesCS5B01G241100;TraesCS3D01G246000;TraesCS2B01G605800;TraesCS2D01G192000;TraesCS6A01G000500;TraesCS3B01G346500;TraesCS2B01G437300;TraesCS4B01G106000;TraesCS7D01G087100;TraesCS4D01G035300;TraesCS5A01G152300;TraesCS2B01G097300;TraesCS4B01G047100;TraesCS5D01G173900;TraesCS1B01G182000;TraesCS3A01G045200;TraesCS7B01G183200;TraesCS2D01G415700;TraesCS5D01G181500;TraesCS6A01G225400;TraesCS7D01G113900;TraesCS3A01G219800;TraesCS1B01G162400;TraesCS7A01G455800;TraesCS3A01G310400;TraesCS1D01G146900;TraesCS6D01G112100;TraesCS6D01G211900;TraesCS4B01G174100;TraesCS6A01G140800;TraesCS1D01G163400;TraesCS1D01G218200;TraesCS7D01G392800;TraesCS7A01G435300;TraesCS5D01G328100;TraesCS1D01G149100;TraesCS3A01G272900;TraesCS3B01G289400;TraesCS6D01G157900;TraesCS2B01G053300;TraesCS3B01G394600;TraesCS5B01G419200;TraesCS3D01G378700;TraesCS6D01G344600;TraesCS7A01G031700;TraesCS2D01G364400;TraesCS3A01G152200;TraesCS2D01G409400;TraesCS4D01G258000;TraesCS6A01G273100;TraesCS7B01G290200;TraesCS4A01G122800;TraesCS6A01G359900;TraesCS3A01G385600;TraesCS2D01G445500;TraesCS3D01G245500;TraesCS3B01G307700;TraesCS1B01G091900;TraesCS6B01G051700;TraesCS2D01G537700;TraesCS6D01G154400;TraesCS7D01G495700;TraesCS4A01G414700;TraesCS1B01G129800;TraesCS5A01G401400;TraesCS4B01G015500;TraesCS5A01G180800;TraesCS5B01G492700;TraesCS2B01G535400;TraesCS4A01G167700;TraesCS7A01G263300;TraesCS7D01G351000;TraesCS5B01G501300;TraesCS2B01G242200;TraesCS1B01G411900;TraesCS3D01G036100;TraesCS6A01G216100;TraesCS6B01G163100;TraesCS6B01G331600;TraesCS5D01G104900;TraesCS3A01G290300;TraesCS3D01G366700;TraesCS2B01G381600;TraesCS5B01G372500;TraesCS1D01G185200;TraesCS5D01G379700;TraesCS5A01G375000;TraesCS6B01G384500;TraesCS5D01G063800;TraesCS6B01G204600;TraesCS2B01G096000;TraesCS2A01G479500;TraesCS3A01G094600;TraesCS2B01G124100;TraesCS5D01G098900;TraesCS3D01G289100;TraesCS5B01G117200;TraesCS7B01G069100;TraesCS2A01G493800;TraesCS3A01G309800;TraesCS5A01G297900;TraesCS7A01G320000;TraesCS3D01G290100;TraesCS4D01G132500;TraesCS3A01G261800;TraesCS3A01G355700;TraesCS5B01G384500;TraesCS1D01G351500;TraesCS3B01G357200;TraesCS5B01G408100;TraesCS1D01G219100;TraesCS7D01G052400;TraesCS7A01G528000;TraesCS1D01G223600;TraesCS3A01G224400;TraesCS3A01G146800;TraesCS6B01G280300;TraesCS4B01G346100;TraesCS7A01G242800;TraesCS3A01G113900;TraesCS3A01G040800;TraesCS1A01G385500;TraesCS1D01G236900;TraesCS4D01G059300;TraesCS4D01G229900;TraesCS1D01G186500;TraesCS7D01G412000;TraesCS1D01G140300;TraesCS4B01G315400;TraesCS2A01G431100;TraesCS3B01G406200;TraesCS1A01G095800;TraesCS3A01G141100;TraesCS6A01G199000;TraesCS4A01G176200;TraesCS5B01G204900;TraesCS7D01G146400;TraesCS1D01G372400;TraesCS6B01G256200;TraesCS2D01G117200;TraesCS2B01G302400;TraesCS3B01G473100;TraesCS5B01G538600;TraesCS1A01G377900;TraesCS6A01G312400;TraesCS6A01G177700;TraesCS1B01G383400;TraesCS6A01G241000;TraesCS2B01G363000;TraesCS2D01G582800;TraesCS2B01G516700;TraesCS6B01G471400;TraesCS1B01G167700;TraesCS4B01G263300;TraesCS3A01G110300;TraesCS5D01G062900;TraesCS5D01G332200;TraesCS3B01G176200;TraesCS3B01G042700;TraesCS7D01G435100;TraesCS7B01G225500;TraesCS4B01G037800;TraesCS5D01G475900;TraesCS7A01G249400;TraesCS7D01G356200;TraesCS5D01G205100;TraesCS7D01G085800;TraesCS6B01G415700;TraesCS7A01G419200;TraesCS2D01G222300;TraesCS4D01G340500;TraesCS7A01G339100;TraesCS2A01G199700;TraesCS2A01G136100;TraesCS2D01G117100;TraesCS7A01G001900;TraesCS4A01G244500;TraesCS6A01G406700;TraesCS7B01G169700;TraesCS1A01G016100;TraesCS1A01G203700;TraesCS1D01G312800;TraesCS1D01G364000;TraesCS5D01G048600;TraesCS1D01G381800;TraesCS3B01G156600;TraesCS5D01G302800;TraesCS4A01G001300;TraesCS7D01G346400;TraesCS2A01G320200;TraesCS1A01G077500;TraesCS2A01G458100;TraesCS2D01G509300;TraesCS4D01G238900;TraesCS6D01G407400;TraesCS1A01G361100;TraesCS4D01G293200;TraesCS4B01G045400;TraesCS2A01G509900;TraesCS1B01G119600;TraesCS1A01G273600;TraesCS7A01G213000;TraesCS6B01G413500;TraesCS3D01G435400;TraesCS4D01G176100;TraesCS3A01G477300;TraesCS6B01G300500;TraesCS1B01G210500;TraesCS4B01G287300;TraesCS5A01G429000;TraesCS4A01G219500;TraesCS2B01G333600;TraesCS6D01G110400;TraesCS7A01G091400;TraesCS1B01G269600;TraesCS1D01G389300;TraesCS7B01G226800;TraesCS5A01G027000;TraesCS7A01G120000;TraesCS1B01G198000;TraesCS3B01G119600;TraesCS1A01G300000;TraesCS1A01G079700;TraesCS2D01G223600;TraesCS7D01G449700;TraesCS7D01G071200;TraesCS5A01G376700;TraesCS6D01G210100;TraesCS3B01G325100;TraesCS7D01G303700;TraesCS1D01G327000;TraesCS5D01G059300;TraesCS4A01G396700;TraesCS4A01G130400;TraesCS3D01G401200;TraesCS2A01G291900;TraesCS4B01G299700;TraesCS5A01G337100;TraesCS5B01G326500;TraesCS1D01G372900;TraesCS2B01G308200;TraesCS2D01G577000;TraesCS3A01G064400;TraesCS5A01G295200;TraesCS4A01G248900;TraesCS3B01G288100;TraesCS6B01G150300;TraesCS5D01G188600;TraesCS5D01G321100;TraesCS2D01G296700;TraesCS7B01G285700;TraesCS7D01G300200;TraesCS1B01G168600;TraesCS1A01G048100;TraesCS6B01G246800;TraesCS1B01G232300;TraesCS3A01G044800;TraesCS3A01G122300;TraesCS5B01G327800;TraesCS6A01G190700;TraesCS2D01G284700;TraesCS6D01G105000;TraesCS3B01G300300;TraesCS3D01G332400;TraesCSU01G047400;TraesCS7D01G265400;TraesCS3A01G374000;TraesCS2B01G109000;TraesCS3B01G214700;TraesCS3A01G229700;TraesCS1B01G463100;TraesCS1D01G384900;TraesCS2D01G346200;TraesCS3D01G345700;TraesCS1A01G080700;TraesCS5B01G026200;TraesCS6B01G291800;TraesCS2B01G347800;TraesCS6B01G289500;TraesCS7D01G451300;TraesCS6A01G301300;TraesCS3A01G249300;TraesCS5B01G175100;TraesCS7D01G029700;TraesCS1D01G081100;TraesCS4A01G322400;TraesCS7D01G325500;TraesCS6D01G158300;TraesCS7B01G115900;TraesCS2D01G322200;TraesCS3D01G258000;TraesCS3D01G287800;TraesCS4B01G273500;TraesCS4A01G068400;TraesCS3D01G138900;TraesCS6D01G224700;TraesCS5B01G373000;TraesCS1B01G224300;TraesCS4D01G136500;TraesCS5B01G474500;TraesCS7A01G092300;TraesCS1A01G296300;TraesCS1A01G443900;TraesCS2B01G240800;TraesCS6A01G327500;TraesCS2D01G148700;TraesCS3B01G528300;TraesCS3A01G452400;TraesCS7B01G301400;TraesCS7D01G463300;TraesCS7B01G259000;TraesCS1A01G072200;TraesCS2D01G222700;TraesCS5A01G152800;TraesCS6D01G334000;TraesCS3D01G324400;TraesCS7D01G350500;TraesCS3B01G156200;TraesCS3D01G272300;TraesCS5B01G064100;TraesCS4D01G242100;TraesCS1B01G109400;TraesCS2A01G420800;TraesCS7B01G249200;TraesCS5B01G406800;TraesCS1A01G389500;TraesCS4D01G041100;TraesCS6D01G335300;TraesCS7D01G357100;TraesCS6D01G299000;TraesCS3B01G100600;TraesCS1B01G385200;TraesCS5A01G398900;TraesCS4B01G055600;TraesCS1B01G375400;TraesCS5A01G513200;TraesCS3B01G352300;TraesCS2A01G488800;TraesCS4D01G180200;TraesCS4D01G312400;TraesCS6D01G243000;TraesCS2A01G182400;TraesCS4B01G083200;TraesCS1A01G112500;TraesCS2B01G198400;TraesCS2B01G320700;TraesCS2B01G400000;TraesCS2A01G101400;TraesCS3D01G542300;TraesCS1A01G248200;TraesCS2D01G417800;TraesCS2A01G302400;TraesCS6B01G069800;TraesCS1B01G250600;TraesCS5A01G138500;TraesCS5A01G222300;TraesCS1A01G312400;TraesCS1B01G447900;TraesCS2A01G386000;TraesCS4A01G211600;TraesCS7A01G384500;TraesCS6D01G358000;TraesCS6D01G362500;TraesCS7A01G225800;TraesCS7D01G015500;TraesCS3A01G124100;TraesCS2A01G041100;TraesCS7A01G267200;TraesCS6D01G316600;TraesCS3D01G273200;TraesCS2B01G439900;TraesCS5B01G065400;TraesCS2A01G117800;TraesCS2D01G190200;TraesCS5D01G223800;TraesCS6A01G080500;TraesCS1D01G199000;TraesCS3A01G338800;TraesCS2A01G209900;TraesCS1D01G321300;TraesCS5A01G173300;TraesCS5A01G196400;TraesCS7D01G524300;TraesCS2A01G323300;TraesCS4B01G142000;TraesCS7D01G444400;TraesCS4B01G194900;TraesCS4D01G229100;TraesCS7D01G037700;TraesCS3B01G334900;TraesCS1D01G425400;TraesCS1D01G229700;TraesCS5D01G070900;TraesCS1A01G066800;TraesCS2B01G480500;TraesCS5A01G514500;TraesCS3B01G376300;TraesCS5A01G210300;TraesCS3D01G310200;TraesCS6D01G047500;TraesCS3D01G182600;TraesCS5D01G432800;TraesCS1B01G257200;TraesCS6D01G381200;TraesCS3B01G253900;TraesCS6D01G232300;TraesCS3B01G356700;TraesCS4A01G255600;TraesCS3B01G310500;TraesCS3D01G136300;TraesCS3B01G053800;TraesCS6A01G374700;TraesCS3B01G377600;TraesCS2B01G187300;TraesCS3A01G034600;TraesCS5B01G084100;TraesCS7A01G326200;TraesCS6D01G115200;TraesCS1A01G365100;TraesCS2D01G178100;TraesCS6B01G098300;TraesCS4D01G254500;TraesCS4A01G126300;TraesCS1D01G123400;TraesCS3A01G276500;TraesCS2D01G459200;TraesCS3B01G374100;TraesCS1B01G204700;TraesCS3D01G238000;TraesCS2D01G286300;TraesCS2D01G460600;TraesCS3A01G050700;TraesCS7D01G351300;TraesCS5B01G482400;TraesCS7D01G390900;TraesCS6A01G240700;TraesCS4D01G081300;TraesCS7B01G346600;TraesCS6B01G285900;TraesCS7B01G370700;TraesCS7A01G012000;TraesCS5D01G397400;TraesCS3A01G097800;TraesCS5A01G366000;TraesCS7D01G136700;TraesCS3D01G267000;TraesCS5A01G314800;TraesCS2A01G418200;TraesCS2B01G198100;TraesCS2A01G455600;TraesCS5B01G151600;TraesCS7A01G405600;TraesCS2D01G549400;TraesCS2D01G231600;TraesCS5D01G375600;TraesCS5B01G561300;TraesCS3D01G339600;TraesCS3B01G194400;TraesCS2D01G217500;TraesCS6B01G370000;TraesCS5A01G403300;TraesCS1A01G358600;TraesCS5B01G138600;TraesCS5D01G374300;TraesCS1A01G424200;TraesCS2D01G033100;TraesCS2B01G403000;TraesCS2B01G449200;TraesCS4A01G419400;TraesCS2B01G489700;TraesCS1D01G199300;TraesCS7B01G208700;TraesCS2A01G214400;TraesCS2B01G236900;TraesCS3D01G183900;TraesCS6B01G293500;TraesCS7D01G419400;TraesCS5B01G334700;TraesCS3B01G367500;TraesCS4D01G013600;TraesCS1B01G157300;TraesCS3B01G311900;TraesCS7D01G501700;TraesCS6D01G311400;TraesCS2A01G417300;TraesCS2B01G271700;TraesCS7D01G235000;TraesCS7A01G344100;TraesCS1D01G118300;TraesCS7B01G356400;TraesCS4B01G124800;TraesCS3A01G096500;TraesCS1D01G346200;TraesCS6B01G225800;TraesCS3D01G285700;TraesCS6A01G146200;TraesCS2B01G365900;TraesCS2B01G437200;TraesCS6A01G331400;TraesCS4D01G215200;TraesCS3D01G500800;TraesCS7A01G075600;TraesCS4D01G266400;TraesCS3D01G036000;TraesCS5A01G085900;TraesCS1A01G367100;TraesCS7B01G206500;TraesCS5B01G380400;TraesCS5A01G526200;TraesCS2B01G339600;TraesCS2A01G346000;TraesCS5B01G197800;TraesCS2D01G415600;TraesCS1A01G357300;TraesCS1D01G185100;TraesCS7D01G228700;TraesCS7D01G316100;TraesCS2B01G243200;TraesCS1D01G123700;TraesCS4B01G178600;TraesCS3B01G093300;TraesCS4D01G001200;TraesCS2D01G428900;TraesCS5A01G369500;TraesCS7B01G161100;TraesCS2D01G382600;TraesCS1A01G219400;TraesCS3B01G158300;TraesCS5A01G451400;TraesCS4B01G214600;TraesCS4B01G143500;TraesCS7A01G464400;TraesCS2A01G324200;TraesCS3B01G102300;TraesCS3D01G048000;TraesCS3B01G591000;TraesCS3D01G136700;TraesCS1B01G217500;TraesCS3D01G432600;TraesCS5B01G339100;TraesCS6D01G222900;TraesCS3D01G527900;TraesCS1D01G101900;TraesCS3D01G192800;TraesCS3A01G439800;TraesCS2B01G303200;TraesCS6B01G423900;TraesCS1A01G218100;TraesCS1D01G273800;TraesCS1A01G344000;TraesCS1B01G058600;TraesCS6D01G302500;TraesCS6A01G204600;TraesCS2D01G344700;TraesCS7D01G291100;TraesCS4A01G331900;TraesCS4B01G261800;TraesCS4B01G216800;TraesCS7A01G158900;TraesCS6A01G135100;TraesCS4D01G055000;TraesCS4D01G183100;TraesCS6D01G360800;TraesCS7A01G187000;TraesCS3A01G256300;TraesCS2B01G210700;TraesCS4D01G064800;TraesCS2B01G535500;TraesCS5B01G201100;TraesCS5B01G321800;TraesCS6A01G132400;TraesCS1B01G241200;TraesCS5A01G131300;TraesCS3B01G306500;TraesCS5D01G309700;TraesCS2D01G572600;TraesCS5A01G307200;TraesCS4D01G096400;TraesCS1A01G080600;TraesCS2B01G532000;TraesCS5A01G186000;TraesCS3D01G139300;TraesCS3D01G320600;TraesCS1B01G441900;TraesCS1A01G259900;TraesCS1B01G382600;TraesCS5D01G434500;TraesCS3D01G467300;TraesCS3A01G029700;TraesCS4A01G100900;TraesCS2B01G174500;TraesCS7B01G031900;TraesCS2D01G458700;TraesCS5D01G499000;TraesCS5D01G216400;TraesCS3B01G409400;TraesCS7A01G264500;TraesCS1A01G122800;TraesCS5D01G357800;TraesCS1B01G404000;TraesCS2B01G114000;TraesCS7D01G028400;TraesCS2A01G255300;TraesCS3B01G304300;TraesCS5A01G269300;TraesCS6A01G124800;TraesCS7A01G299600;TraesCS2A01G155500;TraesCS7D01G295100;TraesCS2A01G512100;TraesCS3A01G345800;TraesCS5D01G089900;TraesCS1B01G229100;TraesCS1B01G182700;TraesCS4B01G098000;TraesCS1D01G072600;TraesCS3B01G141500;TraesCS4D01G239600;TraesCS5A01G076600;TraesCS7D01G321500;TraesCS5D01G157900;TraesCS7B01G333700;TraesCS3A01G050300;TraesCS6D01G104800;TraesCS7B01G356800;TraesCS4A01G043800;TraesCS5D01G531600;TraesCS2A01G211300;TraesCS2A01G414700;TraesCS1B01G230500;TraesCS1D01G130400;TraesCS3A01G109500;TraesCS6D01G039300;TraesCSU01G216800;TraesCS1A01G245300;TraesCS2A01G058100;TraesCS7D01G261300;TraesCS3A01G471900;TraesCS5B01G197400;TraesCS1A01G141500;TraesCS4A01G226300;TraesCS7D01G041400;TraesCS7A01G364100;TraesCS1B01G310100;TraesCS5A01G437500;TraesCS2B01G175800;TraesCS6D01G122200;TraesCS5A01G100300;TraesCS7D01G417600;TraesCS1D01G133900;TraesCS6A01G376300;TraesCS1D01G372500;TraesCS3B01G038900;TraesCS5B01G244300;TraesCS6A01G353200;TraesCS6A01G073300;TraesCS6D01G135500;TraesCS1B01G368300;TraesCS5B01G184100;TraesCS3D01G048400;TraesCS7A01G376100;TraesCS6B01G385500;TraesCS2A01G144800;TraesCS2D01G100900;TraesCS3A01G261700;TraesCS3B01G289500;TraesCSU01G095400;TraesCS4B01G203900;TraesCS2A01G046100;TraesCS2A01G233100;TraesCS2A01G516500;TraesCS1A01G305400;TraesCS2B01G452400;TraesCS1A01G215900;TraesCS4A01G109300;TraesCS5A01G321500;TraesCS7A01G053400;TraesCS1D01G213700;TraesCS4D01G202300;TraesCS5D01G199800;TraesCS4B01G059700;TraesCS4B01G254700;TraesCS2D01G374600;TraesCS2D01G456900;TraesCS3A01G285700;TraesCS5D01G493200;TraesCS5D01G422000;TraesCS6B01G309400;TraesCS2D01G509400;TraesCS1D01G094700;TraesCS1B01G324300;TraesCS3D01G438800;TraesCS2D01G095000;TraesCS4D01G268100;TraesCS4B01G215100;TraesCS7A01G125600;TraesCS2A01G094500;TraesCS3D01G370800;TraesCS5A01G156200;TraesCS5B01G166300;TraesCS7B01G326200;TraesCS4D01G176000;TraesCS6B01G152800;TraesCS4B01G264500;TraesCS3B01G128000;TraesCS5B01G262900;TraesCS2A01G508900;TraesCS2B01G220900;TraesCS1B01G269500;TraesCS4A01G391100;TraesCS4D01G315400;TraesCS1D01G081400;TraesCS6A01G108800;TraesCS3A01G258100;TraesCS4A01G232600;TraesCS4A01G498700;TraesCS3A01G327200;TraesCS7A01G195800;TraesCS6D01G155100;TraesCS5D01G481200;TraesCS2D01G066900;TraesCS4D01G029500;TraesCS7B01G416100;TraesCS6D01G239700;TraesCS5D01G244800;TraesCS3A01G110400;TraesCS3A01G135700;TraesCS4D01G136800;TraesCS7A01G364200;TraesCS4D01G339400;TraesCS5A01G320600;TraesCS7B01G225600;TraesCS6B01G358800;TraesCS5D01G097900;TraesCS7A01G306300;TraesCS4B01G037900;TraesCS7A01G113600;TraesCS5A01G463000;TraesCS5B01G118200;TraesCS5A01G169500;TraesCS5D01G461600;TraesCS6D01G192500;TraesCS7A01G057800;TraesCS2A01G462700;TraesCS6B01G370900;TraesCS7D01G279900;TraesCS1A01G048000;TraesCS7B01G029200;TraesCS4A01G035400;TraesCS3B01G203700;TraesCS7D01G311200;TraesCS5D01G216300;TraesCS6A01G119900;TraesCS1B01G062200;TraesCS5A01G204800;TraesCS7B01G364900;TraesCSU01G051800;TraesCS3B01G514900;TraesCS1B01G268600;TraesCS6B01G257800;TraesCS2A01G201900;TraesCS2D01G534400;TraesCS6A01G168900;TraesCS2D01G198200;TraesCS1A01G361000;TraesCS7A01G186900;TraesCS4B01G062800;TraesCS5B01G202900;TraesCS3D01G045400;TraesCS1B01G229000;TraesCS4A01G216100;TraesCS5D01G163400;TraesCS6A01G311000;TraesCS1D01G330300;TraesCS2B01G100300;TraesCS2D01G398500;TraesCS5B01G208200;TraesCS2D01G379000;TraesCS5D01G027600;TraesCS7A01G344600;TraesCS7D01G516400;TraesCS2B01G323700;TraesCS3D01G094800;TraesCS3B01G119500;TraesCS7A01G328100;TraesCS5D01G073900;TraesCS7B01G214900;TraesCS7D01G394800;TraesCS1D01G079600;TraesCS3B01G589600;TraesCS5A01G351300;TraesCS1D01G101100;TraesCS4A01G027800;TraesCS5D01G152300;TraesCS2D01G511300;TraesCS3B01G151200;TraesCS5B01G187200;TraesCS5D01G475800;TraesCS1A01G305800;TraesCS3A01G209200;TraesCS1D01G206900;TraesCS3B01G013200;TraesCS2A01G046500;TraesCS5A01G377900;TraesCS7A01G212000;TraesCS1A01G203400;TraesCS7D01G053900;TraesCS3A01G406000;TraesCS4B01G216000;TraesCS1A01G333800;TraesCS5A01G237700;TraesCS4A01G267300;TraesCS5D01G145100;TraesCS2B01G166100;TraesCS1B01G385300;TraesCS2B01G216800;TraesCS1A01G145100;TraesCS4A01G080400;TraesCS1D01G361000;TraesCS2B01G114900;TraesCS5D01G078300;TraesCS4D01G312300;TraesCS1B01G283400;TraesCS3A01G530200;TraesCS3B01G229900;TraesCS1B01G120100;TraesCS5B01G460200;TraesCS2B01G498100;TraesCS7B01G254900;TraesCS3B01G384000;TraesCS6D01G032300;TraesCS5D01G408200;TraesCS3A01G463400;TraesCS4A01G059800;TraesCS2B01G436300;TraesCS7A01G110500;TraesCS1D01G223000;TraesCS1A01G031200;TraesCS3B01G439600;TraesCS2D01G459100;TraesCS2A01G386100;TraesCS5B01G236200;TraesCS7B01G222500;TraesCS4A01G125300;TraesCS2A01G347400;TraesCS3A01G262200;TraesCS2B01G204800;TraesCS5A01G202600;TraesCS2A01G368700;TraesCS5D01G386800;TraesCS1D01G228700;TraesCS5D01G034700;TraesCS2B01G521800;TraesCS2B01G414500;TraesCS6A01G209000;TraesCS2A01G083000;TraesCS2A01G532600;TraesCS1B01G377700;TraesCS1A01G235000;TraesCS3A01G483000;TraesCS2D01G343000;TraesCS4B01G085500;TraesCS1A01G072100;TraesCS2B01G121200;TraesCS2A01G407900;TraesCS4D01G046900;TraesCS6A01G116000;TraesCS5D01G031200;TraesCS7A01G154900;TraesCS4A01G186700;TraesCS4A01G083900;TraesCS4B01G258200;TraesCS3D01G230200;TraesCS2B01G241800;TraesCS2B01G467400;TraesCS1B01G097700;TraesCS1D01G073000;TraesCS1A01G302700;TraesCS2B01G504000;TraesCS6D01G253100;TraesCS2D01G284200;TraesCS5B01G056800;TraesCS2D01G380800;TraesCS3B01G423200;TraesCS2D01G580700;TraesCS5A01G092600;TraesCS3A01G521300;TraesCS3A01G034700;TraesCS2A01G488900;TraesCS7A01G423800;TraesCS1B01G226800;TraesCS6A01G363900;TraesCS3D01G097000;TraesCS1D01G259000;TraesCS2D01G392800;TraesCS7B01G141900;TraesCS4A01G081700;TraesCS4B01G214200;TraesCS3A01G136200;TraesCS5D01G182100;TraesCS7B01G297200;TraesCS6D01G198700;TraesCS6D01G280700;TraesCS5B01G356400;TraesCS3D01G262200;TraesCS7B01G241200;TraesCS4B01G294300;TraesCS6B01G414100;TraesCS2D01G137700;TraesCS7A01G395300;TraesCS3A01G323200;TraesCS4B01G099700;TraesCS6B01G392700;TraesCS2D01G574000;TraesCS2D01G062100;TraesCS4D01G217000;TraesCS5D01G158000;TraesCS7D01G129500;TraesCS4A01G417300;TraesCS6B01G337900;TraesCS5D01G504800;TraesCS6D01G159100;TraesCS7D01G171000;TraesCS3D01G124200;TraesCS5A01G454500;TraesCS1A01G259000;TraesCS1B01G048300;TraesCS4D01G195600;TraesCS1B01G305200;TraesCS1B01G248600;TraesCS6A01G352800;TraesCS6A01G375900;TraesCS4A01G221500;TraesCS5B01G064400;TraesCS1A01G016000;TraesCS5B01G087500;TraesCS7A01G325000;TraesCS6A01G165800;TraesCS2B01G260500;TraesCS4A01G431600;TraesCS1D01G087600;TraesCS7D01G386800;TraesCS2D01G538400;TraesCS5D01G359000;TraesCS6D01G358600;TraesCS3D01G042600;TraesCS1A01G413400;TraesCS1B01G454000;TraesCS6D01G102100;TraesCS3B01G295000;TraesCS2A01G343900;TraesCS7B01G229300;TraesCS1A01G275200;TraesCS1B01G375100;TraesCS3B01G455000;TraesCS4B01G049100;TraesCS7A01G188600;TraesCS4D01G207500;TraesCS6A01G124500;TraesCS7B01G445000;TraesCS7A01G163300;TraesCS6B01G052400;TraesCS1A01G217300;TraesCS1B01G363100;TraesCS5A01G253200;TraesCS5D01G314100;TraesCS5A01G177800;TraesCS3D01G072000;TraesCS6B01G222200;TraesCS7A01G528200;TraesCS6A01G319600;TraesCS7D01G318600;TraesCS4D01G069300;TraesCS2A01G190200;TraesCS4B01G157800;TraesCS5B01G104500;TraesCS4B01G235400;TraesCS3A01G276200;TraesCS6D01G291800;TraesCS1A01G312700;TraesCS3A01G033000;TraesCS4B01G088700;TraesCS6D01G360900;TraesCS2A01G456600;TraesCS2D01G219800;TraesCS5B01G182000;TraesCS6B01G225700;TraesCS4D01G366100;TraesCS1A01G182100;TraesCS4D01G045300;TraesCS1A01G206200;TraesCS5A01G350800;TraesCS2A01G170600;TraesCS2D01G297300;TraesCS1D01G119500;TraesCS2A01G285900;TraesCS4B01G054900;TraesCS2B01G393000;TraesCS7D01G305300;TraesCS6B01G398500;TraesCS7B01G102000;TraesCS1A01G045300;TraesCS7D01G444700;TraesCS1A01G370600;TraesCS5A01G402100;TraesCS2B01G477600;TraesCS7A01G287100;TraesCS1D01G074500;TraesCS4B01G077600;TraesCS3D01G444900;TraesCS3D01G467600;TraesCS4B01G210100;TraesCS3D01G270300;TraesCS3A01G274000;TraesCS2D01G598500;TraesCS5B01G371800;TraesCS2B01G151100;TraesCS3A01G507500;TraesCS6D01G198600;TraesCS1D01G100900;TraesCS6A01G238500;TraesCS1D01G238900;TraesCS3A01G344400;TraesCS3A01G373800;TraesCS4A01G213500;TraesCS7D01G118100;TraesCS6A01G119100;TraesCS1B01G089000;TraesCS1D01G188500;TraesCS3A01G034300;TraesCS5D01G328300;TraesCS3D01G171800;TraesCS2B01G454500;TraesCS4A01G050000;TraesCS2B01G189300;TraesCS2B01G118500;TraesCSU01G020500;TraesCS6D01G199500;TraesCS6A01G361100;TraesCS6B01G108100;TraesCS2D01G000300;TraesCS4B01G222100;TraesCS2D01G537100;TraesCSU01G169600;TraesCS5B01G468400;TraesCS5D01G387900;TraesCS5D01G232100;TraesCS6A01G351300;TraesCS2A01G204500;TraesCS2D01G426600;TraesCS3D01G039400;TraesCS5D01G249800;TraesCS5D01G524800;TraesCS6A01G305000;TraesCS3B01G196900;TraesCS2B01G336000;TraesCS4A01G062000;TraesCS1D01G249600;TraesCS4D01G215100;TraesCS2B01G180500;TraesCS3D01G008700;TraesCS2B01G542300;TraesCS1B01G461600;TraesCS2D01G529500;TraesCS2A01G121200;TraesCS6B01G207000;TraesCS5B01G526000;TraesCS7A01G427100;TraesCS3D01G030600;TraesCS1A01G367000;TraesCS1D01G046000;TraesCS5A01G322300;TraesCS5D01G320800;TraesCS2A01G216500;TraesCS7D01G165300;TraesCS5B01G141900;TraesCS2A01G323000;TraesCS3B01G506700;TraesCS7B01G129500;TraesCS6D01G166600;TraesCS2A01G418300;TraesCS7B01G194100;TraesCS4B01G214500;TraesCS3A01G077000;TraesCS7B01G299200;TraesCS5A01G051800;TraesCS5B01G184600;TraesCS2D01G382500;TraesCS3A01G245500;TraesCS7D01G122600;TraesCS3A01G222400;TraesCS6D01G087700;TraesCS2D01G097700;TraesCS2B01G537800;TraesCS2D01G223000;TraesCS1D01G258900;TraesCS5A01G481300;TraesCS7D01G052600;TraesCS2D01G349000;TraesCS5A01G341000;TraesCS2D01G163300;TraesCS2D01G232400;TraesCS1D01G327200;TraesCS2A01G516800;TraesCS5B01G307600;TraesCS7A01G194900;TraesCS2D01G216700;TraesCS3D01G104100;TraesCS7B01G294800;TraesCS1A01G221400;TraesCS2D01G317400;TraesCS1D01G209500;TraesCS1B01G088500;TraesCS1B01G384900;TraesCS2A01G525300;TraesCS3D01G137000;TraesCS2D01G279500;TraesCS4D01G059100;TraesCS6D01G284200;TraesCS6D01G320400;TraesCS5D01G424600;TraesCS5D01G390700;TraesCS5A01G468300;TraesCS3B01G360600;TraesCS4D01G261400;TraesCS3A01G256200;TraesCS1D01G140500;TraesCS5D01G208900;TraesCS5D01G365300;TraesCS5B01G155700;TraesCS1D01G419400;TraesCS6A01G262200;TraesCS3B01G406000;TraesCS1B01G241100;TraesCS6B01G281800;TraesCS1B01G056900;TraesCS7D01G324900;TraesCS3B01G046800;TraesCS3D01G256400;TraesCS2B01G001400;TraesCS6B01G421400;TraesCS2B01G097100;TraesCS5D01G421100;TraesCS7A01G167300;TraesCS1A01G080500;TraesCS1A01G330500;TraesCS1A01G187400;TraesCS6B01G375400;TraesCS7B01G309900;TraesCS4A01G484800;TraesCS2B01G536500;TraesCS6D01G122100;TraesCS7A01G264400;TraesCS1D01G372600;TraesCS5A01G294600;TraesCSU01G111800;TraesCS7A01G369500;TraesCS2A01G189600;TraesCS5B01G538800;TraesCS2D01G231100;TraesCS6B01G412500;TraesCS7D01G248200;TraesCS2B01G229000;TraesCS1A01G329500;TraesCS1A01G304200;TraesCS7B01G107300;TraesCS1D01G218000;TraesCS6A01G312600;TraesCS6A01G280000;TraesCS5A01G424300;TraesCS2A01G433500;TraesCS5B01G152600;TraesCS2A01G458800;TraesCS1D01G283900;TraesCS6A01G155200;TraesCS6D01G260200;TraesCS4A01G203300;TraesCS3B01G153800;TraesCS4A01G029800;TraesCS7B01G395000;TraesCS4D01G180800;TraesCS4A01G017400;TraesCSU01G238700;TraesCS1B01G376000;TraesCS2B01G304800;TraesCS6B01G340300;TraesCS2A01G384400;TraesCS2D01G491600;TraesCS3B01G291900;TraesCS5A01G505000;TraesCS5D01G040500;TraesCS6A01G226100;TraesCS2A01G211200;TraesCS6D01G226300;TraesCS5A01G426500;TraesCS1A01G411600;TraesCS2A01G040900;TraesCS5B01G313000;TraesCS1B01G304800;TraesCS5B01G095900;TraesCS4D01G004400;TraesCS2A01G396400;TraesCS4B01G201600;TraesCS5A01G205500;TraesCS3A01G097900;TraesCS1A01G183000;TraesCS3D01G261800;TraesCS3A01G362200;TraesCS4A01G124800;TraesCS3A01G477100;TraesCS1D01G148000;TraesCS6A01G264800;TraesCS7D01G188000;TraesCS5D01G333700;TraesCS2D01G199700;TraesCS5B01G215900;TraesCS6D01G368800;TraesCS2B01G394700;TraesCS7D01G086900;TraesCS2B01G208900;TraesCS2A01G343100;TraesCS2D01G301100;TraesCS7D01G449500;TraesCS2A01G382700;TraesCS1B01G326600;TraesCS7B01G327400;TraesCS1A01G122500;TraesCS2D01G144500;TraesCS3B01G371200;TraesCS7A01G264800;TraesCS3B01G600300;TraesCS3D01G015900;TraesCS5D01G183100;TraesCS3B01G484000;TraesCS1D01G082600;TraesCS6A01G141500;TraesCS5B01G294600;TraesCS2A01G538200;TraesCS7B01G347000;TraesCS4A01G130600;TraesCS6A01G336600;TraesCS6A01G378000;TraesCS7D01G010000;TraesCS2A01G291700;TraesCS6D01G258300;TraesCS3B01G489700;TraesCS6D01G319900;TraesCS7B01G100600;TraesCS7A01G512300;TraesCS4B01G070500;TraesCS2B01G480300;TraesCS2D01G464400;TraesCS7D01G000200;TraesCS5D01G358600;TraesCS4B01G162700;TraesCS6D01G248500;TraesCS3A01G377700;TraesCS7A01G235000;TraesCS1D01G216200;TraesCS6B01G412400;TraesCS4A01G091000;TraesCS5B01G165100;TraesCS6B01G284000;TraesCS4A01G010000;TraesCS4A01G255400;TraesCS4D01G326400;TraesCS6D01G257000;TraesCS2D01G463100;TraesCS4D01G272500;TraesCS5A01G078400;TraesCS7D01G024200;TraesCS1D01G451900;TraesCS2B01G324900;TraesCS5D01G085800;TraesCS6A01G258900;TraesCS7D01G335500;TraesCS6D01G359100;TraesCS7A01G308600;TraesCS2A01G371600;TraesCS7D01G516100;TraesCS7A01G282200;TraesCS6D01G180400;TraesCS3D01G049700;TraesCS5D01G519800;TraesCS3D01G335700;TraesCS6D01G217800;TraesCS3A01G486000;TraesCS7A01G101500;TraesCS7D01G197300;TraesCS7D01G189700;TraesCS2A01G106500;TraesCS2D01G485300;TraesCS7D01G506300;TraesCS2D01G185000;TraesCS1D01G299400;TraesCS6B01G193200;TraesCS1B01G234700;TraesCS5A01G182400;TraesCS6D01G056600;TraesCS4B01G345400;TraesCS1A01G284900;TraesCS2A01G083300;TraesCS1A01G342600;TraesCS3D01G308100;TraesCS3D01G441900;TraesCS5B01G214500;TraesCS6A01G302400;TraesCS6B01G255500;TraesCS1B01G347100;TraesCS5B01G428400;TraesCS7A01G406100;TraesCS5D01G261000;TraesCS6B01G127300;TraesCS7B01G372400;TraesCS7D01G383600;TraesCS7D01G085600;TraesCS2B01G196400;TraesCS2D01G107100;TraesCSU01G016900;TraesCS2D01G455900;TraesCS4D01G126900;TraesCS3B01G166600;TraesCS3B01G441600;TraesCS1A01G043900;TraesCS7A01G323800;TraesCS7A01G365600;TraesCS3B01G156800;TraesCSU01G249900;TraesCS1D01G232700;TraesCS7A01G223000;TraesCS2D01G431500;TraesCS3D01G445000;TraesCS5A01G235400;TraesCS6D01G226700;TraesCS7A01G197900;TraesCS7B01G101500;TraesCS3A01G254900;TraesCS3D01G172200;TraesCS3B01G004600;TraesCS2D01G314400;TraesCS4A01G080300;TraesCS5D01G185300;TraesCS5D01G288100;TraesCS4A01G323500;TraesCS4D01G352700;TraesCS2D01G513600;TraesCS6B01G423100;TraesCS2A01G201800;TraesCS7A01G010200;TraesCS4D01G098600;TraesCS3A01G477500;TraesCS6A01G277600;TraesCS1A01G215500;TraesCS4B01G251100;TraesCS2B01G035300;TraesCS7D01G488800;TraesCS6A01G187300;TraesCS1D01G076200;TraesCS7B01G250400;TraesCS5B01G208300;TraesCS5B01G133500;TraesCS6D01G110600;TraesCS6B01G152700;TraesCS7A01G321600;TraesCS6A01G383800;TraesCS2A01G187900;TraesCS6B01G059800;TraesCS4B01G007300;TraesCS4D01G089300;TraesCS5A01G090100;TraesCS5D01G069700;TraesCS3D01G472200;TraesCS4D01G104100;TraesCS1D01G398400;TraesCS7A01G328600;TraesCS6A01G245200;TraesCS6D01G255200;TraesCS5B01G520600;TraesCS5D01G346200;TraesCS1A01G086600;TraesCS2B01G047300;TraesCS6A01G306800;TraesCS3D01G502500;TraesCS7A01G163700;TraesCS1D01G239700;TraesCS5D01G540800;TraesCS1D01G082200;TraesCS5A01G198800;TraesCS7D01G201600;TraesCS5D01G064000;TraesCS1D01G032600;TraesCS3D01G179200;TraesCS5B01G078500;TraesCS2B01G318600;TraesCS2D01G564300;TraesCS4B01G171600;TraesCS6D01G225800;TraesCS7A01G306800;TraesCS4A01G384500;TraesCS7D01G224700;TraesCS5B01G225200;TraesCS6A01G375800;TraesCS2D01G528200;TraesCS2B01G241900;TraesCS4B01G132000;TraesCS6D01G328800;TraesCS4B01G216700;TraesCS2A01G324400;TraesCS5B01G056700;TraesCS1A01G073300;TraesCS6A01G243000;TraesCS4B01G137700;TraesCS7B01G008400;TraesCS1B01G251700;TraesCS7A01G131300;TraesCS3A01G439200;TraesCS7A01G412400;TraesCS7D01G372500;TraesCS4B01G286600;TraesCS7D01G368000;TraesCS2B01G539200;TraesCS6B01G335400;TraesCS6A01G258500;TraesCS2B01G315100;TraesCS7A01G423900;TraesCS2A01G339900;TraesCS5D01G139800;TraesCS4A01G071800;TraesCS4B01G228700;TraesCS4D01G147400;TraesCS1B01G157700;TraesCS2B01G169700;TraesCS7B01G277900;TraesCS7D01G054000;TraesCS2D01G098200;TraesCS1D01G314800;TraesCS2A01G150600;TraesCS4A01G009400;TraesCS7A01G537200;TraesCS5A01G080300;TraesCS4A01G171500;TraesCS5A01G048600;TraesCS2A01G401000;TraesCS7D01G474200;TraesCS3D01G262300;TraesCS5D01G212900;TraesCS7B01G025800;TraesCS7D01G359100;TraesCS1A01G417800;TraesCS6A01G148100;TraesCS7D01G353800;TraesCS2D01G450600;TraesCS3A01G191100;TraesCS7A01G118300;TraesCS6D01G290400;TraesCS5D01G158100;TraesCS6A01G266100;TraesCS1B01G398700;TraesCS4D01G264500;TraesCS6A01G120600;TraesCS2B01G341400;TraesCS1A01G072000;TraesCS5A01G152600;TraesCS7D01G167900;TraesCS2A01G023900;TraesCS4B01G052300;TraesCS7B01G104600;TraesCS1B01G478400;TraesCS5A01G463100;TraesCS1D01G312600;TraesCS3A01G419600;TraesCS6D01G050900;TraesCS5D01G465500;TraesCS4A01G431500;TraesCS3D01G337900;TraesCS1D01G073100;TraesCS3D01G514900;TraesCS7A01G059500;TraesCS1D01G237100;TraesCS4D01G173700;TraesCS1D01G333500;TraesCS2D01G509500;TraesCS3D01G300200;TraesCS3B01G295500;TraesCS7D01G130600;TraesCS3A01G009400;TraesCS7D01G213600;TraesCS4D01G220500;TraesCS1A01G215100;TraesCS5B01G437300;TraesCS6D01G281900;TraesCS7D01G203800;TraesCS5A01G312000;TraesCS7D01G364900;TraesCSU01G150500;TraesCS6B01G190100;TraesCS4D01G325500;TraesCS7A01G069300;TraesCS7D01G048600;TraesCS3A01G295000;TraesCS7A01G091200;TraesCS7D01G128300;TraesCS2B01G595300;TraesCS4A01G175900;TraesCS1B01G095600;TraesCS2A01G428500;TraesCS3B01G280000;TraesCS1D01G295800;TraesCS1D01G270500;TraesCS3D01G535700;TraesCS7B01G325900;TraesCS4D01G175700;TraesCS3B01G356600;TraesCS3A01G493100;TraesCS7B01G105600;TraesCS2B01G197000;TraesCS6D01G335600;TraesCS2B01G109700;TraesCS6B01G305600;TraesCS7A01G127100;TraesCS3D01G250800;TraesCS5A01G217000;TraesCS3B01G415900;TraesCS5A01G058100;TraesCS7B01G024500;TraesCS5A01G205000;TraesCS5B01G082500;TraesCS3A01G255600;TraesCS4B01G335100;TraesCS5D01G031500;TraesCS6A01G225300;TraesCS7D01G113800;TraesCS2B01G243000;TraesCS6D01G240100;TraesCS3D01G050100;TraesCS7B01G092200;TraesCS6B01G420600;TraesCS6B01G141000;TraesCS5B01G358900;TraesCS7A01G338900;TraesCS5D01G478700;TraesCS5B01G203100;TraesCS1B01G198900;TraesCS2D01G137500;TraesCS2B01G407600;TraesCS3A01G199600;TraesCS1D01G111900;TraesCS2D01G507800;TraesCS1A01G228100;TraesCS2A01G503800;TraesCS1B01G333800;TraesCS6D01G369400;TraesCS5B01G233800;TraesCS7B01G093500;TraesCS7D01G303000;TraesCS5A01G062600;TraesCS3D01G078900;TraesCS3B01G279900;TraesCS4A01G262600;TraesCS6B01G006600;TraesCSU01G008300;TraesCS3B01G206500;TraesCS2D01G321400;TraesCS1A01G093300;TraesCS2D01G504300;TraesCS2D01G275400;TraesCS1A01G276200;TraesCS7B01G255500;TraesCS2A01G384100;TraesCS2D01G197600;TraesCS1D01G259700;TraesCS6A01G272500;TraesCS4A01G131000;TraesCS2D01G219900;TraesCS4B01G225500;TraesCS5B01G381500;TraesCS7B01G287100;TraesCS5D01G340300;TraesCS3D01G472000;TraesCS5A01G071500;TraesCS2D01G414500;TraesCS6A01G216800;TraesCS4D01G035200;TraesCS5B01G193200;TraesCS5B01G252100;TraesCS1D01G420900;TraesCS5D01G194700;TraesCS7D01G341300;TraesCS2D01G214200;TraesCS3B01G529700;TraesCS5A01G209800;TraesCS1D01G303700;TraesCS2D01G562200;TraesCS3B01G319600;TraesCS5A01G356400;TraesCS5D01G211300;TraesCS7D01G356800;TraesCS2B01G436100;TraesCS7A01G241200;TraesCS1D01G074600;TraesCS7D01G201000;TraesCS1D01G037200;TraesCS6B01G197000;TraesCS4B01G080900;TraesCS3D01G316700;TraesCS3B01G584500;TraesCS2B01G430800;TraesCS4A01G110100;TraesCS4B01G174000;TraesCS1B01G089100;TraesCS3D01G178300;TraesCS2A01G217700;TraesCS5B01G138400;TraesCS5A01G390300;TraesCS1B01G385000;TraesCS4A01G089800;TraesCS5B01G207900;MORE</t>
  </si>
  <si>
    <t>TraesCS1D01G073100;TraesCS2B01G174500;TraesCS5B01G482400;TraesCS7D01G392800;TraesCS1B01G456700;TraesCS5D01G482800;TraesCS7A01G470400;TraesCS2B01G180500;TraesCS4D01G045300;TraesCS7A01G412400;TraesCS4B01G045400;TraesCS7A01G264500;TraesCS5B01G214500;TraesCS4B01G100100;TraesCS5D01G223800;TraesCS4D01G096400;TraesCS7B01G372400;TraesCS2A01G155500;TraesCS2D01G285300;TraesCS5D01G207400;TraesCS5B01G200000;TraesCS4A01G216100;TraesCS5A01G469800;TraesCS2B01G271700;TraesCS5A01G216000;TraesCS7D01G457800;TraesCS7B01G299200;TraesCS1A01G295300</t>
  </si>
  <si>
    <t>cellular response to abscisic acid stimulus</t>
  </si>
  <si>
    <t>cellular response to alcohol</t>
  </si>
  <si>
    <t>TraesCS1A01G377900;TraesCS6B01G347800;TraesCS2B01G109700;TraesCS7B01G327400;TraesCS5D01G076400;TraesCS5A01G217000;TraesCS2A01G094500;TraesCS7A01G188600;TraesCS2D01G270400;TraesCS5A01G253200;TraesCS3D01G102200;TraesCS4B01G314300;TraesCS5D01G440900;TraesCS7D01G348700;TraesCS3A01G054400;TraesCS2D01G250900;TraesCS6D01G248500;TraesCS2B01G132500;TraesCS6A01G419900;TraesCS1A01G071400;TraesCS2B01G428500;TraesCS5D01G476400;TraesCS5A01G394700;TraesCS3A01G279800;TraesCS3A01G124800;TraesCS2A01G410000;TraesCS1A01G361100;TraesCS2A01G056100;TraesCS7A01G450200;TraesCS3D01G279800;TraesCS5A01G010800;TraesCS7B01G093500;TraesCS3D01G120200;TraesCS6B01G201500;TraesCS1D01G199300;TraesCS6B01G293500;TraesCS7D01G419400;TraesCS3A01G125100;TraesCS1B01G210500;TraesCS5D01G461600;TraesCS2D01G038900;TraesCS6D01G244600;TraesCS3D01G326200;TraesCS2B01G318100;TraesCS6D01G192500;TraesCS3B01G137400;TraesCS2B01G132600;TraesCS7B01G392700;TraesCS5A01G065500;TraesCS7A01G189500;TraesCS3B01G144800;TraesCS7D01G189700;TraesCS3B01G304000;TraesCS5A01G235300;TraesCS5B01G132200;TraesCSU01G005100;TraesCS5A01G132700;TraesCS5A01G394800;TraesCS6A01G018000;TraesCS5A01G433300;TraesCS7D01G480500;TraesCS6D01G296900;TraesCS2D01G169200;TraesCS2B01G454500;TraesCS5B01G252100;TraesCS3D01G279700;TraesCS6A01G361100;TraesCS5D01G261000;TraesCS2D01G407300;TraesCS5B01G399700;TraesCS3B01G013100;TraesCS2A01G040300;TraesCS2A01G302300;TraesCS4B01G226700;TraesCS5A01G463500;TraesCS5B01G240100;TraesCS7D01G476000;TraesCS2D01G055200;TraesCS6A01G320500;TraesCS2B01G132700;TraesCS7D01G405900;TraesCS3D01G094800;TraesCS5A01G451400;TraesCS5A01G340500;TraesCS7A01G441400;TraesCS2D01G431500;TraesCS2B01G428700;TraesCS3D01G042700;TraesCS3A01G258700;TraesCS5D01G476200;TraesCS6D01G299600;TraesCS2B01G109800;TraesCS2D01G093000;TraesCS3D01G246000;TraesCS6A01G223900;TraesCS7A01G427100;TraesCS1D01G199500;TraesCS2A01G463300;TraesCS1D01G384900;TraesCS2D01G054900;TraesCS3B01G598200;TraesCS1B01G361500;TraesCS3D01G001400;TraesCS7B01G252700;TraesCS7A01G370400;TraesCS7A01G158900;TraesCS5A01G304900;TraesCS2D01G464500;TraesCS7D01G029700;TraesCS4D01G227300;TraesCS6A01G270400;TraesCS4D01G311500;TraesCS3A01G245500;TraesCS5D01G501000;TraesCS1D01G350100;TraesCS4A01G070600;TraesCS2B01G428800;TraesCS7B01G369200;TraesCS7A01G489600;TraesCS5D01G311900;TraesCS7B01G340100;TraesCS6B01G362000;TraesCS5D01G078300;TraesCS3A01G118300;TraesCS3D01G258800;TraesCS6D01G344600;TraesCS4A01G413600;TraesCS5D01G225100;TraesCS5B01G305300;TraesCS5A01G393900;TraesCS7D01G190600;TraesCS5B01G460200;TraesCS2B01G132100;TraesCS5B01G471000;TraesCS3D01G461200;TraesCS3A01G010300;TraesCS2D01G428700;TraesCS2D01G069000;TraesCS3B01G158500;TraesCS4A01G125300;TraesCS1D01G350200;TraesCS2A01G097400;TraesCS7D01G439400;TraesCS6A01G173600;TraesCS3B01G144900;TraesCS1D01G394500;TraesCS6A01G331300;TraesCS2A01G158200;TraesCS2A01G028500;TraesCS3A01G332600;TraesCS7D01G180700;TraesCS6A01G209000;TraesCS6D01G162700;TraesCS5B01G474600;TraesCS6B01G350900;TraesCS2A01G054200;TraesCS1B01G377700;TraesCS6B01G297600;TraesCS6D01G021200;TraesCS4A01G413700;TraesCS5A01G433200;TraesCS2A01G073500;TraesCS1A01G347200;TraesCS2A01G113500;TraesCS2D01G407200;TraesCS2B01G452200;TraesCS6D01G094700;TraesCS5A01G461100;TraesCS3A01G100900;TraesCS3A01G125500;TraesCS5B01G074000;TraesCS3D01G031100;TraesCS7D01G430700;TraesCS6B01G206900;TraesCS3B01G110100;TraesCS7B01G312100;TraesCS6B01G351300;TraesCS3A01G094600;TraesCS5B01G436300;TraesCS5D01G344500;TraesCS3D01G140900;TraesCS5B01G117200;TraesCS6D01G310500;TraesCS2A01G433500;TraesCS2D01G374400;TraesCS2B01G271500;TraesCS6A01G266100;TraesCS1B01G398700;TraesCS2A01G094700;TraesCS7A01G427600;TraesCS3A01G466200;TraesCS4D01G180800;TraesCS1D01G423100;TraesCS3B01G143300;TraesCS7A01G320800;TraesCS6A01G320100;TraesCS7A01G374700;TraesCS5B01G475000;TraesCS7B01G350000;TraesCS3B01G362900;TraesCS3B01G144300;TraesCS7D01G170700;TraesCS6B01G080100;TraesCS6B01G347700;TraesCS7D01G317600;TraesCS2B01G290000;TraesCS3B01G050300;TraesCS2B01G428300;TraesCS3A01G313400;TraesCS2B01G485300;TraesCS7B01G221700;TraesCS2B01G068600;TraesCS6A01G317600;TraesCS7D01G352700;TraesCS1B01G210700;TraesCS3D01G354000;TraesCS5B01G215900;TraesCS2D01G164500;TraesCS2B01G132400;TraesCS7B01G094400</t>
  </si>
  <si>
    <t>TraesCS3B01G276600;TraesCS5A01G392300;TraesCS6D01G393600;TraesCS5B01G482400;TraesCS1B01G171400;TraesCS6D01G161200;TraesCS7B01G346600;TraesCS2D01G540600;TraesCS6A01G201100;TraesCS2A01G188000;TraesCS3D01G500600;TraesCS6A01G212000;TraesCS5B01G342100;TraesCS6B01G238800;TraesCS2A01G389900;TraesCS5A01G118600;TraesCS2A01G056800;TraesCS2B01G449100;TraesCS6A01G032500;TraesCS7D01G343800;TraesCS5A01G152400;TraesCS3B01G562500;TraesCS7D01G328400;TraesCS6D01G275100;TraesCS5B01G380600;TraesCS5A01G177800;TraesCS7B01G221800;TraesCS2A01G373200;TraesCS2D01G182100;TraesCS4A01G101600;TraesCS6A01G032400;TraesCS1D01G292400;TraesCS2A01G583700;TraesCS4A01G206900;TraesCS4A01G145300;TraesCS3A01G217200;TraesCS4B01G335100;TraesCS1A01G150400;TraesCS2B01G198100;TraesCS1D01G074400;TraesCS4B01G339700;TraesCS2D01G277600;TraesCS1D01G152000;TraesCS5D01G157600;TraesCS5A01G025400;TraesCS6D01G049600;TraesCS2D01G540500;TraesCS5B01G358900;TraesCS3D01G180500;TraesCS3A01G149300;TraesCS6A01G148600;TraesCS7D01G145500;TraesCS3A01G300400;TraesCS5B01G222900;TraesCS2B01G451400;TraesCS7A01G223600;TraesCS1A01G048700;TraesCS4B01G353800;TraesCS5B01G243600;TraesCS1D01G111900;TraesCS4A01G085000;TraesCS4D01G045300;TraesCS4D01G347700;TraesCS2B01G293700;TraesCS4A01G035900;TraesCS1A01G002500;TraesCS5A01G460300;TraesCS5D01G109500;TraesCS7A01G130600;TraesCS6B01G238700;TraesCS6D01G153600;TraesCS1A01G072600;TraesCS2A01G259500;TraesCS7A01G517100;TraesCS2B01G393000;TraesCS1B01G182200;TraesCS3B01G562400;TraesCS3D01G290000;TraesCS5D01G362200;TraesCS7D01G230900;TraesCS2D01G520900;TraesCS5B01G135200;TraesCS1B01G264600;TraesCS3A01G505200;TraesCS1A01G045300;TraesCS7A01G335400;TraesCS3A01G383600;TraesCS2B01G271700;TraesCS7D01G510000;TraesCS2A01G061000;TraesCS2A01G384100;TraesCS2B01G350600;TraesCS7A01G321000;TraesCS2B01G266000;TraesCS3D01G188000;TraesCS4B01G306900;TraesCS5D01G463100;TraesCS6B01G145700;TraesCS4A01G200100;TraesCS1A01G425400;TraesCS5B01G530800;TraesCS1A01G343000;TraesCS4A01G110200;TraesCS5B01G033400;TraesCS7D01G225200;TraesCS5D01G237800;TraesCS3D01G373600;TraesCS4D01G125000;TraesCS5D01G480600;TraesCS6A01G240900;TraesCS1B01G158500;TraesCS5A01G096800;TraesCS4B01G076400;TraesCS5B01G117600;TraesCS7D01G260600;TraesCS4B01G131500;TraesCS2D01G031100;TraesCS3A01G265100;TraesCS7D01G106000;TraesCS3D01G443400;TraesCS3B01G298700;TraesCS5A01G356400;TraesCS6A01G353600;TraesCS1B01G307200;TraesCS5D01G183700;TraesCS2D01G226300;TraesCS3D01G251700;TraesCS5A01G216000;TraesCS6A01G097100;TraesCS3B01G288900;TraesCS5B01G217100;TraesCS2B01G336000;TraesCS6D01G037300;TraesCS3D01G373700;TraesCS1D01G293400;TraesCS2D01G483700;TraesCS6A01G056500;TraesCS3D01G136700;TraesCS2B01G180500;TraesCS1D01G335400;TraesCS3A01G293900;TraesCS6B01G280000;TraesCS3D01G252800;TraesCS5D01G270600;TraesCS2B01G605800;TraesCS2D01G198900;TraesCS3B01G323500;TraesCS4D01G012300;TraesCS1D01G046000;TraesCS1B01G058600;TraesCS2A01G237300;TraesCS2D01G264200;TraesCS3D01G209300;TraesCS1D01G108300;TraesCS1D01G227700;TraesCS3B01G401600;TraesCS2D01G224100;TraesCS7B01G299200;TraesCS6B01G386200;TraesCS6B01G059000;TraesCS1D01G144600;TraesCSU01G073900;TraesCS5D01G201400;TraesCS1D01G345200;TraesCS4B01G101900;TraesCS5B01G217000;TraesCS1D01G004700;TraesCS3B01G467500;TraesCS6D01G037200;TraesCS6A01G209900;TraesCS7A01G118900;TraesCS5B01G188600;TraesCS7A01G231600;TraesCS7D01G392800;TraesCS3D01G344800;TraesCS2B01G485600;TraesCS1A01G093800;TraesCS2B01G326900;TraesCS7A01G480100;TraesCS5A01G003100;TraesCS4D01G096400;TraesCS4D01G258000;TraesCS4B01G115200;TraesCS7A01G230500;TraesCS5D01G402100;TraesCS5B01G200000;TraesCS3A01G257500;TraesCS1B01G346500;TraesCS7D01G467100;TraesCS7A01G267800;TraesCS4B01G268700;TraesCS5A01G354300;TraesCS7D01G507300;TraesCS2B01G593500;TraesCS2D01G199600;TraesCS4D01G229700;TraesCS5A01G300800;TraesCS5B01G014400;TraesCS4B01G174200;TraesCS3D01G207900;TraesCS6D01G248100;TraesCS4B01G219200;TraesCS5D01G482800;TraesCS7A01G470400;TraesCS5D01G365300;TraesCS5A01G189500;TraesCS5B01G155700;TraesCS7A01G301700;TraesCS1D01G013200;TraesCS1A01G279300;TraesCS5A01G521500;TraesCS1B01G195900;TraesCS2B01G569500;TraesCS3D01G424900;TraesCS7A01G553000;TraesCS1D01G382400;TraesCS4A01G130300;TraesCS2A01G276000;TraesCS1A01G265200;TraesCS7D01G278900;TraesCS3A01G175000;TraesCS5A01G492100;TraesCS2A01G155500;TraesCS5A01G425600;TraesCS1B01G229100;TraesCS5A01G368600;TraesCS1D01G368100;TraesCS3B01G487700;TraesCS2D01G396700;TraesCS5B01G156800;TraesCS1D01G253200;TraesCS2A01G064900;TraesCS5D01G519400;TraesCS2D01G275000;TraesCS4D01G034000;TraesCS1A01G071800;TraesCS1A01G385800;TraesCS3D01G257500;TraesCS4B01G174300;TraesCS7B01G260800;TraesCS4B01G065100;TraesCS4A01G412500;TraesCS6A01G171800;TraesCS5A01G229700;TraesCS1D01G002600;TraesCS5B01G362700;TraesCS4A01G129000;TraesCS4D01G238600;TraesCS5A01G424300;TraesCS6D01G039300;TraesCS1A01G153600;TraesCS5D01G031800;TraesCS3A01G309800;TraesCS2D01G118400;TraesCS1B01G356100;TraesCS2B01G569600;TraesCS4D01G191700;TraesCS6B01G283800;TraesCS5D01G187100;TraesCS6B01G383300;TraesCS4D01G132500;TraesCS3A01G355700;TraesCS2A01G188600;TraesCS5D01G041500;TraesCS1A01G005900;TraesCS2A01G539500;TraesCS5A01G534900;TraesCS4A01G050500;TraesCS1A01G150200;TraesCS4D01G176200;TraesCS1A01G246400;TraesCS6B01G199700;TraesCS7D01G318000;TraesCS1D01G198600;TraesCS5B01G316300;TraesCS2B01G245900;TraesCS2A01G284900;TraesCS2D01G304300;TraesCS4D01G112900;TraesCS6B01G128000;TraesCS6B01G145800;TraesCS3A01G129000;TraesCS5A01G505000;TraesCS4B01G304300;TraesCS1D01G268600;TraesCS2A01G047300;TraesCS6D01G085300;TraesCS6D01G146500;TraesCS3B01G280800;TraesCS7D01G055700;TraesCS5B01G371200;TraesCS6B01G456500;TraesCS3B01G148100;TraesCS5B01G079100;TraesCS6D01G335900;TraesCS3B01G593700;TraesCS3B01G287200;TraesCS5A01G031700;TraesCS1A01G342900;TraesCS1B01G356200;TraesCS4A01G113800;TraesCS4D01G108200;TraesCS2A01G188700;TraesCS2B01G296100;TraesCS4B01G175700;TraesCS3D01G376700;TraesCS4A01G249600;TraesCS2A01G539600;TraesCS3B01G416000;TraesCS1D01G269700;TraesCS4D01G176300;TraesCS4B01G142700;TraesCS5A01G368800;TraesCS6A01G294200;TraesCS3A01G385300;TraesCS5D01G215400;TraesCS5A01G142000;TraesCS7A01G520300;TraesCS4D01G305100;TraesCS5A01G016200;TraesCS5B01G155900;TraesCS2B01G141900;TraesCS4D01G294600;TraesCS6A01G347900;TraesCS1B01G001800;TraesCS5D01G130000;TraesCS7A01G365100;TraesCS1B01G168100;TraesCS7D01G355100;TraesCS5B01G520200;TraesCS5D01G231500;TraesCS2B01G208900;TraesCS7D01G114100;TraesCS7B01G157600;TraesCS5B01G371100;TraesCS6A01G177700;TraesCS2D01G576000;TraesCS5A01G182600;TraesCS5D01G307000;TraesCS2B01G218700;TraesCS4B01G057400;TraesCS6B01G324800;TraesCS3D01G313900;TraesCS5D01G142900;TraesCS3B01G373500;TraesCS4A01G384900;TraesCS5A01G041100;TraesCS6D01G193700;TraesCS7D01G435100;TraesCS5D01G378200;TraesCS4D01G262900;TraesCS3B01G361500;TraesCS3D01G288600;TraesCS5D01G207400;TraesCS3B01G283800;TraesCS2D01G451100;TraesCS5A01G224100;TraesCS7D01G377000;TraesCS2A01G153700;TraesCS4B01G203000;TraesCS5D01G039900;TraesCS6D01G296700;TraesCS6A01G244400;TraesCS2D01G283600;TraesCS5A01G469800;TraesCS2A01G080000;TraesCS3A01G056700;TraesCS4D01G141000;TraesCS3B01G213600;TraesCS5A01G453100;TraesCS1B01G164200;TraesCS5B01G031800;TraesCS5D01G174400;TraesCS4A01G091000;TraesCS3B01G383400;TraesCS1B01G395400;TraesCS4A01G404500;TraesCS3B01G255200;TraesCS6D01G257000;TraesCS6B01G176800;TraesCS3A01G492900;TraesCS2D01G060000;TraesCS4B01G045400;TraesCS4D01G268000;TraesCS6A01G323400;TraesCS4B01G100100;TraesCS5D01G085800;TraesCS5D01G378100;TraesCS2A01G220400;TraesCS2A01G463900;TraesCS5D01G022200;TraesCS3A01G317400;TraesCS1A01G298900;TraesCS5A01G366700;TraesCS3A01G183800;TraesCS3B01G336100;TraesCS4A01G009000;TraesCS5A01G463000;TraesCS1A01G269400;TraesCS5A01G467600;TraesCS5D01G218300;TraesCS5D01G463900;TraesCS5B01G498400;TraesCS1D01G102400;TraesCS2D01G199100;TraesCS1A01G297800;TraesCS5A01G510300;TraesCS4D01G360300;TraesCS3D01G193200;TraesCS4A01G072700;TraesCS4D01G125800;TraesCS1D01G147400;TraesCS3B01G290300;TraesCS4D01G203900;TraesCSU01G003600;TraesCS3D01G308100;TraesCS5B01G214500;TraesCS7D01G452600;TraesCS5B01G151000;TraesCS4D01G098500;TraesCS1A01G332800;TraesCS2A01G278400;TraesCS7B01G372400;TraesCS1A01G215600;TraesCS1D01G265400;TraesCS5D01G347600;TraesCS4B01G243500;TraesCS2A01G174700;TraesCS4A01G216100;TraesCS5D01G163400;TraesCS3A01G362500;TraesCS5B01G357100;TraesCS3A01G252800;TraesCS5A01G073000;TraesCS4D01G271200;TraesCS7D01G539500;TraesCS3D01G299200;TraesCS2A01G539100;TraesCS3A01G377500;TraesCS4D01G316400;TraesCS7D01G357300;TraesCS7D01G114200;TraesCS1B01G288300;TraesCS2B01G348900;TraesCS3B01G532300;TraesCS7B01G190400;TraesCS6D01G226700;TraesCS4B01G096700;TraesCS6A01G266600;TraesCS4D01G243100;TraesCS1A01G015300;TraesCS1B01G324000;TraesCS2A01G278500;TraesCS6D01G237600;TraesCS3B01G247500;TraesCS6A01G210600;TraesCS5B01G107100;TraesCS1A01G363200;TraesCS5D01G475800;TraesCS1A01G047000;TraesCS2B01G232900;TraesCS4A01G277100;TraesCS4D01G044800;TraesCS4D01G147600;TraesCS4B01G035800;TraesCS3D01G219900;TraesCS7A01G419500;TraesCS4B01G367200;TraesCS2D01G443700;TraesCS4A01G187600;TraesCS7B01G247000;TraesCS1D01G047900;TraesCS5B01G175100;TraesCS5D01G226000;TraesCS4D01G064000;TraesCS4B01G246000;TraesCS1D01G184900;TraesCS6A01G245200;TraesCS2A01G305900;TraesCS5B01G373000;TraesCS1D01G335500;TraesCS6B01G045600;TraesCS6B01G125600;TraesCS3A01G414000;TraesCS6A01G351600;TraesCS2A01G205500;TraesCS1A01G086600;TraesCS4D01G302500;TraesCS2D01G362900;TraesCS5D01G225900;TraesCS2B01G246100;TraesCS3A01G181100;TraesCS4B01G125700;TraesCS6B01G295200;TraesCS6D01G302400;TraesCS2A01G098600;TraesCS3A01G429600;TraesCS7A01G085900;TraesCS1D01G112500;TraesCS1D01G296600;TraesCS2D01G373900;TraesCS5A01G209200;TraesCS3D01G244500;TraesCS7B01G043200;TraesCS2A01G541100;TraesCS7D01G014200;TraesCS2D01G077300;TraesCS3B01G349100;TraesCS2D01G098100;TraesCS3D01G414300;TraesCS4B01G237300;TraesCS4D01G055300;TraesCS7D01G044300;TraesCS7A01G110500;TraesCS2A01G420800;TraesCS1A01G312300;TraesCS2D01G464800;TraesCS6B01G239500;TraesCS7A01G279100;TraesCS6A01G043000;TraesCS2A01G428400;TraesCS2D01G369400;TraesCS4D01G070700;TraesCS5A01G342900;TraesCS1B01G280100;TraesCS7D01G548200;TraesCS2B01G451800;TraesCS7D01G143600;TraesCS2D01G540100;TraesCS2B01G204800;TraesCS2A01G399200;TraesCS4B01G137700;TraesCS7B01G008400;TraesCS6B01G450200;TraesCS5B01G261500;TraesCS5D01G179100;TraesCS3A01G418700;TraesCS5A01G485000;TraesCS2A01G121000;TraesCS6A01G210000;TraesCS6D01G138000;TraesCS7A01G259600;TraesCSU01G076400;TraesCS5A01G213700;TraesCS2A01G031200;TraesCS3A01G288800;TraesCS5A01G360200;TraesCS4D01G289900;TraesCS1D01G357500;TraesCS4B01G052200;TraesCS4A01G352900;TraesCS5B01G397100;TraesCS3A01G251300;TraesCS2D01G417800;TraesCS3A01G380600;TraesCS5D01G564000;TraesCS1D01G312500;TraesCS1A01G192300;TraesCS5B01G102700;TraesCS2D01G426500;TraesCS1A01G251600;TraesCS2D01G063000;TraesCS5D01G195700;TraesCS2B01G417900;TraesCS3D01G056500;TraesCS5A01G136200;TraesCS3A01G337500;TraesCS7D01G388900;TraesCS7B01G056700;TraesCS7D01G342900;TraesCS3A01G302600;TraesCS5B01G228500;TraesCS6B01G231800;TraesCS1A01G111000;TraesCS1D01G050000;TraesCS3B01G218800;TraesCS7A01G130300;TraesCS4D01G219400;TraesCS5A01G263100;TraesCS6B01G309200;TraesCS5D01G223800;TraesCS6D01G107600;TraesCS7B01G116700;TraesCS3A01G229400;TraesCS7D01G364700;TraesCS4A01G046700;TraesCS6D01G193100;TraesCS4B01G190300;TraesCS2D01G564100;TraesCS2A01G381800;TraesCS1A01G005100;TraesCS4A01G407500;TraesCS2D01G392800;TraesCS3B01G388400;TraesCS5B01G427600;TraesCS2D01G596100;TraesCS2B01G602900;TraesCS5D01G182100;TraesCS5B01G217500;TraesCS2D01G055600;TraesCS1A01G253600;TraesCS7A01G420300;TraesCS2D01G277800;TraesCS5D01G432800;TraesCS1D01G073100;TraesCS4A01G066200;TraesCS7A01G143800;TraesCS3D01G204000;TraesCS5B01G073000;TraesCS2D01G483300;TraesCS4A01G033400;TraesCS1B01G308600;TraesCS2D01G378300;TraesCS6B01G045700;TraesCS2B01G223000;TraesCS4A01G268800;TraesCS2A01G220600;TraesCS3A01G206100;TraesCS4A01G174700;TraesCS5D01G003800;TraesCS2B01G135900;TraesCS1B01G279200;TraesCS2B01G282400;TraesCS5B01G193700;TraesCS2A01G365000;TraesCS3A01G123000;TraesCS6B01G192400;TraesCS1B01G063800;TraesCS4D01G300100;TraesCS5D01G012500;TraesCS7A01G561600;TraesCS2D01G596000;TraesCS3D01G356300;TraesCS7D01G457800;TraesCS3A01G295000;TraesCS3D01G253500;TraesCS5A01G218000;TraesCS1A01G295300;TraesCS3B01G284600;TraesCS2B01G201100;TraesCS6B01G294000;TraesCS3B01G280000</t>
  </si>
  <si>
    <t>abscisic acid-activated signaling pathway</t>
  </si>
  <si>
    <t>TraesCS7D01G548200;TraesCS2B01G208900;TraesCS5B01G482400;TraesCS7D01G392800;TraesCS5D01G482800;TraesCS7A01G470400;TraesCS2B01G180500;TraesCS4D01G045300;TraesCS6D01G039300;TraesCS7A01G412400;TraesCS4B01G045400;TraesCS4B01G100100;TraesCS4D01G096400;TraesCS7B01G372400;TraesCS2A01G155500;TraesCS2D01G285300;TraesCS5D01G207400;TraesCS2D01G392800;TraesCS5B01G200000;TraesCS2D01G077300;TraesCS4A01G216100;TraesCS7A01G561600;TraesCS5A01G469800;TraesCS7D01G457800;TraesCS7B01G299200;TraesCS2A01G384100;TraesCS2A01G080000;TraesCS1A01G295300;TraesCS1A01G389500</t>
  </si>
  <si>
    <t>jasmonic acid mediated signaling pathway</t>
  </si>
  <si>
    <t>cellular response to jasmonic acid stimulus</t>
  </si>
  <si>
    <t>TraesCS4B01G254700;TraesCS5D01G493200;TraesCS2B01G166100;TraesCS5D01G369200;TraesCS2D01G144500;TraesCS1B01G224300;TraesCS1A01G210400;TraesCS3B01G394600;TraesCS1B01G375100;TraesCS3A01G110300;TraesCS2D01G232400;TraesCS3B01G384400;TraesCS5B01G078500;TraesCS2B01G318600;TraesCS4D01G210900;TraesCS5B01G082500;TraesCS2D01G317400;TraesCS2D01G315100;TraesCS4D01G069300;TraesCS5A01G129100;TraesCS7A01G249000;TraesCS7B01G326200;TraesCS7D01G224700;TraesCS1B01G382600;TraesCS3B01G240000;TraesCS4A01G244500;TraesCS4B01G070500;TraesCS4B01G088700;TraesCS7A01G357300;TraesCS5B01G182000;TraesCS1A01G077500;TraesCS3D01G212100;TraesCS5B01G492700;TraesCS7D01G277300;TraesCS1A01G358600;TraesCS5A01G398900;TraesCS4D01G196500;TraesCS2B01G250100;TraesCS1A01G228100;TraesCS7D01G024200;TraesCS2A01G285900;TraesCS2B01G449200;TraesCS3B01G245400;TraesCS7B01G072600;TraesCS3A01G242200;TraesCS7A01G423900;TraesCS2A01G339900;TraesCS5D01G089900;TraesCS6B01G398500;TraesCS1A01G187400;TraesCS1A01G045300;TraesCS3D01G217400;TraesCS3D01G242300;TraesCS7B01G277900;TraesCS3A01G215400;TraesCS3D01G345900;TraesCS7D01G077100;TraesCS5A01G076600;TraesCS2A01G141100;TraesCS4B01G210100;TraesCS7B01G226800;TraesCS7A01G101500;TraesCS4B01G067800;TraesCS7D01G168600;TraesCS2B01G229000;TraesCS6D01G358000;TraesCS3B01G270300;TraesCS4D01G087200;TraesCS6A01G119900;TraesCS1D01G363500;TraesCS3A01G227900;TraesCS1A01G202300;TraesCS7D01G322900;TraesCS4A01G050000;TraesCS4A01G226300;TraesCS2A01G201900;TraesCS3D01G355900;TraesCS2D01G214200;TraesCS2D01G000300;TraesCS6A01G363900;TraesCS2A01G302700;TraesCS5D01G335100;TraesCS5A01G337100;TraesCS7D01G417600;TraesCS1A01G095500;TraesCS2A01G103800;TraesCS1D01G229700;TraesCS1D01G189300;TraesCS1D01G370600;TraesCS5A01G183600;TraesCS5D01G188600;TraesCS5A01G329200;TraesCS1D01G104400;TraesCS2D01G426600;TraesCS3B01G156800;TraesCS4A01G110100;TraesCS5D01G136600;TraesCS7A01G223000;TraesCS2B01G101800;TraesCS4D01G066800;TraesCS1D01G079600;TraesCS2D01G284700;TraesCS5B01G285400;TraesCS2B01G303200;TraesCS7A01G326200;TraesCS5A01G479600;TraesCS6A01G199000;TraesCS1D01G046000;TraesCS1B01G058600;TraesCS1A01G365100;TraesCS3A01G209200;TraesCS2A01G233100;TraesCS3B01G256600;TraesCS4A01G094300;TraesCS7B01G129500;TraesCS3A01G362200;TraesCS4D01G254500;TraesCS4A01G380200;TraesCS4D01G194900;TraesCS1B01G095600;TraesCS1D01G213700;TraesCS3D01G238000;TraesCS2A01G428500</t>
  </si>
  <si>
    <t>TraesCS4B01G254700;TraesCS5D01G493200;TraesCS2B01G166100;TraesCS5D01G369200;TraesCS2D01G144500;TraesCS1B01G224300;TraesCS1A01G210400;TraesCS3B01G394600;TraesCS1B01G375100;TraesCS2D01G232400;TraesCS3B01G384400;TraesCS5B01G078500;TraesCS4D01G210900;TraesCS5B01G082500;TraesCS2D01G317400;TraesCS2D01G315100;TraesCS4D01G069300;TraesCS5A01G129100;TraesCS7A01G249000;TraesCS7B01G326200;TraesCS7D01G224700;TraesCS3B01G240000;TraesCS4A01G244500;TraesCS4B01G070500;TraesCS4B01G088700;TraesCS7A01G357300;TraesCS5B01G182000;TraesCS1A01G077500;TraesCS3D01G212100;TraesCS5B01G492700;TraesCS7D01G277300;TraesCS1A01G358600;TraesCS5A01G398900;TraesCS4D01G196500;TraesCS2B01G250100;TraesCS1A01G228100;TraesCS7D01G024200;TraesCS2B01G449200;TraesCS3B01G245400;TraesCS3A01G242200;TraesCS7A01G423900;TraesCS2A01G339900;TraesCS5D01G089900;TraesCS6B01G398500;TraesCS1A01G045300;TraesCS3D01G217400;TraesCS3D01G242300;TraesCS3A01G215400;TraesCS3D01G345900;TraesCS7D01G077100;TraesCS5A01G076600;TraesCS2A01G141100;TraesCS4B01G210100;TraesCS7A01G101500;TraesCS4B01G067800;TraesCS2B01G229000;TraesCS6D01G358000;TraesCS3B01G270300;TraesCS4D01G087200;TraesCS6A01G119900;TraesCS1D01G363500;TraesCS3A01G227900;TraesCS1A01G202300;TraesCS4A01G050000;TraesCS4A01G226300;TraesCS2A01G201900;TraesCS3D01G355900;TraesCS2D01G214200;TraesCS2D01G000300;TraesCS6A01G363900;TraesCS5D01G335100;TraesCS7D01G417600;TraesCS1A01G095500;TraesCS2A01G103800;TraesCS1D01G229700;TraesCS5A01G183600;TraesCS5D01G188600;TraesCS5A01G329200;TraesCS1D01G104400;TraesCS2D01G426600;TraesCS3B01G156800;TraesCS4A01G110100;TraesCS5D01G136600;TraesCS7A01G223000;TraesCS2B01G101800;TraesCS4D01G066800;TraesCS1D01G079600;TraesCS5B01G285400;TraesCS5A01G479600;TraesCS6A01G199000;TraesCS1D01G046000;TraesCS1B01G058600;TraesCS3A01G209200;TraesCS2A01G233100;TraesCS3B01G256600;TraesCS4A01G094300;TraesCS7B01G129500;TraesCS3A01G362200;TraesCS4D01G254500;TraesCS4A01G380200;TraesCS4D01G194900;TraesCS1B01G095600;TraesCS1D01G213700;TraesCS3D01G238000;TraesCS2A01G428500</t>
  </si>
  <si>
    <t>TraesCS7D01G225200;TraesCS2D01G284200;TraesCS2B01G208900;TraesCS5B01G482400;TraesCS7D01G392800;TraesCS6D01G039300;TraesCS1D01G233800;TraesCS4B01G215100;TraesCS4D01G096400;TraesCS7B01G372400;TraesCS5A01G177800;TraesCS5D01G207400;TraesCS1A01G215600;TraesCS2D01G392800;TraesCS5B01G200000;TraesCS2D01G077300;TraesCS4A01G216100;TraesCS4D01G176200;TraesCS5A01G469800;TraesCS2A01G080000;TraesCS5D01G182100;TraesCS1B01G164200;TraesCS1D01G073100;TraesCS7D01G548200;TraesCS5D01G482800;TraesCS7A01G470400;TraesCS2B01G180500;TraesCS4D01G045300;TraesCS4B01G045400;TraesCS6A01G262200;TraesCS4B01G100100;TraesCS6D01G243000;TraesCS1B01G245700;TraesCS2A01G155500;TraesCS4D01G176300;TraesCS1B01G229100;TraesCS6A01G116000;TraesCS6B01G289500;TraesCS7A01G561600;TraesCS5B01G392400;TraesCS7D01G457800;TraesCS1A01G232500;TraesCS7B01G299200;TraesCS2A01G384100;TraesCS1D01G144600;TraesCS5B01G175100;TraesCS6D01G104800;TraesCS1A01G295300;TraesCS5B01G404800</t>
  </si>
  <si>
    <t>TraesCS1D01G073100;TraesCS7D01G548200;TraesCS2D01G284200;TraesCS2B01G208900;TraesCS5B01G482400;TraesCS7D01G392800;TraesCS5D01G482800;TraesCS7A01G470400;TraesCS2B01G180500;TraesCS4D01G045300;TraesCS6D01G039300;TraesCS1D01G233800;TraesCS4B01G045400;TraesCS4B01G100100;TraesCS1B01G245700;TraesCS4D01G096400;TraesCS7B01G372400;TraesCS2A01G155500;TraesCS4D01G176300;TraesCS5A01G177800;TraesCS5D01G207400;TraesCS1A01G215600;TraesCS1B01G229100;TraesCS2D01G392800;TraesCS5B01G200000;TraesCS2D01G077300;TraesCS4A01G216100;TraesCS4D01G176200;TraesCS7A01G561600;TraesCS5A01G469800;TraesCS7D01G457800;TraesCS1A01G232500;TraesCS7B01G299200;TraesCS2A01G384100;TraesCS2A01G080000;TraesCS1D01G144600;TraesCS5B01G175100;TraesCS5D01G182100;TraesCS1A01G295300;TraesCS1B01G164200</t>
  </si>
  <si>
    <t>regulation of immune system process</t>
  </si>
  <si>
    <t>TraesCS2B01G367700;TraesCS7D01G548200;TraesCS2B01G208900;TraesCS4A01G089700;TraesCS6D01G393600;TraesCS4D01G215200;TraesCS4D01G045300;TraesCS6D01G039300;TraesCS3A01G309800;TraesCS4B01G045400;TraesCS1A01G093800;TraesCS4B01G100100;TraesCS4A01G174700;TraesCS4D01G096400;TraesCS4B01G142700;TraesCS5B01G307300;TraesCS6A01G116000;TraesCS2D01G392800;TraesCS4A01G216100;TraesCS7A01G561600;TraesCS2A01G384100;TraesCS4D01G141000;TraesCS6D01G104800;TraesCS1A01G295300;TraesCS1D01G102400</t>
  </si>
  <si>
    <t>response to chitin</t>
  </si>
  <si>
    <t>TraesCS7D01G063900;TraesCS1D01G270500;TraesCS1D01G163400;TraesCS3A01G050700;TraesCS4B01G273500;TraesCS2A01G382700;TraesCS6A01G240700;TraesCS1D01G094700;TraesCS4D01G232700;TraesCS1A01G145100;TraesCS5B01G445100;TraesCS2A01G389900;TraesCS5A01G131300;TraesCS4B01G263300;TraesCS3B01G455000;TraesCS3D01G378700;TraesCS6B01G169700;TraesCS4B01G049100;TraesCS5D01G062900;TraesCS5D01G309700;TraesCS7A01G031700;TraesCS6A01G141500;TraesCS5A01G156200;TraesCS2A01G516800;TraesCS3A01G097800;TraesCS7B01G301400;TraesCS1A01G217300;TraesCS1D01G437700;TraesCS7B01G294800;TraesCS5B01G166300;TraesCS1A01G072200;TraesCS4B01G318900;TraesCS6D01G130800;TraesCS6D01G225800;TraesCS5A01G186000;TraesCS3A01G385600;TraesCS1B01G441900;TraesCS4B01G264500;TraesCS7A01G512300;TraesCS7B01G423900;TraesCS4A01G059800;TraesCS4B01G235400;TraesCS6B01G258400;TraesCS2A01G508900;TraesCS4D01G242100;TraesCS5D01G159100;TraesCS7B01G274100;TraesCS3D01G050100;TraesCS5D01G048600;TraesCS4D01G263500;TraesCS4D01G315400;TraesCS2A01G292000;TraesCS3B01G194400;TraesCS4D01G261400;TraesCS1A01G428400;TraesCS6B01G284000;TraesCS5B01G155700;TraesCS7A01G412400;TraesCS1D01G419400;TraesCS7A01G264500;TraesCS4D01G272500;TraesCS1D01G101300;TraesCS6D01G239700;TraesCS6A01G080600;TraesCS4B01G054900;TraesCS4A01G419400;TraesCS6A01G258500;TraesCS4A01G042700;TraesCS7D01G305300;TraesCS7B01G208700;TraesCS5D01G139800;TraesCS7A01G308600;TraesCS4A01G262600;TraesCS2A01G407900;TraesCS2B01G400000;TraesCS4A01G075600;TraesCS5D01G031200;TraesCS5B01G372500;TraesCS5A01G169500;TraesCS1D01G074500;TraesCS1B01G048500;TraesCS7D01G054000;TraesCS7D01G501700;TraesCS1B01G250600;TraesCS5D01G379700;TraesCS4D01G032900;TraesCS5A01G375000;TraesCS3A01G163300;TraesCS1B01G248400;TraesCS4B01G124800;TraesCS1D01G238900;TraesCS2D01G231100;TraesCS4A01G043800;TraesCS1D01G073000;TraesCS1A01G329500;TraesCS1A01G375800;TraesCS7B01G107300;TraesCS1B01G089000;TraesCS3A01G050500;TraesCS2A01G414700;TraesCS7D01G506300;TraesCS1D01G188500;TraesCS5A01G160100;TraesCS5B01G152600;TraesCS1D01G067800;TraesCS3B01G113500;TraesCS4D01G052500;TraesCS7A01G392800;TraesCS2B01G189300;TraesCS4D01G264500;TraesCS6D01G212400;TraesCS6B01G108100;TraesCS7D01G383600;TraesCS2A01G291900;TraesCS2B01G339600;TraesCS1D01G219100;TraesCS3B01G334900;TraesCS4B01G052300;TraesCS5B01G468400;TraesCS5B01G042800;TraesCS1B01G195800;TraesCS2B01G308200;TraesCS1D01G074600;TraesCS5D01G163400;TraesCS1A01G066800;TraesCS1D01G039500;TraesCS2D01G379000;TraesCS3A01G146800;TraesCS5D01G027600;TraesCS6D01G074300;TraesCS3A01G419600;TraesCS7D01G388400;TraesCS4A01G431500;TraesCS4B01G231400;TraesCS7D01G300200;TraesCS7B01G222700;TraesCSU01G249900;TraesCS1D01G236900;TraesCS7A01G059500;TraesCS7B01G241200;TraesCS5B01G184100;TraesCS1D01G004400;TraesCS4A01G089800;TraesCS6D01G232300;TraesCS5B01G327800;TraesCS3D01G300200;TraesCS4D01G215100;TraesCS1A01G188000;TraesCS3D01G266400;TraesCS3D01G136300;TraesCS1A01G411600;TraesCS4D01G236800;TraesCS6D01G222900;TraesCS2B01G605800;TraesCS7D01G395100;TraesCS5B01G445200;TraesCS4A01G027800;TraesCS5D01G173900;TraesCS1B01G463100;TraesCS7A01G387000;TraesCS1A01G235200;TraesCS2A01G396400;TraesCS7D01G203800;TraesCS2A01G516500;TraesCS1B01G048300;TraesCS6A01G187300;TraesCS4B01G261800;TraesCS5B01G133500;TraesCS4B01G214500;TraesCS7A01G069300;TraesCS1B01G162400;TraesCS6B01G258500;TraesCS3A01G310400;TraesCS5A01G051800;TraesCS3A01G266300;TraesCS2D01G273700;TraesCS4D01G055000;TraesCS1B01G204700;TraesCS4A01G431600</t>
  </si>
  <si>
    <t>TraesCS3B01G490000;TraesCS6A01G419200;TraesCS7D01G092900;TraesCS6D01G393600;TraesCS4D01G232700;TraesCS7B01G473700;TraesCS5B01G445100;TraesCS2A01G389900;TraesCS6B01G169700;TraesCS2B01G359300;TraesCS3A01G481000;TraesCS4D01G094500;TraesCS2B01G236800;TraesCS4D01G210900;TraesCS5A01G469000;TraesCS1B01G197900;TraesCS4B01G318900;TraesCS6D01G130800;TraesCS5D01G148900;TraesCS2D01G079200;TraesCS2A01G417200;TraesCS3B01G485900;TraesCS6B01G258400;TraesCS7A01G476700;TraesCS2B01G350500;TraesCS7B01G274100;TraesCS3D01G049000;TraesCS1A01G381500;TraesCS5B01G494500;TraesCS6B01G422900;TraesCS3D01G278000;TraesCS2A01G292000;TraesCS4D01G150300;TraesCS3A01G342000;TraesCS7A01G357300;TraesCS5D01G204700;TraesCS5B01G526200;TraesCS4D01G196500;TraesCS6A01G052100;TraesCS4B01G376800;TraesCS2D01G255700;TraesCS6A01G080600;TraesCS3A01G242200;TraesCS1A01G367200;TraesCS5B01G101200;TraesCS2A01G182800;TraesCS2A01G216700;TraesCS2A01G396200;TraesCS7B01G187600;TraesCS2A01G537900;TraesCS3B01G305100;TraesCS1D01G221000;TraesCS3B01G126400;TraesCS7B01G047300;TraesCS2A01G157400;TraesCS4A01G251600;TraesCS3A01G163300;TraesCS3D01G316400;TraesCS1A01G184500;TraesCS3A01G048700;TraesCS3A01G107600;TraesCS1B01G385100;TraesCS4A01G089700;TraesCS2B01G182900;TraesCS2B01G478700;TraesCS3A01G289300;TraesCS1D01G363500;TraesCS4B01G238700;TraesCS6A01G078700;TraesCS1D01G207100;TraesCS3B01G113500;TraesCS6B01G300000;TraesCS4B01G098300;TraesCS5D01G183700;TraesCS2A01G040300;TraesCS2A01G302300;TraesCS1D01G039500;TraesCS5A01G216000;TraesCS4A01G276900;TraesCS2D01G449900;TraesCS5B01G146100;TraesCS7B01G356500;TraesCS1A01G106600;TraesCS6D01G137400;TraesCS4B01G268100;TraesCS3B01G049700;TraesCS3D01G260300;TraesCS5B01G415700;TraesCS5A01G197200;TraesCS7D01G334900;TraesCS1D01G004400;TraesCS4A01G160700;TraesCS7B01G415400;TraesCS3D01G103900;TraesCS6A01G377700;TraesCS1D01G186100;TraesCS6B01G246000;TraesCS3D01G246000;TraesCS2B01G605800;TraesCS6A01G000500;TraesCS2B01G437300;TraesCS4B01G106000;TraesCS4B01G097000;TraesCS7D01G087100;TraesCS4D01G035300;TraesCS5A01G152300;TraesCS2B01G097300;TraesCS4B01G047100;TraesCS5D01G173900;TraesCS1D01G106000;TraesCS3A01G045200;TraesCS2D01G415700;TraesCS5D01G181500;TraesCS6A01G225400;TraesCS2A01G225200;TraesCS1B01G162400;TraesCS7A01G455800;TraesCS3A01G310400;TraesCS1D01G146900;TraesCS6D01G211900;TraesCS6A01G140800;TraesCS1D01G163400;TraesCS1D01G218200;TraesCS2B01G275100;TraesCS7D01G392800;TraesCS7A01G435300;TraesCS1D01G149100;TraesCS3A01G272900;TraesCS7D01G523800;TraesCS3B01G289400;TraesCS6D01G157900;TraesCS2B01G053300;TraesCS3B01G394600;TraesCS5B01G419200;TraesCS3D01G378700;TraesCS7A01G031700;TraesCS2D01G364400;TraesCS3A01G152200;TraesCS2D01G409400;TraesCS4D01G258000;TraesCS6A01G273100;TraesCS7B01G290200;TraesCS3B01G141600;TraesCS4A01G122800;TraesCS6A01G359900;TraesCS3A01G385600;TraesCS5A01G129100;TraesCS2D01G445500;TraesCS3D01G245500;TraesCS3B01G307700;TraesCS7A01G216100;TraesCS1B01G091900;TraesCS6B01G051700;TraesCS2D01G537700;TraesCS6D01G154400;TraesCS7D01G495700;TraesCS4A01G414700;TraesCS1B01G129800;TraesCS5A01G401400;TraesCS5A01G180800;TraesCS5B01G492700;TraesCS2B01G535400;TraesCS7A01G263300;TraesCS7D01G351000;TraesCS5B01G501300;TraesCS2B01G242200;TraesCS1B01G411900;TraesCS3D01G036100;TraesCS6A01G216100;TraesCS6B01G163100;TraesCS6B01G331600;TraesCS1D01G080600;TraesCS5D01G104900;TraesCS3A01G290300;TraesCS2B01G381600;TraesCS5B01G372500;TraesCS1D01G185200;TraesCS5D01G379700;TraesCS5A01G375000;TraesCS6B01G384500;TraesCS5D01G063800;TraesCS6B01G204600;TraesCS2B01G096000;TraesCS1D01G198500;TraesCS2A01G479500;TraesCS3A01G094600;TraesCS2B01G124100;TraesCS5D01G098900;TraesCS3D01G289100;TraesCS5B01G117200;TraesCS7B01G069100;TraesCS2A01G493800;TraesCS3A01G227900;TraesCS3A01G309800;TraesCS5A01G297900;TraesCS7A01G320000;TraesCS3D01G290100;TraesCS4D01G132500;TraesCS3A01G261800;TraesCS3A01G355700;TraesCS5B01G384500;TraesCS1D01G351500;TraesCS3B01G357200;TraesCS5B01G408100;TraesCS1D01G219100;TraesCS7D01G052400;TraesCS2B01G274200;TraesCS1D01G223600;TraesCS3A01G224400;TraesCS3A01G146800;TraesCS6B01G280300;TraesCS4B01G346100;TraesCS7A01G242800;TraesCS1A01G385500;TraesCS1D01G236900;TraesCS4D01G059300;TraesCS4D01G229900;TraesCS1D01G186500;TraesCS7D01G412000;TraesCS1D01G140300;TraesCS4B01G315400;TraesCS2A01G431100;TraesCS6A01G199000;TraesCS4A01G176200;TraesCS5B01G204900;TraesCS7D01G146400;TraesCS1D01G372400;TraesCS6B01G256200;TraesCS2D01G117200;TraesCS2B01G302400;TraesCS3B01G473100;TraesCS5B01G538600;TraesCS3B01G490900;TraesCS1A01G377900;TraesCS6A01G177700;TraesCS1B01G383400;TraesCS6A01G241000;TraesCS2B01G363000;TraesCS2D01G582800;TraesCS6B01G471400;TraesCS1B01G167700;TraesCS4B01G263300;TraesCS3A01G110300;TraesCS5D01G062900;TraesCS2A01G482200;TraesCS1B01G096300;TraesCS3B01G176200;TraesCS7D01G435100;TraesCS7B01G225500;TraesCS4B01G037800;TraesCS5D01G475900;TraesCS7A01G249400;TraesCS7D01G356200;TraesCS5D01G205100;TraesCS7D01G085800;TraesCS6B01G415700;TraesCS7A01G419200;TraesCS2D01G222300;TraesCS4D01G340500;TraesCS7A01G339100;TraesCS2A01G199700;TraesCS4A01G218200;TraesCS7A01G001900;TraesCS4A01G244500;TraesCS6A01G406700;TraesCS1A01G016100;TraesCS1A01G203700;TraesCS1D01G364000;TraesCS5D01G048600;TraesCS1D01G381800;TraesCS3B01G156600;TraesCS4A01G001300;TraesCS7D01G346400;TraesCS2A01G320200;TraesCS1A01G077500;TraesCS2A01G458100;TraesCS2D01G509300;TraesCS3D01G381800;TraesCS4D01G238900;TraesCS6D01G407400;TraesCS1A01G361100;TraesCS4D01G293200;TraesCS4B01G045400;TraesCS2A01G509900;TraesCS1B01G119600;TraesCS1A01G273600;TraesCS7A01G213000;TraesCS6B01G413500;TraesCS3D01G435400;TraesCS2D01G520100;TraesCS3A01G477300;TraesCS6B01G300500;TraesCS1B01G210500;TraesCS4B01G287300;TraesCS5A01G429000;TraesCS2B01G333600;TraesCS6D01G110400;TraesCS7A01G091400;TraesCS1B01G269600;TraesCS1D01G389300;TraesCS5A01G027000;TraesCS7A01G120000;TraesCS1B01G198000;TraesCS3B01G119600;TraesCS1A01G300000;TraesCS1A01G079700;TraesCS7D01G449700;TraesCS7D01G071200;TraesCS5A01G376700;TraesCS6D01G210100;TraesCS3B01G325100;TraesCS7D01G303700;TraesCS5D01G059300;TraesCS4A01G396700;TraesCS3D01G401200;TraesCS2A01G291900;TraesCS4B01G299700;TraesCS5A01G337100;TraesCS1D01G372900;TraesCS2B01G308200;TraesCS2D01G577000;TraesCS3A01G064400;TraesCS4A01G248900;TraesCS3B01G288100;TraesCS5D01G188600;TraesCS5D01G321100;TraesCS2D01G296700;TraesCS7D01G300200;TraesCS1B01G168600;TraesCS1A01G048100;TraesCS6B01G246800;TraesCS1B01G232300;TraesCS4D01G066800;TraesCS3A01G044800;TraesCS3A01G122300;TraesCS5B01G327800;TraesCS6A01G190700;TraesCS2D01G284700;TraesCS6D01G105000;TraesCS3B01G300300;TraesCS3D01G332400;TraesCSU01G047400;TraesCS7D01G265400;TraesCS2B01G109000;TraesCS1B01G463100;TraesCS1D01G384900;TraesCS2D01G346200;TraesCS3D01G345700;TraesCS1A01G080700;TraesCS1A01G078400;TraesCS1D01G414700;TraesCS5B01G026200;TraesCS6B01G291800;TraesCS2B01G347800;TraesCS6B01G289500;TraesCS2D01G229900;TraesCS7D01G451300;TraesCS6A01G301300;TraesCS3A01G249300;TraesCS5B01G175100;TraesCS7D01G029700;TraesCS4A01G322400;TraesCS7D01G325500;TraesCS6D01G158300;TraesCS4B01G273500;TraesCS4A01G068400;TraesCS6D01G224700;TraesCS5B01G373000;TraesCS1B01G224300;TraesCS4D01G136500;TraesCS5B01G474500;TraesCS7A01G092300;TraesCS1A01G296300;TraesCS1A01G443900;TraesCS2B01G240800;TraesCS6A01G327500;TraesCS2D01G148700;TraesCS3A01G452400;TraesCS7B01G301400;TraesCS7D01G463300;TraesCS7B01G259000;TraesCS1A01G072200;TraesCS2D01G222700;TraesCS5A01G152800;TraesCS6D01G334000;TraesCS3D01G324400;TraesCS7D01G350500;TraesCS3D01G272300;TraesCS4D01G242100;TraesCS1B01G109400;TraesCS2A01G420800;TraesCS7B01G249200;TraesCS1A01G389500;TraesCS6D01G335300;TraesCS7D01G357100;TraesCS6D01G299000;TraesCS3B01G100600;TraesCS1B01G385200;TraesCS5A01G398900;TraesCS4B01G055600;TraesCS1B01G375400;TraesCS3B01G352300;TraesCS2A01G488800;TraesCS4D01G180200;TraesCS4D01G312400;TraesCS6D01G243000;TraesCS2A01G182400;TraesCS4B01G083200;TraesCS1A01G112500;TraesCS2B01G198400;TraesCS2B01G320700;TraesCS2B01G400000;TraesCS2A01G101400;TraesCS3D01G542300;TraesCS2D01G417800;TraesCS2A01G302400;TraesCS6B01G069800;TraesCS1B01G250600;TraesCS5A01G138500;TraesCS5A01G222300;TraesCS1A01G312400;TraesCS2A01G386000;TraesCS4A01G211600;TraesCS7A01G384500;TraesCS6D01G358000;TraesCS6D01G362500;TraesCS7A01G225800;TraesCS7D01G015500;TraesCS3A01G124100;TraesCS2A01G041100;TraesCS7A01G267200;TraesCS6D01G316600;TraesCS3D01G273200;TraesCS5B01G065400;TraesCS2A01G117800;TraesCS2D01G190200;TraesCS5D01G223800;TraesCS6A01G080500;TraesCS1D01G199000;TraesCS3A01G338800;TraesCS2A01G209900;TraesCS5A01G173300;TraesCS5A01G196400;TraesCS2A01G323300;TraesCS7D01G444400;TraesCS4B01G194900;TraesCS4D01G229100;TraesCS7D01G037700;TraesCS3B01G334900;TraesCS1D01G229700;TraesCS5D01G070900;TraesCS1A01G066800;TraesCS2B01G480500;TraesCS5A01G514500;TraesCS3B01G376300;TraesCS5A01G210300;TraesCS3D01G310200;TraesCS6D01G047500;TraesCS3D01G182600;TraesCS5D01G432800;TraesCS6D01G381200;TraesCS3B01G253900;TraesCS6D01G232300;TraesCS4A01G255600;TraesCS3B01G310500;TraesCS3D01G136300;TraesCS3B01G053800;TraesCS6A01G374700;TraesCS3B01G377600;TraesCS2B01G187300;TraesCS3A01G034600;TraesCS5B01G084100;TraesCS6D01G115200;TraesCS1A01G365100;TraesCS2D01G178100;TraesCS6B01G098300;TraesCS4D01G254500;TraesCS4A01G126300;TraesCS1D01G123400;TraesCS3A01G276500;TraesCS2D01G459200;TraesCS3B01G374100;TraesCS1B01G204700;TraesCS3D01G238000;TraesCS2D01G286300;TraesCS2D01G460600;TraesCS3A01G050700;TraesCS5B01G482400;TraesCS6A01G240700;TraesCS4D01G081300;TraesCS7B01G346600;TraesCS7B01G370700;TraesCS7A01G012000;TraesCS5D01G397400;TraesCS3A01G097800;TraesCS5A01G366000;TraesCS7D01G136700;TraesCS3D01G267000;TraesCS2A01G418200;TraesCS2B01G198100;TraesCS2A01G455600;TraesCS5B01G151600;TraesCS2D01G549400;TraesCS2D01G231600;TraesCS5D01G375600;TraesCS5B01G561300;TraesCS3D01G339600;TraesCS4D01G093300;TraesCS3B01G194400;TraesCS2D01G217500;TraesCS2A01G378900;TraesCS1A01G358600;TraesCS5B01G138600;TraesCS5D01G374300;TraesCS1A01G424200;TraesCS2D01G033100;TraesCS2B01G449200;TraesCS4A01G419400;TraesCS2B01G489700;TraesCS1D01G199300;TraesCS7B01G208700;TraesCS2A01G214400;TraesCS2B01G236900;TraesCS3D01G183900;TraesCS6B01G293500;TraesCS7D01G419400;TraesCS3B01G367500;TraesCS1B01G157300;TraesCS3B01G311900;TraesCS2D01G289800;TraesCS7D01G501700;TraesCS2A01G417300;TraesCS2B01G271700;TraesCS7D01G235000;TraesCS7A01G344100;TraesCS1D01G118300;TraesCS7B01G356400;TraesCS4B01G124800;TraesCS3A01G096500;TraesCS1D01G346200;TraesCS6B01G225800;TraesCS3D01G285700;TraesCS6A01G146200;TraesCS2B01G365900;TraesCS2B01G437200;TraesCS4D01G215200;TraesCS3D01G500800;TraesCS7A01G075600;TraesCS4D01G266400;TraesCS3D01G036000;TraesCS5A01G085900;TraesCS1A01G367100;TraesCS5B01G380400;TraesCS2B01G339600;TraesCS2A01G346000;TraesCS5B01G197800;TraesCS2D01G415600;TraesCS6A01G353600;TraesCS1A01G357300;TraesCS1D01G185100;TraesCS7D01G228700;TraesCS7D01G316100;TraesCS1D01G123700;TraesCS4B01G178600;TraesCS3B01G093300;TraesCS4D01G001200;TraesCS2D01G428900;TraesCS5A01G369500;TraesCS7B01G161100;TraesCS1A01G219400;TraesCS3B01G158300;TraesCS5A01G451400;TraesCS4B01G214600;TraesCS5D01G136600;TraesCS4B01G143500;TraesCS2A01G324200;TraesCS3B01G102300;TraesCS3D01G048000;TraesCS3B01G591000;TraesCS3D01G136700;TraesCS1B01G217500;TraesCS3D01G432600;TraesCS5B01G339100;TraesCS6D01G222900;TraesCS3D01G527900;TraesCS3D01G192800;TraesCS3A01G439800;TraesCS2B01G303200;TraesCS6B01G423900;TraesCS1A01G218100;TraesCS1D01G273800;TraesCS1A01G344000;TraesCS1B01G058600;TraesCS6D01G302500;TraesCS6A01G204600;TraesCS2D01G344700;TraesCS5B01G246900;TraesCS4B01G261800;TraesCS4B01G216800;TraesCS7A01G158900;TraesCS6A01G135100;TraesCS4D01G055000;TraesCS4D01G183100;TraesCS6D01G360800;TraesCS7A01G187000;TraesCS3A01G256300;TraesCS4D01G064800;TraesCS2B01G535500;TraesCS5B01G201100;TraesCS3B01G446800;TraesCS6A01G132400;TraesCS1B01G241200;TraesCS5A01G131300;TraesCS3B01G306500;TraesCS5D01G309700;TraesCS2D01G572600;TraesCS4D01G096400;TraesCS1A01G080600;TraesCS2B01G532000;TraesCS5A01G186000;TraesCS6B01G306300;TraesCS3D01G139300;TraesCS3D01G320600;TraesCS1B01G441900;TraesCS1A01G259900;TraesCS1B01G382600;TraesCS5D01G434500;TraesCS4A01G100900;TraesCS2B01G174500;TraesCS7B01G031900;TraesCS2D01G458700;TraesCS5D01G499000;TraesCS5D01G216400;TraesCS3B01G409400;TraesCS7A01G264500;TraesCS1A01G122800;TraesCS5D01G357800;TraesCS1B01G404000;TraesCS2B01G114000;TraesCS7D01G028400;TraesCS2A01G255300;TraesCS3B01G304300;TraesCS5A01G269300;TraesCS6A01G124800;TraesCS7A01G299600;TraesCS2A01G155500;TraesCS7D01G295100;TraesCS3A01G345800;TraesCS5D01G089900;TraesCS1B01G229100;TraesCS1B01G182700;TraesCS1D01G072600;TraesCS3B01G141500;TraesCS4D01G239600;TraesCS3D01G345900;TraesCS5A01G076600;TraesCS7D01G321500;TraesCS5D01G157900;TraesCS7B01G333700;TraesCS3A01G050300;TraesCS6D01G104800;TraesCS7B01G356800;TraesCS4A01G043800;TraesCS5D01G531600;TraesCS2A01G211300;TraesCS2A01G414700;TraesCS1B01G230500;TraesCS1D01G130400;TraesCS3A01G109500;TraesCS6D01G039300;TraesCS1A01G245300;TraesCS7D01G261300;TraesCS3A01G471900;TraesCS5B01G197400;TraesCS4A01G226300;TraesCS7D01G041400;TraesCS1B01G310100;TraesCS5A01G437500;TraesCS2B01G175800;TraesCS6D01G122200;TraesCS5A01G100300;TraesCS7D01G417600;TraesCS1D01G133900;TraesCS6A01G376300;TraesCS1D01G372500;TraesCS3B01G038900;TraesCS5B01G244300;TraesCS6A01G073300;TraesCS6D01G135500;TraesCS5B01G184100;TraesCS3D01G048400;TraesCS7A01G376100;TraesCS7D01G523900;TraesCS6B01G385500;TraesCS2A01G144800;TraesCS2D01G100900;TraesCS3A01G261700;TraesCS3B01G289500;TraesCS4B01G203900;TraesCS2A01G233100;TraesCS2A01G516500;TraesCS1A01G305400;TraesCS2B01G452400;TraesCS1A01G215900;TraesCS5A01G321500;TraesCS7A01G053400;TraesCS1D01G213700;TraesCS4D01G202300;TraesCS5D01G199800;TraesCS4B01G059700;TraesCS4B01G254700;TraesCS2D01G374600;TraesCS2D01G456900;TraesCS3A01G285700;TraesCS5D01G493200;TraesCS5D01G422000;TraesCS2D01G509400;TraesCS1D01G094700;TraesCS2D01G095000;TraesCS4D01G268100;TraesCS4B01G215100;TraesCS7A01G125600;TraesCS3D01G370800;TraesCS5A01G156200;TraesCS5D01G207400;TraesCS5B01G166300;TraesCS7B01G326200;TraesCS4D01G176000;TraesCS6B01G152800;TraesCS4B01G264500;TraesCS3B01G128000;TraesCS5B01G262900;TraesCS2A01G508900;TraesCS2B01G220900;TraesCS1B01G269500;TraesCS4A01G391100;TraesCS4D01G315400;TraesCS1D01G081400;TraesCS6A01G108800;TraesCS4A01G232600;TraesCS4A01G498700;TraesCS7D01G277300;TraesCS3A01G327200;TraesCS7A01G195800;TraesCS6D01G155100;TraesCS5D01G481200;TraesCS2D01G066900;TraesCS7B01G416100;TraesCS6D01G239700;TraesCS5D01G244800;TraesCS3A01G110400;TraesCS3A01G135700;TraesCS7A01G364200;TraesCS4D01G339400;TraesCS5A01G320600;TraesCS7B01G225600;TraesCS6B01G358800;TraesCS5D01G097900;TraesCS4B01G037900;TraesCS5A01G463000;TraesCS5B01G118200;TraesCS5A01G169500;TraesCS5D01G461600;TraesCS6D01G192500;TraesCS7A01G057800;TraesCS2A01G462700;TraesCS1A01G048000;TraesCS7B01G029200;TraesCS4A01G035400;TraesCS7D01G311200;TraesCS6A01G119900;TraesCS1B01G062200;TraesCS5A01G204800;TraesCSU01G051800;TraesCS1B01G268600;TraesCS6B01G257800;TraesCS2A01G201900;TraesCS2D01G534400;TraesCS6A01G168900;TraesCS2D01G198200;TraesCS1A01G361000;TraesCS7A01G186900;TraesCS4B01G062800;TraesCS5B01G202900;TraesCS3D01G045400;TraesCS4A01G216100;TraesCS5D01G163400;TraesCS1D01G330300;TraesCS2B01G100300;TraesCS5B01G208200;TraesCS2D01G379000;TraesCS5D01G027600;TraesCS7A01G344600;TraesCS2B01G323700;TraesCS3D01G094800;TraesCS2A01G481400;TraesCS3B01G119500;TraesCS7A01G328100;TraesCS5D01G073900;TraesCS7B01G214900;TraesCS7D01G394800;TraesCS1D01G079600;TraesCS2A01G553500;TraesCS5A01G351300;TraesCS1D01G101100;TraesCS4A01G027800;TraesCS5D01G152300;TraesCS2D01G511300;TraesCS3B01G151200;TraesCS5B01G187200;TraesCS5D01G475800;TraesCS1A01G305800;TraesCS3A01G209200;TraesCS1D01G206900;TraesCS3B01G013200;TraesCS5A01G377900;TraesCS7A01G212000;TraesCS1A01G203400;TraesCS7D01G053900;TraesCS3A01G406000;TraesCS4B01G216000;TraesCS1A01G333800;TraesCS5A01G237700;TraesCS4A01G267300;TraesCS5D01G145100;TraesCS2B01G166100;TraesCS1B01G385300;TraesCS2B01G216800;TraesCS6A01G278000;TraesCS1A01G145100;TraesCS4A01G080400;TraesCS1D01G361000;TraesCS2B01G114900;TraesCS5D01G078300;TraesCS4D01G312300;TraesCS1B01G283400;TraesCS3A01G530200;TraesCS3B01G229900;TraesCS1B01G120100;TraesCS5B01G460200;TraesCS2B01G498100;TraesCS7B01G254900;TraesCS3B01G384000;TraesCS6D01G032300;TraesCS5D01G408200;TraesCS3A01G463400;TraesCS4A01G059800;TraesCS2B01G436300;TraesCS7A01G110500;TraesCS1A01G031200;TraesCS3B01G439600;TraesCS2D01G459100;TraesCS5B01G236200;TraesCS7B01G222500;TraesCS2A01G347400;TraesCS3A01G262200;TraesCS2B01G204800;TraesCS2A01G368700;TraesCS5D01G386800;TraesCS1D01G228700;TraesCS5D01G034700;TraesCS2B01G521800;TraesCS2B01G414500;TraesCS6A01G209000;TraesCS2A01G083000;TraesCS2A01G532600;TraesCS1B01G377700;TraesCS1A01G235000;TraesCS2D01G343000;TraesCS2B01G121200;TraesCS4D01G289900;TraesCS2A01G407900;TraesCS4D01G046900;TraesCS6A01G116000;TraesCS6A01G246400;TraesCS5D01G031200;TraesCS7A01G154900;TraesCS4A01G186700;TraesCS4B01G258200;TraesCS2B01G241800;TraesCS2B01G467400;TraesCS1B01G097700;TraesCS1D01G073000;TraesCS1A01G302700;TraesCS2B01G504000;TraesCS6D01G253100;TraesCS2D01G284200;TraesCS5B01G056800;TraesCS2D01G380800;TraesCS3B01G423200;TraesCS2D01G580700;TraesCS5A01G092600;TraesCS3A01G521300;TraesCS3A01G034700;TraesCS5B01G405400;TraesCS7A01G423800;TraesCS1B01G226800;TraesCS6A01G363900;TraesCS3A01G454900;TraesCS3D01G097000;TraesCS1D01G259000;TraesCS2D01G392800;TraesCS7B01G141900;TraesCS4A01G081700;TraesCS4B01G214200;TraesCS3A01G136200;TraesCS5D01G182100;TraesCS6D01G198700;TraesCS6D01G280700;TraesCS5B01G356400;TraesCS3D01G262200;TraesCS7B01G241200;TraesCS4B01G294300;TraesCS6B01G414100;TraesCS3A01G323200;TraesCS6B01G392700;TraesCS2D01G574000;TraesCS2D01G062100;TraesCS4D01G217000;TraesCS5D01G158000;TraesCS7D01G129500;TraesCS4A01G417300;TraesCS6D01G159100;TraesCS3D01G124200;TraesCS1B01G096800;TraesCS1A01G259000;TraesCS1B01G048300;TraesCS1B01G305200;TraesCS1B01G248600;TraesCS6A01G352800;TraesCS6A01G375900;TraesCS4A01G221500;TraesCS5B01G064400;TraesCS1A01G016000;TraesCS5B01G087500;TraesCS7A01G325000;TraesCS6A01G165800;TraesCS4A01G431600;TraesCS2D01G538400;TraesCS5D01G359000;TraesCS6D01G358600;TraesCS3D01G042600;TraesCS1A01G413400;TraesCS1B01G454000;TraesCS6D01G102100;TraesCS3B01G295000;TraesCS7B01G229300;TraesCS1A01G275200;TraesCS1B01G375100;TraesCS3B01G455000;TraesCS4B01G049100;TraesCS7A01G188600;TraesCS4D01G207500;TraesCS6A01G124500;TraesCS7A01G163300;TraesCS6B01G052400;TraesCS1A01G217300;TraesCS1B01G363100;TraesCS5A01G253200;TraesCS5A01G177800;TraesCS3D01G072000;TraesCS6B01G222200;TraesCS6A01G319600;TraesCS7D01G318600;TraesCS4D01G069300;TraesCS2A01G190200;TraesCS4B01G157800;TraesCS5B01G104500;TraesCS4B01G235400;TraesCS3A01G276200;TraesCS6D01G291800;TraesCS3A01G033000;TraesCS4B01G088700;TraesCS6D01G360900;TraesCS2A01G456600;TraesCS2D01G219800;TraesCS3B01G446500;TraesCS5B01G182000;TraesCS6B01G225700;TraesCS4D01G366100;TraesCS1A01G182100;TraesCS4D01G045300;TraesCS1A01G206200;TraesCS5A01G350800;TraesCS2A01G170600;TraesCS2D01G297300;TraesCS1D01G119500;TraesCS2A01G285900;TraesCS4B01G054900;TraesCS2B01G393000;TraesCS7D01G305300;TraesCS6B01G398500;TraesCS7B01G102000;TraesCS1A01G045300;TraesCS7D01G444700;TraesCS1A01G370600;TraesCS2B01G477600;TraesCS1D01G074500;TraesCS3D01G444900;TraesCS3D01G467600;TraesCS4B01G210100;TraesCS3D01G270300;TraesCS3A01G274000;TraesCS2D01G598500;TraesCS5B01G371800;TraesCS2B01G151100;TraesCS3A01G507500;TraesCS4B01G067800;TraesCS6D01G198600;TraesCS1D01G100900;TraesCS1D01G238900;TraesCS3A01G344400;TraesCS7D01G118100;TraesCS6A01G119100;TraesCS1B01G089000;TraesCS1D01G188500;TraesCS3A01G034300;TraesCS5D01G328300;TraesCS2B01G454500;TraesCS4A01G050000;TraesCS2B01G189300;TraesCS2B01G118500;TraesCSU01G020500;TraesCS6D01G199500;TraesCS6B01G108100;TraesCS2D01G000300;TraesCS4B01G222100;TraesCS1B01G285500;TraesCS2D01G537100;TraesCSU01G169600;TraesCS5B01G468400;TraesCS5D01G387900;TraesCS2A01G103800;TraesCS5D01G232100;TraesCS6A01G351300;TraesCS2A01G204500;TraesCS2D01G426600;TraesCS5D01G524800;TraesCS6A01G305000;TraesCS3B01G196900;TraesCS2B01G336000;TraesCS4A01G062000;TraesCS1D01G249600;TraesCS4D01G215100;TraesCS2B01G180500;TraesCS3B01G421200;TraesCS2B01G542300;TraesCS1B01G461600;TraesCS2D01G529500;TraesCS2A01G121200;TraesCS6B01G207000;TraesCS5B01G526000;TraesCS7A01G427100;TraesCS3D01G030600;TraesCS1A01G367000;TraesCS1D01G046000;TraesCS5A01G322300;TraesCS5D01G320800;TraesCS1B01G283300;TraesCS1D01G080800;TraesCS2A01G216500;TraesCS7D01G165300;TraesCS5B01G141900;TraesCS2A01G323000;TraesCS7B01G129500;TraesCS6D01G166600;TraesCS2A01G418300;TraesCS7B01G194100;TraesCS4B01G214500;TraesCS3A01G077000;TraesCS7B01G299200;TraesCS5A01G051800;TraesCS5B01G184600;TraesCS2D01G382500;TraesCS3A01G245500;TraesCS7D01G122600;TraesCS6D01G087700;TraesCS2D01G097700;TraesCS2B01G537800;TraesCS2D01G223000;TraesCS1D01G258900;TraesCS5A01G481300;TraesCS7D01G052600;TraesCS2D01G349000;TraesCS5A01G341000;TraesCS2D01G163300;TraesCS2D01G232400;TraesCS2A01G516800;TraesCS7A01G194900;TraesCS2D01G216700;TraesCS3D01G104100;TraesCS7B01G294800;TraesCS2D01G317400;TraesCS1D01G209500;TraesCS1B01G088500;TraesCS1B01G384900;TraesCS2A01G525300;TraesCS3D01G137000;TraesCS2D01G279500;TraesCS4D01G059100;TraesCS6D01G284200;TraesCS5D01G424600;TraesCS5D01G390700;TraesCS5A01G468300;TraesCS3B01G360600;TraesCS4D01G261400;TraesCS3A01G256200;TraesCS5D01G208900;TraesCS5D01G365300;TraesCS5B01G155700;TraesCS1D01G419400;TraesCS6A01G262200;TraesCS1B01G241100;TraesCS1B01G056900;TraesCS7D01G324900;TraesCS3B01G046800;TraesCS3D01G256400;TraesCS2B01G001400;TraesCS6B01G421400;TraesCS2B01G097100;TraesCS5D01G421100;TraesCS7A01G167300;TraesCS1A01G080500;TraesCS1A01G330500;TraesCS1A01G187400;TraesCS6B01G375400;TraesCS7B01G309900;TraesCS1A01G078200;TraesCS2B01G536500;TraesCS6D01G122100;TraesCS7A01G264400;TraesCS1D01G372600;TraesCS5A01G294600;TraesCSU01G111800;TraesCS7A01G369500;TraesCS2A01G189600;TraesCS5B01G538800;TraesCS2D01G231100;TraesCS4A01G196000;TraesCS6B01G412500;TraesCS7D01G248200;TraesCS2B01G229000;TraesCS1A01G329500;TraesCS1A01G304200;TraesCS7B01G107300;TraesCS6A01G312600;TraesCS5A01G424300;TraesCS2A01G433500;TraesCS5B01G152600;TraesCS2A01G458800;TraesCS6A01G155200;TraesCS3D01G447600;TraesCS4A01G203300;TraesCS3B01G153800;TraesCS4A01G029800;TraesCS7B01G395000;TraesCS3D01G240900;TraesCSU01G238700;TraesCS1B01G376000;TraesCS2B01G304800;TraesCS2D01G491600;TraesCS3B01G291900;TraesCS5A01G505000;TraesCS5D01G040500;TraesCS6A01G226100;TraesCS2A01G211200;TraesCS6D01G226300;TraesCS5A01G426500;TraesCS6D01G335900;TraesCS1A01G411600;TraesCS2A01G040900;TraesCS5B01G313000;TraesCS1B01G304800;TraesCS5B01G095900;TraesCS1D01G080400;TraesCS2A01G396400;TraesCS4B01G201600;TraesCS5A01G205500;TraesCS1A01G183000;TraesCS3D01G261800;TraesCS3A01G362200;TraesCS3A01G387600;TraesCS4A01G124800;TraesCS3A01G477100;TraesCS1D01G148000;TraesCS6A01G264800;TraesCS7D01G188000;TraesCS5D01G333700;TraesCS2D01G199700;TraesCS5B01G215900;TraesCS6D01G368800;TraesCS2B01G614100;TraesCS2B01G394700;TraesCS7D01G086900;TraesCS2B01G208900;TraesCS2A01G343100;TraesCS2D01G301100;TraesCS7D01G449500;TraesCS2A01G382700;TraesCS1B01G326600;TraesCS7B01G327400;TraesCS1A01G122500;TraesCS2D01G144500;TraesCS3B01G371200;TraesCS7A01G264800;TraesCS3B01G600300;TraesCS5D01G183100;TraesCS1D01G082600;TraesCS6A01G141500;TraesCS2A01G538200;TraesCS7B01G347000;TraesCS4A01G130600;TraesCS6A01G336600;TraesCS6D01G195900;TraesCS6A01G378000;TraesCS2A01G291700;TraesCS6D01G258300;TraesCS3B01G489700;TraesCS7B01G100600;TraesCS7A01G512300;TraesCS4B01G070500;TraesCS2B01G480300;TraesCS2D01G464400;TraesCS7D01G000200;TraesCS5D01G358600;TraesCS4B01G162700;TraesCS6D01G248500;TraesCS3A01G377700;TraesCS7A01G235000;TraesCS1D01G216200;TraesCS6B01G412400;TraesCS4A01G091000;TraesCS5B01G165100;TraesCS6B01G284000;TraesCS4A01G010000;TraesCS4A01G255400;TraesCS4D01G326400;TraesCS6D01G257000;TraesCS2D01G463100;TraesCS4D01G272500;TraesCS5A01G078400;TraesCS7D01G024200;TraesCS1D01G451900;TraesCS2B01G324900;TraesCS5D01G085800;TraesCS6A01G258900;TraesCS7D01G335500;TraesCS6D01G359100;TraesCS7A01G308600;TraesCS2A01G371600;TraesCS1A01G078600;TraesCS7A01G282200;TraesCS6D01G180400;TraesCS3D01G049700;TraesCS5D01G519800;TraesCS7A01G537600;TraesCS3D01G335700;TraesCS6D01G217800;TraesCS7A01G101500;TraesCS7D01G189700;TraesCS2A01G106500;TraesCS2D01G485300;TraesCS7D01G506300;TraesCS1D01G299400;TraesCS6B01G193200;TraesCS5A01G182400;TraesCS6D01G056600;TraesCS4B01G345400;TraesCS2A01G083300;TraesCS1A01G342600;TraesCS3D01G308100;TraesCS3D01G441900;TraesCS5B01G214500;TraesCS6A01G302400;TraesCS6B01G255500;TraesCS1B01G347100;TraesCS5B01G428400;TraesCS7A01G406100;TraesCS5D01G261000;TraesCS6B01G127300;TraesCS7B01G372400;TraesCS7D01G383600;TraesCS7D01G085600;TraesCS2B01G196400;TraesCS2D01G107100;TraesCSU01G016900;TraesCS2D01G455900;TraesCS4D01G126900;TraesCS3B01G166600;TraesCS3B01G441600;TraesCS1A01G043900;TraesCS7A01G365600;TraesCS3B01G156800;TraesCSU01G249900;TraesCS7A01G223000;TraesCS2D01G431500;TraesCS3D01G445000;TraesCS5A01G235400;TraesCS7D01G229100;TraesCS6D01G226700;TraesCS3D01G172200;TraesCS5D01G185300;TraesCS5D01G288100;TraesCS4A01G323500;TraesCS4D01G352700;TraesCS6B01G423100;TraesCS2A01G201800;TraesCS3A01G477500;TraesCS6A01G277600;TraesCS1A01G215500;TraesCS6B01G381300;TraesCS2B01G035300;TraesCS7D01G488800;TraesCS6A01G187300;TraesCS1D01G076200;TraesCS7B01G250400;TraesCS5B01G208300;TraesCS5B01G133500;TraesCS6D01G110600;TraesCS6B01G152700;TraesCS7A01G321600;TraesCS6A01G383800;TraesCS2A01G187900;TraesCS6B01G059800;TraesCS4B01G007300;TraesCS4D01G089300;TraesCS5A01G090100;TraesCS5D01G069700;TraesCS3D01G472200;TraesCS4D01G104100;TraesCS1D01G398400;TraesCS7A01G328600;TraesCS6A01G245200;TraesCS6D01G255200;TraesCS5B01G520600;TraesCS5D01G346200;TraesCS2D01G500300;TraesCS2B01G047300;TraesCS6A01G306800;TraesCS3D01G502500;TraesCS5B01G160700;TraesCS1D01G239700;TraesCS1D01G082200;TraesCS5A01G198800;TraesCS7D01G201600;TraesCS1D01G032600;TraesCS5B01G078500;TraesCS2D01G564300;TraesCS4B01G171600;TraesCS6D01G225800;TraesCS7A01G306800;TraesCS4A01G384500;TraesCS7D01G224700;TraesCS5B01G225200;TraesCS6A01G375800;TraesCS2D01G528200;TraesCS7B01G123300;TraesCS2B01G241900;TraesCS4B01G132000;TraesCS6D01G328800;TraesCS4B01G216700;TraesCS2A01G324400;TraesCS5B01G056700;TraesCS1A01G073300;TraesCS6A01G243000;TraesCS4B01G137700;TraesCS7B01G008400;TraesCS1B01G251700;TraesCS7A01G131300;TraesCS3A01G439200;TraesCS7A01G412400;TraesCS7D01G372500;TraesCS7D01G368000;TraesCS2B01G539200;TraesCS6B01G335400;TraesCS6A01G258500;TraesCS2B01G315100;TraesCS7A01G423900;TraesCS2A01G339900;TraesCS3D01G315700;TraesCS5D01G139800;TraesCS4A01G071800;TraesCS4B01G228700;TraesCS1B01G157700;TraesCS3D01G242300;TraesCS2B01G169700;TraesCS7B01G277900;TraesCS7D01G077100;TraesCS7D01G054000;TraesCS2D01G098200;TraesCS1D01G314800;TraesCS2A01G150600;TraesCS4A01G009400;TraesCS5A01G080300;TraesCS4A01G171500;TraesCS5A01G048600;TraesCS7D01G474200;TraesCS3D01G262300;TraesCS5D01G212900;TraesCS7B01G025800;TraesCS6A01G148100;TraesCS7D01G353800;TraesCS3A01G191100;TraesCS5D01G158100;TraesCS6A01G266100;TraesCS1B01G398700;TraesCS4D01G264500;TraesCS6A01G120600;TraesCS1A01G072000;TraesCS5A01G152600;TraesCS7D01G167900;TraesCS2A01G023900;TraesCS4B01G052300;TraesCS1B01G478400;TraesCS5A01G463100;TraesCS1D01G312600;TraesCS3A01G419600;TraesCS6D01G050900;TraesCS5D01G465500;TraesCS4A01G431500;TraesCS3D01G337900;TraesCS1A01G077700;TraesCS1D01G073100;TraesCS3D01G514900;TraesCS7A01G059500;TraesCS1D01G237100;TraesCS4D01G173700;TraesCS1D01G333500;TraesCS2D01G509500;TraesCS3D01G300200;TraesCS3B01G295500;TraesCS7D01G130600;TraesCS3A01G009400;TraesCS7D01G213600;TraesCS1A01G215100;TraesCS5B01G437300;TraesCS6D01G281900;TraesCS7D01G203800;TraesCS5A01G312000;TraesCS7D01G364900;TraesCSU01G150500;TraesCS6B01G190100;TraesCS4D01G325500;TraesCS2D01G482200;TraesCS7A01G069300;TraesCS7D01G048600;TraesCS3A01G295000;TraesCS7A01G091200;TraesCS7D01G128300;TraesCS2B01G595300;TraesCS6A01G211400;TraesCS1B01G095600;TraesCS2A01G428500;TraesCS3B01G280000;TraesCS1D01G295800;TraesCS1D01G270500;TraesCS3D01G535700;TraesCS7B01G325900;TraesCS4D01G175700;TraesCS3B01G356600;TraesCS3A01G493100;TraesCS7B01G105600;TraesCS2B01G197000;TraesCS6B01G305600;TraesCS7A01G127100;TraesCS5A01G217000;TraesCS3B01G415900;TraesCS5A01G058100;TraesCS7B01G024500;TraesCS5B01G082500;TraesCS3A01G255600;TraesCS4B01G335100;TraesCS5D01G031500;TraesCS6A01G225300;TraesCS2B01G243000;TraesCS6D01G240100;TraesCS3D01G050100;TraesCS6B01G420600;TraesCS6B01G141000;TraesCS5B01G358900;TraesCS7A01G338900;TraesCS5D01G168400;TraesCS5D01G478700;TraesCS5B01G203100;TraesCS1B01G198900;TraesCS2B01G407600;TraesCS3A01G199600;TraesCS1D01G111900;TraesCS2D01G507800;TraesCS1A01G228100;TraesCS5B01G069500;TraesCS2A01G503800;TraesCS6D01G369400;TraesCS5B01G233800;TraesCS7B01G093500;TraesCS5A01G062600;TraesCS3D01G078900;TraesCS4A01G262600;TraesCS6B01G006600;TraesCSU01G008300;TraesCS3B01G206500;TraesCS2D01G321400;TraesCS2D01G504300;TraesCS2D01G275400;TraesCS7B01G255500;TraesCS2A01G384100;TraesCS2D01G197600;TraesCS1D01G259700;TraesCS6A01G272500;TraesCS4A01G131000;TraesCS2D01G219900;TraesCS4B01G225500;TraesCS5B01G381500;TraesCS7B01G287100;TraesCS3D01G472000;TraesCS5A01G071500;TraesCS2D01G414500;TraesCS6A01G216800;TraesCS4D01G035200;TraesCS5B01G193200;TraesCS5B01G252100;TraesCS1D01G420900;TraesCS5D01G194700;TraesCS7D01G341300;TraesCS2D01G214200;TraesCS5A01G209800;TraesCS1D01G303700;TraesCS2D01G562200;TraesCS3B01G319600;TraesCS5A01G356400;TraesCS5D01G211300;TraesCS7D01G356800;TraesCS2B01G436100;TraesCS7A01G241200;TraesCS1D01G074600;TraesCS2D01G375200;TraesCS1D01G037200;TraesCS6B01G197000;TraesCS1D01G179900;TraesCS4B01G080900;TraesCS3D01G316700;TraesCS2B01G430800;TraesCS4A01G110100;TraesCS4B01G174000;TraesCS1B01G089100;TraesCS3D01G178300;TraesCS5B01G138400;TraesCS5A01G390300;TraesCS1B01G385000;TraesCS4A01G089800;TraesCS5B01G207900;TraesCS5A01G059400;TraesCS2B01G585100;TraesCS3A01G293900;TraesCS6B01G280000;TraesCS2A01G224000;TraesCS7B01G194200;TraesCS7D01G395100;TraesCS5B01G445200;TraesCS3B01G354000;TraesCS5B01G275200;TraesCS1D01G199500;TraesCS5B01G307300;TraesCS3B01G357500;TraesCS4B01G098200;TraesCS3B01G275500;TraesCS6B01G386200;TraesCS3A01G266300;TraesCSU01G021700;TraesCS7D01G124900;TraesCS3D01G046000;TraesCS4B01G141500;TraesCS2A01G288000;TraesCS1A01G210400;TraesCS3D01G256500;TraesCS1A01G141300;TraesCS6D01G367600;TraesCS2D01G567000;TraesCS2A01G446500;TraesCS5D01G225100;TraesCS2B01G536600;TraesCS5B01G200000;TraesCS2D01G315100;TraesCS5B01G191900;TraesCS1D01G372700;TraesCS6D01G145100;TraesCS3B01G240000;TraesCS2A01G304000;TraesCS2D01G493700;TraesCS3A01G408000;TraesCS6D01G083200;TraesCS2D01G555000;TraesCS3D01G212100;TraesCS4A01G207800;TraesCS5D01G482800;TraesCS7A01G470400;TraesCS6B01G175200;TraesCS6D01G109000;TraesCS4B01G059400;TraesCS7B01G272900;TraesCS4A01G042700;TraesCS2B01G189000;TraesCS6A01G277800;TraesCS5B01G223600;TraesCS6D01G363200;TraesCS4A01G075600;TraesCS7D01G243700;TraesCS2A01G141100;TraesCS5A01G455100;TraesCS3B01G370500;TraesCS5B01G236900;TraesCS1D01G114100;TraesCS7D01G380900;TraesCS3A01G037100;TraesCS3D01G104000;TraesCS6A01G167300;TraesCS1A01G375800;TraesCS3A01G176500;TraesCS3A01G050500;TraesCS4A01G076900;TraesCS5A01G206700;TraesCS7A01G392800;TraesCS3D01G355900;TraesCS1A01G070600;TraesCS1B01G314700;TraesCS2B01G112000;TraesCS7A01G461500;TraesCS7A01G427600;TraesCS7D01G188100;TraesCS5D01G329100;TraesCS1B01G195800;TraesCS3A01G049500;TraesCS2A01G081400;TraesCS2A01G101900;TraesCS6B01G256300;TraesCS6D01G074300;TraesCS5D01G092000;TraesCS7D01G388400;TraesCS3B01G208300;TraesCS7B01G247500;TraesCS2B01G482000;TraesCS4A01G102900;TraesCS5B01G188700;TraesCS6B01G328300;TraesCS7D01G248100;TraesCS3A01G101800;TraesCS3D01G359000;TraesCS2A01G548300;TraesCS3B01G268800;TraesCS6B01G238900;TraesCS2B01G395900;TraesCS6D01G191500;TraesCS7A01G387000;TraesCS4D01G094400;TraesCS7B01G261800;TraesCS4A01G094300;TraesCS6D01G307100;TraesCS2B01G511300;TraesCS5B01G458900;TraesCS3B01G090400;TraesCS1B01G210700;TraesCS5D01G111500;TraesCS6B01G258500;TraesCSU01G129000;TraesCS5D01G281200;TraesCS7B01G228900;TraesCS5A01G380900;TraesCS5D01G210800;TraesCS7D01G063900;TraesCS4D01G316500;TraesCS2A01G217200;TraesCS3A01G101700;TraesCS5D01G277500;TraesCS2A01G211900;TraesCS2A01G412200;TraesCS6D01G167300;TraesCS5D01G216100;TraesCS2D01G339600;TraesCS3A01G330600;TraesCS1D01G174700;TraesCS2D01G534600;TraesCS6D01G191400;TraesCS2D01G349400;TraesCS4B01G068300;TraesCS1A01G406200;TraesCS1D01G437700;TraesCS7B01G030400;TraesCS2B01G217500;TraesCS3D01G412400;TraesCS6A01G244400;TraesCS3A01G477400;TraesCS5A01G469800;TraesCS6B01G136100;TraesCS3D01G354100;TraesCS2D01G141100;TraesCS7B01G423900;TraesCS5B01G480900;TraesCS5D01G159100;TraesCS2B01G266900;TraesCS7A01G091500;TraesCS5B01G142100;TraesCS5D01G413300;TraesCS4A01G062800;TraesCS7A01G537500;TraesCS3A01G021600;TraesCS5A01G147500;TraesCS4B01G149400;TraesCS3D01G432000;TraesCS2B01G250100;TraesCS3A01G124800;TraesCS2A01G276400;TraesCS1D01G101300;TraesCS4B01G100100;TraesCS4D01G142000;TraesCS1D01G044300;TraesCS1D01G082500;TraesCS6D01G252900;TraesCS2A01G371700;TraesCS6D01G342800;TraesCS6D01G225300;TraesCS6D01G258200;TraesCS2A01G113100;TraesCS7B01G301100;TraesCS6B01G147200;MORE</t>
  </si>
  <si>
    <t>TraesCS6A01G209900;TraesCS2B01G208900;TraesCS6D01G393600;TraesCS5B01G482400;TraesCS7D01G392800;TraesCS1B01G456700;TraesCS6A01G278000;TraesCS6A01G201100;TraesCS5B01G426700;TraesCS6B01G238800;TraesCS1A01G093800;TraesCS4D01G096400;TraesCS4D01G285800;TraesCS5D01G207400;TraesCS7B01G259000;TraesCS3D01G072000;TraesCS5D01G169300;TraesCS6B01G383500;TraesCS5B01G200000;TraesCS2D01G077300;TraesCS3D01G324400;TraesCS4B01G335100;TraesCS6B01G306300;TraesCS3B01G108000;TraesCS6D01G332900;TraesCS3D01G139300;TraesCS5A01G469800;TraesCS4B01G237300;TraesCS5B01G262900;TraesCS2A01G080000;TraesCS7A01G110500;TraesCS4D01G141000;TraesCS1B01G164200;TraesCS3B01G156600;TraesCS1D01G349900;TraesCS1A01G389500;TraesCS2B01G174500;TraesCS2B01G367700;TraesCS7D01G548200;TraesCS7B01G008400;TraesCS5D01G482800;TraesCS7A01G470400;TraesCS4D01G045300;TraesCS6D01G257000;TraesCS7A01G412400;TraesCS7B01G272900;TraesCS5D01G433200;TraesCS4B01G045400;TraesCS7A01G264500;TraesCS6D01G239700;TraesCS4B01G100100;TraesCS5D01G244800;TraesCS7D01G368000;TraesCS6B01G238700;TraesCS6D01G252900;TraesCS6A01G258500;TraesCS6A01G210000;TraesCS2A01G155500;TraesCS6B01G383800;TraesCS1B01G229100;TraesCS6D01G258600;TraesCS6A01G116000;TraesCS7D01G243700;TraesCS2B01G271700;TraesCS5A01G455100;TraesCS7A01G369500;TraesCS2A01G384100;TraesCS3A01G299000;TraesCS6D01G104800;TraesCS1D01G102400;TraesCS5A01G237900;TraesCS6A01G272900;TraesCS4A01G043800;TraesCS5A01G424700;TraesCS4A01G089700;TraesCS7D01G353800;TraesCS4D01G215200;TraesCS4D01G238600;TraesCS6D01G039300;TraesCS3A01G309800;TraesCS1D01G067800;TraesCS6A01G216800;TraesCS3D01G308100;TraesCS5B01G214500;TraesCS1B01G219300;TraesCS5D01G223800;TraesCS7D01G106000;TraesCS4D01G264500;TraesCS7B01G372400;TraesCS6D01G193100;TraesCS2D01G285300;TraesCS1A01G215600;TraesCS2D01G392800;TraesCS4A01G216100;TraesCS5D01G183700;TraesCS1A01G066800;TraesCS5A01G216000;TraesCS1A01G205800;TraesCS4D01G267500;TraesCS5D01G465500;TraesCS5B01G463900;TraesCS5A01G505000;TraesCS1A01G423800;TraesCS6D01G198700;TraesCS2B01G336000;TraesCS1D01G073100;TraesCS7D01G229100;TraesCS1A01G308900;TraesCS2B01G180500;TraesCS6B01G246000;TraesCS6D01G333600;TraesCS2B01G605800;TraesCS7B01G194200;TraesCS2A01G121200;TraesCS4A01G174700;TraesCS5B01G426800;TraesCS2D01G123300;TraesCS4B01G142700;TraesCS5B01G307300;TraesCS7D01G146400;TraesCS4A01G277500;TraesCS5B01G502200;TraesCS7A01G561600;TraesCS5B01G392400;TraesCS7D01G457800;TraesCS7B01G299200;TraesCS3A01G295000;TraesCS1D01G144600;TraesCS1A01G295300;TraesCS4B01G287100;TraesCS3B01G490900</t>
  </si>
  <si>
    <t>regulation of immune response</t>
  </si>
  <si>
    <t>regulation of innate immune response</t>
  </si>
  <si>
    <t>TraesCS2D01G538400;TraesCS5D01G359000;TraesCS4B01G059700;TraesCS4D01G316500;TraesCS2B01G208900;TraesCS5B01G482400;TraesCS2A01G211900;TraesCS6A01G201100;TraesCS7A01G127100;TraesCS1A01G275200;TraesCS2D01G534600;TraesCS1D01G082600;TraesCS5A01G041100;TraesCS7A01G182500;TraesCS2A01G538200;TraesCS3B01G361500;TraesCS2B01G236800;TraesCS5A01G177800;TraesCS5D01G207400;TraesCS1D01G156600;TraesCS5A01G469800;TraesCS6B01G136100;TraesCS2A01G080000;TraesCS3A01G056700;TraesCS1A01G016100;TraesCS5D01G358600;TraesCS1B01G164200;TraesCS3B01G156600;TraesCS2D01G217500;TraesCS4A01G255400;TraesCS4B01G376800;TraesCS4D01G045300;TraesCS5A01G350800;TraesCS4B01G045400;TraesCS2D01G297300;TraesCS4B01G100100;TraesCS5D01G244800;TraesCS1D01G119500;TraesCS1D01G082500;TraesCS3A01G135700;TraesCS5D01G022200;TraesCS6D01G252900;TraesCS4B01G104700;TraesCS7A01G033500;TraesCS3D01G290000;TraesCS2B01G236900;TraesCS2A01G537900;TraesCS5D01G097900;TraesCS1A01G045300;TraesCS7D01G444700;TraesCS2D01G394800;TraesCS5D01G519800;TraesCS6B01G174400;TraesCS5D01G463900;TraesCS7B01G087400;TraesCS2B01G271700;TraesCS6D01G246900;TraesCS2A01G384100;TraesCS2B01G350600;TraesCS1D01G259700;TraesCS4B01G306900;TraesCS7B01G356400;TraesCS3D01G316400;TraesCS5B01G530800;TraesCS4A01G001400;TraesCS1A01G184500;TraesCS5A01G315700;TraesCS5B01G381500;TraesCS6A01G146200;TraesCS7D01G030100;TraesCS2A01G106500;TraesCS2D01G485300;TraesCS4A01G035400;TraesCS1B01G158500;TraesCS5A01G351400;TraesCS3D01G308100;TraesCS5B01G214500;TraesCS6A01G078700;TraesCS1B01G347100;TraesCS5A01G085900;TraesCS6A01G268000;TraesCS2D01G534400;TraesCS2A01G551100;TraesCS7B01G372400;TraesCS6A01G107800;TraesCS2D01G107100;TraesCS1A01G215600;TraesCS2D01G537100;TraesCS5D01G387900;TraesCS4A01G216100;TraesCS4D01G126900;TraesCS5D01G183700;TraesCS1D01G330300;TraesCS2D01G226300;TraesCS5A01G216000;TraesCS7B01G316600;TraesCS4D01G001200;TraesCS2B01G415300;TraesCS3D01G316700;TraesCS7B01G356500;TraesCS3B01G156800;TraesCS5B01G217100;TraesCS1A01G159200;TraesCS2D01G485200;TraesCS6D01G095700;TraesCS3D01G136700;TraesCS2B01G180500;TraesCS7B01G274600;TraesCS5D01G531300;TraesCS1A01G015300;TraesCS6A01G000500;TraesCS2A01G532800;TraesCS2B01G202700;TraesCS5D01G152300;TraesCS1D01G046000;TraesCS1B01G058600;TraesCS1A01G080700;TraesCS6B01G381300;TraesCS4D01G126800;TraesCS5B01G392400;TraesCS7A01G455800;TraesCS5A01G377900;TraesCS7B01G299200;TraesCS1D01G144600;TraesCS3A01G247000;TraesCS5B01G102900;TraesCS5B01G175100;TraesCS6A01G135100;TraesCS4B01G216000;TraesCS1A01G333800;TraesCS5B01G217000;TraesCS5D01G226000;TraesCS7D01G124900;TraesCS2D01G183700;TraesCS2D01G097700;TraesCS1D01G398400;TraesCS7D01G392800;TraesCS1B01G456700;TraesCS5B01G373000;TraesCS5B01G520600;TraesCS2A01G397000;TraesCS5B01G533000;TraesCS5D01G225900;TraesCS2D01G364400;TraesCS4D01G312300;TraesCS1D01G239700;TraesCS2B01G246100;TraesCS4A01G455800;TraesCS1D01G082200;TraesCS4D01G096400;TraesCS6B01G295200;TraesCS2D01G216700;TraesCS1A01G080600;TraesCS7B01G259000;TraesCS3D01G244500;TraesCS5B01G200000;TraesCS2D01G077300;TraesCS3D01G139300;TraesCS5A01G351700;TraesCS4B01G237300;TraesCS1A01G259900;TraesCS4A01G353100;TraesCS5A01G138600;TraesCS7A01G110500;TraesCS2B01G562100;TraesCS4B01G132000;TraesCS5B01G014400;TraesCS2D01G537700;TraesCS1A01G389500;TraesCS2B01G174500;TraesCS7D01G548200;TraesCS7B01G008400;TraesCS3B01G272300;TraesCS5D01G482800;TraesCS7A01G470400;TraesCS1B01G251700;TraesCS7A01G412400;TraesCS7B01G272900;TraesCS1B01G270300;TraesCS1D01G013200;TraesCS7A01G264500;TraesCS5D01G179100;TraesCS5D01G357800;TraesCS2A01G532600;TraesCS3B01G352300;TraesCS7D01G368000;TraesCS2B01G114000;TraesCS6B01G163100;TraesCS1D01G367800;TraesCS3D01G315700;TraesCS4A01G071800;TraesCS2A01G155500;TraesCS1A01G080500;TraesCS1B01G229100;TraesCS6A01G116000;TraesCS2A01G176300;TraesCS4A01G186700;TraesCS7A01G369500;TraesCS5B01G236900;TraesCS2A01G150600;TraesCS2A01G231000;TraesCS3A01G299000;TraesCS6D01G104800;TraesCS1D01G274800;TraesCS5A01G237900;TraesCS5D01G321800;TraesCS3D01G056500;TraesCS6A01G272900;TraesCS7B01G356800;TraesCS4A01G171500;TraesCS4A01G043800;TraesCS2A01G211300;TraesCS2B01G124100;TraesCS2D01G284200;TraesCS7A01G011900;TraesCS7D01G353800;TraesCS4D01G238600;TraesCS6D01G039300;TraesCS5D01G223800;TraesCS3B01G153800;TraesCS4D01G264500;TraesCS2A01G209900;TraesCS2B01G175800;TraesCS2D01G285300;TraesCS7D01G444400;TraesCS4A01G407500;TraesCS2D01G392800;TraesCS6D01G330800;TraesCS5B01G316300;TraesCS6D01G135500;TraesCS6B01G280300;TraesCS2D01G296300;TraesCS3B01G291900;TraesCS5D01G182100;TraesCS2D01G235600;TraesCS5B01G217500;TraesCS4D01G059300;TraesCS1D01G073100;TraesCS2A01G211200;TraesCS6D01G226300;TraesCS1A01G308900;TraesCS3B01G310500;TraesCS3A01G323200;TraesCS2A01G220600;TraesCS5B01G437300;TraesCS2B01G257100;TraesCS7D01G444500;TraesCS2B01G511300;TraesCS7A01G561600;TraesCS4D01G305100;TraesCS5D01G519600;TraesCS7D01G183900;TraesCS7D01G457800;TraesCS3D01G276600;TraesCS3A01G295000;TraesCS5A01G218000;TraesCS3A01G276500;TraesCS4B01G132100;TraesCS1A01G016000;TraesCS2A01G485600;TraesCS1A01G295300</t>
  </si>
  <si>
    <t>TraesCS4B01G254700;TraesCS5D01G493200;TraesCS2B01G166100;TraesCS5D01G369200;TraesCS2D01G144500;TraesCS1B01G224300;TraesCS1A01G210400;TraesCS3B01G394600;TraesCS1B01G375100;TraesCS2D01G232400;TraesCS5B01G078500;TraesCS4D01G210900;TraesCS5B01G082500;TraesCS2D01G317400;TraesCS2D01G315100;TraesCS4D01G069300;TraesCS5A01G129100;TraesCS7B01G326200;TraesCS7D01G224700;TraesCS3B01G240000;TraesCS4A01G244500;TraesCS4B01G070500;TraesCS4B01G088700;TraesCS7A01G357300;TraesCS5B01G182000;TraesCS1A01G077500;TraesCS3D01G212100;TraesCS5B01G492700;TraesCS7D01G277300;TraesCS1A01G358600;TraesCS5A01G398900;TraesCS2B01G250100;TraesCS1A01G228100;TraesCS7D01G024200;TraesCS2B01G449200;TraesCS3A01G242200;TraesCS7A01G423900;TraesCS2A01G339900;TraesCS5D01G089900;TraesCS6B01G398500;TraesCS1A01G045300;TraesCS3D01G242300;TraesCS3D01G345900;TraesCS7D01G077100;TraesCS5A01G076600;TraesCS2A01G141100;TraesCS4B01G210100;TraesCS7A01G101500;TraesCS4B01G067800;TraesCS2B01G229000;TraesCS6D01G358000;TraesCS4D01G087200;TraesCS6A01G119900;TraesCS1D01G363500;TraesCS3A01G227900;TraesCS1A01G202300;TraesCS4A01G050000;TraesCS4A01G226300;TraesCS2A01G201900;TraesCS3D01G355900;TraesCS2D01G214200;TraesCS2D01G000300;TraesCS6A01G363900;TraesCS7D01G417600;TraesCS2A01G103800;TraesCS1D01G229700;TraesCS1A01G357300;TraesCS5A01G183600;TraesCS5D01G188600;TraesCS2D01G426600;TraesCS3B01G156800;TraesCS4A01G110100;TraesCS5D01G136600;TraesCS7A01G223000;TraesCS2B01G101800;TraesCS4D01G066800;TraesCS1D01G079600;TraesCS5A01G479600;TraesCS6A01G199000;TraesCS1D01G046000;TraesCS1B01G058600;TraesCS1B01G316500;TraesCS1A01G305800;TraesCS3A01G209200;TraesCS2A01G233100;TraesCS4A01G094300;TraesCS7B01G129500;TraesCS3A01G362200;TraesCS4D01G254500;TraesCS3B01G275500;TraesCS4A01G380200;TraesCS4A01G073900;TraesCS4D01G194900;TraesCS1B01G095600;TraesCS1D01G213700;TraesCS3D01G238000;TraesCS2A01G428500</t>
  </si>
  <si>
    <t>dephosphorylation</t>
  </si>
  <si>
    <t>TraesCS5A01G424700;TraesCS6A01G209900;TraesCS2B01G208900;TraesCS6D01G393600;TraesCS5B01G482400;TraesCS7D01G392800;TraesCS1B01G456700;TraesCS4D01G238600;TraesCS6D01G039300;TraesCS6A01G201100;TraesCS5B01G426700;TraesCS6A01G216800;TraesCS3D01G308100;TraesCS5B01G214500;TraesCS6B01G238800;TraesCS5D01G223800;TraesCS7D01G106000;TraesCS4D01G264500;TraesCS4D01G096400;TraesCS7B01G372400;TraesCS6D01G193100;TraesCS2D01G285300;TraesCS5D01G207400;TraesCS1A01G215600;TraesCS3D01G072000;TraesCS5D01G169300;TraesCS6B01G383500;TraesCS2D01G392800;TraesCS5B01G200000;TraesCS2D01G077300;TraesCS3B01G108000;TraesCS4A01G216100;TraesCS5D01G183700;TraesCS6D01G332900;TraesCS5A01G469800;TraesCS4B01G237300;TraesCS5A01G216000;TraesCS5B01G262900;TraesCS2A01G080000;TraesCS4D01G267500;TraesCS7A01G110500;TraesCS5D01G465500;TraesCS5B01G463900;TraesCS1B01G164200;TraesCS1D01G349900;TraesCS1A01G389500;TraesCS1A01G423800;TraesCS6D01G198700;TraesCS2B01G336000;TraesCS1D01G073100;TraesCS2B01G174500;TraesCS2B01G367700;TraesCS7D01G548200;TraesCS7B01G008400;TraesCS5D01G482800;TraesCS7A01G470400;TraesCS2B01G180500;TraesCS4D01G045300;TraesCS6B01G246000;TraesCS6D01G333600;TraesCS7A01G412400;TraesCS5D01G433200;TraesCS2B01G605800;TraesCS4B01G045400;TraesCS7A01G264500;TraesCS4B01G100100;TraesCS5D01G244800;TraesCS6B01G238700;TraesCS6D01G252900;TraesCS5B01G426800;TraesCS6A01G210000;TraesCS2A01G155500;TraesCS6B01G383800;TraesCS1B01G229100;TraesCS6A01G116000;TraesCS4A01G277500;TraesCS5B01G502200;TraesCS7D01G243700;TraesCS7A01G561600;TraesCS5B01G392400;TraesCS2B01G271700;TraesCS7D01G457800;TraesCS7B01G299200;TraesCS3A01G295000;TraesCS5A01G455100;TraesCS2A01G384100;TraesCS1D01G144600;TraesCS6D01G104800;TraesCS1A01G295300;TraesCS5A01G237900;TraesCS6A01G272900;TraesCS3B01G490900;TraesCS4A01G043800</t>
  </si>
  <si>
    <t>TraesCS2B01G229000;TraesCS4B01G254700;TraesCS5D01G493200;TraesCS2B01G166100;TraesCS4D01G087200;TraesCS5D01G369200;TraesCS6A01G119900;TraesCS1D01G363500;TraesCS2D01G144500;TraesCS1A01G202300;TraesCS3B01G394600;TraesCS1B01G375100;TraesCS4A01G050000;TraesCS4A01G226300;TraesCS2A01G201900;TraesCS3D01G355900;TraesCS2D01G232400;TraesCS2D01G214200;TraesCS2D01G000300;TraesCS6A01G363900;TraesCS5B01G078500;TraesCS4D01G210900;TraesCS5B01G082500;TraesCS7D01G417600;TraesCS1A01G095500;TraesCS2D01G317400;TraesCS2D01G315100;TraesCS1D01G229700;TraesCS7A01G249000;TraesCS7B01G326200;TraesCS7D01G224700;TraesCS3B01G240000;TraesCS5A01G183600;TraesCS5D01G188600;TraesCS1D01G104400;TraesCS2D01G426600;TraesCS3B01G156800;TraesCS4B01G088700;TraesCS4A01G110100;TraesCS7A01G223000;TraesCS2B01G101800;TraesCS5B01G182000;TraesCS1A01G077500;TraesCS3D01G212100;TraesCS5B01G492700;TraesCS7D01G277300;TraesCS1A01G358600;TraesCS5A01G398900;TraesCS2B01G250100;TraesCS1D01G079600;TraesCS1A01G228100;TraesCS2B01G449200;TraesCS5A01G479600;TraesCS6A01G199000;TraesCS7A01G423900;TraesCS1D01G046000;TraesCS1B01G058600;TraesCS2A01G339900;TraesCS3A01G209200;TraesCS5D01G089900;TraesCS6B01G398500;TraesCS2A01G233100;TraesCS4A01G094300;TraesCS7B01G129500;TraesCS1A01G045300;TraesCS3A01G362200;TraesCS4D01G254500;TraesCS5A01G076600;TraesCS2A01G141100;TraesCS4B01G210100;TraesCS4D01G194900;TraesCS1B01G095600;TraesCS3D01G238000;TraesCS2A01G428500</t>
  </si>
  <si>
    <t>phosphoprotein phosphatase activity</t>
  </si>
  <si>
    <t>TraesCS4D01G064000;TraesCS2B01G208900;TraesCS4A01G089700;TraesCS5B01G371100;TraesCS6D01G393600;TraesCS5B01G482400;TraesCS7D01G392800;TraesCS7D01G353800;TraesCS4D01G215200;TraesCS4D01G238600;TraesCS6D01G039300;TraesCS3A01G309800;TraesCS7A01G130300;TraesCS1A01G093800;TraesCS4D01G302500;TraesCS1B01G219300;TraesCS3A01G265100;TraesCS6B01G383300;TraesCS4D01G264500;TraesCS3A01G229400;TraesCS2A01G278400;TraesCS3B01G562500;TraesCS4D01G096400;TraesCS5D01G378200;TraesCS7B01G372400;TraesCS5D01G207400;TraesCS7B01G259000;TraesCS1A01G215600;TraesCS7A01G230500;TraesCS3B01G298700;TraesCS7D01G014200;TraesCS2D01G392800;TraesCS5B01G200000;TraesCS2D01G077300;TraesCS4A01G216100;TraesCS5A01G469800;TraesCS2D01G277600;TraesCS4B01G237300;TraesCS1A01G205800;TraesCS2A01G080000;TraesCS4D01G141000;TraesCS4B01G304300;TraesCS2B01G367700;TraesCS7D01G548200;TraesCS3A01G300400;TraesCS5B01G371200;TraesCS5D01G482800;TraesCS7A01G470400;TraesCS2B01G180500;TraesCS4A01G404500;TraesCS4D01G045300;TraesCS3B01G255200;TraesCS6D01G257000;TraesCS4B01G045400;TraesCS2A01G278500;TraesCS1B01G195900;TraesCS4B01G100100;TraesCS6D01G237600;TraesCS2B01G296100;TraesCS5D01G378100;TraesCS4A01G174700;TraesCS4A01G249600;TraesCS3B01G562400;TraesCS7D01G230900;TraesCS2A01G155500;TraesCS4B01G142700;TraesCS5A01G368800;TraesCS1B01G229100;TraesCS3B01G336100;TraesCS5A01G368600;TraesCS5B01G307300;TraesCS6A01G116000;TraesCS7D01G146400;TraesCS1D01G357500;TraesCS3D01G219900;TraesCS5A01G142000;TraesCS7A01G561600;TraesCS5B01G392400;TraesCS7D01G457800;TraesCS7B01G299200;TraesCS7A01G369500;TraesCS2A01G384100;TraesCS3A01G299000;TraesCS6D01G104800;TraesCS1A01G295300;TraesCS1D01G102400;TraesCS2B01G417900;TraesCS4A01G110200;TraesCS4B01G065100;TraesCS4A01G043800</t>
  </si>
  <si>
    <t>TraesCS7D01G548200;TraesCS2B01G208900;TraesCS5B01G482400;TraesCS7D01G392800;TraesCS5D01G482800;TraesCS7A01G470400;TraesCS2B01G180500;TraesCS4D01G045300;TraesCS4D01G238600;TraesCS6D01G039300;TraesCS4B01G045400;TraesCS4B01G100100;TraesCS4D01G264500;TraesCS4D01G096400;TraesCS7B01G372400;TraesCS2A01G155500;TraesCS5D01G207400;TraesCS1A01G215600;TraesCS1B01G229100;TraesCS6A01G116000;TraesCS2D01G392800;TraesCS5B01G200000;TraesCS2D01G077300;TraesCS4A01G216100;TraesCS7A01G561600;TraesCS5A01G469800;TraesCS5B01G392400;TraesCS4B01G237300;TraesCS7D01G457800;TraesCS7B01G299200;TraesCS2A01G384100;TraesCS2A01G080000;TraesCS6D01G104800;TraesCS1A01G295300;TraesCS4A01G043800</t>
  </si>
  <si>
    <t>response to salicylic acid</t>
  </si>
  <si>
    <t>TraesCS2B01G208900;TraesCS5B01G482400;TraesCS7D01G392800;TraesCS1B01G456700;TraesCS4D01G238600;TraesCS6D01G039300;TraesCS3D01G308100;TraesCS5B01G214500;TraesCS5D01G223800;TraesCS4D01G264500;TraesCS4D01G096400;TraesCS7B01G372400;TraesCS2D01G285300;TraesCS5D01G207400;TraesCS1A01G215600;TraesCS2D01G392800;TraesCS5B01G200000;TraesCS2D01G077300;TraesCS4A01G216100;TraesCS5A01G469800;TraesCS4B01G237300;TraesCS5A01G216000;TraesCS2A01G080000;TraesCS1A01G389500;TraesCS1D01G073100;TraesCS2B01G174500;TraesCS7D01G548200;TraesCS5D01G482800;TraesCS7A01G470400;TraesCS2B01G180500;TraesCS4D01G045300;TraesCS7A01G412400;TraesCS4B01G045400;TraesCS7A01G264500;TraesCS4B01G100100;TraesCS6D01G252900;TraesCS2A01G155500;TraesCS1B01G229100;TraesCS6A01G116000;TraesCS7A01G561600;TraesCS5B01G392400;TraesCS2B01G271700;TraesCS7D01G457800;TraesCS7B01G299200;TraesCS3A01G295000;TraesCS2A01G384100;TraesCS6D01G104800;TraesCS1A01G295300;TraesCS6A01G272900;TraesCS4A01G043800</t>
  </si>
  <si>
    <t>cellular response to acid chemical</t>
  </si>
  <si>
    <t>cellular response to drug</t>
  </si>
  <si>
    <t>TraesCS5A01G124600;TraesCS4B01G108000;TraesCS5A01G258100;TraesCS7D01G392800;TraesCS7D01G092500;TraesCS4D01G068200;TraesCS6B01G284300;TraesCS1D01G075500;TraesCS3B01G375800;TraesCS2B01G454300;TraesCS1B01G243100;TraesCS7A01G096500;TraesCS1A01G298600;TraesCS2A01G270200;TraesCS2D01G104600;TraesCS4A01G193600;TraesCS5D01G116100;TraesCS3B01G379200;TraesCS6A01G145600;TraesCS7B01G259000;TraesCS1B01G126600;TraesCS1D01G106100;TraesCS5D01G232700;TraesCS7D01G171300;TraesCS1D01G429800;TraesCS4A01G128100;TraesCS2B01G289000;TraesCS2D01G332300;TraesCS3B01G270500;TraesCS3A01G167200;TraesCS6B01G149000;TraesCS6D01G154400;TraesCS4A01G062800;TraesCS3A01G281900;TraesCS4D01G236600;TraesCS6A01G333600;TraesCS3A01G289200;TraesCS3B01G129900;TraesCS6D01G358700;TraesCS2B01G407600;TraesCS7D01G092600;TraesCS5D01G071800;TraesCS5B01G224000;TraesCS6A01G240400;TraesCS7D01G110600;TraesCS5B01G124200;TraesCS6B01G148700;TraesCS6B01G364000;TraesCS5D01G244800;TraesCS2D01G146100;TraesCS2B01G187500;TraesCS7A01G511800;TraesCS2A01G389400;TraesCS4A01G396400;TraesCS4D01G180200;TraesCS1A01G072600;TraesCS2D01G211400;TraesCS2D01G104500;TraesCS2D01G387300;TraesCS7A01G270100;TraesCS6A01G145500;TraesCS3A01G343900;TraesCS1D01G072600;TraesCS4D01G239600;TraesCS4D01G178400;TraesCS3B01G324400;TraesCS5D01G266300;TraesCS5B01G257300;TraesCS6D01G074200;TraesCS4B01G239700;TraesCS7A01G369500;TraesCS5D01G321000;TraesCS6D01G110400;TraesCS2A01G391700;TraesCS2D01G386100;TraesCS2A01G388300;TraesCS5A01G237900;TraesCS7D01G497300;TraesCS5D01G205000;TraesCS5D01G447500;TraesCS3B01G314600;TraesCS2D01G431000;TraesCS3A01G289700;TraesCS2D01G269200;TraesCS7D01G353800;TraesCS6D01G222600;TraesCS3D01G289500;TraesCS6B01G193200;TraesCS6D01G312800;TraesCS7A01G116000;TraesCS3B01G130000;TraesCS4D01G358900;TraesCS5A01G395100;TraesCS7A01G343000;TraesCS5B01G067700;TraesCS3B01G199000;TraesCS7A01G096300;TraesCS5B01G315600;TraesCS6A01G080500;TraesCS7A01G423800;TraesCS3A01G242500;TraesCS4A01G396300;TraesCS6A01G120600;TraesCS5A01G104900;TraesCS3D01G238300;TraesCS7D01G501000;TraesCS4D01G105100;TraesCS5A01G440400;TraesCS2B01G167900;TraesCS3D01G173300;TraesCS4B01G178600;TraesCS2A01G204500;TraesCS4B01G346100;TraesCS4A01G059600;TraesCS3A01G111200;TraesCS1A01G421900;TraesCS5B01G236400;TraesCS7D01G497400;TraesCS5B01G108500;TraesCS1A01G350400;TraesCS5B01G117700;TraesCS3B01G255400;TraesCS2A01G433000;TraesCS2D01G051000;TraesCS1B01G308200;TraesCS3D01G289000;TraesCS7A01G508700;TraesCS7D01G336400;TraesCS7D01G092400;TraesCS1A01G401800;TraesCS3D01G227400;TraesCS4D01G119700;TraesCS6D01G134800;TraesCS3A01G229300;TraesCS3B01G568300;TraesCS4A01G396200;TraesCS6B01G108000;TraesCS6A01G120300;TraesCS5A01G232700;TraesCS1D01G292700;TraesCS4B01G121500;TraesCS3D01G242500;TraesCS3D01G341100;TraesCS5B01G410000;TraesCS5D01G232800;TraesCS5A01G314700;TraesCS4A01G126300;TraesCS1B01G453300;TraesCS3A01G347500;TraesCS6D01G110600;TraesCS4B01G235300;TraesCS7B01G299200;TraesCS7A01G509000;TraesCS3D01G113300;TraesCS3D01G281900;TraesCS5B01G444100;TraesCS6B01G173900;TraesCS1D01G429900;TraesCS6A01G165800;TraesCS4B01G069500</t>
  </si>
  <si>
    <t>TraesCS1D01G073100;TraesCS7D01G548200;TraesCS2B01G208900;TraesCS5B01G482400;TraesCS7D01G392800;TraesCS5D01G482800;TraesCS7A01G470400;TraesCS2B01G180500;TraesCS4D01G045300;TraesCS6D01G039300;TraesCS4B01G045400;TraesCS4B01G100100;TraesCS4D01G096400;TraesCS7B01G372400;TraesCS4A01G071800;TraesCS2A01G155500;TraesCS4D01G176300;TraesCS5A01G177800;TraesCS5D01G207400;TraesCS1A01G215600;TraesCS1B01G229100;TraesCS2D01G392800;TraesCS5B01G200000;TraesCS2D01G077300;TraesCS4A01G216100;TraesCS4D01G176200;TraesCS7A01G561600;TraesCS5A01G469800;TraesCS7D01G457800;TraesCS7B01G299200;TraesCS2A01G384100;TraesCS2A01G080000;TraesCS1D01G144600;TraesCS5B01G175100;TraesCS5D01G182100;TraesCS1A01G295300;TraesCS1B01G164200</t>
  </si>
  <si>
    <t>TraesCS1D01G073100;TraesCS2B01G208900;TraesCS5B01G482400;TraesCS7D01G392800;TraesCS5D01G482800;TraesCS7A01G470400;TraesCS2B01G180500;TraesCS2B01G585100;TraesCS2A01G553500;TraesCS4B01G100100;TraesCS4D01G096400;TraesCS7B01G372400;TraesCS2A01G155500;TraesCS5A01G177800;TraesCS1A01G215600;TraesCS1B01G229100;TraesCS2D01G077300;TraesCS4A01G216100;TraesCS5A01G469800;TraesCS7D01G457800;TraesCS7B01G299200;TraesCS2A01G384100;TraesCS2A01G080000;TraesCS1D01G144600;TraesCS5B01G175100;TraesCS5D01G182100;TraesCS1A01G295300;TraesCS1B01G164200</t>
  </si>
  <si>
    <t>negative regulation of cell death</t>
  </si>
  <si>
    <t>TraesCS7D01G063900;TraesCS1D01G270500;TraesCS3A01G050700;TraesCS5D01G422000;TraesCS6A01G177700;TraesCS6D01G393600;TraesCS1A01G413400;TraesCS2A01G382700;TraesCS6A01G240700;TraesCS1D01G094700;TraesCS4D01G232700;TraesCS7B01G346600;TraesCS1A01G122500;TraesCS1A01G275200;TraesCS5B01G445100;TraesCS2A01G389900;TraesCS4B01G263300;TraesCS3B01G455000;TraesCS6B01G169700;TraesCS4B01G049100;TraesCS5D01G062900;TraesCS6A01G141500;TraesCS7A01G012000;TraesCS7D01G435100;TraesCS5A01G156200;TraesCS3A01G097800;TraesCS4B01G037800;TraesCS1A01G217300;TraesCS1A01G406200;TraesCS1B01G363100;TraesCS1D01G437700;TraesCS5A01G177800;TraesCS5B01G166300;TraesCS4B01G318900;TraesCS6D01G130800;TraesCS4B01G335100;TraesCS7A01G339100;TraesCS2B01G198100;TraesCS5D01G031500;TraesCS6A01G244400;TraesCS4B01G264500;TraesCS7A01G512300;TraesCS3B01G128000;TraesCS7B01G423900;TraesCS4B01G235400;TraesCS6B01G258400;TraesCS2A01G508900;TraesCS2B01G350500;TraesCS5D01G159100;TraesCS7B01G274100;TraesCS3D01G050100;TraesCS5D01G048600;TraesCS6B01G422900;TraesCS3D01G278000;TraesCS5D01G413300;TraesCS4D01G315400;TraesCS2A01G292000;TraesCS7D01G346400;TraesCS1D01G216200;TraesCS3B01G194400;TraesCS4A01G091000;TraesCS6B01G284000;TraesCS1D01G111900;TraesCS4D01G045300;TraesCS3A01G124800;TraesCS4B01G045400;TraesCS4D01G272500;TraesCS1D01G101300;TraesCS6D01G239700;TraesCS6D01G369400;TraesCS4B01G100100;TraesCS6A01G080600;TraesCS4B01G054900;TraesCS4A01G419400;TraesCS2B01G393000;TraesCS6D01G342800;TraesCS7D01G305300;TraesCS7B01G208700;TraesCS7A01G308600;TraesCS2A01G396200;TraesCS4A01G262600;TraesCS4B01G037900;TraesCS3B01G126400;TraesCS3B01G311900;TraesCS5A01G169500;TraesCS1D01G074500;TraesCS7D01G501700;TraesCS4D01G032900;TraesCS2A01G384100;TraesCS4A01G251600;TraesCS2B01G333600;TraesCS2D01G598500;TraesCS3A01G163300;TraesCS1A01G213400;TraesCS4B01G124800;TraesCS1D01G238900;TraesCS4B01G225500;TraesCS3A01G107600;TraesCS1D01G346200;TraesCS3D01G285700;TraesCS1B01G089000;TraesCS4A01G089700;TraesCS7D01G506300;TraesCS7D01G311200;TraesCS1D01G188500;TraesCS5A01G182400;TraesCS3A01G189300;TraesCS7D01G071200;TraesCS3D01G308100;TraesCS6A01G302400;TraesCS7A01G075600;TraesCS3B01G113500;TraesCS4D01G052500;TraesCS2D01G039500;TraesCS2B01G189300;TraesCS4D01G035200;TraesCS6D01G212400;TraesCS1D01G420900;TraesCS6B01G108100;TraesCS7B01G372400;TraesCS7A01G186900;TraesCS7D01G383600;TraesCS4B01G062800;TraesCS2A01G291900;TraesCS2B01G339600;TraesCS1D01G414600;TraesCS1A01G215600;TraesCS5B01G468400;TraesCS5B01G042800;TraesCS2B01G308200;TraesCS1D01G074600;TraesCS4A01G216100;TraesCS5D01G163400;TraesCS5D01G183700;TraesCS1D01G039500;TraesCS1D01G123700;TraesCS2D01G379000;TraesCS5D01G027600;TraesCS7A01G344600;TraesCS4B01G231400;TraesCS7B01G161100;TraesCS7D01G300200;TraesCSU01G249900;TraesCS4B01G214600;TraesCS2B01G336000;TraesCS2D01G076900;TraesCS7D01G334900;TraesCS1D01G004400;TraesCS4A01G089800;TraesCS5B01G327800;TraesCS4D01G215100;TraesCS6D01G226700;TraesCS3D01G266400;TraesCS7B01G214900;TraesCS3D01G432600;TraesCS6A01G209600;TraesCS6B01G280000;TraesCS4D01G236800;TraesCS5B01G339100;TraesCS6D01G222900;TraesCS2B01G605800;TraesCS3D01G192800;TraesCS2A01G121200;TraesCS3A01G439800;TraesCS6B01G207000;TraesCS7D01G395100;TraesCS5B01G445200;TraesCS6B01G423900;TraesCS4A01G027800;TraesCS5D01G173900;TraesCS1A01G344000;TraesCS1B01G463100;TraesCS1A01G235200;TraesCS6D01G166600;TraesCS7D01G488800;TraesCS6A01G187300;TraesCS7B01G250400;TraesCS4B01G261800;TraesCS5B01G133500;TraesCS4B01G214500;TraesCS1B01G162400;TraesCS3A01G077000;TraesCS3A01G310400;TraesCS5A01G051800;TraesCS5B01G175100;TraesCS3A01G266300;TraesCS2D01G273700;TraesCS4D01G055000;TraesCS4D01G183100;TraesCS7A01G187000;TraesCS1D01G163400;TraesCS4B01G273500;TraesCS4A01G068400;TraesCS4D01G104100;TraesCS6D01G255200;TraesCS5B01G373000;TraesCS5D01G346200;TraesCS1A01G145100;TraesCS5A01G131300;TraesCS6A01G306800;TraesCS3D01G378700;TraesCS7A01G092300;TraesCS5A01G341000;TraesCS5D01G309700;TraesCS7A01G031700;TraesCS4D01G096400;TraesCS2A01G516800;TraesCS7B01G301400;TraesCS7B01G294800;TraesCS1A01G072200;TraesCS5D01G169300;TraesCS6D01G225800;TraesCS4A01G122800;TraesCS6A01G359900;TraesCS3D01G324400;TraesCS5A01G186000;TraesCS3A01G385600;TraesCS7B01G254900;TraesCS7D01G350500;TraesCS5B01G225200;TraesCS1B01G441900;TraesCS2D01G279500;TraesCS4A01G059800;TraesCS4D01G242100;TraesCS4D01G296400;TraesCS3D01G077200;TraesCS4D01G059100;TraesCS4D01G263500;TraesCS2B01G174500;TraesCS7D01G548200;TraesCS4D01G261400;TraesCS3B01G100600;TraesCS1A01G428400;TraesCS7A01G470400;TraesCS7A01G263300;TraesCS7D01G351000;TraesCS5B01G155700;TraesCS7A01G412400;TraesCS4B01G059400;TraesCS1D01G419400;TraesCS7A01G264500;TraesCS2B01G414500;TraesCS2D01G517200;TraesCS6B01G335400;TraesCS6A01G258500;TraesCS4A01G042700;TraesCS6B01G331600;TraesCS5D01G139800;TraesCS1B01G229100;TraesCS2A01G407900;TraesCS2B01G400000;TraesCS5D01G104900;TraesCS6A01G116000;TraesCS4A01G075600;TraesCS5D01G031200;TraesCS2B01G381600;TraesCS5B01G372500;TraesCS1B01G048500;TraesCS7D01G054000;TraesCS1B01G250600;TraesCS5D01G379700;TraesCS5A01G375000;TraesCS1B01G248400;TraesCS6D01G104800;TraesCS1D01G274800;TraesCS4A01G009400;TraesCS2D01G231100;TraesCS4A01G043800;TraesCS1D01G073000;TraesCS6A01G167300;TraesCS1A01G329500;TraesCS1A01G375800;TraesCS7B01G107300;TraesCS3A01G050500;TraesCS2A01G414700;TraesCS2A01G041100;TraesCS3B01G423200;TraesCS5A01G424300;TraesCS6D01G039300;TraesCS5A01G160100;TraesCS5A01G092600;TraesCS5B01G152600;TraesCS1D01G067800;TraesCS7A01G392800;TraesCS4A01G203300;TraesCS4D01G264500;TraesCS3A01G355700;TraesCS1B01G226800;TraesCS1D01G351500;TraesCS7D01G188100;TraesCS3B01G357200;TraesCS2D01G285300;TraesCS5B01G408100;TraesCS1D01G219100;TraesCS4B01G194900;TraesCS3B01G334900;TraesCS4B01G052300;TraesCS1B01G195800;TraesCS2D01G392800;TraesCS2D01G075200;TraesCS5B01G244300;TraesCS1A01G066800;TraesCS6A01G073300;TraesCS3A01G146800;TraesCS6D01G074300;TraesCS3A01G419600;TraesCS5D01G182100;TraesCS7D01G388400;TraesCS4A01G431500;TraesCS5A01G505000;TraesCS7B01G222700;TraesCS1D01G236900;TraesCS5D01G432800;TraesCS7A01G059500;TraesCS7B01G241200;TraesCS5B01G184100;TraesCS6D01G232300;TraesCS2D01G393900;TraesCS3D01G300200;TraesCS4A01G255600;TraesCS1A01G188000;TraesCS3D01G136300;TraesCS1A01G411600;TraesCS6B01G392700;TraesCS2D01G123300;TraesCS7A01G387000;TraesCS6D01G281900;TraesCS2A01G396400;TraesCS7D01G203800;TraesCS6B01G098300;TraesCS2A01G516500;TraesCS1B01G048300;TraesCS7A01G561600;TraesCS7D01G188000;TraesCS7A01G069300;TraesCS1D01G123400;TraesCS7D01G457800;TraesCS6B01G258500;TraesCS3A01G295000;TraesCS6B01G105800;TraesCS4A01G221500;TraesCS1A01G295300;TraesCS5B01G180400;TraesCS1B01G204700;TraesCS4A01G431600</t>
  </si>
  <si>
    <t>TraesCS7D01G063900;TraesCS1D01G270500;TraesCS3A01G050700;TraesCS5D01G422000;TraesCS6A01G177700;TraesCS6D01G393600;TraesCS1A01G413400;TraesCS2A01G382700;TraesCS6A01G240700;TraesCS1D01G094700;TraesCS4D01G232700;TraesCS7B01G346600;TraesCS1A01G122500;TraesCS1A01G275200;TraesCS5B01G445100;TraesCS2A01G389900;TraesCS4B01G263300;TraesCS3B01G455000;TraesCS6B01G169700;TraesCS4B01G049100;TraesCS5D01G062900;TraesCS6A01G141500;TraesCS7A01G012000;TraesCS7D01G435100;TraesCS5A01G156200;TraesCS3A01G097800;TraesCS4B01G037800;TraesCS1A01G217300;TraesCS1A01G406200;TraesCS1B01G363100;TraesCS1D01G437700;TraesCS5A01G177800;TraesCS5B01G166300;TraesCS4B01G318900;TraesCS6D01G130800;TraesCS4B01G335100;TraesCS7A01G339100;TraesCS2B01G198100;TraesCS5D01G031500;TraesCS6A01G244400;TraesCS4B01G264500;TraesCS7A01G512300;TraesCS3B01G128000;TraesCS7B01G423900;TraesCS4B01G235400;TraesCS6B01G258400;TraesCS2A01G508900;TraesCS2B01G350500;TraesCS5D01G159100;TraesCS7B01G274100;TraesCS3D01G050100;TraesCS5D01G048600;TraesCS6B01G422900;TraesCS3D01G278000;TraesCS5D01G413300;TraesCS4D01G315400;TraesCS2A01G292000;TraesCS7D01G346400;TraesCS1D01G216200;TraesCS3B01G194400;TraesCS4A01G091000;TraesCS6B01G284000;TraesCS1D01G111900;TraesCS4D01G045300;TraesCS3A01G124800;TraesCS4B01G045400;TraesCS4D01G272500;TraesCS1D01G101300;TraesCS6D01G239700;TraesCS6D01G369400;TraesCS4B01G100100;TraesCS6A01G080600;TraesCS4B01G054900;TraesCS4A01G419400;TraesCS2B01G393000;TraesCS6D01G342800;TraesCS7D01G305300;TraesCS7B01G208700;TraesCS7A01G308600;TraesCS2A01G396200;TraesCS4A01G262600;TraesCS4B01G037900;TraesCS3B01G126400;TraesCS3B01G311900;TraesCS5A01G169500;TraesCS1D01G074500;TraesCS7D01G501700;TraesCS4D01G032900;TraesCS2A01G384100;TraesCS4A01G251600;TraesCS2B01G333600;TraesCS2D01G598500;TraesCS3A01G163300;TraesCS1A01G213400;TraesCS4B01G124800;TraesCS1D01G238900;TraesCS4B01G225500;TraesCS3A01G107600;TraesCS1D01G346200;TraesCS3D01G285700;TraesCS1B01G089000;TraesCS4A01G089700;TraesCS7D01G506300;TraesCS7D01G311200;TraesCS1D01G188500;TraesCS5A01G182400;TraesCS3A01G189300;TraesCS7D01G071200;TraesCS3D01G308100;TraesCS6A01G302400;TraesCS7A01G075600;TraesCS3B01G113500;TraesCS4D01G052500;TraesCS2D01G039500;TraesCS2B01G189300;TraesCS4D01G035200;TraesCS6D01G212400;TraesCS1D01G420900;TraesCS6B01G108100;TraesCS7B01G372400;TraesCS7A01G186900;TraesCS7D01G383600;TraesCS4B01G062800;TraesCS2A01G291900;TraesCS2B01G339600;TraesCS1D01G414600;TraesCS1A01G215600;TraesCS5B01G468400;TraesCS5B01G042800;TraesCS2B01G308200;TraesCS1D01G074600;TraesCS4A01G216100;TraesCS5D01G163400;TraesCS5D01G183700;TraesCS1D01G039500;TraesCS1D01G123700;TraesCS2D01G379000;TraesCS5D01G027600;TraesCS7A01G344600;TraesCS4B01G231400;TraesCS7B01G161100;TraesCS7D01G300200;TraesCS1B01G168600;TraesCSU01G249900;TraesCS4B01G214600;TraesCS2B01G336000;TraesCS2D01G076900;TraesCS7D01G334900;TraesCS1D01G004400;TraesCS4A01G089800;TraesCS5B01G327800;TraesCS4D01G215100;TraesCS6D01G226700;TraesCS3D01G266400;TraesCS7B01G214900;TraesCS3D01G432600;TraesCS6A01G209600;TraesCS6B01G280000;TraesCS4D01G236800;TraesCS5B01G339100;TraesCS6D01G222900;TraesCS2B01G605800;TraesCS3D01G192800;TraesCS2A01G121200;TraesCS3A01G439800;TraesCS6B01G207000;TraesCS7D01G395100;TraesCS5B01G445200;TraesCS6B01G423900;TraesCS4A01G027800;TraesCS5D01G173900;TraesCS1A01G344000;TraesCS1B01G463100;TraesCS1A01G235200;TraesCS6D01G166600;TraesCS7D01G488800;TraesCS6A01G187300;TraesCS7B01G250400;TraesCS4B01G261800;TraesCS5B01G133500;TraesCS4B01G214500;TraesCS1B01G162400;TraesCS3A01G077000;TraesCS3A01G310400;TraesCS5A01G051800;TraesCS5B01G175100;TraesCS3A01G266300;TraesCS2D01G273700;TraesCS4D01G055000;TraesCS4D01G183100;TraesCS7A01G187000;TraesCS1D01G163400;TraesCS4B01G273500;TraesCS4A01G068400;TraesCS4D01G104100;TraesCS6D01G255200;TraesCS5B01G373000;TraesCS5D01G346200;TraesCS1A01G145100;TraesCS5A01G131300;TraesCS6A01G306800;TraesCS3D01G378700;TraesCS7A01G092300;TraesCS5A01G341000;TraesCS5D01G309700;TraesCS7A01G031700;TraesCS4D01G096400;TraesCS2A01G516800;TraesCS7B01G301400;TraesCS7B01G294800;TraesCS1A01G072200;TraesCS5D01G169300;TraesCS6D01G225800;TraesCS4A01G122800;TraesCS6A01G359900;TraesCS3D01G324400;TraesCS5A01G186000;TraesCS3A01G385600;TraesCS7B01G254900;TraesCS7D01G350500;TraesCS5B01G225200;TraesCS1B01G441900;TraesCS2D01G279500;TraesCS4A01G059800;TraesCS4D01G242100;TraesCS4D01G296400;TraesCS3D01G077200;TraesCS4D01G059100;TraesCS4D01G263500;TraesCS2B01G174500;TraesCS7D01G548200;TraesCS4D01G261400;TraesCS3B01G100600;TraesCS1A01G428400;TraesCS7A01G470400;TraesCS7A01G263300;TraesCS7D01G351000;TraesCS5B01G155700;TraesCS7A01G412400;TraesCS4B01G059400;TraesCS1D01G419400;TraesCS7A01G264500;TraesCS2B01G414500;TraesCS2D01G517200;TraesCS6B01G335400;TraesCS6A01G258500;TraesCS4A01G042700;TraesCS6B01G331600;TraesCS5D01G139800;TraesCS1B01G229100;TraesCS2A01G407900;TraesCS2B01G400000;TraesCS5D01G104900;TraesCS6A01G116000;TraesCS4A01G075600;TraesCS5D01G031200;TraesCS2B01G381600;TraesCS5B01G372500;TraesCS1B01G048500;TraesCS7D01G054000;TraesCS1B01G250600;TraesCS5D01G379700;TraesCS5A01G375000;TraesCS1B01G248400;TraesCS6D01G104800;TraesCS1D01G274800;TraesCS4A01G009400;TraesCS2D01G231100;TraesCS4A01G043800;TraesCS1D01G073000;TraesCS6A01G167300;TraesCS1A01G329500;TraesCS1A01G375800;TraesCS7B01G107300;TraesCS3A01G050500;TraesCS2A01G414700;TraesCS2A01G041100;TraesCS3B01G423200;TraesCS5A01G424300;TraesCS6D01G039300;TraesCS5A01G160100;TraesCS5A01G092600;TraesCS5B01G152600;TraesCS1D01G067800;TraesCS7A01G392800;TraesCS4A01G203300;TraesCS4D01G264500;TraesCS3A01G355700;TraesCS1B01G226800;TraesCS1D01G351500;TraesCS7D01G188100;TraesCS3B01G357200;TraesCS2D01G285300;TraesCS5B01G408100;TraesCS1D01G219100;TraesCS4B01G194900;TraesCS3B01G334900;TraesCS4B01G052300;TraesCS1B01G195800;TraesCS2D01G392800;TraesCS2D01G075200;TraesCS5B01G244300;TraesCS1A01G066800;TraesCS6A01G073300;TraesCS3A01G146800;TraesCS6D01G074300;TraesCS3A01G419600;TraesCS5D01G182100;TraesCS7D01G388400;TraesCS4A01G431500;TraesCS5A01G505000;TraesCS7B01G222700;TraesCS1D01G236900;TraesCS5D01G432800;TraesCS7A01G059500;TraesCS7B01G241200;TraesCS5B01G184100;TraesCS6D01G232300;TraesCS2D01G393900;TraesCS3D01G300200;TraesCS4A01G255600;TraesCS1A01G188000;TraesCS3D01G136300;TraesCS1A01G411600;TraesCS6B01G392700;TraesCS2D01G123300;TraesCS7A01G387000;TraesCS6D01G281900;TraesCS2A01G396400;TraesCS7D01G203800;TraesCS6B01G098300;TraesCS2A01G516500;TraesCS1B01G048300;TraesCS1D01G148000;TraesCS7A01G561600;TraesCS7D01G188000;TraesCS7A01G069300;TraesCS1D01G123400;TraesCS7D01G457800;TraesCS6B01G258500;TraesCS3A01G295000;TraesCS6B01G105800;TraesCS4A01G221500;TraesCS1A01G295300;TraesCS5B01G180400;TraesCS1B01G204700;TraesCS4A01G431600</t>
  </si>
  <si>
    <t>salicylic acid mediated signaling pathway</t>
  </si>
  <si>
    <t>cellular response to salicylic acid stimulus</t>
  </si>
  <si>
    <t>TraesCS7D01G063900;TraesCS1D01G270500;TraesCS3A01G050700;TraesCS5D01G422000;TraesCS6A01G177700;TraesCS6D01G393600;TraesCS1A01G413400;TraesCS2A01G382700;TraesCS6A01G240700;TraesCS1D01G094700;TraesCS4D01G232700;TraesCS7B01G346600;TraesCS1A01G122500;TraesCS1A01G275200;TraesCS5B01G445100;TraesCS2A01G389900;TraesCS4B01G263300;TraesCS3B01G455000;TraesCS6B01G169700;TraesCS4B01G049100;TraesCS5D01G062900;TraesCS6A01G141500;TraesCS7A01G012000;TraesCS7D01G435100;TraesCS5A01G156200;TraesCS3A01G097800;TraesCS4B01G037800;TraesCS1A01G217300;TraesCS1A01G406200;TraesCS1B01G363100;TraesCS1D01G437700;TraesCS5A01G177800;TraesCS5B01G166300;TraesCS4B01G318900;TraesCS6D01G130800;TraesCS4B01G335100;TraesCS7A01G339100;TraesCS2B01G198100;TraesCS5D01G031500;TraesCS6A01G244400;TraesCS4B01G264500;TraesCS7A01G512300;TraesCS3B01G128000;TraesCS7B01G423900;TraesCS4B01G235400;TraesCS6B01G258400;TraesCS2A01G508900;TraesCS2B01G350500;TraesCS5D01G159100;TraesCS7B01G274100;TraesCS3D01G050100;TraesCS5D01G048600;TraesCS6B01G422900;TraesCS3D01G278000;TraesCS4D01G315400;TraesCS2A01G292000;TraesCS7D01G346400;TraesCS1D01G216200;TraesCS3B01G194400;TraesCS4A01G091000;TraesCS6B01G284000;TraesCS1D01G111900;TraesCS4D01G045300;TraesCS3A01G124800;TraesCS4B01G045400;TraesCS4D01G272500;TraesCS1D01G101300;TraesCS6D01G239700;TraesCS6D01G369400;TraesCS4B01G100100;TraesCS6A01G080600;TraesCS4B01G054900;TraesCS4A01G419400;TraesCS2B01G393000;TraesCS6D01G342800;TraesCS7D01G305300;TraesCS7B01G208700;TraesCS7A01G308600;TraesCS2A01G396200;TraesCS4A01G262600;TraesCS4B01G037900;TraesCS3B01G126400;TraesCS3B01G311900;TraesCS5A01G169500;TraesCS1D01G074500;TraesCS7D01G501700;TraesCS4D01G032900;TraesCS2A01G384100;TraesCS4A01G251600;TraesCS2B01G333600;TraesCS2D01G598500;TraesCS3A01G163300;TraesCS1A01G213400;TraesCS4B01G124800;TraesCS1D01G238900;TraesCS4B01G225500;TraesCS3A01G107600;TraesCS1D01G346200;TraesCS3D01G285700;TraesCS1B01G089000;TraesCS4A01G089700;TraesCS7D01G506300;TraesCS7D01G311200;TraesCS1D01G188500;TraesCS5A01G182400;TraesCS3A01G189300;TraesCS7D01G071200;TraesCS3D01G308100;TraesCS6A01G302400;TraesCS7A01G075600;TraesCS3B01G113500;TraesCS4D01G052500;TraesCS2D01G039500;TraesCS2B01G189300;TraesCS4D01G035200;TraesCS6D01G212400;TraesCS1D01G420900;TraesCS6B01G108100;TraesCS7B01G372400;TraesCS7A01G186900;TraesCS7D01G383600;TraesCS4B01G062800;TraesCS2A01G291900;TraesCS2B01G339600;TraesCS1D01G414600;TraesCS1A01G215600;TraesCS5B01G468400;TraesCS5B01G042800;TraesCS2B01G308200;TraesCS1D01G074600;TraesCS4A01G216100;TraesCS5D01G163400;TraesCS5D01G183700;TraesCS1D01G039500;TraesCS1D01G123700;TraesCS2D01G379000;TraesCS5D01G027600;TraesCS7A01G344600;TraesCS4B01G231400;TraesCS7B01G161100;TraesCS7D01G300200;TraesCSU01G249900;TraesCS4B01G214600;TraesCS2B01G336000;TraesCS2D01G076900;TraesCS7D01G334900;TraesCS1D01G004400;TraesCS4A01G089800;TraesCS5B01G327800;TraesCS4D01G215100;TraesCS6D01G226700;TraesCS3D01G266400;TraesCS7B01G214900;TraesCS3D01G432600;TraesCS6A01G209600;TraesCS6B01G280000;TraesCS4D01G236800;TraesCS5B01G339100;TraesCS6D01G222900;TraesCS2B01G605800;TraesCS3D01G192800;TraesCS2A01G121200;TraesCS3A01G439800;TraesCS6B01G207000;TraesCS7D01G395100;TraesCS5B01G445200;TraesCS6B01G423900;TraesCS4A01G027800;TraesCS5D01G173900;TraesCS1A01G344000;TraesCS1B01G463100;TraesCS1A01G235200;TraesCS6D01G166600;TraesCS7D01G488800;TraesCS6A01G187300;TraesCS7B01G250400;TraesCS4B01G261800;TraesCS5B01G133500;TraesCS4B01G214500;TraesCS1B01G162400;TraesCS3A01G077000;TraesCS3A01G310400;TraesCS5A01G051800;TraesCS5B01G175100;TraesCS3A01G266300;TraesCS2D01G273700;TraesCS4D01G055000;TraesCS4D01G183100;TraesCS7A01G187000;TraesCS1D01G163400;TraesCS4B01G273500;TraesCS4A01G068400;TraesCS4D01G104100;TraesCS6D01G255200;TraesCS5B01G373000;TraesCS5D01G346200;TraesCS1A01G145100;TraesCS5A01G131300;TraesCS6A01G306800;TraesCS3D01G378700;TraesCS7A01G092300;TraesCS5A01G341000;TraesCS5D01G309700;TraesCS7A01G031700;TraesCS4D01G096400;TraesCS2A01G516800;TraesCS7B01G301400;TraesCS7B01G294800;TraesCS1A01G072200;TraesCS5D01G169300;TraesCS6D01G225800;TraesCS4A01G122800;TraesCS6A01G359900;TraesCS3D01G324400;TraesCS5A01G186000;TraesCS3A01G385600;TraesCS7B01G254900;TraesCS7D01G350500;TraesCS5B01G225200;TraesCS1B01G441900;TraesCS2D01G279500;TraesCS4A01G059800;TraesCS4D01G242100;TraesCS4D01G296400;TraesCS3D01G077200;TraesCS4D01G059100;TraesCS4D01G263500;TraesCS2B01G174500;TraesCS7D01G548200;TraesCS4D01G261400;TraesCS3B01G100600;TraesCS1A01G428400;TraesCS7A01G470400;TraesCS7A01G263300;TraesCS7D01G351000;TraesCS5B01G155700;TraesCS7A01G412400;TraesCS4B01G059400;TraesCS1D01G419400;TraesCS7A01G264500;TraesCS2B01G414500;TraesCS2D01G517200;TraesCS6B01G335400;TraesCS6A01G258500;TraesCS4A01G042700;TraesCS6B01G331600;TraesCS5D01G139800;TraesCS1B01G229100;TraesCS2A01G407900;TraesCS2B01G400000;TraesCS5D01G104900;TraesCS6A01G116000;TraesCS4A01G075600;TraesCS5D01G031200;TraesCS2B01G381600;TraesCS5B01G372500;TraesCS1B01G048500;TraesCS7D01G054000;TraesCS1B01G250600;TraesCS5D01G379700;TraesCS5A01G375000;TraesCS1B01G248400;TraesCS6D01G104800;TraesCS1D01G274800;TraesCS4A01G009400;TraesCS2D01G231100;TraesCS4A01G043800;TraesCS1D01G073000;TraesCS6A01G167300;TraesCS1A01G329500;TraesCS1A01G375800;TraesCS7B01G107300;TraesCS3A01G050500;TraesCS2A01G414700;TraesCS2A01G041100;TraesCS3B01G423200;TraesCS5A01G424300;TraesCS6D01G039300;TraesCS5A01G160100;TraesCS5A01G092600;TraesCS5B01G152600;TraesCS1D01G067800;TraesCS7A01G392800;TraesCS4A01G203300;TraesCS4D01G264500;TraesCS3A01G355700;TraesCS1B01G226800;TraesCS1D01G351500;TraesCS7D01G188100;TraesCS3B01G357200;TraesCS2D01G285300;TraesCS1D01G219100;TraesCS4B01G194900;TraesCS3B01G334900;TraesCS4B01G052300;TraesCS1B01G195800;TraesCS2D01G392800;TraesCS2D01G075200;TraesCS5B01G244300;TraesCS1A01G066800;TraesCS6A01G073300;TraesCS3A01G146800;TraesCS6D01G074300;TraesCS3A01G419600;TraesCS5D01G182100;TraesCS7D01G388400;TraesCS4A01G431500;TraesCS5A01G505000;TraesCS7B01G222700;TraesCS1D01G236900;TraesCS5D01G432800;TraesCS7A01G059500;TraesCS7B01G241200;TraesCS5B01G184100;TraesCS6D01G232300;TraesCS2D01G393900;TraesCS3D01G300200;TraesCS4A01G255600;TraesCS1A01G188000;TraesCS3D01G136300;TraesCS1A01G411600;TraesCS6B01G392700;TraesCS2D01G123300;TraesCS7A01G387000;TraesCS6D01G281900;TraesCS2A01G396400;TraesCS7D01G203800;TraesCS6B01G098300;TraesCS2A01G516500;TraesCS1B01G048300;TraesCS7A01G561600;TraesCS7D01G188000;TraesCS7A01G069300;TraesCS1D01G123400;TraesCS7D01G457800;TraesCS6B01G258500;TraesCS3A01G295000;TraesCS6B01G105800;TraesCS4A01G221500;TraesCS1A01G295300;TraesCS5B01G180400;TraesCS1B01G204700;TraesCS4A01G431600</t>
  </si>
  <si>
    <t>TraesCS2B01G208900;TraesCS5B01G482400;TraesCS7A01G246700;TraesCS7D01G392800;TraesCS5D01G482800;TraesCS7A01G470400;TraesCS7D01G353800;TraesCS2B01G180500;TraesCS4D01G045300;TraesCS4D01G326400;TraesCS6D01G257000;TraesCS4B01G045400;TraesCS4B01G100100;TraesCS5D01G244800;TraesCS1B01G219300;TraesCS2B01G189300;TraesCS4D01G207500;TraesCS4D01G096400;TraesCS7B01G372400;TraesCS2A01G155500;TraesCS5A01G177800;TraesCS7B01G259000;TraesCS1A01G215600;TraesCS1B01G229100;TraesCS6A01G116000;TraesCS7D01G245500;TraesCS2D01G392800;TraesCS2D01G077300;TraesCS4A01G216100;TraesCS5A01G469800;TraesCS7D01G457800;TraesCS7B01G299200;TraesCS7A01G369500;TraesCS1A01G205800;TraesCS7B01G144600;TraesCS2A01G080000;TraesCS1D01G144600;TraesCS5B01G175100;TraesCS5D01G182100;TraesCS3A01G299000;TraesCS6D01G104800;TraesCS1A01G295300;TraesCS5A01G237900;TraesCS1B01G164200;TraesCS4D01G315400</t>
  </si>
  <si>
    <t>response to endoplasmic reticulum stress</t>
  </si>
  <si>
    <t>TraesCS2B01G229000;TraesCS4B01G254700;TraesCS5D01G493200;TraesCS2B01G166100;TraesCS4D01G087200;TraesCS5D01G369200;TraesCS6A01G119900;TraesCS1D01G363500;TraesCS2D01G144500;TraesCS1A01G202300;TraesCS3B01G394600;TraesCS1B01G375100;TraesCS4A01G050000;TraesCS4A01G226300;TraesCS2A01G201900;TraesCS3D01G355900;TraesCS2D01G232400;TraesCS2D01G214200;TraesCS2D01G000300;TraesCS6A01G363900;TraesCS5B01G078500;TraesCS4D01G210900;TraesCS5B01G082500;TraesCS7D01G417600;TraesCS2D01G317400;TraesCS2D01G315100;TraesCS1D01G229700;TraesCS7B01G326200;TraesCS7D01G224700;TraesCS3B01G240000;TraesCS5A01G183600;TraesCS5D01G188600;TraesCS2D01G426600;TraesCS3B01G156800;TraesCS4B01G088700;TraesCS4A01G110100;TraesCS7A01G223000;TraesCS2B01G101800;TraesCS5B01G182000;TraesCS1A01G077500;TraesCS3D01G212100;TraesCS5B01G492700;TraesCS1A01G358600;TraesCS5A01G398900;TraesCS2B01G250100;TraesCS1D01G079600;TraesCS1A01G228100;TraesCS2B01G449200;TraesCS5A01G479600;TraesCS6A01G199000;TraesCS7A01G423900;TraesCS1D01G046000;TraesCS1B01G058600;TraesCS2A01G339900;TraesCS3A01G209200;TraesCS5D01G089900;TraesCS6B01G398500;TraesCS2A01G233100;TraesCS4A01G094300;TraesCS7B01G129500;TraesCS1A01G045300;TraesCS3A01G362200;TraesCS4D01G254500;TraesCS5A01G076600;TraesCS2A01G141100;TraesCS4B01G210100;TraesCS4D01G194900;TraesCS1B01G095600;TraesCS3D01G238000;TraesCS2A01G428500</t>
  </si>
  <si>
    <t>protein dephosphorylation</t>
  </si>
  <si>
    <t>TraesCS1A01G377900;TraesCS2D01G301100;TraesCS5D01G067000;TraesCS6B01G347800;TraesCS2A01G412200;TraesCS2B01G109700;TraesCS7B01G327400;TraesCS5D01G076400;TraesCS7D01G236300;TraesCS5A01G217000;TraesCS7A01G198300;TraesCS1D01G199200;TraesCS2A01G094500;TraesCS3B01G415900;TraesCS7A01G188600;TraesCS2D01G270400;TraesCS5A01G253200;TraesCS3D01G102200;TraesCS4B01G314300;TraesCS4B01G318900;TraesCS5D01G440900;TraesCS3B01G556500;TraesCS7D01G348700;TraesCS3A01G054400;TraesCS4A01G059400;TraesCS7A01G235800;TraesCS2D01G250900;TraesCS6D01G248500;TraesCS3D01G404100;TraesCS4D01G315400;TraesCS2B01G132500;TraesCS6A01G419900;TraesCS1A01G071400;TraesCS2B01G428500;TraesCS5D01G476400;TraesCS5A01G394700;TraesCS3A01G279800;TraesCS3A01G124800;TraesCS3B01G442700;TraesCS2A01G410000;TraesCS1A01G361100;TraesCS2A01G056100;TraesCS7A01G450200;TraesCS3D01G279800;TraesCS5A01G010800;TraesCS7B01G093500;TraesCS3D01G120200;TraesCS6B01G201500;TraesCS1D01G199300;TraesCS6B01G293500;TraesCS7D01G419400;TraesCS3A01G125100;TraesCS1B01G210500;TraesCS5D01G461600;TraesCS2D01G038900;TraesCS3D01G501900;TraesCS6D01G244600;TraesCS1A01G033200;TraesCS3D01G326200;TraesCS6B01G342100;TraesCS7A01G235700;TraesCS2B01G318100;TraesCS7D01G235800;TraesCS6D01G192500;TraesCS1A01G257300;TraesCS3B01G137400;TraesCS2B01G132600;TraesCS7B01G392700;TraesCS5A01G065500;TraesCS7A01G189500;TraesCS3B01G144800;TraesCS7D01G189700;TraesCS3B01G304000;TraesCS5A01G235300;TraesCS5B01G132200;TraesCSU01G005100;TraesCS5A01G132700;TraesCS5A01G394800;TraesCS6A01G018000;TraesCS1A01G195400;TraesCS5A01G433300;TraesCS7D01G480500;TraesCS6D01G296900;TraesCS2D01G169200;TraesCS2B01G454500;TraesCS5B01G252100;TraesCS3B01G023700;TraesCS6A01G311900;TraesCS3D01G279700;TraesCS6A01G361100;TraesCS5D01G261000;TraesCS3A01G022200;TraesCS7B01G104200;TraesCS2D01G407300;TraesCS5B01G399700;TraesCS3B01G013100;TraesCS2A01G040300;TraesCS2A01G302300;TraesCS4B01G226700;TraesCS5A01G463500;TraesCS5B01G240100;TraesCS7D01G476000;TraesCS2D01G055200;TraesCS6A01G320500;TraesCS2B01G132700;TraesCS6A01G102100;TraesCS7D01G405900;TraesCS3D01G094800;TraesCS2B01G430800;TraesCS5A01G451400;TraesCS5A01G340500;TraesCS7A01G441400;TraesCS2D01G431500;TraesCS2B01G428700;TraesCS3D01G042700;TraesCS3A01G258700;TraesCS5D01G476200;TraesCS6D01G299600;TraesCS2B01G109800;TraesCS2D01G093000;TraesCS3D01G246000;TraesCS6A01G223900;TraesCS7A01G427100;TraesCS1D01G199500;TraesCS2A01G463300;TraesCS1D01G384900;TraesCS1B01G210300;TraesCS1D01G244700;TraesCS2D01G054900;TraesCS3B01G598200;TraesCS1B01G361500;TraesCS1D01G034600;TraesCS3D01G001400;TraesCS3D01G024500;TraesCS6D01G090700;TraesCS7B01G252700;TraesCS7A01G370400;TraesCS7A01G158900;TraesCS5A01G304900;TraesCS6D01G291300;TraesCS2D01G464500;TraesCS7D01G029700;TraesCS4D01G227300;TraesCS6A01G270400;TraesCS4D01G311500;TraesCS3A01G245500;TraesCS5D01G501000;TraesCS1D01G350100;TraesCS4A01G070600;TraesCS2B01G428800;TraesCS7B01G369200;TraesCS7A01G489600;TraesCS7B01G134200;TraesCS2D01G093100;TraesCS5D01G311900;TraesCS7B01G340100;TraesCS1D01G256600;TraesCS6B01G362000;TraesCS5D01G078300;TraesCS3A01G118300;TraesCS6B01G130500;TraesCS3D01G258800;TraesCS6D01G344600;TraesCS4A01G413600;TraesCS5D01G225100;TraesCS5B01G305300;TraesCS5A01G393900;TraesCS2D01G409400;TraesCS7D01G190600;TraesCS5B01G460200;TraesCS6D01G334000;TraesCS3D01G383600;TraesCS2B01G132100;TraesCS5B01G471000;TraesCS3D01G461200;TraesCS3A01G010300;TraesCS4B01G235000;TraesCS2D01G428700;TraesCS2D01G069000;TraesCS3B01G158500;TraesCS4A01G125300;TraesCS1D01G350200;TraesCS2A01G097400;TraesCS7D01G439400;TraesCS7D01G200600;TraesCS6A01G173600;TraesCS3B01G144900;TraesCS1D01G394500;TraesCS6A01G331300;TraesCS2A01G158200;TraesCS3D01G023100;TraesCS2A01G028500;TraesCS3A01G332600;TraesCS7D01G180700;TraesCS3A01G494800;TraesCS6A01G209000;TraesCS6D01G162700;TraesCS5B01G474600;TraesCS6B01G350900;TraesCS2A01G054200;TraesCS1B01G377700;TraesCS6B01G297600;TraesCS6D01G021200;TraesCS7B01G133800;TraesCS4A01G413700;TraesCS5A01G433200;TraesCS2A01G073500;TraesCS1A01G347200;TraesCS2A01G113500;TraesCS2D01G407200;TraesCS2B01G452200;TraesCS6D01G094700;TraesCS5A01G461100;TraesCS3A01G100900;TraesCS3A01G125500;TraesCS5B01G074000;TraesCS2A01G302400;TraesCS3D01G031100;TraesCS7D01G430700;TraesCS1B01G225300;TraesCS1A01G211500;TraesCS5A01G067100;TraesCS6B01G206900;TraesCS3B01G110100;TraesCS7B01G312100;TraesCS6B01G351300;TraesCS3A01G094600;TraesCS5B01G436300;TraesCS5D01G344500;TraesCS3D01G140900;TraesCS5B01G117200;TraesCS6D01G310500;TraesCS2A01G433500;TraesCS2D01G374400;TraesCS2D01G378200;TraesCS2B01G271500;TraesCS6B01G257400;TraesCS6A01G266100;TraesCS1B01G398700;TraesCS2A01G094700;TraesCS7A01G427600;TraesCS3A01G466200;TraesCS4D01G180800;TraesCS3B01G021900;TraesCS1D01G423100;TraesCS3B01G143300;TraesCS7A01G320800;TraesCS6A01G320100;TraesCS7A01G374700;TraesCS1B01G267800;TraesCS5B01G475000;TraesCS7B01G350000;TraesCS3B01G362900;TraesCS7D01G235700;TraesCS3B01G144300;TraesCS4D01G236400;TraesCS7D01G170700;TraesCS6B01G080100;TraesCS6B01G347700;TraesCS7D01G317600;TraesCS2B01G290000;TraesCS3B01G050300;TraesCS2B01G428300;TraesCS3A01G313400;TraesCS2B01G485300;TraesCS7B01G221700;TraesCS3B01G422800;TraesCS2B01G068600;TraesCS2A01G132600;TraesCS6A01G317600;TraesCS7D01G352700;TraesCS1B01G210700;TraesCS3D01G354000;TraesCS5B01G215900;TraesCS6D01G211500;TraesCS2D01G164500;TraesCS2B01G132400;TraesCS7B01G094400</t>
  </si>
  <si>
    <t>TraesCS1D01G073100;TraesCS7D01G548200;TraesCS2B01G208900;TraesCS5B01G482400;TraesCS7D01G392800;TraesCS5D01G482800;TraesCS7A01G470400;TraesCS2B01G180500;TraesCS4D01G045300;TraesCS6D01G039300;TraesCS4B01G045400;TraesCS4B01G100100;TraesCS4D01G096400;TraesCS7B01G372400;TraesCS2A01G155500;TraesCS4D01G176300;TraesCS5A01G177800;TraesCS5D01G207400;TraesCS1A01G215600;TraesCS1B01G229100;TraesCS2D01G392800;TraesCS5B01G200000;TraesCS2D01G077300;TraesCS4A01G216100;TraesCS4D01G176200;TraesCS7A01G561600;TraesCS5A01G469800;TraesCS7D01G457800;TraesCS7B01G299200;TraesCS2A01G384100;TraesCS2A01G080000;TraesCS1D01G144600;TraesCS5B01G175100;TraesCS5D01G182100;TraesCS1A01G295300;TraesCS1B01G164200</t>
  </si>
  <si>
    <t>regulation of plant-type hypersensitive response</t>
  </si>
  <si>
    <t>TraesCS2D01G538400;TraesCS3B01G490000;TraesCS5D01G359000;TraesCS6A01G419200;TraesCS6D01G358600;TraesCS7D01G092900;TraesCS3D01G042600;TraesCS1B01G454000;TraesCS6D01G102100;TraesCS3B01G295000;TraesCS7B01G473700;TraesCS1B01G375100;TraesCS3B01G455000;TraesCS7A01G188600;TraesCS2B01G359300;TraesCS4D01G207500;TraesCS6A01G124500;TraesCS7A01G163300;TraesCS6B01G052400;TraesCS1A01G217300;TraesCS2B01G236800;TraesCS4D01G210900;TraesCS3D01G072000;TraesCS6B01G222200;TraesCS7D01G318600;TraesCS2D01G079200;TraesCS2A01G190200;TraesCS7A01G476700;TraesCS3A01G276200;TraesCS3D01G049000;TraesCS3A01G033000;TraesCS4B01G088700;TraesCS6D01G360900;TraesCS3A01G342000;TraesCS2D01G219800;TraesCS5B01G182000;TraesCS6B01G225700;TraesCS4D01G366100;TraesCS5D01G204700;TraesCS5B01G526200;TraesCS6A01G052100;TraesCS4B01G376800;TraesCS1A01G206200;TraesCS5A01G350800;TraesCS2A01G170600;TraesCS2D01G255700;TraesCS2D01G297300;TraesCS4B01G054900;TraesCS1A01G367200;TraesCS5B01G101200;TraesCS2A01G182800;TraesCS2A01G216700;TraesCS6B01G398500;TraesCS2A01G537900;TraesCS1A01G045300;TraesCS7D01G444700;TraesCS2B01G477600;TraesCS7B01G047300;TraesCS4B01G210100;TraesCS3D01G270300;TraesCS3A01G274000;TraesCS3A01G163300;TraesCS5B01G371800;TraesCS2B01G151100;TraesCS3D01G316400;TraesCS6D01G198600;TraesCS1D01G100900;TraesCS1A01G184500;TraesCS3A01G344400;TraesCS3A01G048700;TraesCS1B01G385100;TraesCS7D01G118100;TraesCS6A01G119100;TraesCS4A01G089700;TraesCS1D01G363500;TraesCS3A01G034300;TraesCS4B01G238700;TraesCS5D01G328300;TraesCS6A01G078700;TraesCS3B01G113500;TraesCS4A01G050000;TraesCS2D01G000300;TraesCS2D01G537100;TraesCS5D01G387900;TraesCS5D01G232100;TraesCS5A01G216000;TraesCS2D01G449900;TraesCS5B01G146100;TraesCS2D01G426600;TraesCS7B01G356500;TraesCS6D01G137400;TraesCS5D01G524800;TraesCS3B01G049700;TraesCS3B01G196900;TraesCS5A01G197200;TraesCS7D01G334900;TraesCS4A01G062000;TraesCS7B01G415400;TraesCS2B01G180500;TraesCS6A01G377700;TraesCS1D01G186100;TraesCS6A01G000500;TraesCS2D01G529500;TraesCS2B01G437300;TraesCS4B01G106000;TraesCS5B01G526000;TraesCS7D01G087100;TraesCS3D01G030600;TraesCS4D01G035300;TraesCS2B01G097300;TraesCS4B01G047100;TraesCS1A01G367000;TraesCS1D01G046000;TraesCS5A01G322300;TraesCS2A01G216500;TraesCS7D01G165300;TraesCS3A01G045200;TraesCS2A01G323000;TraesCS7B01G129500;TraesCS2D01G415700;TraesCS5D01G181500;TraesCS6A01G225400;TraesCS2A01G418300;TraesCS7B01G194100;TraesCS1B01G162400;TraesCS7A01G455800;TraesCS7B01G299200;TraesCS3A01G310400;TraesCS1D01G146900;TraesCS5B01G184600;TraesCS6D01G211900;TraesCS1D01G163400;TraesCS1D01G218200;TraesCS2D01G097700;TraesCS7D01G392800;TraesCS7A01G435300;TraesCS2B01G537800;TraesCS2D01G223000;TraesCS3A01G272900;TraesCS3B01G289400;TraesCS6D01G157900;TraesCS2B01G053300;TraesCS3B01G394600;TraesCS5A01G341000;TraesCS7A01G031700;TraesCS2D01G232400;TraesCS2D01G364400;TraesCS3A01G152200;TraesCS7A01G194900;TraesCS2D01G216700;TraesCS3D01G104100;TraesCS2D01G409400;TraesCS6A01G273100;TraesCS7B01G290200;TraesCS2D01G317400;TraesCS1D01G209500;TraesCS1B01G384900;TraesCS2A01G525300;TraesCS2D01G445500;TraesCS3B01G307700;TraesCS1B01G091900;TraesCS6B01G051700;TraesCS2D01G537700;TraesCS7D01G495700;TraesCS4A01G414700;TraesCS4D01G261400;TraesCS3A01G256200;TraesCS5A01G401400;TraesCS5B01G492700;TraesCS5D01G365300;TraesCS5B01G501300;TraesCS2B01G242200;TraesCS6A01G262200;TraesCS7D01G324900;TraesCS3B01G046800;TraesCS3D01G256400;TraesCS2B01G001400;TraesCS6B01G163100;TraesCS6B01G421400;TraesCS2B01G097100;TraesCS1A01G080500;TraesCS1A01G330500;TraesCS3A01G290300;TraesCS7B01G309900;TraesCS2B01G536500;TraesCS6D01G122100;TraesCS7A01G264400;TraesCS1D01G372600;TraesCS5A01G294600;TraesCSU01G111800;TraesCS5D01G063800;TraesCS6B01G204600;TraesCS2B01G096000;TraesCS5B01G538800;TraesCS2A01G479500;TraesCS6B01G412500;TraesCS7D01G248200;TraesCS2B01G229000;TraesCS2B01G124100;TraesCS1A01G304200;TraesCS7B01G107300;TraesCS6A01G312600;TraesCS5B01G117200;TraesCS7B01G069100;TraesCS2A01G493800;TraesCS2A01G458800;TraesCS6A01G155200;TraesCS3A01G309800;TraesCS5A01G297900;TraesCS3D01G290100;TraesCS3B01G153800;TraesCS3A01G261800;TraesCS4A01G029800;TraesCS7B01G395000;TraesCS1D01G219100;TraesCSU01G238700;TraesCS3A01G224400;TraesCS1B01G376000;TraesCS7A01G242800;TraesCS2D01G491600;TraesCS3B01G291900;TraesCS1D01G236900;TraesCS4D01G059300;TraesCS4D01G229900;TraesCS6A01G226100;TraesCS2A01G211200;TraesCS1D01G140300;TraesCS4B01G315400;TraesCS2A01G431100;TraesCS5A01G426500;TraesCS2A01G040900;TraesCS6A01G199000;TraesCS4B01G201600;TraesCS5A01G205500;TraesCS3D01G261800;TraesCS5B01G204900;TraesCS7D01G146400;TraesCS3A01G362200;TraesCS1D01G372400;TraesCS6A01G264800;TraesCS6B01G256200;TraesCS2D01G117200;TraesCS3B01G473100;TraesCS5B01G215900;TraesCS5B01G538600;TraesCS2B01G394700;TraesCS1A01G377900;TraesCS7D01G086900;TraesCS2B01G208900;TraesCS2A01G343100;TraesCS7D01G449500;TraesCS6A01G241000;TraesCS2B01G363000;TraesCS2D01G582800;TraesCS2D01G144500;TraesCS6B01G471400;TraesCS1B01G167700;TraesCS3B01G600300;TraesCS1D01G082600;TraesCS7B01G225500;TraesCS2A01G538200;TraesCS5D01G475900;TraesCS7A01G249400;TraesCS7D01G356200;TraesCS7D01G085800;TraesCS6A01G336600;TraesCS6B01G415700;TraesCS6A01G378000;TraesCS2D01G222300;TraesCS4D01G340500;TraesCS2A01G199700;TraesCS7B01G100600;TraesCS7A01G001900;TraesCS2B01G480300;TraesCS1A01G016100;TraesCS1D01G364000;TraesCS5D01G358600;TraesCS4B01G162700;TraesCS5D01G048600;TraesCS1D01G381800;TraesCS6B01G412400;TraesCS2A01G320200;TraesCS1A01G077500;TraesCS2A01G458100;TraesCS2D01G509300;TraesCS4A01G010000;TraesCS4A01G255400;TraesCS4D01G238900;TraesCS6D01G407400;TraesCS4D01G293200;TraesCS2D01G463100;TraesCS5A01G078400;TraesCS7D01G024200;TraesCS2A01G509900;TraesCS1B01G119600;TraesCS2B01G324900;TraesCS1A01G273600;TraesCS7A01G213000;TraesCS6A01G258900;TraesCS6B01G413500;TraesCS6D01G359100;TraesCS2A01G371600;TraesCS3D01G435400;TraesCS7A01G282200;TraesCS6D01G180400;TraesCS3A01G477300;TraesCS3D01G049700;TraesCS5D01G519800;TraesCS6B01G300500;TraesCS3D01G335700;TraesCS4B01G287300;TraesCS5A01G429000;TraesCS7A01G091400;TraesCS5A01G027000;TraesCS7A01G120000;TraesCS1B01G198000;TraesCS3B01G119600;TraesCS7D01G189700;TraesCS1A01G300000;TraesCS2A01G106500;TraesCS1A01G079700;TraesCS2D01G485300;TraesCS7D01G506300;TraesCS1D01G299400;TraesCS6D01G056600;TraesCS4B01G345400;TraesCS2A01G083300;TraesCS5A01G376700;TraesCS1A01G342600;TraesCS5B01G214500;TraesCS6B01G255500;TraesCS1B01G347100;TraesCS6D01G210100;TraesCS3B01G325100;TraesCS5B01G428400;TraesCS7D01G303700;TraesCS5D01G059300;TraesCS4A01G396700;TraesCS7B01G372400;TraesCS7D01G085600;TraesCS2B01G196400;TraesCS2D01G107100;TraesCSU01G016900;TraesCS1D01G372900;TraesCS2D01G455900;TraesCS2D01G577000;TraesCS3A01G064400;TraesCS4D01G126900;TraesCS3B01G166600;TraesCS4A01G248900;TraesCS3B01G288100;TraesCS5D01G188600;TraesCS7A01G365600;TraesCS2D01G296700;TraesCS7D01G300200;TraesCS3B01G156800;TraesCS1A01G048100;TraesCS7A01G223000;TraesCS3A01G122300;TraesCS5B01G327800;TraesCS6A01G190700;TraesCS3D01G172200;TraesCS6D01G105000;TraesCS3D01G332400;TraesCSU01G047400;TraesCS7D01G265400;TraesCS2B01G109000;TraesCS5D01G288100;TraesCS4A01G323500;TraesCS4D01G352700;TraesCS1D01G384900;TraesCS3A01G477500;TraesCS3D01G345700;TraesCS1A01G080700;TraesCS6A01G277600;TraesCS2B01G035300;TraesCS5B01G026200;TraesCS6B01G291800;TraesCS1D01G076200;TraesCS5B01G208300;TraesCS6B01G289500;TraesCS6B01G152700;TraesCS7A01G321600;TraesCS7D01G451300;TraesCS6A01G301300;TraesCS6B01G059800;TraesCS6D01G158300;TraesCS4B01G007300;TraesCS4D01G089300;TraesCS3D01G472200;TraesCS6A01G245200;TraesCS5B01G373000;TraesCS5B01G520600;TraesCS5D01G346200;TraesCS5B01G474500;TraesCS1A01G296300;TraesCS2B01G240800;TraesCS1D01G239700;TraesCS6A01G327500;TraesCS1D01G082200;TraesCS7B01G301400;TraesCS5A01G198800;TraesCS7D01G201600;TraesCS7D01G463300;TraesCS1D01G032600;TraesCS5B01G078500;TraesCS2D01G222700;TraesCS2D01G564300;TraesCS5A01G152800;TraesCS4B01G171600;TraesCS7A01G306800;TraesCS4A01G384500;TraesCS7D01G224700;TraesCS6A01G375800;TraesCS3D01G272300;TraesCS2D01G528200;TraesCS1B01G109400;TraesCS7B01G249200;TraesCS2B01G241900;TraesCS4B01G132000;TraesCS6D01G328800;TraesCS4B01G216700;TraesCS6D01G335300;TraesCS7D01G357100;TraesCS5B01G056700;TraesCS1A01G073300;TraesCS1B01G385200;TraesCS6A01G243000;TraesCS7B01G008400;TraesCS5A01G398900;TraesCS4B01G055600;TraesCS1B01G251700;TraesCS7A01G131300;TraesCS3A01G439200;TraesCS1B01G375400;TraesCS3B01G352300;TraesCS2B01G539200;TraesCS4D01G312400;TraesCS6D01G243000;TraesCS2B01G315100;TraesCS7A01G423900;TraesCS2A01G182400;TraesCS2A01G339900;TraesCS4A01G071800;TraesCS4B01G083200;TraesCS4B01G228700;TraesCS1A01G112500;TraesCS2B01G198400;TraesCS1B01G157700;TraesCS3D01G542300;TraesCS2D01G098200;TraesCS6B01G069800;TraesCS5A01G138500;TraesCS5A01G222300;TraesCS2A01G150600;TraesCS4A01G171500;TraesCS5A01G048600;TraesCS7D01G474200;TraesCS4A01G211600;TraesCS3D01G262300;TraesCS5D01G212900;TraesCS7A01G384500;TraesCS6D01G362500;TraesCS6A01G148100;TraesCS7A01G267200;TraesCS3A01G191100;TraesCS6D01G316600;TraesCS3D01G273200;TraesCS2A01G117800;TraesCS2D01G190200;TraesCS5D01G158100;TraesCS5D01G223800;TraesCS1B01G398700;TraesCS1D01G199000;TraesCS3A01G338800;TraesCS2A01G209900;TraesCS5A01G173300;TraesCS5A01G196400;TraesCS2A01G323300;TraesCS5A01G152600;TraesCS7D01G444400;TraesCS2A01G023900;TraesCS4D01G229100;TraesCS7D01G037700;TraesCS5A01G463100;TraesCS1D01G229700;TraesCS5D01G070900;TraesCS3A01G419600;TraesCS6D01G050900;TraesCS2B01G480500;TraesCS5A01G514500;TraesCS3B01G376300;TraesCS5A01G210300;TraesCS6D01G047500;TraesCS3D01G182600;TraesCS3D01G337900;TraesCS1D01G073100;TraesCS1D01G237100;TraesCS6D01G381200;TraesCS3B01G253900;TraesCS4D01G173700;TraesCS2D01G509500;TraesCS3B01G295500;TraesCS3D01G136300;TraesCS7D01G130600;TraesCS3A01G009400;TraesCS3B01G053800;TraesCS6A01G374700;TraesCS7D01G213600;TraesCS3B01G377600;TraesCS3A01G034600;TraesCS6D01G115200;TraesCS1A01G215100;TraesCS2D01G178100;TraesCS5B01G437300;TraesCS7D01G203800;TraesCSU01G150500;TraesCS4D01G325500;TraesCS4D01G254500;TraesCS7D01G048600;TraesCS7A01G091200;TraesCS7D01G128300;TraesCS2D01G459200;TraesCS3B01G374100;TraesCS1B01G095600;TraesCS1B01G204700;TraesCS3D01G238000;TraesCS2A01G428500;TraesCS1D01G295800;TraesCS3D01G535700;TraesCS7B01G325900;TraesCS3B01G356600;TraesCS3A01G493100;TraesCS5B01G482400;TraesCS7B01G105600;TraesCS2B01G197000;TraesCS4D01G081300;TraesCS6B01G305600;TraesCS7A01G127100;TraesCS5A01G217000;TraesCS3A01G097800;TraesCS5B01G082500;TraesCS3A01G255600;TraesCS7D01G136700;TraesCS2A01G418200;TraesCS2B01G198100;TraesCS6A01G225300;TraesCS2A01G455600;TraesCS5B01G151600;TraesCS2B01G243000;TraesCS6D01G240100;TraesCS3D01G339600;TraesCS6B01G420600;TraesCS6B01G141000;TraesCS3B01G194400;TraesCS5B01G358900;TraesCS2D01G217500;TraesCS5D01G478700;TraesCS1A01G358600;TraesCS3A01G199600;TraesCS5B01G138600;TraesCS1A01G228100;TraesCS5D01G374300;TraesCS2A01G503800;TraesCS1A01G424200;TraesCS7B01G093500;TraesCS2B01G449200;TraesCS2B01G489700;TraesCS5A01G062600;TraesCS2B01G236900;TraesCS6B01G006600;TraesCSU01G008300;TraesCS3B01G206500;TraesCS2D01G321400;TraesCS1B01G157300;TraesCS2D01G504300;TraesCS2B01G271700;TraesCS2D01G275400;TraesCS7B01G255500;TraesCS1D01G118300;TraesCS2A01G384100;TraesCS2D01G197600;TraesCS1D01G259700;TraesCS7B01G356400;TraesCS3A01G096500;TraesCS2D01G219900;TraesCS5B01G381500;TraesCS6B01G225800;TraesCS7B01G287100;TraesCS2B01G365900;TraesCS3D01G472000;TraesCS2B01G437200;TraesCS4D01G215200;TraesCS3D01G500800;TraesCS3D01G036000;TraesCS5A01G085900;TraesCS5D01G194700;TraesCS7D01G341300;TraesCS1A01G367100;TraesCS2D01G214200;TraesCS5B01G380400;TraesCS1D01G303700;TraesCS2B01G339600;TraesCS2A01G346000;TraesCS5A01G356400;TraesCS2D01G415600;TraesCS5D01G211300;TraesCS7D01G356800;TraesCS7D01G316100;TraesCS1D01G037200;TraesCS6B01G197000;TraesCS2D01G428900;TraesCS3D01G316700;TraesCS5A01G369500;TraesCS3B01G158300;TraesCS2B01G430800;TraesCS4A01G110100;TraesCS5A01G451400;TraesCS4B01G214600;TraesCS1B01G089100;TraesCS3D01G178300;TraesCS5B01G138400;TraesCS2A01G324200;TraesCS5A01G390300;TraesCS1B01G385000;TraesCS3D01G048000;TraesCS3B01G591000;TraesCS3D01G136700;TraesCS5A01G059400;TraesCS1B01G217500;TraesCS5B01G339100;TraesCS3D01G527900;TraesCS7D01G395100;TraesCS1D01G273800;TraesCS1B01G058600;TraesCS6A01G204600;TraesCS2D01G344700;TraesCS4B01G261800;TraesCS6A01G135100;TraesCSU01G021700;TraesCS4D01G055000;TraesCS6D01G360800;TraesCS7D01G124900;TraesCS3A01G256300;TraesCS3D01G046000;TraesCS4D01G064800;TraesCS6A01G132400;TraesCS1B01G241200;TraesCS3B01G306500;TraesCS3D01G256500;TraesCS1A01G141300;TraesCS6D01G367600;TraesCS2D01G572600;TraesCS2A01G446500;TraesCS4D01G096400;TraesCS5D01G225100;TraesCS1A01G080600;TraesCS2B01G532000;TraesCS2B01G536600;TraesCS2D01G315100;TraesCS5B01G191900;TraesCS1D01G372700;TraesCS3D01G320600;TraesCS6D01G145100;TraesCS1A01G259900;TraesCS5D01G434500;TraesCS3B01G240000;TraesCS2D01G493700;TraesCS4A01G100900;TraesCS7B01G031900;TraesCS3D01G212100;TraesCS4A01G207800;TraesCS2D01G458700;TraesCS5D01G482800;TraesCS7A01G470400;TraesCS5D01G216400;TraesCS3B01G409400;TraesCS6D01G109000;TraesCS5D01G357800;TraesCS2B01G114000;TraesCS7D01G028400;TraesCS2A01G255300;TraesCS3B01G304300;TraesCS2B01G189000;TraesCS6A01G124800;TraesCS2A01G155500;TraesCS3A01G345800;TraesCS5D01G089900;TraesCS1B01G182700;TraesCS6D01G363200;TraesCS3B01G141500;TraesCS7D01G243700;TraesCS5A01G076600;TraesCS2A01G141100;TraesCS7D01G321500;TraesCS3B01G370500;TraesCS1D01G114100;TraesCS5D01G157900;TraesCS7B01G333700;TraesCS7D01G380900;TraesCS3A01G037100;TraesCS3A01G050300;TraesCS3D01G104000;TraesCS7B01G356800;TraesCS2A01G211300;TraesCS1B01G230500;TraesCS1D01G130400;TraesCS6D01G039300;TraesCS5A01G206700;TraesCS7D01G261300;TraesCS5B01G197400;TraesCS4A01G226300;TraesCS7D01G041400;TraesCS3D01G355900;TraesCS1A01G070600;TraesCS1B01G314700;TraesCS1B01G310100;TraesCS2B01G175800;TraesCS6D01G122200;TraesCS7D01G417600;TraesCS1D01G133900;TraesCS5D01G329100;TraesCS3A01G049500;TraesCS1D01G372500;TraesCS2A01G081400;TraesCS3B01G038900;TraesCS6B01G256300;TraesCS7B01G247500;TraesCS4A01G102900;TraesCS5B01G188700;TraesCS7D01G248100;TraesCS3A01G101800;TraesCS3D01G359000;TraesCS3D01G048400;TraesCS6B01G238900;TraesCS6B01G385500;TraesCS6D01G191500;TraesCS3A01G261700;TraesCS3B01G289500;TraesCS7B01G261800;TraesCS4B01G203900;TraesCS2A01G233100;TraesCS4A01G094300;TraesCS6D01G307100;TraesCS1A01G305400;TraesCS2B01G452400;TraesCS1A01G215900;TraesCS2B01G511300;TraesCSU01G129000;TraesCS5A01G321500;TraesCS7A01G053400;TraesCS5D01G281200;TraesCS7B01G228900;TraesCS4D01G202300;TraesCS5D01G199800;TraesCS5D01G210800;TraesCS4B01G059700;TraesCS4B01G254700;TraesCS4D01G316500;TraesCS5D01G493200;TraesCS2A01G217200;TraesCS3A01G101700;TraesCS2D01G509400;TraesCS1D01G094700;TraesCS2A01G211900;TraesCS2A01G412200;TraesCS6D01G167300;TraesCS2D01G339600;TraesCS4B01G215100;TraesCS1D01G174700;TraesCS6D01G191400;TraesCS7B01G030400;TraesCS7B01G326200;TraesCS3A01G477400;TraesCS5A01G469800;TraesCS6B01G136100;TraesCS6B01G152800;TraesCS2D01G141100;TraesCS5B01G262900;TraesCS2B01G220900;TraesCS2B01G266900;TraesCS7A01G091500;TraesCS4A01G391100;TraesCS1D01G081400;TraesCS3A01G021600;TraesCS5A01G147500;TraesCS4A01G232600;TraesCS4A01G498700;TraesCS3D01G432000;TraesCS3A01G327200;TraesCS2B01G250100;TraesCS2D01G066900;TraesCS7B01G416100;TraesCS2A01G276400;TraesCS1D01G101300;TraesCS4B01G100100;TraesCS1D01G082500;TraesCS3A01G110400;TraesCS3A01G135700;TraesCS7A01G364200;TraesCS2A01G371700;TraesCS5A01G320600;TraesCS6B01G358800;TraesCS5D01G097900;TraesCS6D01G225300;TraesCS6D01G258200;TraesCS5A01G463000;TraesCS7B01G301100;TraesCS5D01G461600;TraesCS6B01G147200;TraesCS2D01G419700;TraesCS4D01G032900;TraesCS4A01G221700;TraesCS3B01G110500;TraesCS6D01G192500;TraesCS2A01G462700;TraesCS3B01G310000;TraesCS1A01G048000;TraesCS2D01G509200;TraesCS5A01G235300;TraesCS7B01G029200;TraesCS7D01G311200;TraesCS6A01G119900;TraesCS1B01G062200;TraesCS5A01G204800;TraesCS1A01G202300;TraesCS1B01G119700;TraesCSU01G051800;TraesCS1A01G103900;TraesCS2D01G201700;TraesCS1B01G268600;TraesCS6B01G257800;TraesCS3A01G351500;TraesCS2A01G201900;TraesCS2D01G534400;TraesCS6A01G168900;TraesCS1D01G344700;TraesCS5B01G202900;TraesCS3D01G045400;TraesCS6B01G266500;TraesCS7A01G400900;TraesCS4B01G228200;TraesCS7A01G434300;TraesCS5B01G042800;TraesCS5D01G343000;TraesCS4A01G216100;TraesCS1D01G330300;TraesCS2B01G100300;TraesCS5B01G208200;TraesCS2A01G308400;TraesCS6B01G152600;TraesCS5A01G183600;TraesCS7A01G344600;TraesCS2B01G220700;TraesCS2B01G323700;TraesCS6D01G158400;TraesCS3B01G119500;TraesCS7A01G328100;TraesCS2B01G067000;TraesCS2D01G485200;TraesCS5D01G073900;TraesCS7B01G214900;TraesCS7D01G394800;TraesCS1D01G079600;TraesCS7D01G001600;TraesCS5A01G351300;TraesCS1D01G101100;TraesCS3D01G256600;TraesCS5A01G479600;TraesCS5D01G152300;TraesCS5D01G177800;TraesCS7D01G345200;TraesCS1A01G235200;TraesCS2D01G511300;TraesCS3B01G151200;TraesCS5B01G187200;TraesCS5D01G475800;TraesCS2A01G098700;TraesCS3A01G209200;TraesCS7A01G333700;TraesCS1D01G372800;TraesCS1D01G206900;TraesCS4D01G126800;TraesCS5A01G377900;TraesCS7A01G212000;TraesCS4D01G194900;TraesCS1A01G203400;TraesCS7D01G053900;TraesCS1D01G305100;TraesCS4B01G216000;TraesCS2B01G557100;TraesCS2D01G273700;TraesCS1A01G333800;TraesCS5A01G237700;TraesCS4A01G267300;TraesCS3D01G276200;TraesCS6B01G183300;TraesCS5D01G145100;TraesCS2A01G217600;TraesCS2B01G166100;TraesCS1B01G385300;TraesCS2B01G216800;TraesCS1B01G456700;TraesCS5D01G369200;TraesCS1A01G145100;TraesCS1A01G149700;TraesCS2B01G114900;TraesCS4D01G172700;TraesCS4D01G312300;TraesCS7D01G496100;TraesCS1B01G283400;TraesCS3A01G530200;TraesCS3B01G229900;TraesCS1B01G120100;TraesCS2A01G214100;TraesCS5B01G460200;TraesCS2B01G498100;TraesCS3B01G384000;TraesCS6D01G032300;TraesCS5A01G138600;TraesCS3A01G463400;TraesCS5D01G304700;TraesCS7A01G110500;TraesCS5D01G373700;TraesCS2B01G562100;TraesCS1A01G031200;TraesCS2D01G459100;TraesCS5B01G236200;TraesCS7B01G222500;TraesCS2A01G347400;TraesCS3D01G472100;TraesCS3A01G262200;TraesCS2A01G368700;TraesCS5D01G386800;TraesCS1D01G228700;TraesCS5D01G034700;TraesCS1B01G270300;TraesCS2B01G521800;TraesCS7A01G096800;TraesCS6A01G209000;TraesCS5B01G069900;TraesCS2A01G083000;TraesCS2A01G532600;TraesCS6D01G210200;TraesCS7D01G236600;TraesCS1A01G235000;TraesCS1D01G367800;TraesCS2D01G343000;TraesCS2B01G121200;TraesCS5D01G093700;TraesCS4D01G046900;TraesCS6A01G116000;TraesCS7A01G154900;TraesCS4A01G186700;TraesCS1B01G248400;TraesCS2B01G480600;TraesCS2B01G241800;TraesCS7B01G207100;TraesCS2B01G467400;TraesCS6B01G367100;TraesCS1B01G097700;TraesCS3D01G201900;TraesCS3D01G182300;TraesCS2B01G504000;TraesCS6D01G253100;TraesCS2D01G284200;TraesCS5B01G056800;TraesCS2D01G380800;TraesCS2D01G207400;TraesCS4D01G087200;TraesCS2D01G580700;TraesCS5A01G160100;TraesCS3A01G521300;TraesCS3A01G034700;TraesCS2A01G458000;TraesCS4B01G041300;TraesCS6A01G363900;TraesCS2B01G366600;TraesCS2A01G474500;TraesCS3D01G097000;TraesCS2D01G392800;TraesCS7D01G268600;TraesCS7B01G141900;TraesCS5B01G366400;TraesCS4B01G214200;TraesCS7B01G222700;TraesCS6D01G280700;TraesCS1B01G316100;TraesCS2B01G101800;TraesCS3D01G262200;TraesCS4B01G294300;TraesCS3D01G046900;TraesCS3A01G323200;TraesCS7A01G129300;TraesCS2D01G574000;TraesCS2D01G062100;TraesCS4D01G217000;TraesCS5D01G158000;TraesCS7D01G129500;TraesCS2B01G594100;TraesCS3D01G124200;TraesCS2B01G364400;TraesCS7D01G444500;TraesCS6A01G223500;TraesCS1B01G305200;TraesCS1B01G248600;TraesCS6A01G352800;TraesCS7D01G457800;TraesCS6A01G375900;TraesCS4B01G132100;TraesCS5B01G064400;TraesCS1A01G016000;TraesCS5B01G087500;TraesCS2A01G485600;TraesCS7A01G325000;TraesCS1A01G295300;TraesCS4B01G065700;TraesCS2A01G298600;TraesCS1A01G182700;TraesCS7B01G220500</t>
  </si>
  <si>
    <t>TraesCS1D01G295800;TraesCS5A01G392300;TraesCS6D01G393600;TraesCS6B01G177200;TraesCS6A01G240700;TraesCS6D01G161200;TraesCS7B01G346600;TraesCS2A01G188000;TraesCS3D01G500600;TraesCS6A01G212000;TraesCS5B01G342100;TraesCS2A01G056800;TraesCS2B01G449100;TraesCS6A01G032500;TraesCS7D01G343800;TraesCS3B01G413600;TraesCS7A01G188600;TraesCS3D01G256100;TraesCS4B01G100800;TraesCS4D01G058400;TraesCS3D01G279100;TraesCS6B01G052400;TraesCS7D01G328400;TraesCS6D01G275100;TraesCS5B01G380600;TraesCS2A01G373200;TraesCS2D01G182100;TraesCS4A01G101600;TraesCS2B01G177500;TraesCS6A01G032400;TraesCS1B01G197900;TraesCS4A01G206900;TraesCS4A01G145300;TraesCS3A01G217200;TraesCS2B01G198100;TraesCS5A01G188700;TraesCS1D01G074400;TraesCS4B01G339700;TraesCS2D01G277600;TraesCS2B01G243000;TraesCS5A01G025400;TraesCS2D01G554900;TraesCS3A01G149300;TraesCS6A01G148600;TraesCS7D01G145500;TraesCS1D01G130300;TraesCS2B01G451400;TraesCS5B01G526200;TraesCS4B01G353800;TraesCS4D01G196500;TraesCS5B01G243600;TraesCS7A01G288200;TraesCS4D01G347700;TraesCS7D01G189000;TraesCS1A01G002500;TraesCS5A01G460300;TraesCS5D01G109500;TraesCS6D01G302700;TraesCS7A01G130600;TraesCS6D01G369400;TraesCS2B01G403000;TraesCS6D01G153600;TraesCS5B01G233800;TraesCS7B01G093500;TraesCS2A01G259500;TraesCS7A01G517100;TraesCS2B01G154500;TraesCS2B01G393000;TraesCS2B01G489700;TraesCS3B01G562400;TraesCS5D01G362200;TraesCS3D01G183900;TraesCS2A01G396200;TraesCS5B01G135200;TraesCS6B01G113900;TraesCS7B01G187600;TraesCS2A01G537900;TraesCS2D01G321400;TraesCS5A01G402100;TraesCS5D01G259500;TraesCS5B01G288700;TraesCS3A01G383600;TraesCS3B01G163900;TraesCS1A01G033200;TraesCS2B01G266000;TraesCS4D01G187900;TraesCS5D01G463100;TraesCS6B01G145700;TraesCS1A01G425400;TraesCS3A01G507500;TraesCS3D01G316400;TraesCS5B01G255800;TraesCS1A01G343000;TraesCS4A01G110200;TraesCS3B01G469600;TraesCS5B01G033400;TraesCS6B01G225800;TraesCS5D01G237800;TraesCS3B01G304000;TraesCS3D01G260400;TraesCS3D01G411800;TraesCS5A01G359800;TraesCS5D01G480600;TraesCS2B01G437200;TraesCS6A01G240900;TraesCS2A01G152000;TraesCS5B01G117600;TraesCS4B01G131500;TraesCS2D01G031100;TraesCS4B01G052700;TraesCS2B01G288100;TraesCS3B01G023700;TraesCS6A01G361100;TraesCS3B01G436800;TraesCS6A01G388700;TraesCS6D01G254700;TraesCS4B01G222100;TraesCS5B01G139500;TraesCS1B01G174600;TraesCS3B01G298700;TraesCS2A01G132100;TraesCS2A01G302300;TraesCS3D01G251700;TraesCS5A01G516400;TraesCS6D01G265500;TraesCS2B01G117400;TraesCS5B01G217100;TraesCS6A01G215700;TraesCS4D01G057400;TraesCS6D01G037300;TraesCS4A01G062000;TraesCS2D01G483700;TraesCS6A01G056500;TraesCS3D01G136700;TraesCS1D01G335400;TraesCS6B01G280000;TraesCS6D01G222900;TraesCS3D01G250500;TraesCS2D01G198900;TraesCS3B01G323500;TraesCS6A01G000500;TraesCS4A01G115700;TraesCS4B01G106000;TraesCS5B01G526000;TraesCS1A01G124100;TraesCS3B01G382900;TraesCS7A01G255600;TraesCS4A01G315200;TraesCS2A01G237300;TraesCS7D01G490300;TraesCS2D01G264200;TraesCS3D01G209300;TraesCS2A01G367700;TraesCS1D01G227700;TraesCS3A01G255300;TraesCS3B01G401600;TraesCS5D01G236600;TraesCS5A01G220600;TraesCS5B01G392400;TraesCS7B01G299200;TraesCS2A01G248300;TraesCS6A01G135100;TraesCS5D01G201400;TraesCS7D01G080700;TraesCS3A01G184300;TraesCS4D01G319100;TraesCS1D01G345200;TraesCS5B01G217000;TraesCS5B01G404800;TraesCS1A01G025200;TraesCS1D01G004700;TraesCS1D01G025400;TraesCS6D01G037200;TraesCS7A01G118900;TraesCS3B01G465200;TraesCS5B01G188600;TraesCS7A01G502900;TraesCS6B01G382400;TraesCS7A01G231600;TraesCS7D01G392800;TraesCS1D01G149100;TraesCS4A01G257400;TraesCS2B01G485600;TraesCS2B01G326900;TraesCS4D01G115000;TraesCS3B01G132900;TraesCS7A01G480100;TraesCS6D01G344600;TraesCS5D01G133800;TraesCS5A01G003100;TraesCS5D01G376300;TraesCS5D01G156800;TraesCS5D01G402100;TraesCS6A01G359900;TraesCS3A01G257500;TraesCS5A01G409100;TraesCS7D01G467100;TraesCS7A01G300700;TraesCS1A01G280400;TraesCS7A01G267800;TraesCS4A01G049200;TraesCS5A01G354300;TraesCS7D01G507300;TraesCS2B01G593500;TraesCS2D01G199600;TraesCS4D01G041900;TraesCS4D01G229700;TraesCS1B01G091900;TraesCS5D01G228600;TraesCS4B01G174200;TraesCS2D01G001300;TraesCS1B01G433800;TraesCS1D01G310900;TraesCS2B01G193500;TraesCS4A01G207800;TraesCS4B01G015500;TraesCS3A01G363100;TraesCS3D01G023100;TraesCS4B01G149000;TraesCS5A01G189500;TraesCS2B01G242200;TraesCS1A01G279300;TraesCS5A01G437800;TraesCS5A01G521500;TraesCS1B01G195900;TraesCS2B01G460200;TraesCS7B01G187200;TraesCS7A01G553000;TraesCS1D01G382400;TraesCS3B01G304300;TraesCS5A01G269300;TraesCS2B01G189000;TraesCS6A01G277800;TraesCS6B01G163100;TraesCS2D01G106400;TraesCS4A01G130300;TraesCS7A01G312800;TraesCS1A01G265200;TraesCS7A01G299600;TraesCS7D01G278900;TraesCS7A01G356600;TraesCS7B01G410300;TraesCS2B01G345300;TraesCS1D01G209400;TraesCS2B01G536500;TraesCS6D01G122100;TraesCS2D01G396700;TraesCS4D01G303000;TraesCS3B01G022100;TraesCS5B01G396800;TraesCS5D01G519400;TraesCS7D01G178400;TraesCS3B01G370500;TraesCS5D01G157900;TraesCS5B01G408400;TraesCS1A01G071800;TraesCS1A01G385800;TraesCS3D01G257500;TraesCS4D01G059000;TraesCS5D01G063800;TraesCS6D01G104800;TraesCS4B01G174300;TraesCS7B01G260800;TraesCS4B01G065100;TraesCS5D01G228500;TraesCS7A01G409900;TraesCS4A01G412500;TraesCS4B01G057200;TraesCS5D01G531600;TraesCS7D01G309400;TraesCS6A01G171800;TraesCS1A01G331700;TraesCS5A01G229700;TraesCS5B01G465300;TraesCS3A01G176500;TraesCS1A01G304200;TraesCS2A01G404900;TraesCS5B01G117200;TraesCS5D01G031800;TraesCS2D01G118400;TraesCS4D01G312900;TraesCS5B01G128100;TraesCS1B01G356100;TraesCS3B01G105600;TraesCS2A01G593300;TraesCS5D01G187100;TraesCS5B01G231000;TraesCS2A01G188600;TraesCS5A01G494800;TraesCS5D01G041500;TraesCS6B01G266100;TraesCS7B01G395000;TraesCS1D01G292600;TraesCS1A01G049600;TraesCS4A01G050500;TraesCS1A01G248700;TraesCS3B01G164700;TraesCS7B01G309600;TraesCS4D01G176200;TraesCS1A01G246400;TraesCS3B01G160100;TraesCS7D01G150900;TraesCS6A01G073300;TraesCS6B01G199700;TraesCS7D01G318000;TraesCS2B01G245900;TraesCS5B01G150200;TraesCS3B01G291900;TraesCS2D01G304300;TraesCS3B01G208300;TraesCS6B01G145800;TraesCS3A01G129000;TraesCS1D01G268600;TraesCS2A01G047300;TraesCS5A01G390700;TraesCS1D01G186500;TraesCS6D01G146500;TraesCS1D01G083900;TraesCS4A01G102900;TraesCS7D01G055700;TraesCS5B01G371200;TraesCS6B01G456500;TraesCS3B01G148100;TraesCS2A01G431100;TraesCS4B01G200500;TraesCS6B01G173100;TraesCS5D01G147900;TraesCS3B01G287200;TraesCS5A01G031700;TraesCS1A01G342900;TraesCS1B01G356200;TraesCS4A01G113800;TraesCS4D01G108200;TraesCS2A01G188700;TraesCS2B01G296100;TraesCS7D01G471300;TraesCS3D01G376700;TraesCS5A01G190400;TraesCS6B01G140100;TraesCS6D01G344500;TraesCS4A01G249600;TraesCS6D01G191500;TraesCS3B01G416000;TraesCS4D01G176300;TraesCS7D01G310300;TraesCS3B01G422800;TraesCS1A01G183000;TraesCS2B01G452400;TraesCS6A01G294200;TraesCS2B01G012600;TraesCS5B01G458900;TraesCS1A01G150100;TraesCS3A01G385300;TraesCS5D01G215400;TraesCS2A01G490500;TraesCS4B01G058500;TraesCS3B01G408500;TraesCS5A01G016200;TraesCS5B01G155900;TraesCS2B01G141900;TraesCS2D01G200300;TraesCS4A01G164100;TraesCS4D01G294600;TraesCS5B01G215900;TraesCS1B01G001800;TraesCS7A01G053400;TraesCS5D01G130000;TraesCS4A01G190600;TraesCS7D01G355100;TraesCS5B01G520200;TraesCS2A01G345400;TraesCS5D01G445000;TraesCS2B01G208900;TraesCS2A01G343100;TraesCS7D01G114100;TraesCS5B01G371100;TraesCS6A01G177700;TraesCS3A01G120100;TraesCS1A01G262800;TraesCS7D01G449500;TraesCS5A01G182600;TraesCS2B01G218700;TraesCS5D01G277500;TraesCS6D01G331800;TraesCS4B01G057400;TraesCS5A01G143000;TraesCS3B01G352800;TraesCS3D01G313900;TraesCS5D01G142900;TraesCS3B01G373500;TraesCS4A01G384900;TraesCS3B01G451200;TraesCS6D01G191400;TraesCS2B01G060900;TraesCS7D01G435100;TraesCS5D01G378200;TraesCS4D01G262900;TraesCS7D01G309200;TraesCS3B01G361500;TraesCS7B01G347000;TraesCS3D01G288600;TraesCS3B01G283800;TraesCS5B01G305700;TraesCS2D01G451100;TraesCS6D01G258300;TraesCS2A01G153700;TraesCS4B01G203000;TraesCS5D01G039900;TraesCS4D01G063200;TraesCS6A01G244400;TraesCS3B01G556500;TraesCS6B01G152800;TraesCS4D01G303300;TraesCS2B01G220900;TraesCS2D01G200400;TraesCS6A01G406700;TraesCS6D01G213300;TraesCS3B01G473000;TraesCS7D01G403400;TraesCS3B01G213600;TraesCS6A01G144900;TraesCS5B01G031800;TraesCS1D01G216200;TraesCS4A01G091000;TraesCS3B01G383400;TraesCS1B01G395400;TraesCS6D01G085100;TraesCS6B01G284000;TraesCS4A01G404500;TraesCS3B01G442700;TraesCS6B01G176800;TraesCS1A01G361100;TraesCS3A01G492900;TraesCS4B01G347800;TraesCS4B01G322700;TraesCS5D01G085800;TraesCS5D01G378100;TraesCS2A01G220400;TraesCS2A01G463900;TraesCS5B01G143200;TraesCS6D01G342800;TraesCS3A01G317400;TraesCS5A01G144100;TraesCS6D01G359100;TraesCS4D01G342700;TraesCS5A01G366700;TraesCS7D01G337800;TraesCS2B01G169300;TraesCS3B01G336100;TraesCS4A01G009000;TraesCS6D01G258200;TraesCS4D01G124700;TraesCS3B01G290000;TraesCS5A01G467600;TraesCS5D01G218300;TraesCS5D01G461600;TraesCS5B01G498400;TraesCS4B01G044300;TraesCS3B01G395500;TraesCS3B01G110500;TraesCS2B01G318100;TraesCS1A01G213400;TraesCS2D01G199100;TraesCS1A01G257300;TraesCS4A01G269800;TraesCS6A01G083200;TraesCS7D01G357200;TraesCS1A01G048000;TraesCS3B01G119600;TraesCS6B01G269900;TraesCS4B01G116500;TraesCS7D01G189700;TraesCS5A01G235300;TraesCS7B01G212500;TraesCS3D01G193200;TraesCS4A01G072700;TraesCS4D01G125800;TraesCS3B01G290300;TraesCS4D01G201600;TraesCS4D01G203900;TraesCSU01G003600;TraesCS3B01G132700;TraesCS7D01G452600;TraesCS7D01G263200;TraesCS4D01G134400;TraesCS6D01G210100;TraesCS2A01G209500;TraesCS6A01G168900;TraesCS7A01G406100;TraesCS1A01G332800;TraesCS4B01G255600;TraesCS2A01G278400;TraesCS1A01G361000;TraesCS5D01G418900;TraesCS2B01G419100;TraesCS2D01G157600;TraesCS1D01G265400;TraesCS5D01G347600;TraesCS1B01G289300;TraesCS3A01G380900;TraesCS4B01G243500;TraesCS2D01G398500;TraesCS3A01G362500;TraesCS5B01G357100;TraesCS6A01G059100;TraesCS2B01G591000;TraesCS4B01G044400;TraesCS4D01G271200;TraesCS4B01G023600;TraesCS4B01G124300;TraesCS7D01G539500;TraesCS3B01G156800;TraesCS4A01G269700;TraesCS3A01G377500;TraesCS3B01G119500;TraesCS7D01G114200;TraesCS5A01G235400;TraesCS4A01G045100;TraesCS1B01G288300;TraesCS5B01G337600;TraesCS5B01G071100;TraesCS6D01G226700;TraesCS2D01G399600;TraesCS4B01G096700;TraesCS3B01G300300;TraesCS4D01G243100;TraesCS2B01G219700;TraesCS1B01G324000;TraesCS7D01G265400;TraesCS4D01G132000;TraesCS6A01G223900;TraesCS6D01G237600;TraesCS3B01G247500;TraesCS4D01G352700;TraesCS5B01G107100;TraesCS3B01G507100;TraesCS1A01G047000;TraesCS2B01G232900;TraesCS4D01G122200;TraesCS4D01G147600;TraesCS1D01G034600;TraesCS6D01G256100;TraesCS2A01G174600;TraesCS3D01G219900;TraesCS6B01G198900;TraesCS7A01G419500;TraesCS1D01G076200;TraesCS3D01G024500;TraesCS5D01G400500;TraesCS6B01G152700;TraesCS2D01G443700;TraesCS4A01G187600;TraesCS4B01G044500;TraesCS6A01G301300;TraesCS1D01G047900;TraesCS5B01G175100;TraesCS5B01G362100;TraesCS5D01G453900;TraesCS5D01G226000;TraesCS6A01G255700;TraesCS4D01G064000;TraesCS5B01G440600;TraesCS4B01G246000;TraesCS4D01G192200;TraesCS2A01G305900;TraesCS4D01G259900;TraesCS1D01G335500;TraesCS2A01G452500;TraesCS6B01G045600;TraesCS6A01G351600;TraesCS2A01G205500;TraesCS3B01G373100;TraesCS5D01G078300;TraesCS1A01G088900;TraesCS2D01G362900;TraesCS6A01G285100;TraesCS6A01G306800;TraesCS5D01G225900;TraesCS3B01G413200;TraesCS1D01G239700;TraesCS4B01G125700;TraesCS6D01G302400;TraesCS7B01G053000;TraesCS2B01G446100;TraesCS7A01G085900;TraesCS1D01G112500;TraesCS4A01G103500;TraesCS2A01G214100;TraesCS5A01G209200;TraesCS5B01G460200;TraesCS5D01G312200;TraesCS7B01G043200;TraesCS3B01G349100;TraesCS3D01G383600;TraesCS2B01G354700;TraesCS2A01G438200;TraesCS4D01G057600;TraesCS2B01G413200;TraesCS4D01G296400;TraesCS7A01G313000;TraesCS1A01G312300;TraesCS2B01G562100;TraesCS7D01G254000;TraesCS2B01G241900;TraesCS2D01G464800;TraesCS7A01G279100;TraesCS6A01G349300;TraesCS2A01G428400;TraesCS5B01G406800;TraesCS2D01G369400;TraesCS1D01G107000;TraesCS4D01G041100;TraesCS5A01G342900;TraesCS2D01G324400;TraesCS7D01G357100;TraesCS7D01G143600;TraesCS3D01G348500;TraesCS5B01G056700;TraesCS2A01G368700;TraesCS2A01G399200;TraesCS3D01G157400;TraesCS6D01G160400;TraesCS7B01G357200;TraesCS2B01G414500;TraesCS2B01G539200;TraesCS3A01G298600;TraesCS6D01G235500;TraesCS2A01G121000;TraesCS3B01G413100;TraesCS1B01G377700;TraesCS6A01G210000;TraesCS6D01G138000;TraesCS4D01G222600;TraesCS5A01G213700;TraesCS3A01G288800;TraesCS5A01G360200;TraesCS5B01G485500;TraesCS6A01G116000;TraesCS1A01G261400;TraesCS3D01G542300;TraesCS4B01G052200;TraesCS2A01G499800;TraesCS4A01G352900;TraesCS5B01G397100;TraesCS3A01G251300;TraesCS4A01G186700;TraesCS1A01G248200;TraesCS5B01G074000;TraesCS2B01G519900;TraesCS5D01G564000;TraesCS1D01G312500;TraesCS6D01G133900;TraesCS3B01G479400;TraesCS2D01G426500;TraesCS7D01G294800;TraesCS7D01G327600;TraesCS1A01G251600;TraesCS3B01G110100;TraesCS5D01G195700;TraesCS2B01G417900;TraesCS5A01G136200;TraesCS2A01G401000;TraesCS7D01G388900;TraesCS1A01G073200;TraesCS7B01G241100;TraesCS5A01G235700;TraesCS7A01G225800;TraesCS2B01G319600;TraesCS5D01G369400;TraesCS5B01G228500;TraesCS7A01G410200;TraesCS2A01G106900;TraesCS6B01G231800;TraesCS7D01G005700;TraesCS7D01G443200;TraesCS1A01G111000;TraesCS3B01G218800;TraesCSU01G137500;TraesCS2D01G335600;TraesCS6D01G107600;TraesCS7B01G116700;TraesCS2A01G209900;TraesCS2D01G366100;TraesCS6A01G271800;TraesCS7D01G364700;TraesCS1B01G226800;TraesCS2B01G351100;TraesCS3B01G247000;TraesCS1A01G158600;TraesCS4B01G190300;TraesCS2D01G564100;TraesCS5B01G191300;TraesCS3B01G021900;TraesCS4D01G021200;TraesCS2B01G177300;TraesCS5B01G229600;TraesCS5D01G297200;TraesCS5D01G536500;TraesCS3B01G388400;TraesCS3B01G575600;TraesCS4A01G081700;TraesCS6D01G050900;TraesCS1D01G248200;TraesCS5B01G016100;TraesCS5D01G182100;TraesCS2A01G057800;TraesCS5B01G217500;TraesCS2D01G055600;TraesCS3B01G179500;TraesCS6D01G280700;TraesCS1D01G073100;TraesCS3D01G514900;TraesCS4A01G066200;TraesCS2A01G586100;TraesCS7A01G143800;TraesCS2D01G393900;TraesCS4D01G255600;TraesCS2D01G483300;TraesCS4A01G033400;TraesCS6B01G045700;TraesCS3B01G053800;TraesCS6B01G392700;TraesCS2D01G574000;TraesCS2B01G093100;TraesCS3B01G342300;TraesCS3D01G160500;TraesCS6D01G115200;TraesCS5D01G003800;TraesCS6A01G271900;TraesCS7A01G037600;TraesCS1B01G318400;TraesCS2B01G135900;TraesCS5A01G454500;TraesCS1B01G279200;TraesCS2B01G282400;TraesCS5B01G193700;TraesCS2A01G365000;TraesCS5B01G191400;TraesCS3A01G123000;TraesCS3A01G183600;TraesCS6B01G192400;TraesCS1B01G459800;TraesCS4D01G325500;TraesCS6D01G164700;TraesCS1B01G305200;TraesCS5D01G014800;TraesCS2A01G283000;TraesCS3D01G356300;TraesCS7D01G048600;TraesCS4A01G059900;TraesCS3A01G278800;TraesCS4D01G223900;TraesCS5A01G218000;TraesCS4B01G132100;TraesCS6B01G105800;TraesCS4A01G221500;TraesCS5B01G064400;TraesCS4D01G183500;TraesCS1A01G295300;TraesCS4A01G020100;TraesCS5B01G219700;TraesCS6D01G236900;TraesCS2B01G201100;TraesCS2D01G216200</t>
  </si>
  <si>
    <t>TraesCS2D01G538400;TraesCS3B01G490000;TraesCS5D01G359000;TraesCS6A01G419200;TraesCS6D01G358600;TraesCS7D01G092900;TraesCS3D01G042600;TraesCS1B01G454000;TraesCS6D01G102100;TraesCS3B01G295000;TraesCS4D01G232700;TraesCS7B01G473700;TraesCS5B01G445100;TraesCS2A01G389900;TraesCS1B01G375100;TraesCS3B01G455000;TraesCS4A01G252900;TraesCS6B01G169700;TraesCS4B01G049100;TraesCS7A01G188600;TraesCS2B01G359300;TraesCS4D01G207500;TraesCS6A01G124500;TraesCS7B01G445000;TraesCS7A01G163300;TraesCS3A01G481000;TraesCS6B01G052400;TraesCS1A01G217300;TraesCS5D01G314100;TraesCS2B01G236800;TraesCS5A01G177800;TraesCS4D01G210900;TraesCS3D01G072000;TraesCS6B01G222200;TraesCS4B01G318900;TraesCS6D01G130800;TraesCS7A01G528200;TraesCS7D01G318600;TraesCS2D01G079200;TraesCS2A01G190200;TraesCS3B01G485900;TraesCS5B01G104500;TraesCS4B01G235400;TraesCS6B01G258400;TraesCS7A01G476700;TraesCS2B01G350500;TraesCS3A01G138300;TraesCS3A01G276200;TraesCS7B01G274100;TraesCS3D01G049000;TraesCS1A01G381500;TraesCS3D01G278000;TraesCS3A01G033000;TraesCS4B01G088700;TraesCS6D01G360900;TraesCS2A01G292000;TraesCS3A01G342000;TraesCS2D01G219800;TraesCS5B01G182000;TraesCS6B01G225700;TraesCS4D01G366100;TraesCS5D01G204700;TraesCS3D01G340500;TraesCS5B01G526200;TraesCS6A01G052100;TraesCS4B01G376800;TraesCS1A01G206200;TraesCS5A01G350800;TraesCS2A01G170600;TraesCS2D01G255700;TraesCS7A01G130600;TraesCS2D01G297300;TraesCS6A01G080600;TraesCS4B01G054900;TraesCS2A01G316500;TraesCS2B01G393000;TraesCS7D01G305300;TraesCS1A01G367200;TraesCS5B01G101200;TraesCS2A01G182800;TraesCS2A01G216700;TraesCS6B01G398500;TraesCS2A01G537900;TraesCS7B01G102000;TraesCS1A01G045300;TraesCS7D01G444700;TraesCS3B01G126400;TraesCS5A01G402100;TraesCS2B01G477600;TraesCS7A01G287100;TraesCS1D01G074500;TraesCS7B01G047300;TraesCS4B01G077600;TraesCS3D01G467600;TraesCS4B01G210100;TraesCS3D01G270300;TraesCS3A01G274000;TraesCS3A01G163300;TraesCS5B01G371800;TraesCS2B01G151100;TraesCS3A01G507500;TraesCS3D01G316400;TraesCS6D01G198600;TraesCS1D01G100900;TraesCS6A01G238500;TraesCS1D01G238900;TraesCS1A01G184500;TraesCS3A01G344400;TraesCS3A01G048700;TraesCS3A01G107600;TraesCS1B01G385100;TraesCS4A01G213500;TraesCS7D01G118100;TraesCS6A01G119100;TraesCS1B01G089000;TraesCS4A01G089700;TraesCS1D01G188500;TraesCS1D01G363500;TraesCS3A01G034300;TraesCS4B01G238700;TraesCS5D01G328300;TraesCS6D01G289700;TraesCS6A01G078700;TraesCS1D01G207100;TraesCS3B01G113500;TraesCS4A01G050000;TraesCS2B01G189300;TraesCSU01G020500;TraesCS6D01G199500;TraesCS6B01G108100;TraesCS2D01G000300;TraesCS4B01G222100;TraesCS2D01G537100;TraesCSU01G169600;TraesCS5B01G468400;TraesCS5D01G387900;TraesCS5D01G232100;TraesCS1D01G039500;TraesCS5A01G216000;TraesCS2D01G449900;TraesCS5B01G146100;TraesCS2D01G426600;TraesCS3D01G039400;TraesCS7B01G356500;TraesCS6D01G137400;TraesCS5D01G524800;TraesCS3B01G049700;TraesCS3B01G196900;TraesCS3D01G260300;TraesCS5A01G197200;TraesCS7D01G334900;TraesCS4A01G062000;TraesCS1D01G004400;TraesCS1D01G249600;TraesCS7B01G415400;TraesCS4D01G215100;TraesCS2B01G180500;TraesCS3D01G103900;TraesCS3D01G008700;TraesCS6A01G377700;TraesCS1D01G186100;TraesCS6B01G246000;TraesCS2B01G605800;TraesCS2D01G192000;TraesCS6A01G000500;TraesCS2D01G529500;TraesCS2A01G121200;TraesCS3B01G346500;TraesCS2B01G437300;TraesCS4B01G106000;TraesCS5B01G526000;TraesCS7D01G087100;TraesCS3D01G030600;TraesCS4D01G035300;TraesCS2B01G097300;TraesCS4B01G047100;TraesCS5D01G173900;TraesCS1A01G367000;TraesCS1D01G046000;TraesCS5A01G322300;TraesCS2A01G216500;TraesCS7D01G165300;TraesCS3A01G045200;TraesCS7B01G183200;TraesCS2A01G323000;TraesCS7B01G129500;TraesCS2D01G415700;TraesCS5D01G181500;TraesCS6A01G225400;TraesCS7D01G113900;TraesCS2A01G418300;TraesCS7B01G194100;TraesCS4B01G214500;TraesCS1B01G162400;TraesCS7A01G455800;TraesCS7B01G299200;TraesCS3A01G310400;TraesCS5A01G051800;TraesCS1D01G146900;TraesCS5B01G184600;TraesCS2D01G382500;TraesCS6D01G211900;TraesCS7D01G122600;TraesCS6A01G140800;TraesCS1D01G163400;TraesCS1D01G218200;TraesCS2D01G097700;TraesCS7D01G392800;TraesCS7A01G435300;TraesCS5D01G328100;TraesCS1D01G149100;TraesCS2B01G537800;TraesCS2D01G223000;TraesCS3A01G272900;TraesCS3B01G289400;TraesCS6D01G157900;TraesCS2B01G053300;TraesCS3B01G394600;TraesCS5B01G419200;TraesCS3D01G378700;TraesCS2D01G349000;TraesCS5A01G341000;TraesCS7A01G031700;TraesCS2D01G232400;TraesCS2D01G364400;TraesCS2A01G516800;TraesCS3A01G152200;TraesCS5B01G307600;TraesCS7A01G194900;TraesCS2D01G216700;TraesCS3D01G104100;TraesCS7B01G294800;TraesCS1A01G221400;TraesCS2D01G409400;TraesCS6A01G273100;TraesCS7B01G290200;TraesCS2D01G317400;TraesCS1D01G209500;TraesCS3A01G385600;TraesCS1B01G384900;TraesCS2A01G525300;TraesCS2D01G445500;TraesCS3B01G307700;TraesCS1B01G091900;TraesCS6B01G051700;TraesCS2D01G537700;TraesCS7D01G495700;TraesCS4A01G414700;TraesCS5D01G424600;TraesCS4D01G261400;TraesCS3A01G256200;TraesCS5A01G401400;TraesCS5B01G492700;TraesCS5D01G365300;TraesCS5B01G155700;TraesCS5B01G501300;TraesCS2B01G242200;TraesCS1D01G419400;TraesCS6A01G262200;TraesCS7D01G324900;TraesCS3B01G046800;TraesCS3D01G256400;TraesCS2B01G001400;TraesCS6A01G216100;TraesCS6B01G163100;TraesCS6B01G421400;TraesCS2B01G097100;TraesCS6B01G331600;TraesCS7A01G167300;TraesCS1A01G080500;TraesCS1A01G330500;TraesCS1A01G187400;TraesCS5D01G104900;TraesCS3A01G290300;TraesCS7B01G309900;TraesCS2B01G536500;TraesCS5B01G372500;TraesCS6D01G122100;TraesCS7A01G264400;TraesCS1D01G372600;TraesCS5A01G294600;TraesCSU01G111800;TraesCS5D01G379700;TraesCS5A01G375000;TraesCS5D01G063800;TraesCS6B01G204600;TraesCS2B01G096000;TraesCS5B01G538800;TraesCS2D01G231100;TraesCS2A01G479500;TraesCS6B01G412500;TraesCS7D01G248200;TraesCS2B01G229000;TraesCS2B01G124100;TraesCS1A01G329500;TraesCS1A01G304200;TraesCS7B01G107300;TraesCS6A01G312600;TraesCS5B01G117200;TraesCS7B01G069100;TraesCS2A01G493800;TraesCS5B01G152600;TraesCS2A01G458800;TraesCS6A01G155200;TraesCS3A01G309800;TraesCS5A01G297900;TraesCS7A01G320000;TraesCS3D01G290100;TraesCS4A01G203300;TraesCS3B01G153800;TraesCS3A01G261800;TraesCS4A01G029800;TraesCS7B01G395000;TraesCS5B01G408100;TraesCS1D01G219100;TraesCS7A01G528000;TraesCSU01G238700;TraesCS3A01G224400;TraesCS1B01G376000;TraesCS3A01G146800;TraesCS6B01G280300;TraesCS6B01G340300;TraesCS7A01G242800;TraesCS2D01G491600;TraesCS3B01G291900;TraesCS3A01G040800;TraesCS5A01G505000;TraesCS1D01G236900;TraesCS4D01G059300;TraesCS4D01G229900;TraesCS6A01G226100;TraesCS2A01G211200;TraesCS6D01G226300;TraesCS1D01G140300;TraesCS4B01G315400;TraesCS2A01G431100;TraesCS5A01G426500;TraesCS1A01G411600;TraesCS2A01G040900;TraesCS1A01G095800;TraesCS4D01G004400;TraesCS6A01G199000;TraesCS2A01G396400;TraesCS4B01G201600;TraesCS5A01G205500;TraesCS3D01G261800;TraesCS5B01G204900;TraesCS7D01G146400;TraesCS3A01G362200;TraesCS1D01G372400;TraesCS1D01G148000;TraesCS6A01G264800;TraesCS6B01G256200;TraesCS2D01G117200;TraesCS3B01G473100;TraesCS5B01G215900;TraesCS6D01G368800;TraesCS5B01G538600;TraesCS2B01G394700;TraesCS1A01G377900;TraesCS7D01G086900;TraesCS2B01G208900;TraesCS2A01G343100;TraesCS2D01G301100;TraesCS7D01G449500;TraesCS2A01G382700;TraesCS6A01G241000;TraesCS2B01G363000;TraesCS2D01G582800;TraesCS2D01G144500;TraesCS6B01G471400;TraesCS1B01G167700;TraesCS3B01G600300;TraesCS4B01G263300;TraesCS3A01G110300;TraesCS5D01G062900;TraesCS5D01G332200;TraesCS1D01G082600;TraesCS6A01G141500;TraesCS3B01G042700;TraesCS7B01G225500;TraesCS2A01G538200;TraesCS5D01G475900;TraesCS7A01G249400;TraesCS7D01G356200;TraesCS7D01G085800;TraesCS6A01G336600;TraesCS6B01G415700;TraesCS6A01G378000;TraesCS2A01G291700;TraesCS6D01G258300;TraesCS2D01G222300;TraesCS4D01G340500;TraesCS2A01G199700;TraesCS6D01G319900;TraesCS7B01G100600;TraesCS7A01G001900;TraesCS7A01G512300;TraesCS2B01G480300;TraesCS1A01G016100;TraesCS1A01G203700;TraesCS1D01G364000;TraesCS5D01G358600;TraesCS4B01G162700;TraesCS5D01G048600;TraesCS1D01G381800;TraesCS6B01G412400;TraesCS2A01G320200;TraesCS1A01G077500;TraesCS2A01G458100;TraesCS6B01G284000;TraesCS2D01G509300;TraesCS4A01G010000;TraesCS4A01G255400;TraesCS4D01G238900;TraesCS6D01G407400;TraesCS1A01G361100;TraesCS4D01G293200;TraesCS2D01G463100;TraesCS4D01G272500;TraesCS5A01G078400;TraesCS7D01G024200;TraesCS2A01G509900;TraesCS1B01G119600;TraesCS2B01G324900;TraesCS1A01G273600;TraesCS5D01G085800;TraesCS7A01G213000;TraesCS6A01G258900;TraesCS6B01G413500;TraesCS6D01G359100;TraesCS7A01G308600;TraesCS2A01G371600;TraesCS7D01G516100;TraesCS3D01G435400;TraesCS7A01G282200;TraesCS6D01G180400;TraesCS3A01G477300;TraesCS3D01G049700;TraesCS5D01G519800;TraesCS6B01G300500;TraesCS3D01G335700;TraesCS4B01G287300;TraesCS5A01G429000;TraesCS4A01G219500;TraesCS7A01G091400;TraesCS1D01G389300;TraesCS7D01G197300;TraesCS5A01G027000;TraesCS7A01G120000;TraesCS1B01G198000;TraesCS3B01G119600;TraesCS7D01G189700;TraesCS1A01G300000;TraesCS2A01G106500;TraesCS1A01G079700;TraesCS2D01G223600;TraesCS2D01G485300;TraesCS7D01G506300;TraesCS1D01G299400;TraesCS1B01G234700;TraesCS5A01G182400;TraesCS6D01G056600;TraesCS4B01G345400;TraesCS7D01G071200;TraesCS2A01G083300;TraesCS5A01G376700;TraesCS1A01G342600;TraesCS3D01G441900;TraesCS5B01G214500;TraesCS6A01G302400;TraesCS6B01G255500;TraesCS1B01G347100;TraesCS6D01G210100;TraesCS3B01G325100;TraesCS5B01G428400;TraesCS7D01G303700;TraesCS1D01G327000;TraesCS5D01G059300;TraesCS4A01G396700;TraesCS6B01G127300;TraesCS7B01G372400;TraesCS7D01G383600;TraesCS7D01G085600;TraesCS2A01G291900;TraesCS2B01G196400;TraesCS2D01G107100;TraesCSU01G016900;TraesCS5A01G337100;TraesCS5B01G326500;TraesCS1D01G372900;TraesCS2B01G308200;TraesCS2D01G455900;TraesCS2D01G577000;TraesCS3A01G064400;TraesCS4D01G126900;TraesCS3B01G166600;TraesCS4A01G248900;TraesCS3B01G288100;TraesCS5D01G188600;TraesCS7A01G365600;TraesCS2D01G296700;TraesCS7D01G300200;TraesCS1B01G168600;TraesCS3B01G156800;TraesCSU01G249900;TraesCS1A01G048100;TraesCS6B01G246800;TraesCS7A01G223000;TraesCS3A01G122300;TraesCS5B01G327800;TraesCS6A01G190700;TraesCS7B01G101500;TraesCS3A01G254900;TraesCS3D01G172200;TraesCS6D01G105000;TraesCS3B01G004600;TraesCS3D01G332400;TraesCSU01G047400;TraesCS2D01G314400;TraesCS7D01G265400;TraesCS2B01G109000;TraesCS5D01G288100;TraesCS4A01G323500;TraesCS4D01G352700;TraesCS1B01G463100;TraesCS2D01G513600;TraesCS6B01G423100;TraesCS1D01G384900;TraesCS4D01G098600;TraesCS2D01G346200;TraesCS3A01G477500;TraesCS3D01G345700;TraesCS1A01G080700;TraesCS6A01G277600;TraesCS2B01G035300;TraesCS5B01G026200;TraesCS6B01G291800;TraesCS2B01G347800;TraesCS6A01G187300;TraesCS1D01G076200;TraesCS5B01G208300;TraesCS6B01G289500;TraesCS5B01G133500;TraesCS6B01G152700;TraesCS7A01G321600;TraesCS7D01G451300;TraesCS6A01G301300;TraesCS3A01G249300;TraesCS5B01G175100;TraesCS6A01G383800;TraesCS6B01G059800;TraesCS6D01G158300;TraesCS7B01G115900;TraesCS3D01G287800;TraesCS4B01G007300;TraesCS4D01G089300;TraesCS5D01G069700;TraesCS3D01G472200;TraesCS4B01G273500;TraesCS4D01G104100;TraesCS3D01G138900;TraesCS6A01G245200;TraesCS5B01G373000;TraesCS5B01G520600;TraesCS5D01G346200;TraesCS2B01G047300;TraesCS5B01G474500;TraesCS3D01G502500;TraesCS7A01G092300;TraesCS1A01G296300;TraesCS2B01G240800;TraesCS1D01G239700;TraesCS6A01G327500;TraesCS1D01G082200;TraesCS7B01G301400;TraesCS5A01G198800;TraesCS7D01G201600;TraesCS7D01G463300;TraesCS1D01G032600;TraesCS5B01G078500;TraesCS1A01G072200;TraesCS2D01G222700;TraesCS2D01G564300;TraesCS5A01G152800;TraesCS4B01G171600;TraesCS6D01G225800;TraesCS7A01G306800;TraesCS3D01G324400;TraesCS4A01G384500;TraesCS7D01G224700;TraesCS5B01G225200;TraesCS6A01G375800;TraesCS3B01G156200;TraesCS3D01G272300;TraesCS2D01G528200;TraesCS4D01G242100;TraesCS1B01G109400;TraesCS7B01G249200;TraesCS2B01G241900;TraesCS4B01G132000;TraesCS5B01G406800;TraesCS6D01G328800;TraesCS4B01G216700;TraesCS6D01G335300;TraesCS7D01G357100;TraesCS5B01G056700;TraesCS1A01G073300;TraesCS1B01G385200;TraesCS6A01G243000;TraesCS7B01G008400;TraesCS5A01G398900;TraesCS4B01G055600;TraesCS1B01G251700;TraesCS7A01G131300;TraesCS3A01G439200;TraesCS7A01G412400;TraesCS1B01G375400;TraesCS3B01G352300;TraesCS2B01G539200;TraesCS4D01G312400;TraesCS6A01G258500;TraesCS6D01G243000;TraesCS2B01G315100;TraesCS7A01G423900;TraesCS2A01G182400;TraesCS2A01G339900;TraesCS5D01G139800;TraesCS4A01G071800;TraesCS4B01G083200;TraesCS4B01G228700;TraesCS1A01G112500;TraesCS2B01G198400;TraesCS1B01G157700;TraesCS2B01G400000;TraesCS3D01G542300;TraesCS7B01G277900;TraesCS1A01G248200;TraesCS7D01G054000;TraesCS2A01G302400;TraesCS2D01G098200;TraesCS6B01G069800;TraesCS1B01G250600;TraesCS5A01G138500;TraesCS5A01G222300;TraesCS2A01G150600;TraesCS2A01G386000;TraesCS7A01G537200;TraesCS4A01G171500;TraesCS5A01G048600;TraesCS2A01G401000;TraesCS7D01G474200;TraesCS4A01G211600;TraesCS3D01G262300;TraesCS5D01G212900;TraesCS7A01G384500;TraesCS6D01G362500;TraesCS6A01G148100;TraesCS7A01G267200;TraesCS3A01G191100;TraesCS6D01G316600;TraesCS7A01G118300;TraesCS3D01G273200;TraesCS5B01G065400;TraesCS2A01G117800;TraesCS2D01G190200;TraesCS5D01G158100;TraesCS5D01G223800;TraesCS1B01G398700;TraesCS4D01G264500;TraesCS1D01G199000;TraesCS3A01G338800;TraesCS2A01G209900;TraesCS5A01G173300;TraesCS5A01G196400;TraesCS7D01G524300;TraesCS2A01G323300;TraesCS1A01G072000;TraesCS5A01G152600;TraesCS7D01G167900;TraesCS7D01G444400;TraesCS2A01G023900;TraesCS4D01G229100;TraesCS7D01G037700;TraesCS3B01G334900;TraesCS4B01G052300;TraesCS5A01G463100;TraesCS1D01G229700;TraesCS5D01G070900;TraesCS1A01G066800;TraesCS3A01G419600;TraesCS6D01G050900;TraesCS2B01G480500;TraesCS5A01G514500;TraesCS5D01G465500;TraesCS4A01G431500;TraesCS3B01G376300;TraesCS5A01G210300;TraesCS3D01G310200;TraesCS6D01G047500;TraesCS3D01G182600;TraesCS3D01G337900;TraesCS1B01G257200;TraesCS1D01G073100;TraesCS3D01G514900;TraesCS7A01G059500;TraesCS1D01G237100;TraesCS6D01G381200;TraesCS3B01G253900;TraesCS4D01G173700;TraesCS6D01G232300;TraesCS2D01G509500;TraesCS3B01G356700;TraesCS3D01G300200;TraesCS3B01G295500;TraesCS3D01G136300;TraesCS7D01G130600;TraesCS3A01G009400;TraesCS3B01G053800;TraesCS6A01G374700;TraesCS7D01G213600;TraesCS3B01G377600;TraesCS2B01G187300;TraesCS3A01G034600;TraesCS6D01G115200;TraesCS1A01G365100;TraesCS1A01G215100;TraesCS2D01G178100;TraesCS5B01G437300;TraesCS6D01G281900;TraesCS7D01G203800;TraesCSU01G150500;TraesCS4D01G325500;TraesCS4D01G254500;TraesCS7A01G069300;TraesCS7D01G048600;TraesCS7A01G091200;TraesCS7D01G128300;TraesCS2D01G459200;TraesCS2B01G595300;TraesCS3B01G374100;TraesCS1B01G095600;TraesCS1B01G204700;TraesCS3D01G238000;TraesCS2A01G428500;TraesCS3B01G280000;TraesCS1D01G295800;TraesCS1D01G270500;TraesCS3D01G535700;TraesCS7B01G325900;TraesCS3A01G050700;TraesCS3B01G356600;TraesCS3A01G493100;TraesCS5B01G482400;TraesCS7B01G105600;TraesCS7D01G390900;TraesCS6A01G240700;TraesCS2B01G197000;TraesCS4D01G081300;TraesCS6B01G305600;TraesCS7A01G127100;TraesCS3D01G250800;TraesCS5A01G217000;TraesCS6B01G285900;TraesCS7B01G370700;TraesCS3B01G415900;TraesCS7A01G012000;TraesCS3A01G097800;TraesCS5A01G058100;TraesCS7B01G024500;TraesCS5B01G082500;TraesCS3A01G255600;TraesCS4B01G335100;TraesCS7D01G136700;TraesCS2A01G418200;TraesCS2B01G198100;TraesCS5D01G031500;TraesCS6A01G225300;TraesCS7D01G113800;TraesCS2A01G455600;TraesCS5B01G151600;TraesCS7A01G405600;TraesCS2B01G243000;TraesCS5B01G561300;TraesCS6D01G240100;TraesCS3D01G050100;TraesCS3D01G339600;TraesCS6B01G420600;TraesCS6B01G141000;TraesCS3B01G194400;TraesCS5B01G358900;TraesCS2D01G217500;TraesCS7A01G338900;TraesCS6B01G370000;TraesCS5D01G478700;TraesCS1A01G358600;TraesCS3A01G199600;TraesCS5B01G138600;TraesCS1A01G228100;TraesCS5D01G374300;TraesCS2A01G503800;TraesCS1A01G424200;TraesCS2D01G033100;TraesCS7B01G093500;TraesCS2B01G449200;TraesCS4A01G419400;TraesCS2B01G489700;TraesCS5A01G062600;TraesCS7B01G208700;TraesCS2B01G236900;TraesCS3B01G279900;TraesCS4A01G262600;TraesCS6B01G006600;TraesCSU01G008300;TraesCS3B01G206500;TraesCS5B01G334700;TraesCS2D01G321400;TraesCS1B01G157300;TraesCS3B01G311900;TraesCS2D01G504300;TraesCS7D01G501700;TraesCS2B01G271700;TraesCS2D01G275400;TraesCS7B01G255500;TraesCS1D01G118300;TraesCS2A01G384100;TraesCS2D01G197600;TraesCS1D01G259700;TraesCS7B01G356400;TraesCS4B01G124800;TraesCS3A01G096500;TraesCS2D01G219900;TraesCS1D01G346200;TraesCS5B01G381500;TraesCS6B01G225800;TraesCS7B01G287100;TraesCS2B01G365900;TraesCS5D01G340300;TraesCS3D01G472000;TraesCS5A01G071500;TraesCS2B01G437200;TraesCS4D01G215200;TraesCS3D01G500800;TraesCS6A01G216800;TraesCS7A01G075600;TraesCS3D01G036000;TraesCS5A01G085900;TraesCS5D01G194700;TraesCS7D01G341300;TraesCS1A01G367100;TraesCS2D01G214200;TraesCS5A01G209800;TraesCS5B01G380400;TraesCS1D01G303700;TraesCS2B01G339600;TraesCS2A01G346000;TraesCS3B01G319600;TraesCS5A01G356400;TraesCS2D01G415600;TraesCS5D01G211300;TraesCS7D01G356800;TraesCS1D01G074600;TraesCS7D01G316100;TraesCS1D01G037200;TraesCS2B01G243200;TraesCS1D01G123700;TraesCS6B01G197000;TraesCS2D01G428900;TraesCS3D01G316700;TraesCS5A01G369500;TraesCS3B01G158300;TraesCS2B01G430800;TraesCS4A01G110100;TraesCS5A01G451400;TraesCS4B01G214600;TraesCS1B01G089100;TraesCS3D01G178300;TraesCS2A01G217700;TraesCS5B01G138400;TraesCS2A01G324200;TraesCS5A01G390300;TraesCS1B01G385000;TraesCS4A01G089800;TraesCS5B01G207900;TraesCS3D01G048000;TraesCS3B01G591000;TraesCS3D01G136700;TraesCS5A01G059400;TraesCS1B01G217500;TraesCS3D01G432600;TraesCS5B01G339100;TraesCS6D01G222900;TraesCS3D01G527900;TraesCS3D01G192800;TraesCS3A01G439800;TraesCS7D01G395100;TraesCS5B01G445200;TraesCS1D01G273800;TraesCS1A01G344000;TraesCS1B01G058600;TraesCS2A01G237300;TraesCS6A01G204600;TraesCS2D01G344700;TraesCS7D01G291100;TraesCS5A01G335500;TraesCS4B01G261800;TraesCS3A01G138200;TraesCS6A01G135100;TraesCS3A01G266300;TraesCS3D01G039300;TraesCSU01G021700;TraesCS4D01G055000;TraesCS6D01G360800;TraesCS7D01G124900;TraesCS3A01G256300;TraesCS3D01G046000;TraesCS2B01G210700;TraesCS4D01G064800;TraesCS5B01G321800;TraesCS6A01G132400;TraesCS1B01G241200;TraesCS5A01G131300;TraesCS3A01G471700;TraesCS7B01G179900;TraesCS3B01G155900;TraesCS3B01G306500;TraesCS3D01G256500;TraesCS1A01G141300;TraesCS5D01G309700;TraesCS6D01G367600;TraesCS2D01G572600;TraesCS5A01G307200;TraesCS2A01G446500;TraesCS4D01G096400;TraesCS5D01G225100;TraesCS1A01G080600;TraesCS2B01G532000;TraesCS2B01G536600;TraesCS2D01G315100;TraesCS5A01G186000;TraesCS5B01G191900;TraesCS1D01G372700;TraesCS3D01G320600;TraesCS6D01G145100;TraesCS1B01G441900;TraesCS6D01G220900;TraesCS1A01G259900;TraesCS1B01G382600;TraesCS5D01G434500;TraesCS3B01G240000;TraesCS3D01G467300;TraesCS2D01G493700;TraesCS4A01G100900;TraesCS2B01G174500;TraesCS6D01G083200;TraesCS7B01G031900;TraesCS3D01G212100;TraesCS4A01G207800;TraesCS2D01G458700;TraesCS5D01G482800;TraesCS7A01G470400;TraesCS5D01G216400;TraesCS3B01G409400;TraesCS6B01G175200;TraesCS6D01G109000;TraesCS7A01G264500;TraesCS5D01G357800;TraesCS1B01G404000;TraesCS2B01G114000;TraesCS7D01G028400;TraesCS2A01G255300;TraesCS3B01G304300;TraesCS4A01G042700;TraesCS5A01G269300;TraesCS2B01G189000;TraesCS6A01G277800;TraesCS6A01G124800;TraesCS2A01G155500;TraesCS2A01G512100;TraesCS3A01G345800;TraesCS5D01G089900;TraesCS1B01G229100;TraesCS1B01G182700;TraesCS6D01G363200;TraesCS4B01G098000;TraesCS4A01G075600;TraesCS3B01G141500;TraesCS7D01G243700;TraesCS5A01G076600;TraesCS2A01G141100;TraesCS7D01G321500;TraesCS5A01G455100;TraesCS3B01G370500;TraesCS1D01G114100;TraesCS5D01G157900;TraesCS7B01G333700;TraesCS7D01G380900;TraesCS3A01G037100;TraesCS3A01G050300;TraesCS3D01G104000;TraesCS7B01G356800;TraesCS5A01G321300;TraesCS4A01G043800;TraesCS6A01G310300;TraesCS2A01G211300;TraesCS1A01G375800;TraesCS3A01G050500;TraesCS2A01G198400;TraesCS2A01G414700;TraesCS1B01G230500;TraesCS1D01G130400;TraesCS3A01G109500;TraesCS6D01G039300;TraesCS5A01G206700;TraesCS7D01G261300;TraesCS3A01G471900;TraesCS5B01G197400;TraesCS7B01G015200;TraesCS7A01G392800;TraesCS4A01G226300;TraesCS7D01G041400;TraesCS3D01G355900;TraesCS1A01G070600;TraesCS1B01G314700;TraesCS1B01G310100;TraesCS2B01G175800;TraesCS6D01G122200;TraesCS5A01G100300;TraesCS7D01G417600;TraesCS1D01G133900;TraesCS5D01G329100;TraesCS1B01G195800;TraesCS3A01G049500;TraesCS1D01G372500;TraesCS2A01G081400;TraesCS3B01G038900;TraesCS5B01G244300;TraesCS6B01G256300;TraesCS6D01G074300;TraesCS7D01G388400;TraesCS7B01G247500;TraesCS4A01G102900;TraesCS5B01G184100;TraesCS5B01G188700;TraesCS7D01G248100;TraesCS3A01G101800;TraesCS3D01G359000;TraesCS3D01G048400;TraesCS6B01G238900;TraesCS6B01G385500;TraesCS6D01G191500;TraesCS7A01G387000;TraesCS3A01G261700;TraesCS3B01G289500;TraesCS7B01G261800;TraesCS4B01G203900;TraesCS2A01G233100;TraesCS2A01G516500;TraesCS4A01G094300;TraesCS6D01G307100;TraesCS1A01G305400;TraesCS2B01G452400;TraesCS1A01G215900;TraesCS2B01G511300;TraesCS3B01G090400;TraesCS5D01G111500;TraesCS6B01G258500;TraesCSU01G129000;TraesCS5A01G321500;TraesCS7A01G053400;TraesCS5D01G281200;TraesCS7B01G228900;TraesCS4D01G202300;TraesCS5D01G199800;TraesCS5D01G210800;TraesCS7D01G063900;TraesCS4B01G059700;TraesCS4B01G254700;TraesCS4D01G316500;TraesCS2D01G374600;TraesCS3A01G285700;TraesCS5D01G493200;TraesCS3A01G319800;TraesCS2A01G217200;TraesCS3A01G101700;TraesCS2D01G509400;TraesCS1D01G094700;TraesCS5D01G277500;TraesCS2A01G211900;TraesCS2A01G412200;TraesCS3D01G438800;TraesCS6D01G167300;TraesCS5D01G216100;TraesCS2D01G339600;TraesCS4B01G215100;TraesCS1D01G174700;TraesCS7A01G125600;TraesCS6D01G191400;TraesCS2D01G349400;TraesCS5A01G156200;TraesCS1D01G437700;TraesCS5B01G166300;TraesCS7B01G030400;TraesCS7B01G326200;TraesCS3A01G477400;TraesCS5A01G469800;TraesCS6B01G136100;TraesCS6B01G152800;TraesCS4B01G264500;TraesCS2D01G141100;TraesCS5B01G262900;TraesCS7B01G423900;TraesCS2A01G508900;TraesCS2B01G220900;TraesCS5D01G159100;TraesCS2B01G266900;TraesCS7A01G091500;TraesCS5D01G413300;TraesCS4A01G391100;TraesCS4D01G315400;TraesCS1D01G081400;TraesCS3A01G021600;TraesCS5A01G147500;TraesCS4A01G232600;TraesCS4A01G498700;TraesCS3D01G432000;TraesCS3A01G327200;TraesCS2B01G250100;TraesCS3A01G124800;TraesCS7A01G195800;TraesCS1A01G086100;TraesCS2D01G066900;TraesCS7B01G416100;TraesCS2A01G276400;TraesCS1D01G101300;TraesCS6D01G239700;TraesCS4B01G100100;TraesCS1D01G082500;TraesCS3A01G110400;TraesCS3A01G135700;TraesCS7A01G364200;TraesCS2A01G371700;TraesCS5A01G320600;TraesCS6B01G358800;TraesCS5D01G097900;TraesCS6D01G225300;TraesCS6D01G258200;TraesCS5A01G463000;TraesCS2A01G113100;TraesCS5A01G169500;TraesCS7B01G301100;TraesCS5D01G461600;TraesCS6B01G147200;TraesCS2D01G419700;TraesCS4D01G032900;TraesCS4A01G221700;TraesCS1A01G203600;TraesCS3B01G110500;TraesCS7B01G444800;TraesCS6D01G192500;TraesCS2A01G462700;TraesCS3B01G310000;TraesCS7D01G279900;TraesCS1A01G048000;TraesCS2D01G509200;TraesCS5A01G235300;TraesCS7B01G029200;TraesCS7D01G311200;TraesCS5D01G216300;TraesCS6A01G119900;TraesCS1B01G062200;TraesCS5A01G204800;TraesCS3A01G189300;TraesCS1A01G202300;TraesCS1B01G119700;TraesCS4D01G052500;TraesCSU01G051800;TraesCS1A01G103900;TraesCS2D01G201700;TraesCS3B01G514900;TraesCS1B01G268600;TraesCS6B01G257800;TraesCS3A01G351500;TraesCS2A01G201900;TraesCS2D01G534400;TraesCS6A01G168900;TraesCS6D01G212400;TraesCS1D01G344700;TraesCS1A01G361000;TraesCS2B01G419100;TraesCS5B01G202900;TraesCS3D01G045400;TraesCS6B01G266500;TraesCS1A01G215600;TraesCS7A01G400900;TraesCS4B01G228200;TraesCS4A01G309300;TraesCS7A01G434300;TraesCS5B01G042800;TraesCS5D01G343000;TraesCS4A01G216100;TraesCS5D01G163400;TraesCS1D01G330300;TraesCS2B01G100300;TraesCS2D01G398500;TraesCS1D01G370600;TraesCS5B01G208200;TraesCS2A01G308400;TraesCS2D01G379000;TraesCS6B01G152600;TraesCS5A01G183600;TraesCS5D01G027600;TraesCS7A01G344600;TraesCS7D01G516400;TraesCS2B01G220700;TraesCS2B01G323700;TraesCS4B01G231400;TraesCS6D01G158400;TraesCS3B01G119500;TraesCS7A01G328100;TraesCS2B01G067000;TraesCS2D01G485200;TraesCS5D01G073900;TraesCS3D01G266400;TraesCS7B01G214900;TraesCS3B01G278200;TraesCS7D01G394800;TraesCS1D01G079600;TraesCS4D01G236800;TraesCS3B01G589600;TraesCS6B01G169000;TraesCS7D01G001600;TraesCS5A01G351300;TraesCS5A01G326100;TraesCS6A01G223900;TraesCS1D01G101100;TraesCS4A01G027800;TraesCS3D01G256600;TraesCS5A01G479600;TraesCS5D01G152300;TraesCS5D01G177800;TraesCS7D01G345200;TraesCS1A01G235200;TraesCS2D01G511300;TraesCS3B01G151200;TraesCS5B01G187200;TraesCS5D01G475800;TraesCS2A01G098700;TraesCS3A01G209200;TraesCS7A01G333700;TraesCS1D01G372800;TraesCS1D01G206900;TraesCS4D01G126800;TraesCS3B01G013200;TraesCS2A01G046500;TraesCS5A01G377900;TraesCS7A01G212000;TraesCS4D01G194900;TraesCS1A01G203400;TraesCS7D01G053900;TraesCS1D01G305100;TraesCS4B01G216000;TraesCS2B01G557100;TraesCS2D01G273700;TraesCS1A01G333800;TraesCS5A01G237700;TraesCS4A01G267300;TraesCS3D01G276200;TraesCS6B01G183300;TraesCS5D01G145100;TraesCS2A01G217600;TraesCS3D01G285500;TraesCS2B01G166100;TraesCS1B01G385300;TraesCS2B01G216800;TraesCS1B01G456700;TraesCS5D01G369200;TraesCS1A01G145100;TraesCS1A01G149700;TraesCS2B01G114900;TraesCS4D01G172700;TraesCS4D01G312300;TraesCS7D01G496100;TraesCS1B01G283400;TraesCS3A01G530200;TraesCS3B01G229900;TraesCS1B01G120100;TraesCS2A01G214100;TraesCS5B01G460200;TraesCS5D01G169300;TraesCS2B01G498100;TraesCS2A01G545700;TraesCS3B01G384000;TraesCS6D01G032300;TraesCS5D01G408200;TraesCS5A01G138600;TraesCS3A01G463400;TraesCS4A01G059800;TraesCS5D01G304700;TraesCS7A01G110500;TraesCS1D01G223000;TraesCS5D01G373700;TraesCS2B01G562100;TraesCS1A01G031200;TraesCS2D01G459100;TraesCS4D01G263500;TraesCS5B01G236200;TraesCS7B01G222500;TraesCS2A01G347400;TraesCS3D01G472100;TraesCS3A01G262200;TraesCS1A01G428400;TraesCS2B01G204800;TraesCS2A01G368700;TraesCS5D01G386800;TraesCS7A01G118200;TraesCS1D01G228700;TraesCS5D01G034700;TraesCS1B01G270300;TraesCS2B01G521800;TraesCS7A01G096800;TraesCS6A01G209000;TraesCS5B01G069900;TraesCS2A01G083000;TraesCS2A01G532600;TraesCS6D01G210200;TraesCS1B01G377700;TraesCS7D01G236600;TraesCS1A01G235000;TraesCS1D01G367800;TraesCS2D01G343000;TraesCS4D01G222600;TraesCS4B01G085500;TraesCS2B01G121200;TraesCS2A01G407900;TraesCS5D01G093700;TraesCS4D01G046900;TraesCS6A01G116000;TraesCS5D01G031200;TraesCS7A01G154900;TraesCS4A01G186700;TraesCS1B01G048500;TraesCS1B01G248400;TraesCS2B01G480600;TraesCS2B01G241800;TraesCS7B01G207100;TraesCS2B01G467400;TraesCS6B01G367100;TraesCS1B01G097700;TraesCS3D01G201900;TraesCS7D01G346100;TraesCS3D01G182300;TraesCS1D01G073000;TraesCS2B01G504000;TraesCS5A01G235700;TraesCS6D01G253100;TraesCS2D01G284200;TraesCS5B01G056800;TraesCS2D01G380800;TraesCS3B01G423200;TraesCS2D01G207400;TraesCS4D01G087200;TraesCS2D01G580700;TraesCS5A01G160100;TraesCS5A01G092600;TraesCS7D01G223300;TraesCS2A01G195800;TraesCS3A01G521300;TraesCS1D01G067800;TraesCS3A01G034700;TraesCS2A01G458000;TraesCS3B01G004100;TraesCS4B01G041300;TraesCS6A01G363900;TraesCS2B01G366600;TraesCS2A01G474500;TraesCS3D01G097000;TraesCS2D01G392800;TraesCS7D01G268600;TraesCS7B01G141900;TraesCS1D01G189300;TraesCS3B01G575600;TraesCS5B01G366400;TraesCS4A01G081700;TraesCS4B01G214200;TraesCS5D01G182100;TraesCS5B01G463900;TraesCS7B01G297200;TraesCS1D01G104800;TraesCS7B01G222700;TraesCS6D01G198700;TraesCS6D01G280700;TraesCS1B01G316100;TraesCS2B01G101800;TraesCS5B01G356400;TraesCS3D01G262200;TraesCS7B01G241200;TraesCS4B01G294300;TraesCS1A01G188000;TraesCS3D01G046900;TraesCS7A01G395300;TraesCS3A01G323200;TraesCS4D01G054300;TraesCS7A01G129300;TraesCS2D01G574000;TraesCS2D01G062100;TraesCS4D01G217000;TraesCS5D01G158000;TraesCS7D01G129500;TraesCS3B01G344600;TraesCS6B01G337900;TraesCS2B01G594100;TraesCS2D01G123300;TraesCS3D01G124200;TraesCS2B01G364400;TraesCS3B01G042800;TraesCS2D01G348900;TraesCS7D01G444500;TraesCS1B01G048300;TraesCS6A01G223500;TraesCS1B01G305200;TraesCS1B01G248600;TraesCS6A01G352800;TraesCS7D01G457800;TraesCS6A01G375900;TraesCS4B01G132100;TraesCS5B01G064400;TraesCS1A01G016000;TraesCS5B01G087500;TraesCS2A01G485600;TraesCS7A01G325000;TraesCS1A01G295300;TraesCS4B01G065700;TraesCS5B01G180400;TraesCS2A01G298600;TraesCS1A01G182700;TraesCS2B01G201100;TraesCS4A01G431600;TraesCS7B01G220500;TraesCS1D01G087600;TraesCS7D01G386800</t>
  </si>
  <si>
    <t>TraesCS5A01G124600;TraesCS2D01G286300;TraesCS3A01G109300;TraesCS5A01G258100;TraesCS7D01G508800;TraesCS4D01G068200;TraesCS1B01G326600;TraesCS1D01G075500;TraesCS6A01G201100;TraesCS4D01G268100;TraesCS3B01G375800;TraesCS7D01G182700;TraesCS1A01G370700;TraesCS1B01G243100;TraesCS7A01G096500;TraesCS2A01G427700;TraesCS2A01G270200;TraesCS2D01G104600;TraesCS4A01G193600;TraesCS3B01G176200;TraesCS1B01G126600;TraesCS1D01G106100;TraesCS5D01G232700;TraesCS6A01G319600;TraesCS2B01G289000;TraesCS2A01G417200;TraesCS2D01G231600;TraesCS2D01G464400;TraesCS2D01G332300;TraesCS3B01G270500;TraesCS5B01G142100;TraesCS3A01G167200;TraesCS4B01G002000;TraesCS3B01G156600;TraesCS3B01G412500;TraesCS4A01G062800;TraesCS4A01G001300;TraesCS3A01G281900;TraesCS4D01G236600;TraesCS3B01G129900;TraesCS5B01G203100;TraesCS6D01G358700;TraesCS2B01G407600;TraesCS5B01G124200;TraesCS6A01G235100;TraesCS6B01G364000;TraesCS5D01G244800;TraesCS2D01G146100;TraesCS7A01G511800;TraesCS1A01G072600;TraesCS2D01G211400;TraesCS2D01G425700;TraesCS2D01G104500;TraesCS7A01G270100;TraesCS6B01G350400;TraesCS3A01G343900;TraesCS1A01G370600;TraesCS5B01G481300;TraesCS5B01G118200;TraesCS4D01G178400;TraesCS6B01G174400;TraesCS2A01G417300;TraesCS5B01G257300;TraesCS6D01G074200;TraesCS6D01G217800;TraesCS2A01G424900;TraesCS6D01G110400;TraesCS2B01G448100;TraesCS7A01G057800;TraesCS3A01G379900;TraesCS5D01G205000;TraesCS4A01G001400;TraesCS3A01G149000;TraesCS3B01G314600;TraesCS6A01G146200;TraesCS7B01G434700;TraesCS2D01G269200;TraesCS4A01G035400;TraesCS2D01G414500;TraesCS3D01G289500;TraesCS6B01G193200;TraesCS4A01G129400;TraesCS4D01G177000;TraesCS4D01G358900;TraesCS5A01G395100;TraesCS3B01G199000;TraesCS5B01G315600;TraesCS5B01G193200;TraesCS1D01G376700;TraesCS3D01G238300;TraesCS5D01G450500;TraesCS4B01G299700;TraesCS3A01G404400;TraesCS4D01G105100;TraesCS5A01G440400;TraesCS2B01G436100;TraesCS2B01G167900;TraesCS3D01G173300;TraesCS4B01G178600;TraesCS2A01G204500;TraesCS4A01G059600;TraesCS4D01G267500;TraesCS4D01G001200;TraesCS3A01G111200;TraesCS4B01G268100;TraesCS1A01G421900;TraesCS5B01G236400;TraesCS7D01G497400;TraesCS5B01G117700;TraesCS2A01G099900;TraesCS2D01G515900;TraesCS2A01G433000;TraesCS2D01G414600;TraesCS1B01G308200;TraesCS7A01G508700;TraesCS7D01G336400;TraesCS2B01G542300;TraesCS2B01G116900;TraesCS1B01G461600;TraesCS3D01G227400;TraesCS4D01G119700;TraesCS5A01G265700;TraesCS5D01G185300;TraesCS6D01G134800;TraesCS5B01G275200;TraesCS1A01G218100;TraesCS5D01G320800;TraesCS6B01G108000;TraesCS1D01G376600;TraesCS6A01G120300;TraesCS7A01G306100;TraesCS5A01G232700;TraesCS4B01G121500;TraesCS3D01G341100;TraesCS5B01G410000;TraesCS3B01G357500;TraesCS5D01G232800;TraesCS5B01G265400;TraesCS1A01G370400;TraesCS5A01G314700;TraesCS1B01G453300;TraesCS6D01G110600;TraesCS4B01G235300;TraesCS7B01G299200;TraesCS7A01G509000;TraesCS2B01G436200;TraesCS6B01G263800;TraesCS3D01G281900;TraesCS5B01G444100;TraesCS5D01G245300;TraesCS4B01G108000;TraesCS7D01G392800;TraesCS7D01G092500;TraesCS2A01G288000;TraesCS6B01G284300;TraesCS2B01G454300;TraesCS2D01G414300;TraesCS7D01G052600;TraesCS1A01G298600;TraesCS5D01G116100;TraesCS3B01G379200;TraesCS1D01G376500;TraesCS6A01G145600;TraesCS7B01G259000;TraesCS7D01G171300;TraesCS5D01G129400;TraesCS1D01G429800;TraesCS4A01G128100;TraesCS1B01G088500;TraesCS3D01G139300;TraesCS2B01G436300;TraesCS6B01G149000;TraesCS7A01G518800;TraesCS6D01G154400;TraesCS3A01G408000;TraesCS5D01G390700;TraesCS6D01G299000;TraesCS6A01G333600;TraesCS5A01G180800;TraesCS3A01G289200;TraesCS7D01G092600;TraesCS5D01G071800;TraesCS5B01G224000;TraesCS6A01G240400;TraesCS7B01G272900;TraesCS7D01G110600;TraesCS6B01G148700;TraesCS7D01G052500;TraesCS7D01G368000;TraesCS2B01G187500;TraesCS2A01G389400;TraesCS4A01G396400;TraesCS4D01G180200;TraesCS7B01G162100;TraesCS2D01G387300;TraesCS6A01G145500;TraesCS1B01G235100;TraesCS6B01G375400;TraesCS3D01G399600;TraesCS5D01G481700;TraesCS1D01G072600;TraesCS4D01G239600;TraesCS3B01G324400;TraesCS5D01G266300;TraesCS4B01G239700;TraesCS7A01G369500;TraesCS5D01G321000;TraesCS1D01G314800;TraesCS5B01G236900;TraesCS2A01G391700;TraesCS2D01G386100;TraesCS2A01G388300;TraesCS5A01G237900;TraesCS7D01G497300;TraesCS5D01G447500;TraesCS2D01G431000;TraesCS3A01G289700;TraesCS5B01G564100;TraesCS3D01G157100;TraesCS7D01G353800;TraesCS6D01G222600;TraesCS6D01G312800;TraesCS2D01G099400;TraesCS7A01G116000;TraesCS5A01G468800;TraesCS3B01G130000;TraesCS7A01G343000;TraesCS5B01G067700;TraesCS7A01G096300;TraesCS6A01G080500;TraesCS5B01G384500;TraesCS7A01G423800;TraesCS3A01G242500;TraesCS4A01G396300;TraesCS6A01G120600;TraesCS2A01G514300;TraesCS5A01G104900;TraesCS7D01G501000;TraesCS7D01G052400;TraesCS1D01G223600;TraesCS2B01G304800;TraesCS6D01G135500;TraesCS4B01G346100;TraesCS5B01G362600;TraesCS5B01G108500;TraesCS1A01G350400;TraesCS3B01G255400;TraesCS2D01G051000;TraesCS3D01G289000;TraesCS5D01G273600;TraesCS7D01G092400;TraesCS5A01G112600;TraesCS1A01G401800;TraesCS5B01G313000;TraesCS5A01G238400;TraesCS3A01G229300;TraesCS3B01G568300;TraesCS4A01G396200;TraesCS1A01G221900;TraesCS3D01G372900;TraesCS1D01G292700;TraesCS5A01G312000;TraesCS3D01G242500;TraesCS5A01G400000;TraesCS4A01G126300;TraesCS3A01G347500;TraesCS3D01G113300;TraesCS6B01G173900;TraesCS1D01G429900;TraesCS6A01G165800;TraesCS4B01G069500;TraesCS5A01G380900</t>
  </si>
  <si>
    <t>DNA binding transcription factor activity</t>
  </si>
  <si>
    <t>TraesCS6D01G393600;TraesCS2B01G449100;TraesCS6A01G032500;TraesCS7D01G343800;TraesCS3B01G413600;TraesCS7A01G188600;TraesCS4D01G058400;TraesCS3D01G279100;TraesCS6B01G052400;TraesCS7D01G328400;TraesCS6D01G275100;TraesCS2B01G177500;TraesCS1B01G197900;TraesCS4A01G145300;TraesCS3A01G217200;TraesCS5A01G188700;TraesCS2D01G554900;TraesCS7D01G145500;TraesCS1D01G130300;TraesCS2B01G451400;TraesCS5B01G526200;TraesCS4D01G196500;TraesCS7A01G288200;TraesCS5D01G109500;TraesCS7A01G130600;TraesCS7A01G517100;TraesCS2B01G393000;TraesCS3B01G562400;TraesCS5D01G362200;TraesCS2A01G396200;TraesCS5B01G135200;TraesCS6B01G113900;TraesCS7B01G187600;TraesCS2A01G537900;TraesCS5A01G402100;TraesCS3A01G383600;TraesCS2B01G266000;TraesCS5D01G463100;TraesCS6B01G145700;TraesCS1A01G425400;TraesCS3A01G507500;TraesCS3D01G316400;TraesCS1A01G343000;TraesCS4A01G110200;TraesCS3B01G469600;TraesCS5B01G033400;TraesCS5D01G237800;TraesCS3B01G304000;TraesCS3D01G411800;TraesCS5A01G359800;TraesCS5B01G117600;TraesCS4B01G052700;TraesCS3B01G023700;TraesCS6A01G361100;TraesCS4B01G222100;TraesCS1B01G174600;TraesCS3B01G298700;TraesCS2A01G132100;TraesCS2A01G302300;TraesCS6D01G265500;TraesCS2B01G117400;TraesCS4A01G062000;TraesCS6A01G056500;TraesCS1D01G335400;TraesCS3D01G250500;TraesCS6A01G000500;TraesCS4A01G115700;TraesCS4B01G106000;TraesCS5B01G526000;TraesCS2D01G264200;TraesCS2A01G367700;TraesCS3A01G255300;TraesCS3B01G401600;TraesCS7B01G299200;TraesCS2A01G248300;TraesCS5D01G201400;TraesCS7D01G080700;TraesCS4D01G319100;TraesCS1D01G345200;TraesCS5B01G217000;TraesCS5B01G404800;TraesCS6D01G037200;TraesCS7A01G118900;TraesCS3B01G465200;TraesCS5B01G188600;TraesCS7A01G502900;TraesCS7D01G392800;TraesCS1D01G149100;TraesCS2B01G485600;TraesCS3B01G132900;TraesCS7A01G480100;TraesCS6D01G344600;TraesCS5D01G133800;TraesCS5A01G003100;TraesCS5D01G402100;TraesCS6A01G359900;TraesCS3A01G257500;TraesCS5A01G409100;TraesCS1A01G280400;TraesCS4A01G049200;TraesCS5A01G354300;TraesCS7D01G507300;TraesCS2B01G593500;TraesCS4D01G229700;TraesCS1B01G091900;TraesCS4B01G015500;TraesCS3A01G363100;TraesCS2B01G242200;TraesCS5A01G437800;TraesCS5A01G521500;TraesCS1B01G195900;TraesCS7B01G187200;TraesCS7A01G553000;TraesCS1D01G382400;TraesCS6B01G163100;TraesCS7A01G312800;TraesCS1A01G265200;TraesCS7D01G278900;TraesCS7A01G356600;TraesCS7B01G410300;TraesCS2B01G345300;TraesCS2B01G536500;TraesCS6D01G122100;TraesCS2D01G396700;TraesCS5D01G519400;TraesCS7D01G178400;TraesCS1A01G071800;TraesCS3D01G257500;TraesCS5D01G063800;TraesCS4B01G174300;TraesCS7B01G260800;TraesCS5D01G228500;TraesCS7A01G409900;TraesCS4A01G412500;TraesCS5A01G229700;TraesCS5B01G465300;TraesCS1A01G304200;TraesCS5B01G117200;TraesCS5D01G031800;TraesCS4D01G312900;TraesCS5B01G128100;TraesCS5A01G494800;TraesCS7B01G395000;TraesCS1D01G292600;TraesCS1A01G248700;TraesCS3B01G164700;TraesCS3B01G160100;TraesCS7D01G150900;TraesCS6B01G199700;TraesCS7D01G318000;TraesCS2B01G245900;TraesCS5B01G150200;TraesCS3B01G291900;TraesCS2D01G304300;TraesCS3A01G129000;TraesCS2A01G047300;TraesCS1D01G186500;TraesCS6D01G146500;TraesCS1D01G083900;TraesCS7D01G055700;TraesCS5B01G371200;TraesCS6B01G456500;TraesCS2A01G431100;TraesCS4B01G200500;TraesCS6B01G173100;TraesCS3B01G287200;TraesCS1B01G356200;TraesCS2A01G188700;TraesCS7D01G471300;TraesCS3D01G376700;TraesCS5A01G190400;TraesCS3B01G416000;TraesCS4D01G176300;TraesCS7D01G310300;TraesCS1A01G183000;TraesCS6A01G294200;TraesCS1A01G150100;TraesCS5D01G215400;TraesCS2A01G490500;TraesCS5A01G016200;TraesCS5B01G155900;TraesCS2B01G141900;TraesCS2D01G200300;TraesCS4D01G294600;TraesCS5B01G215900;TraesCS1B01G001800;TraesCS7D01G355100;TraesCS5B01G520200;TraesCS5D01G445000;TraesCS2B01G208900;TraesCS2A01G343100;TraesCS7D01G114100;TraesCS6A01G177700;TraesCS3A01G120100;TraesCS7D01G449500;TraesCS5A01G182600;TraesCS2B01G218700;TraesCS6D01G331800;TraesCS4B01G057400;TraesCS5A01G143000;TraesCS3D01G313900;TraesCS4A01G384900;TraesCS3B01G451200;TraesCS2B01G060900;TraesCS7D01G435100;TraesCS5D01G378200;TraesCS7D01G309200;TraesCS7B01G347000;TraesCS2D01G451100;TraesCS6D01G258300;TraesCS2A01G153700;TraesCS4B01G203000;TraesCS5D01G039900;TraesCS4D01G303300;TraesCS6A01G406700;TraesCS3B01G213600;TraesCS5B01G031800;TraesCS1D01G216200;TraesCS4A01G091000;TraesCS3B01G383400;TraesCS1B01G395400;TraesCS6D01G085100;TraesCS6B01G284000;TraesCS4A01G404500;TraesCS4D01G326400;TraesCS3B01G442700;TraesCS1A01G361100;TraesCS3A01G492900;TraesCS4B01G347800;TraesCS4B01G322700;TraesCS5D01G085800;TraesCS2A01G463900;TraesCS5A01G144100;TraesCS6D01G359100;TraesCS4D01G342700;TraesCS5A01G366700;TraesCS2B01G169300;TraesCS4A01G009000;TraesCS4D01G124700;TraesCS3B01G290000;TraesCS4B01G044300;TraesCS1A01G257300;TraesCS4A01G269800;TraesCS6A01G083200;TraesCS3B01G119600;TraesCS6B01G269900;TraesCS7D01G189700;TraesCS4A01G072700;TraesCS4D01G125800;TraesCS4D01G201600;TraesCSU01G003600;TraesCS7D01G452600;TraesCS7D01G263200;TraesCS6D01G210100;TraesCS2A01G209500;TraesCS7A01G406100;TraesCS1A01G332800;TraesCS5D01G418900;TraesCS2D01G157600;TraesCS1D01G265400;TraesCS3A01G380900;TraesCS4B01G243500;TraesCS3A01G362500;TraesCS6A01G059100;TraesCS4D01G271200;TraesCS4B01G023600;TraesCS3B01G156800;TraesCS3A01G377500;TraesCS5A01G235400;TraesCS4A01G045100;TraesCS1B01G288300;TraesCS5B01G337600;TraesCS6D01G226700;TraesCS4B01G096700;TraesCS3B01G300300;TraesCS1B01G324000;TraesCS7D01G265400;TraesCS6D01G237600;TraesCS4D01G352700;TraesCS1A01G047000;TraesCS4D01G147600;TraesCS1D01G034600;TraesCS6D01G256100;TraesCS2A01G174600;TraesCS3D01G219900;TraesCS6B01G198900;TraesCS1D01G076200;TraesCS6B01G152700;TraesCS2D01G443700;TraesCS4B01G044500;TraesCS6A01G301300;TraesCS1D01G047900;TraesCS5B01G175100;TraesCS5B01G362100;TraesCS5D01G453900;TraesCS5D01G226000;TraesCS4D01G064000;TraesCS4D01G192200;TraesCS2A01G305900;TraesCS1D01G335500;TraesCS6B01G045600;TraesCS6A01G351600;TraesCS2A01G205500;TraesCS2D01G362900;TraesCS6A01G306800;TraesCS1D01G239700;TraesCS4B01G125700;TraesCS6D01G302400;TraesCS7B01G053000;TraesCS1D01G112500;TraesCS5D01G312200;TraesCS7B01G043200;TraesCS3B01G349100;TraesCS3D01G383600;TraesCS2B01G354700;TraesCS2B01G241900;TraesCS2D01G464800;TraesCS6A01G349300;TraesCS5B01G406800;TraesCS4D01G041100;TraesCS5A01G342900;TraesCS2D01G324400;TraesCS7D01G357100;TraesCS5B01G056700;TraesCS3D01G157400;TraesCS6D01G160400;TraesCS7B01G357200;TraesCS2B01G539200;TraesCS2A01G121000;TraesCS3B01G413100;TraesCS1A01G261400;TraesCS3D01G542300;TraesCS4A01G352900;TraesCS1A01G248200;TraesCS7D01G339700;TraesCS6D01G133900;TraesCS2D01G426500;TraesCS7D01G294800;TraesCS1A01G251600;TraesCS5D01G195700;TraesCS2B01G417900;TraesCS2A01G401000;TraesCS7D01G388900;TraesCS7B01G241100;TraesCS7A01G225800;TraesCS5B01G228500;TraesCS7A01G410200;TraesCS2A01G106900;TraesCS7D01G005700;TraesCS1A01G111000;TraesCSU01G137500;TraesCS6D01G107600;TraesCS2A01G209900;TraesCS7D01G364700;TraesCS3B01G247000;TraesCS4B01G190300;TraesCS2D01G564100;TraesCS2B01G177300;TraesCS5B01G229600;TraesCS5D01G297200;TraesCS5D01G536500;TraesCS6D01G050900;TraesCS1D01G248200;TraesCS3B01G179500;TraesCS1D01G073100;TraesCS3D01G514900;TraesCS4A01G066200;TraesCS2A01G586100;TraesCS4D01G255600;TraesCS2D01G483300;TraesCS3B01G053800;TraesCS3B01G342300;TraesCS6D01G115200;TraesCS6A01G271900;TraesCS1B01G318400;TraesCS2B01G135900;TraesCS1B01G279200;TraesCS2B01G282400;TraesCS5B01G191400;TraesCS3A01G123000;TraesCS4D01G325500;TraesCS5D01G014800;TraesCS2A01G283000;TraesCS7D01G048600;TraesCS4A01G059900;TraesCS5A01G218000;TraesCS4D01G183500;TraesCS6D01G236900;TraesCS2D01G216200;TraesCS1D01G295800;TraesCS5A01G392300;TraesCS6B01G177200;TraesCS6A01G240700;TraesCS6D01G161200;TraesCS7B01G346600;TraesCS2A01G188000;TraesCS3D01G500600;TraesCS6A01G212000;TraesCS5B01G342100;TraesCS2A01G056800;TraesCS3D01G256100;TraesCS4B01G100800;TraesCS5B01G380600;TraesCS2A01G373200;TraesCS2D01G182100;TraesCS4A01G101600;TraesCS6A01G032400;TraesCS4A01G206900;TraesCS2B01G198100;TraesCS1D01G074400;TraesCS4B01G339700;TraesCS2D01G277600;TraesCS2B01G243000;TraesCS5A01G025400;TraesCS3A01G149300;TraesCS6A01G148600;TraesCS4B01G353800;TraesCS5B01G243600;TraesCS4D01G347700;TraesCS7D01G189000;TraesCS1A01G002500;TraesCS5A01G460300;TraesCS6D01G302700;TraesCS6D01G369400;TraesCS2B01G403000;TraesCS6D01G153600;TraesCS5B01G233800;TraesCS7B01G093500;TraesCS2A01G259500;TraesCS2B01G154500;TraesCS2B01G489700;TraesCS3D01G183900;TraesCS2D01G321400;TraesCS5D01G259500;TraesCS5B01G288700;TraesCS3B01G163900;TraesCS1A01G033200;TraesCS4D01G187900;TraesCS5B01G255800;TraesCS6B01G225800;TraesCS3D01G260400;TraesCS5D01G480600;TraesCS2B01G437200;TraesCS6A01G240900;TraesCS4B01G187300;TraesCS2A01G152000;TraesCS4B01G131500;TraesCS2D01G031100;TraesCS2B01G288100;TraesCS3B01G436800;TraesCS6A01G388700;TraesCS6D01G254700;TraesCS5B01G139500;TraesCS3D01G251700;TraesCS5A01G516400;TraesCS5B01G217100;TraesCS6A01G215700;TraesCS4D01G057400;TraesCS6D01G037300;TraesCS2D01G483700;TraesCS3D01G136700;TraesCS6B01G280000;TraesCS6D01G222900;TraesCS2D01G198900;TraesCS3B01G323500;TraesCS1A01G124100;TraesCS3B01G382900;TraesCS7A01G255600;TraesCS4A01G315200;TraesCS2A01G237300;TraesCS7D01G490300;TraesCS3D01G209300;TraesCS1D01G227700;TraesCS5D01G236600;TraesCS5A01G220600;TraesCS5B01G392400;TraesCS6A01G135100;TraesCS3A01G184300;TraesCS1A01G025200;TraesCS1D01G004700;TraesCS1D01G025400;TraesCS6B01G382400;TraesCS7A01G231600;TraesCS4A01G257400;TraesCS2B01G326900;TraesCS4D01G115000;TraesCS4A01G117100;TraesCS5D01G376300;TraesCS5D01G156800;TraesCS7D01G467100;TraesCS7A01G300700;TraesCS4A01G028400;TraesCS7A01G267800;TraesCS2D01G199600;TraesCS4D01G041900;TraesCS5D01G228600;TraesCS4B01G174200;TraesCS2D01G001300;TraesCS1B01G433800;TraesCS1D01G310900;TraesCS2B01G193500;TraesCS4A01G207800;TraesCS3D01G023100;TraesCS4B01G149000;TraesCS5A01G189500;TraesCS4D01G188600;TraesCS1A01G279300;TraesCS2B01G460200;TraesCS3B01G304300;TraesCS5A01G269300;TraesCS2B01G189000;TraesCS6A01G277800;TraesCS2D01G106400;TraesCS4A01G130300;TraesCS7A01G299600;TraesCS1D01G209400;TraesCS4D01G303000;TraesCS3B01G022100;TraesCS5B01G396800;TraesCS3B01G370500;TraesCS5D01G157900;TraesCS5B01G408400;TraesCS1A01G385800;TraesCS4D01G059000;TraesCS6D01G104800;TraesCS4B01G065100;TraesCS4B01G057200;TraesCS5D01G531600;TraesCS7D01G309400;TraesCS6A01G171800;TraesCS1A01G331700;TraesCS3A01G176500;TraesCS2A01G404900;TraesCS2D01G118400;TraesCS1B01G356100;TraesCS3B01G105600;TraesCS2A01G593300;TraesCS5D01G187100;TraesCS5B01G231000;TraesCS2A01G188600;TraesCS5D01G041500;TraesCS6B01G266100;TraesCS1A01G049600;TraesCS4A01G050500;TraesCS7B01G309600;TraesCS4D01G176200;TraesCS1A01G246400;TraesCS6A01G073300;TraesCS3B01G208300;TraesCS6B01G145800;TraesCS1D01G268600;TraesCS5A01G390700;TraesCS4A01G102900;TraesCS3B01G148100;TraesCS5D01G147900;TraesCS5A01G031700;TraesCS1A01G342900;TraesCS4A01G113800;TraesCS4D01G108200;TraesCS2B01G296100;TraesCS6B01G140100;TraesCS6D01G344500;TraesCS4A01G249600;TraesCS6D01G191500;TraesCS3B01G422800;TraesCS2B01G452400;TraesCS2B01G012600;TraesCS5B01G458900;TraesCS3A01G385300;TraesCS4B01G058500;TraesCS3B01G408500;TraesCS4A01G164100;TraesCS7A01G053400;TraesCS5D01G130000;TraesCS4A01G190600;TraesCS2A01G345400;TraesCS5B01G371100;TraesCS1A01G262800;TraesCS5D01G277500;TraesCS3B01G352800;TraesCS5D01G142900;TraesCS3B01G373500;TraesCS6D01G191400;TraesCS4D01G262900;TraesCS3B01G361500;TraesCS3D01G288600;TraesCS3B01G283800;TraesCS5B01G305700;TraesCS4D01G063200;TraesCS6A01G244400;TraesCS3B01G556500;TraesCS6B01G152800;TraesCS2B01G220900;TraesCS2D01G200400;TraesCS6D01G213300;TraesCS3B01G473000;TraesCS7D01G403400;TraesCS6A01G144900;TraesCS6B01G176800;TraesCS5D01G378100;TraesCS2A01G220400;TraesCS7D01G435200;TraesCS5B01G143200;TraesCS6D01G342800;TraesCS3A01G317400;TraesCS7D01G337800;TraesCS3B01G336100;TraesCS6D01G258200;TraesCS5A01G467600;TraesCS5D01G218300;TraesCS5D01G461600;TraesCS5B01G498400;TraesCS3B01G395500;TraesCS3B01G110500;TraesCS2B01G318100;TraesCS1A01G213400;TraesCS2D01G199100;TraesCS7D01G357200;TraesCS1A01G048000;TraesCS4B01G116500;TraesCS5A01G235300;TraesCS7B01G212500;TraesCS3D01G193200;TraesCS3B01G290300;TraesCS4D01G203900;TraesCS3B01G132700;TraesCS4D01G134400;TraesCS6A01G168900;TraesCS4B01G255600;TraesCS2A01G278400;TraesCS1A01G361000;TraesCS2B01G419100;TraesCS5D01G347600;TraesCS1B01G289300;TraesCS2D01G398500;TraesCS5B01G357100;TraesCS2B01G591000;TraesCS4B01G044400;TraesCS4B01G124300;TraesCS7D01G539500;TraesCS4A01G269700;TraesCS3B01G119500;TraesCS7D01G114200;TraesCS4B01G277600;TraesCS5B01G071100;TraesCS2D01G399600;TraesCS4D01G243100;TraesCS2B01G219700;TraesCS4D01G132000;TraesCS6A01G223900;TraesCS3B01G247500;TraesCS5B01G107100;TraesCS3B01G507100;TraesCS2B01G232900;TraesCS4D01G122200;TraesCS7A01G419500;TraesCS3D01G024500;TraesCS5D01G400500;TraesCS4A01G187600;TraesCS6A01G255700;TraesCS5B01G440600;TraesCS4B01G246000;TraesCS4D01G259900;TraesCS2A01G452500;TraesCS3B01G373100;TraesCS5D01G078300;TraesCS1A01G088900;TraesCS6A01G285100;TraesCS5D01G225900;TraesCS3B01G413200;TraesCS2B01G446100;TraesCS7A01G085900;TraesCS4A01G103500;TraesCS2A01G214100;TraesCS5A01G209200;TraesCS5B01G460200;TraesCS2A01G438200;TraesCS4D01G057600;TraesCS2B01G413200;TraesCS4D01G296400;TraesCS7A01G313000;TraesCS1A01G312300;TraesCS2B01G562100;TraesCS7D01G254000;TraesCS7A01G279100;TraesCS2A01G428400;TraesCS2D01G369400;TraesCS1D01G107000;TraesCS7D01G143600;TraesCS3D01G348500;TraesCS2A01G368700;TraesCS2A01G399200;TraesCS2B01G414500;TraesCS3A01G298600;TraesCS6D01G235500;TraesCS1B01G377700;TraesCS6A01G210000;TraesCS6D01G138000;TraesCS4D01G222600;TraesCS5A01G213700;TraesCS3A01G288800;TraesCS5A01G360200;TraesCS5B01G485500;TraesCS6A01G116000;TraesCS4B01G052200;TraesCS2A01G499800;TraesCS5B01G397100;TraesCS3A01G251300;TraesCS4A01G186700;TraesCS5B01G074000;TraesCS2B01G519900;TraesCS5D01G564000;TraesCS1D01G312500;TraesCS3B01G479400;TraesCS7D01G327600;TraesCS3B01G110100;TraesCS5A01G136200;TraesCS1A01G073200;TraesCS5A01G235700;TraesCS2B01G319600;TraesCS5D01G369400;TraesCS6B01G231800;TraesCS7D01G443200;TraesCS3B01G218800;TraesCS2D01G335600;TraesCS7B01G116700;TraesCS2D01G366100;TraesCS6A01G271800;TraesCS1B01G226800;TraesCS2B01G351100;TraesCS1A01G158600;TraesCS5B01G191300;TraesCS3B01G021900;TraesCS4D01G021200;TraesCS3B01G388400;TraesCS3B01G575600;TraesCS4A01G081700;TraesCS5B01G016100;TraesCS5D01G182100;TraesCS2A01G057800;TraesCS5B01G217500;TraesCS2D01G055600;TraesCS6D01G280700;TraesCS7A01G143800;TraesCS2D01G393900;TraesCS4A01G033400;TraesCS6B01G045700;TraesCS6B01G392700;TraesCS2D01G574000;TraesCS2B01G093100;TraesCS3D01G160500;TraesCS5D01G003800;TraesCS7A01G037600;TraesCS5A01G454500;TraesCS5B01G193700;TraesCS2A01G365000;TraesCS3A01G183600;TraesCS6B01G192400;TraesCS1B01G459800;TraesCS6D01G164700;TraesCS1B01G305200;TraesCS3D01G356300;TraesCS3A01G278800;TraesCS4D01G223900;TraesCS4B01G132100;TraesCS6B01G105800;TraesCS4A01G221500;TraesCS5B01G064400;TraesCS1A01G295300;TraesCS4A01G020100;TraesCS5B01G219700;TraesCS2B01G201100</t>
  </si>
  <si>
    <t>negative regulation of programmed cell death</t>
  </si>
  <si>
    <t>TraesCS1D01G073100;TraesCS7D01G548200;TraesCS2B01G208900;TraesCS6D01G226300;TraesCS5B01G482400;TraesCS7D01G392800;TraesCS5D01G482800;TraesCS7A01G470400;TraesCS2B01G180500;TraesCS2B01G585100;TraesCS4D01G045300;TraesCS6D01G039300;TraesCS4B01G045400;TraesCS2A01G553500;TraesCS4B01G100100;TraesCS4D01G096400;TraesCS4D01G222600;TraesCS7B01G372400;TraesCS2A01G155500;TraesCS4B01G222100;TraesCS4D01G176300;TraesCS5A01G177800;TraesCS5D01G207400;TraesCS1A01G215600;TraesCS1B01G229100;TraesCS2D01G392800;TraesCS5B01G200000;TraesCS2D01G077300;TraesCS4A01G216100;TraesCS4D01G176200;TraesCS7A01G561600;TraesCS5A01G469800;TraesCS7D01G457800;TraesCS7B01G299200;TraesCS4A01G081700;TraesCS6B01G280300;TraesCS2A01G384100;TraesCS2A01G080000;TraesCS1D01G144600;TraesCS5B01G175100;TraesCS5D01G182100;TraesCS1A01G295300;TraesCS1B01G164200</t>
  </si>
  <si>
    <t>regulation of cell death</t>
  </si>
  <si>
    <t>TraesCS5A01G499900;TraesCS3B01G553900;TraesCS6B01G074200;TraesCS3B01G389400;TraesCS4B01G223400;TraesCS5D01G407400;TraesCS1B01G274400;TraesCS2A01G389900;TraesCS3A01G414400;TraesCS6B01G169700;TraesCS5B01G491000;TraesCS2A01G262800;TraesCS2A01G469900;TraesCS2D01G479100;TraesCS7D01G423800;TraesCS2B01G177500;TraesCS3D01G072000;TraesCS5A01G469000;TraesCS5A01G129500;TraesCS6D01G130800;TraesCS1A01G139500;TraesCS4A01G499200;TraesCS4A01G109200;TraesCS5B01G104500;TraesCS7A01G131700;TraesCS4D01G187800;TraesCS6A01G259200;TraesCS2B01G350500;TraesCS5B01G209800;TraesCS4B01G209100;TraesCS5B01G347900;TraesCS3D01G350300;TraesCS5D01G157600;TraesCS4B01G088700;TraesCS2B01G520300;TraesCS4D01G032000;TraesCS6D01G049600;TraesCS2D01G554900;TraesCS1B01G370900;TraesCS2D01G540500;TraesCS4D01G150300;TraesCS3B01G446500;TraesCS5B01G182000;TraesCS6A01G297500;TraesCS4A01G181400;TraesCS2A01G546600;TraesCS5D01G535700;TraesCS4A01G035900;TraesCS2A01G005100;TraesCS2B01G382300;TraesCS1A01G277400;TraesCS5D01G490700;TraesCS4B01G270600;TraesCS6A01G271300;TraesCS1B01G446400;TraesCS5A01G477900;TraesCS5B01G101200;TraesCS2A01G396200;TraesCS5B01G135200;TraesCS6B01G398500;TraesCS6D01G332200;TraesCS7B01G102000;TraesCS1D01G221000;TraesCS2D01G392500;TraesCS3B01G126400;TraesCS5D01G513700;TraesCS2D01G506600;TraesCS7B01G433000;TraesCS5B01G318100;TraesCS3D01G444900;TraesCS4B01G210100;TraesCS4A01G225500;TraesCS7B01G469000;TraesCS3A01G136100;TraesCS4A01G251600;TraesCS2B01G151100;TraesCS6B01G351600;TraesCS6D01G198600;TraesCSU01G151900;TraesCS7D01G178000;TraesCS1D01G302500;TraesCS3A01G107600;TraesCS1A01G134000;TraesCS3A01G103000;TraesCS5A01G403200;TraesCS2A01G479900;TraesCS3B01G538300;TraesCS5D01G269400;TraesCS6D01G289700;TraesCS6A01G353700;TraesCS2D01G207800;TraesCS2B01G139200;TraesCS4A01G050000;TraesCS4B01G003300;TraesCS5B01G491200;TraesCS5D01G464000;TraesCS6B01G192900;TraesCS6B01G346000;TraesCS1B01G285500;TraesCS7D01G377600;TraesCS5D01G232100;TraesCS2D01G174800;TraesCS5D01G183700;TraesCS1D01G263900;TraesCS4B01G377900;TraesCS5A01G216000;TraesCS1B01G187900;TraesCS1B01G164800;TraesCS3D01G010800;TraesCS5D01G491600;TraesCS5B01G192000;TraesCS7D01G271600;TraesCS4B01G327800;TraesCS5D01G524800;TraesCS6A01G305000;TraesCS6D01G276600;TraesCS5A01G057100;TraesCS3B01G125500;TraesCS1D01G335400;TraesCS3B01G421200;TraesCS6A01G377700;TraesCS2A01G546400;TraesCS5A01G513000;TraesCS2D01G529500;TraesCS2A01G121200;TraesCS4B01G097000;TraesCS5A01G343000;TraesCS5B01G526000;TraesCS7D01G087100;TraesCS6A01G250800;TraesCS3D01G225900;TraesCS6B01G406200;TraesCS7B01G332300;TraesCS1B01G283300;TraesCS1D01G080800;TraesCS1D01G106000;TraesCS4D01G172100;TraesCS1A01G435400;TraesCS2A01G323000;TraesCS4D01G176700;TraesCS3D01G041500;TraesCS1A01G118800;TraesCS6A01G225400;TraesCS7B01G171000;TraesCS6D01G038500;TraesCS4B01G237600;TraesCS6B01G059000;TraesCS2B01G306600;TraesCS7D01G080700;TraesCS4B01G086100;TraesCS5A01G153400;TraesCS3A01G448400;TraesCS7A01G277500;TraesCS3A01G356600;TraesCS6A01G140800;TraesCS5B01G404800;TraesCSU01G145600;TraesCS2A01G318300;TraesCS5B01G490300;TraesCS1A01G079500;TraesCS3D01G293800;TraesCS4D01G087800;TraesCS5D01G084300;TraesCS2D01G246800;TraesCS2B01G537800;TraesCS3B01G389000;TraesCS7D01G523800;TraesCS3B01G394600;TraesCS7A01G480100;TraesCS5B01G174200;TraesCS7B01G254100;TraesCS3A01G038300;TraesCS3D01G407100;TraesCS7A01G031700;TraesCS6A01G365100;TraesCS2D01G423700;TraesCS7D01G415100;TraesCS1A01G221400;TraesCS3D01G364300;TraesCS6D01G353300;TraesCS5A01G129100;TraesCS1D01G089400;TraesCS2D01G279500;TraesCS3D01G305300;TraesCS4B01G268700;TraesCS2D01G445500;TraesCS3A01G413700;TraesCS1D01G144900;TraesCS3D01G442100;TraesCS5A01G512800;TraesCS6D01G284200;TraesCS2B01G268800;TraesCS1D01G004600;TraesCS6B01G406000;TraesCS4D01G014400;TraesCS5B01G224800;TraesCS5D01G491400;TraesCS5D01G271100;TraesCS4A01G181800;TraesCS2A01G488000;TraesCS5A01G106000;TraesCS5D01G026400;TraesCS1B01G056900;TraesCS3A01G280500;TraesCS3D01G036100;TraesCS3D01G011000;TraesCS1D01G080600;TraesCS6A01G067800;TraesCS1A01G187400;TraesCS1A01G078200;TraesCS2B01G381600;TraesCS2B01G536500;TraesCS5B01G156800;TraesCS2A01G064900;TraesCS5A01G375000;TraesCS5A01G543900;TraesCS2A01G078100;TraesCS4B01G174300;TraesCS2A01G479500;TraesCS4A01G196000;TraesCS4D01G339300;TraesCS5B01G163500;TraesCS2D01G288000;TraesCS5B01G490500;TraesCS5D01G098900;TraesCS4D01G238600;TraesCS3D01G084600;TraesCS7B01G034000;TraesCS4D01G031800;TraesCS3A01G414600;TraesCS5B01G128100;TraesCS1D01G380000;TraesCS2B01G569600;TraesCS5B01G048500;TraesCS3D01G447600;TraesCS4A01G203300;TraesCS2D01G016900;TraesCS2A01G539500;TraesCS3D01G240900;TraesCS4A01G279100;TraesCS3B01G256500;TraesCS7B01G349100;TraesCS5B01G363800;TraesCS3B01G164700;TraesCS6D01G164000;TraesCS6B01G280300;TraesCS6B01G340300;TraesCS4D01G030700;TraesCS7A01G449500;TraesCS7D01G157300;TraesCS3D01G350100;TraesCS7A01G242800;TraesCS7D01G507100;TraesCS6B01G051900;TraesCS5A01G505000;TraesCS5B01G402800;TraesCS4D01G240900;TraesCS2B01G336400;TraesCS6A01G226100;TraesCS6D01G146500;TraesCS6D01G226300;TraesCS5A01G426500;TraesCS6B01G173100;TraesCS3B01G593700;TraesCS6A01G097400;TraesCS6D01G300600;TraesCS4D01G222000;TraesCS1A01G095800;TraesCS7D01G471300;TraesCS4B01G305600;TraesCS1D01G080400;TraesCS5B01G382100;TraesCS4B01G033100;TraesCS4B01G037700;TraesCS4D01G176300;TraesCS5A01G549000;TraesCS7B01G433200;TraesCS1A01G303100;TraesCS7A01G473600;TraesCS7B01G175200;TraesCS3A01G387600;TraesCS1A01G177800;TraesCS2A01G490500;TraesCS7D01G188000;TraesCS5B01G152400;TraesCS7B01G465000;TraesCS6B01G256200;TraesCS3B01G106600;TraesCS5D01G333700;TraesCS4A01G229900;TraesCS5A01G543700;TraesCS4A01G202200;TraesCS7D01G457000;TraesCS5D01G323900;TraesCS1B01G001800;TraesCS3D01G408000;TraesCS2B01G614100;TraesCS2B01G394700;TraesCS7D01G086900;TraesCS1B01G234500;TraesCS6B01G382800;TraesCS5D01G233800;TraesCS3A01G109300;TraesCS3A01G120100;TraesCS2A01G198600;TraesCS5D01G518700;TraesCS1A01G122500;TraesCS6A01G141500;TraesCS1B01G096300;TraesCS3A01G410600;TraesCS4D01G079900;TraesCS7D01G435100;TraesCS7B01G225500;TraesCS4B01G037800;TraesCS5D01G475900;TraesCS7B01G347000;TraesCS1A01G395100;TraesCS7D01G085800;TraesCS6D01G195900;TraesCS7D01G438600;TraesCS3D01G104500;TraesCS5A01G224100;TraesCS3B01G489700;TraesCS5A01G201200;TraesCS5D01G142800;TraesCS7B01G328500;TraesCS2D01G157800;TraesCS2A01G199700;TraesCS4A01G218200;TraesCS2B01G515600;TraesCS6A01G349700;TraesCS7A01G516900;TraesCS3D01G520900;TraesCS7B01G350200;TraesCS5B01G490800;TraesCS3A01G153000;TraesCS4B01G378300;TraesCS1A01G077500;TraesCS6A01G165500;TraesCS6D01G085100;TraesCS6B01G284000;TraesCS3D01G381800;TraesCS5A01G166100;TraesCS3B01G348200;TraesCS4D01G268000;TraesCS5A01G477100;TraesCS7D01G024200;TraesCS4D01G031700;TraesCS2A01G509900;TraesCS3B01G448000;TraesCS3D01G147200;TraesCS4B01G377200;TraesCS1A01G078600;TraesCS4D01G147800;TraesCS3D01G084900;TraesCS7A01G537600;TraesCS5A01G478200;TraesCS2B01G333600;TraesCS7A01G091400;TraesCS1A01G238800;TraesCS4A01G049500;TraesCS7D01G197300;TraesCS5D01G413200;TraesCS2A01G401400;TraesCS3D01G421000;TraesCS3D01G148300;TraesCS7A01G523400;TraesCS6B01G269900;TraesCS1B01G393400;TraesCS2D01G326600;TraesCS7B01G434700;TraesCS7D01G449700;TraesCSU01G172100;TraesCS1B01G234700;TraesCS5A01G182400;TraesCS6D01G056600;TraesCS6D01G111700;TraesCS1A01G384000;TraesCS7D01G071200;TraesCS5B01G153300;TraesCSU01G003600;TraesCS5B01G214500;TraesCS6B01G255500;TraesCS7D01G263200;TraesCS5D01G137000;TraesCS6D01G210100;TraesCS5B01G428400;TraesCS3A01G317700;TraesCS7A01G406100;TraesCS1A01G332800;TraesCS3B01G419900;TraesCS7B01G372400;TraesCS2A01G184400;TraesCS3D01G011100;TraesCS7D01G085600;TraesCS5B01G489800;TraesCS4B01G033400;TraesCS2D01G157600;TraesCSU01G016900;TraesCS5A01G337100;TraesCS3B01G120600;TraesCS5D01G068000;TraesCS2B01G345600;TraesCS1B01G258900;TraesCS2A01G199900;TraesCS1A01G043900;TraesCS3A01G488400;TraesCS7B01G146400;TraesCS4A01G248900;TraesCS7B01G169500;TraesCS7D01G000400;TraesCS4D01G271200;TraesCS4B01G023600;TraesCS7A01G086000;TraesCS2A01G539100;TraesCS2A01G026800;TraesCS4A01G095800;TraesCS4D01G316400;TraesCS3D01G445000;TraesCS3A01G044800;TraesCS4B01G378100;TraesCS2B01G348900;TraesCS7B01G101500;TraesCS3A01G325100;TraesCS5D01G487900;TraesCS1B01G324000;TraesCS3D01G500100;TraesCS6A01G176400;TraesCS2D01G339900;TraesCS7B01G208100;TraesCS5A01G477300;TraesCS1A01G047000;TraesCS1A01G078400;TraesCS1D01G414700;TraesCS4D01G182800;TraesCS4B01G377000;TraesCS4B01G035800;TraesCS3A01G062200;TraesCS3B01G462500;TraesCS7D01G488800;TraesCS6B01G289500;TraesCS2A01G577800;TraesCS7B01G247000;TraesCS7D01G264300;TraesCS1D01G047900;TraesCS2D01G543000;TraesCS3A01G249300;TraesCS1A01G416100;TraesCS2D01G589200;TraesCS2D01G322200;TraesCS7D01G527600;TraesCS5D01G069700;TraesCS7B01G081700;TraesCS3D01G088200;TraesCS4D01G104100;TraesCS5B01G373000;TraesCS3A01G512900;TraesCS1D01G335500;TraesCS2D01G173900;TraesCS7D01G506900;TraesCS5B01G474500;TraesCS6A01G306800;TraesCS6D01G294800;TraesCSU01G116600;TraesCS2D01G276900;TraesCS3D01G109100;TraesCS3A01G452400;TraesCS4B01G033600;TraesCS5B01G078500;TraesCS1A01G072200;TraesCS5B01G303800;TraesCS4D01G195700;TraesCS4B01G016000;TraesCS5B01G225200;TraesCS1D01G125800;TraesCS2D01G315900;TraesCS4D01G242100;TraesCS7A01G271500;TraesCS3D01G350700;TraesCS2D01G540100;TraesCS3D01G499700;TraesCS4D01G347300;TraesCSU01G128800;TraesCS7B01G253700;TraesCS5A01G263200;TraesCS5A01G477500;TraesCS6B01G335400;TraesCS6A01G258500;TraesCS6D01G243000;TraesCS7A01G423900;TraesCS7D01G347300;TraesCS5A01G397800;TraesCS7B01G277900;TraesCS1A01G248200;TraesCS3B01G154000;TraesCS2A01G008100;TraesCS5D01G082700;TraesCS6B01G149900;TraesCS6D01G133900;TraesCS7B01G170500;TraesCS3A01G082900;TraesCS4A01G009400;TraesCS1D01G217700;TraesCS6B01G091700;TraesCS4A01G129800;TraesCS7A01G384500;TraesCS1D01G054600;TraesCS6D01G358000;TraesCS2A01G368600;TraesCS7D01G342900;TraesCS7A01G267200;TraesCSU01G137500;TraesCS5B01G325800;TraesCS5B01G403100;TraesCS5D01G223800;TraesCS3D01G149600;TraesCS3D01G408900;TraesCS5D01G335100;TraesCS5B01G519400;TraesCS2B01G177300;TraesCS5D01G297200;TraesCS5A01G463100;TraesCS4A01G034600;TraesCS5D01G070900;TraesCS4D01G032200;TraesCS6D01G050900;TraesCS3B01G179500;TraesCS4B01G346900;TraesCS5A01G159000;TraesCSU01G002900;TraesCS1A01G077700;TraesCS4D01G127600;TraesCS4D01G209500;TraesCS1D01G333500;TraesCS2D01G509500;TraesCS2A01G437200;TraesCS3D01G499900;TraesCS4B01G182900;TraesCS2B01G007700;TraesCS2B01G223000;TraesCS3D01G183700;TraesCS3A01G391400;TraesCS1D01G103800;TraesCS1A01G365100;TraesCS1A01G215100;TraesCS7D01G364900;TraesCS2D01G543400;TraesCS4B01G377400;TraesCS2D01G206400;TraesCS5D01G014800;TraesCS1D01G123400;TraesCS3A01G356200;TraesCS7A01G091200;TraesCS2A01G053300;TraesCS2B01G595300;TraesCS6A01G211400;TraesCS6D01G236900;TraesCS2B01G262800;TraesCS3D01G532300;TraesCSU01G075000;TraesCS1B01G095600;TraesCS5A01G545200;TraesCS7A01G189900;TraesCS7B01G440900;TraesCS7D01G420400;TraesCS4D01G324800;TraesCS6A01G240700;TraesCS3B01G536200;TraesCS4D01G230400;TraesCS7B01G346600;TraesCS2D01G540600;TraesCS6A01G201100;TraesCS2A01G167300;TraesCS3D01G250800;TraesCS4A01G406100;TraesCS5D01G490600;TraesCS7D01G131000;TraesCS5B01G231600;TraesCS6D01G380400;TraesCS5A01G152400;TraesCS1A01G162400;TraesCS3D01G405200;TraesCS5A01G326800;TraesCS6B01G406300;TraesCS7A01G381300;TraesCS4B01G142200;TraesCS3B01G552700;TraesCS5A01G280700;TraesCS5B01G135100;TraesCS1B01G126600;TraesCS1D01G106100;TraesCS5B01G082500;TraesCS4B01G335100;TraesCS7D01G136700;TraesCS7A01G450400;TraesCS2B01G198100;TraesCS6A01G225300;TraesCS2D01G250100;TraesCS3A01G084700;TraesCS2D01G231600;TraesCS7A01G156900;TraesCS2A01G248400;TraesCS7A01G447000;TraesCS3A01G061600;TraesCS7B01G092200;TraesCS4D01G093300;TraesCS2A01G378900;TraesCS3D01G136900;TraesCS5B01G222900;TraesCS2B01G279200;TraesCS6B01G209100;TraesCS6D01G358700;TraesCS4A01G234100;TraesCS5D01G407500;TraesCS2A01G395000;TraesCS3B01G423300;TraesCS4A01G385300;TraesCS1A01G002500;TraesCS7A01G094100;TraesCS6D01G369400;TraesCS7D01G133400;TraesCS1A01G424200;TraesCS6D01G153600;TraesCS2B01G489700;TraesCS3A01G449400;TraesCS3B01G279900;TraesCS3D01G209100;TraesCS2A01G325100;TraesCS7A01G335400;TraesCS5B01G288700;TraesCS1D01G072200;TraesCS1D01G118300;TraesCS7D01G507000;TraesCS4D01G187900;TraesCS5B01G490000;TraesCS4D01G032100;TraesCS5D01G170700;TraesCS1D01G346200;TraesCS7B01G287100;TraesCS3D01G285700;TraesCS4D01G125000;TraesCS1D01G004500;TraesCS5D01G491500;TraesCS7B01G346800;TraesCS6A01G331400;TraesCS7A01G542600;TraesCS5B01G245800;TraesCS1B01G251600;TraesCS1D01G310000;TraesCS3D01G225800;TraesCS7A01G075600;TraesCS6B01G125800;TraesCS4D01G035200;TraesCS1D01G176400;TraesCS5D01G410500;TraesCS6D01G254700;TraesCS2B01G339600;TraesCS1A01G095500;TraesCS1D01G074600;TraesCS2D01G375200;TraesCS1D01G037200;TraesCS6D01G240300;TraesCS7A01G428300;TraesCS1A01G169000;TraesCS5B01G318200;TraesCS3A01G012400;TraesCS5D01G306400;TraesCS7A01G254300;TraesCS3A01G176900;TraesCS1A01G219400;TraesCS4A01G110100;TraesCS5D01G136600;TraesCS5B01G117700;TraesCS5A01G390300;TraesCS7B01G323700;TraesCSU01G145300;TraesCS5A01G059400;TraesCS2B01G585100;TraesCS6D01G222900;TraesCS3D01G192800;TraesCS5A01G028700;TraesCS5A01G544500;TraesCS2D01G203300;TraesCS6B01G423900;TraesCS5B01G491300;TraesCS3B01G354000;TraesCS1A01G344000;TraesCS7A01G251000;TraesCS5B01G059900;TraesCS4D01G174400;TraesCS6A01G174900;TraesCS1A01G141900;TraesCS3A01G152500;TraesCS5B01G246900;TraesCSU01G127900;TraesCS4B01G377800;TraesCS3D01G010900;TraesCS3A01G266300;TraesCS5D01G491700;TraesCSU01G021700;TraesCS5A01G476900;TraesCS1A01G029800;TraesCS7A01G187000;TraesCS1D01G004700;TraesCS4B01G378000;TraesCS5D01G491300;TraesCS7A01G231600;TraesCS4D01G064800;TraesCS5D01G254900;TraesCS1D01G035200;TraesCS4A01G181900;TraesCS3B01G446800;TraesCS4B01G106500;TraesCS2A01G505800;TraesCS5D01G026300;TraesCS2A01G232200;TraesCS2A01G425800;TraesCS2A01G446500;TraesCS7D01G511700;TraesCS3A01G513200;TraesCS2B01G536600;TraesCS5B01G200000;TraesCS5D01G490200;TraesCS5A01G186000;TraesCS7D01G467100;TraesCS5D01G411400;TraesCS1B01G382600;TraesCS4B01G132800;TraesCS5D01G434500;TraesCS3B01G240000;TraesCS1D01G175500;TraesCS4A01G100900;TraesCS4B01G174200;TraesCS7D01G512800;TraesCS2A01G290100;TraesCS7A01G273000;TraesCSU01G145500;TraesCS5B01G490400;TraesCS2B01G193500;TraesCS2D01G555000;TraesCS7D01G273100;TraesCS1A01G308700;TraesCS7A01G470400;TraesCS3A01G491300;TraesCS4B01G149000;TraesCS3B01G389100;TraesCS5D01G437800;TraesCS6D01G243800;TraesCS1A01G069600;TraesCS2B01G569500;TraesCS5A01G253700;TraesCS3D01G407000;TraesCS1A01G051700;TraesCS4A01G130300;TraesCS5A01G492100;TraesCS4A01G279200;TraesCS5B01G223600;TraesCS2B01G419400;TraesCS6D01G353400;TraesCS7A01G134000;TraesCS1D01G209400;TraesCS7D01G243700;TraesCS5A01G076600;TraesCS5B01G396800;TraesCS5D01G331600;TraesCS7A01G449600;TraesCS6A01G310300;TraesCS5D01G491100;TraesCS6D01G276900;TraesCS2A01G198400;TraesCS7D01G460500;TraesCS2A01G152400;TraesCS4A01G076900;TraesCS5B01G428000;TraesCS1A01G245300;TraesCS1B01G066400;TraesCS4A01G352200;TraesCS5A01G301700;TraesCSU01G007800;TraesCS1B01G219300;TraesCS5A01G378600;TraesCS4A01G226300;TraesCS7D01G387300;TraesCS5A01G248100;TraesCS6A01G296700;TraesCS2B01G357200;TraesCS4A01G132300;TraesCS7D01G188100;TraesCS1B01G371900;TraesCS1A01G351600;TraesCS7D01G417600;TraesCS1B01G195800;TraesCS6A01G376300;TraesCS7D01G077600;TraesCS4D01G031900;TraesCS5D01G310500;TraesCSU01G025000;TraesCS4D01G176200;TraesCS7B01G433100;TraesCS6B01G151000;TraesCS6B01G256300;TraesCS7D01G430800;TraesCS1D01G175700;TraesCS5A01G329200;TraesCS1D01G359100;TraesCS6B01G091000;TraesCS7A01G391700;TraesCS3B01G139600;TraesCS3D01G408100;TraesCS7B01G247500;TraesCS1B01G001900;TraesCS4D01G240800;TraesCS5D01G388500;TraesCS7B01G293600;TraesCS6D01G207700;TraesCS4D01G339200;TraesCSU01G145700;TraesCS5B01G184100;TraesCS5B01G490600;TraesCS5B01G430100;TraesCS7D01G523900;TraesCS3A01G227800;TraesCS3B01G268800;TraesCS3D01G084700;TraesCS5D01G353400;TraesCSU01G152000;TraesCS4A01G186100;TraesCS3D01G384200;TraesCS2B01G395900;TraesCS3B01G581600;TraesCS2A01G539600;TraesCS6A01G227300;TraesCS4B01G203900;TraesCS7B01G349000;TraesCS4A01G094300;TraesCS5A01G400000;TraesCS2B01G606600;TraesCS2D01G488300;TraesCS5D01G111500;TraesCS6A01G404500;TraesCS3A01G413600;TraesCS4A01G164100;TraesCS2A01G315100;TraesCS3D01G350200;TraesCS5B01G402900;TraesCS5D01G281200;TraesCS6D01G154100;TraesCS5B01G490700;TraesCS3D01G321400;TraesCS5D01G231500;TraesCS3A01G285700;TraesCS2D01G248700;TraesCS7D01G508800;TraesCS2D01G509400;TraesCS5D01G036500;TraesCS5A01G000900;TraesCS4D01G238800;TraesCS3D01G336900;TraesCS5D01G160100;TraesCS5D01G142900;TraesCS7B01G122500;TraesCS4B01G215100;TraesCS4D01G031600;TraesCSU01G128300;TraesCS3A01G107000;TraesCS2B01G504600;TraesCS3D01G147100;TraesCS2D01G398700;TraesCS5D01G207400;TraesCS5B01G202700;TraesCS2D01G543300;TraesCS7B01G326200;TraesCS2D01G141100;TraesCS3B01G128000;TraesCS5B01G262900;TraesCS3B01G328700;TraesCS5A01G478300;TraesCS4B01G170000;TraesCS7A01G091500;TraesCS4A01G391100;TraesCS1B01G313400;TraesCS6A01G144900;TraesCS7A01G537500;TraesCS3A01G537700;TraesCS4A01G175600;TraesCS5D01G233700;TraesCS5D01G491000;TraesCS4A01G232600;TraesCS4B01G174800;TraesCS7D01G439800;TraesCS2A01G152500;TraesCS4B01G149400;TraesCS3D01G375000;TraesCS2A01G322500;TraesCS7A01G133200;TraesCS7A01G195800;TraesCS5A01G137700;TraesCS6D01G155100;TraesCS4A01G082400;TraesCS6D01G239700;TraesCS5B01G403000;TraesCS1D01G044300;TraesCS2D01G396300;TraesCS4B01G033300;TraesCS7D01G438700;TraesCS4B01G037900;TraesCS7A01G432100;TraesCS6D01G030300;TraesCS3B01G256400;TraesCS2D01G157900;TraesCS5A01G205700;TraesCS7A01G516800;TraesCS4D01G131100;TraesCS3B01G282500;TraesCS5A01G453200;TraesCS5B01G490900;TraesCS2D01G509200;TraesCS4D01G255100;TraesCS5B01G327700;TraesCS3A01G132000;TraesCS3D01G193200;TraesCS3D01G500000;TraesCS7D01G244800;TraesCS6A01G119900;TraesCS3A01G189300;TraesCS1A01G202300;TraesCS5B01G151000;TraesCS3B01G448100;TraesCS5A01G263500;TraesCS3B01G486100;TraesCS6D01G065200;TraesCS5A01G477400;TraesCS7A01G186900;TraesCS4B01G062800;TraesCS4B01G079000;TraesCS2B01G226000;TraesCS1A01G112600;TraesCS1A01G177300;TraesCS1D01G114200;TraesCS4B01G377100;TraesCS7A01G373100;TraesCSU01G211400;TraesCS2D01G547700;TraesCS1D01G370600;TraesCS4B01G344200;TraesCS3B01G351500;TraesCS1A01G205800;TraesCS5D01G436200;TraesCS2D01G313400;TraesCS3B01G449200;TraesCS1D01G104400;TraesCS2B01G048700;TraesCS6B01G403400;TraesCS7A01G483700;TraesCS3D01G484900;TraesCS1D01G239000;TraesCS5A01G361100;TraesCS1D01G222800;TraesCS5A01G233100;TraesCS4A01G320100;TraesCS7D01G206100;TraesCS3D01G266400;TraesCS2B01G367500;TraesCS3B01G278200;TraesCS7D01G338700;TraesCS6A01G209600;TraesCS1D01G079600;TraesCS6B01G169000;TraesCS2A01G553500;TraesCS4A01G027800;TraesCS4B01G135200;TraesCS1B01G096400;TraesCS2D01G511300;TraesCS7A01G306100;TraesCS5B01G462200;TraesCS4A01G277100;TraesCS7A01G419500;TraesCS7B01G061100;TraesCS4D01G194900;TraesCS5A01G262200;TraesCS6B01G204400;TraesCS7D01G053900;TraesCS5D01G348900;TraesCS2B01G557100;TraesCS2D01G273700;TraesCS4B01G136300;TraesCS3D01G440900;TraesCS6A01G255700;TraesCS4A01G123100;TraesCS1B01G456700;TraesCS4D01G158400;TraesCS5D01G369200;TraesCS5D01G256400;TraesCS4A01G117900;TraesCS5A01G544400;TraesCS5D01G078300;TraesCS1B01G134500;TraesCS3D01G122200;TraesCS1D01G273500;TraesCS5A01G477600;TraesCS5A01G303400;TraesCS3B01G609400;TraesCS2B01G446100;TraesCS3B01G361100;TraesCS7B01G242100;TraesCS7B01G439400;TraesCS5D01G436000;TraesCS7A01G373300;TraesCS5A01G070600;TraesCS6D01G032300;TraesCS3B01G552300;TraesCS4B01G237300;TraesCS2A01G438200;TraesCS4A01G135100;TraesCS7B01G094900;TraesCS3B01G238600;TraesCS1D01G223000;TraesCS2B01G413200;TraesCS5D01G373700;TraesCS1A01G312300;TraesCS2A01G277900;TraesCS2B01G159800;TraesCS7A01G518800;TraesCS6A01G043000;TraesCS6A01G121600;TraesCS7D01G271800;TraesCS1B01G316300;TraesCS2D01G521700;TraesCS7A01G246200;TraesCS7B01G323100;TraesCS3A01G294000;TraesCS5A01G347000;TraesCS6D01G348500;TraesCS7B01G145200;TraesCS2B01G414500;TraesCS2D01G337800;TraesCS2A01G364100;TraesCS6D01G210200;TraesCS1D01G239600;TraesCS3A01G139900;TraesCS2D01G157500;TraesCS4D01G069600;TraesCS3B01G166100;TraesCS4B01G295200;TraesCS4D01G103100;TraesCS7A01G339600;TraesCS5B01G074000;TraesCS6D01G350800;TraesCS7A01G245100;TraesCS1D01G312500;TraesCS2D01G361900;TraesCS3A01G012500;TraesCS4D01G303800;TraesCS5D01G054300;TraesCS7B01G272100;TraesCS2A01G391700;TraesCS2D01G386100;TraesCS2A01G388300;TraesCS2B01G467400;TraesCS2D01G063000;TraesCS7D01G250900;TraesCS5A01G136200;TraesCS7A01G422700;TraesCS2B01G504000;TraesCS5D01G210600;TraesCS7B01G161500;TraesCS4A01G183600;TraesCS2D01G207400;TraesCS4D01G087200;TraesCS3B01G167400;TraesCS6A01G058300;TraesCS5A01G317600;TraesCS7A01G176700;TraesCS1B01G250900;TraesCS3B01G218800;TraesCS2B01G518400;TraesCS4A01G080600;TraesCS5D01G490800;TraesCS3B01G520500;TraesCS7A01G454300;TraesCS5D01G565100;TraesCS1A01G273500;TraesCS2A01G534600;TraesCS7D01G305600;TraesCS5B01G405400;TraesCS5A01G477800;TraesCS6A01G363900;TraesCS7D01G058500;TraesCS4D01G021200;TraesCS2B01G572100;TraesCS3A01G454900;TraesCS5A01G397900;TraesCS2D01G392800;TraesCS5B01G076400;TraesCS7D01G268600;TraesCS4B01G377500;TraesCS2D01G543500;TraesCS7A01G308900;TraesCS5B01G114500;TraesCS1D01G189300;TraesCS5A01G325400;TraesCS3A01G356100;TraesCS3D01G522600;TraesCS7D01G436900;TraesCS2A01G057800;TraesCS1D01G104800;TraesCS6B01G298500;TraesCS5A01G044300;TraesCS2D01G261100;TraesCS5B01G356400;TraesCS1B01G423400;TraesCS2D01G429700;TraesCS3B01G595200;TraesCS1D01G403300;TraesCS2D01G393900;TraesCS6B01G414100;TraesCS4A01G033400;TraesCS4B01G099700;TraesCS5B01G285400;TraesCS5D01G407300;TraesCS5A01G428000;TraesCS3D01G483200;TraesCS2B01G093100;TraesCS7B01G032400;TraesCS6D01G159100;TraesCS3A01G206100;TraesCS5A01G213900;TraesCSU01G152800;TraesCS2D01G123300;TraesCS1B01G096800;TraesCS1A01G239400;TraesCS3D01G313600;TraesCS3A01G452500;TraesCS3A01G102200;TraesCS6D01G361500;TraesCS4A01G311000;TraesCS2D01G157300;TraesCS6B01G192400;TraesCS2D01G021600;TraesCS5D01G218100;TraesCS7D01G457800;TraesCS4B01G019600;TraesCS4A01G221500;TraesCS3A01G228100;TraesCS3B01G282300;TraesCS4B01G065700;TraesCS5B01G180400;TraesCS5D01G287300;TraesCSU01G222700</t>
  </si>
  <si>
    <t>TraesCS2D01G538400;TraesCS3B01G490000;TraesCS5D01G359000;TraesCS6A01G419200;TraesCS6D01G358600;TraesCS7D01G092900;TraesCS1B01G454000;TraesCS3B01G295000;TraesCS7B01G473700;TraesCS4B01G179600;TraesCS1B01G375100;TraesCS4A01G252900;TraesCS6A01G124500;TraesCS7B01G445000;TraesCS7A01G163300;TraesCS6B01G052400;TraesCS5D01G314100;TraesCS2B01G236800;TraesCS4D01G210900;TraesCS3D01G072000;TraesCS6B01G222200;TraesCS7A01G528200;TraesCS7D01G318600;TraesCS2D01G079200;TraesCS2A01G190200;TraesCS7A01G476700;TraesCS3A01G138300;TraesCS3A01G276200;TraesCS3D01G049000;TraesCS3A01G033000;TraesCS4B01G088700;TraesCS6D01G360900;TraesCS2D01G554900;TraesCS3A01G342000;TraesCS2D01G219800;TraesCS5B01G182000;TraesCS6B01G225700;TraesCS4D01G366100;TraesCS5D01G204700;TraesCS3D01G340500;TraesCS5B01G526200;TraesCS6A01G052100;TraesCS4B01G376800;TraesCS5A01G350800;TraesCS2A01G170600;TraesCS2D01G255700;TraesCS2D01G297300;TraesCS2A01G316500;TraesCS1A01G367200;TraesCS2A01G182800;TraesCS2A01G216700;TraesCS6B01G398500;TraesCS2A01G537900;TraesCS7B01G102000;TraesCS1A01G045300;TraesCS7D01G444700;TraesCS5A01G402100;TraesCS2B01G477600;TraesCS7B01G047300;TraesCS4B01G077600;TraesCS3D01G467600;TraesCS4B01G210100;TraesCS3D01G270300;TraesCS3A01G274000;TraesCS5B01G371800;TraesCS2B01G151100;TraesCS3D01G316400;TraesCS6D01G198600;TraesCS1D01G100900;TraesCS6A01G238500;TraesCS1A01G184500;TraesCS3A01G344400;TraesCS3A01G048700;TraesCS1B01G385100;TraesCS4A01G213500;TraesCS4A01G089700;TraesCS1D01G363500;TraesCS3A01G034300;TraesCS4B01G238700;TraesCS5D01G328300;TraesCS6D01G289700;TraesCS6A01G078700;TraesCS4A01G050000;TraesCS6A01G361100;TraesCS2D01G000300;TraesCS2D01G537100;TraesCS5D01G387900;TraesCS5D01G232100;TraesCS5A01G216000;TraesCS2D01G449900;TraesCS5B01G146100;TraesCS2D01G426600;TraesCS3D01G039400;TraesCS7B01G356500;TraesCS5D01G524800;TraesCS3B01G049700;TraesCS3B01G196900;TraesCS5A01G197200;TraesCS4A01G062000;TraesCS7B01G415400;TraesCS2B01G180500;TraesCS3D01G008700;TraesCS6A01G377700;TraesCS2D01G192000;TraesCS6A01G000500;TraesCS2D01G529500;TraesCS3B01G346500;TraesCS2B01G437300;TraesCS4B01G106000;TraesCS5B01G526000;TraesCS7D01G087100;TraesCS3D01G030600;TraesCS4B01G047100;TraesCS1A01G367000;TraesCS1D01G046000;TraesCS5A01G322300;TraesCS2A01G216500;TraesCS7D01G165300;TraesCS3A01G045200;TraesCS7B01G129500;TraesCS2D01G415700;TraesCS5D01G181500;TraesCS6A01G225400;TraesCS7D01G113900;TraesCS2A01G418300;TraesCS7B01G194100;TraesCS7A01G455800;TraesCS1D01G146900;TraesCS5B01G184600;TraesCS6D01G211900;TraesCS1D01G218200;TraesCS2D01G097700;TraesCS7A01G435300;TraesCS2B01G537800;TraesCS2D01G223000;TraesCS3A01G272900;TraesCS3B01G289400;TraesCS6D01G157900;TraesCS2B01G053300;TraesCS3B01G394600;TraesCS6D01G344600;TraesCS2D01G232400;TraesCS2D01G364400;TraesCS3A01G152200;TraesCS5B01G307600;TraesCS7A01G194900;TraesCS2D01G216700;TraesCS3D01G104100;TraesCS1A01G221400;TraesCS6A01G273100;TraesCS2D01G317400;TraesCS7A01G249000;TraesCS1B01G384900;TraesCS2A01G525300;TraesCS2D01G445500;TraesCS3B01G307700;TraesCS1B01G091900;TraesCS6B01G051700;TraesCS2D01G537700;TraesCS7D01G495700;TraesCS4A01G414700;TraesCS3A01G256200;TraesCS5A01G401400;TraesCS5B01G492700;TraesCS5B01G155700;TraesCS5B01G501300;TraesCS2B01G242200;TraesCS6A01G262200;TraesCS7D01G324900;TraesCS3D01G256400;TraesCS2B01G001400;TraesCS6B01G163100;TraesCS6B01G421400;TraesCS1A01G080500;TraesCS1A01G330500;TraesCS3A01G290300;TraesCS7B01G309900;TraesCS2B01G536500;TraesCS6D01G122100;TraesCS7A01G264400;TraesCS1D01G372600;TraesCS5A01G294600;TraesCSU01G111800;TraesCS5D01G063800;TraesCS6B01G204600;TraesCS2B01G096000;TraesCS5B01G538800;TraesCS2A01G479500;TraesCS6B01G412500;TraesCS7D01G248200;TraesCS2B01G229000;TraesCS2B01G124100;TraesCS1A01G304200;TraesCS6A01G312600;TraesCS7B01G069100;TraesCS2A01G493800;TraesCS6A01G155200;TraesCS5A01G297900;TraesCS3D01G290100;TraesCS3B01G153800;TraesCS3A01G261800;TraesCS4A01G029800;TraesCS7B01G395000;TraesCS7A01G528000;TraesCSU01G238700;TraesCS3A01G224400;TraesCS1B01G376000;TraesCS6B01G340300;TraesCS7A01G242800;TraesCS2D01G491600;TraesCS3B01G291900;TraesCS3A01G040800;TraesCS4D01G059300;TraesCS4D01G229900;TraesCS6A01G226100;TraesCS2A01G211200;TraesCS1D01G140300;TraesCS4B01G315400;TraesCS2A01G431100;TraesCS5A01G426500;TraesCS6B01G173100;TraesCS2A01G040900;TraesCS1A01G095800;TraesCS4D01G004400;TraesCS6A01G199000;TraesCS4B01G201600;TraesCS5A01G205500;TraesCS3D01G261800;TraesCS5B01G204900;TraesCS7D01G146400;TraesCS3A01G362200;TraesCS4A01G124800;TraesCS1D01G372400;TraesCS6A01G264800;TraesCS6B01G256200;TraesCS2D01G117200;TraesCS3B01G473100;TraesCS5B01G538600;TraesCS2B01G394700;TraesCS7D01G086900;TraesCS2B01G208900;TraesCS2A01G343100;TraesCS7D01G449500;TraesCS6A01G241000;TraesCS2D01G582800;TraesCS2D01G144500;TraesCS6B01G471400;TraesCS1B01G167700;TraesCS3B01G600300;TraesCS5D01G332200;TraesCS1D01G082600;TraesCS3B01G042700;TraesCS2A01G538200;TraesCS5D01G475900;TraesCS7A01G249400;TraesCS7D01G356200;TraesCS7D01G085800;TraesCS6A01G336600;TraesCS6B01G415700;TraesCS6A01G378000;TraesCS2D01G222300;TraesCS4D01G340500;TraesCS2A01G199700;TraesCS6D01G319900;TraesCS7B01G100600;TraesCS7A01G001900;TraesCS1A01G016100;TraesCS1D01G364000;TraesCS5D01G358600;TraesCS4B01G162700;TraesCS1D01G381800;TraesCS6B01G412400;TraesCS1A01G077500;TraesCS2D01G509300;TraesCS4A01G010000;TraesCS4A01G255400;TraesCS4D01G238900;TraesCS6D01G407400;TraesCS4D01G293200;TraesCS2D01G463100;TraesCS5A01G078400;TraesCS7D01G024200;TraesCS2A01G509900;TraesCS1B01G119600;TraesCS2B01G324900;TraesCS1A01G273600;TraesCS7A01G213000;TraesCS6A01G258900;TraesCS6B01G413500;TraesCS6D01G359100;TraesCS2A01G371600;TraesCS7D01G516100;TraesCS3D01G435400;TraesCS7A01G282200;TraesCS6D01G180400;TraesCS3A01G477300;TraesCS3D01G049700;TraesCS5D01G519800;TraesCS6B01G300500;TraesCS3D01G335700;TraesCS4B01G287300;TraesCS4A01G219500;TraesCS7A01G091400;TraesCS7D01G197300;TraesCS5A01G027000;TraesCS3B01G119600;TraesCS1A01G300000;TraesCS2A01G106500;TraesCS1A01G079700;TraesCS2D01G223600;TraesCS2D01G485300;TraesCS1D01G299400;TraesCS1B01G234700;TraesCS6D01G056600;TraesCS4B01G345400;TraesCS5A01G376700;TraesCS1A01G342600;TraesCS4A01G222900;TraesCS5B01G214500;TraesCS7D01G263200;TraesCS1B01G347100;TraesCS6D01G210100;TraesCS3B01G325100;TraesCS5B01G428400;TraesCS7D01G303700;TraesCS1D01G327000;TraesCS5D01G059300;TraesCS4A01G396700;TraesCS7D01G085600;TraesCS2B01G196400;TraesCS2D01G107100;TraesCSU01G016900;TraesCS5B01G326500;TraesCS1D01G372900;TraesCS2D01G455900;TraesCS2D01G577000;TraesCS3A01G064400;TraesCS4D01G126900;TraesCS3B01G166600;TraesCS3B01G288100;TraesCS5D01G188600;TraesCS7A01G365600;TraesCS2D01G296700;TraesCS3B01G156800;TraesCS1A01G048100;TraesCS7A01G223000;TraesCS3A01G122300;TraesCS6A01G190700;TraesCS7B01G101500;TraesCS3A01G254900;TraesCS3D01G172200;TraesCS3B01G004600;TraesCSU01G047400;TraesCS2D01G314400;TraesCS7D01G265400;TraesCS4A01G323500;TraesCS4D01G352700;TraesCS2D01G513600;TraesCS4D01G098600;TraesCS3D01G345700;TraesCS1A01G080700;TraesCS6A01G277600;TraesCS2B01G035300;TraesCS5B01G026200;TraesCS6B01G291800;TraesCS1D01G076200;TraesCS5B01G208300;TraesCS6B01G289500;TraesCS6B01G152700;TraesCS7A01G321600;TraesCS7D01G451300;TraesCS6A01G301300;TraesCS6B01G059800;TraesCS6D01G158300;TraesCS7B01G115900;TraesCS3D01G287800;TraesCS4D01G089300;TraesCS3D01G138900;TraesCS5B01G520600;TraesCS5B01G474500;TraesCS1A01G296300;TraesCS2B01G240800;TraesCS1D01G239700;TraesCS6A01G327500;TraesCS1D01G082200;TraesCS5A01G198800;TraesCS7D01G201600;TraesCS7D01G463300;TraesCS1D01G032600;TraesCS5B01G078500;TraesCS2D01G222700;TraesCS2D01G564300;TraesCS5A01G152800;TraesCS7A01G306800;TraesCS4A01G384500;TraesCS7D01G224700;TraesCS6A01G375800;TraesCS3B01G156200;TraesCS3D01G272300;TraesCS2D01G528200;TraesCS1B01G109400;TraesCS2B01G241900;TraesCS4B01G132000;TraesCS5B01G406800;TraesCS6D01G328800;TraesCS4B01G216700;TraesCS6D01G335300;TraesCS7D01G357100;TraesCS5B01G056700;TraesCS1A01G073300;TraesCS1B01G385200;TraesCS6A01G243000;TraesCS5A01G398900;TraesCS4B01G055600;TraesCS1B01G251700;TraesCS7A01G131300;TraesCS3A01G439200;TraesCS1B01G375400;TraesCS3B01G352300;TraesCS2B01G539200;TraesCS4D01G312400;TraesCS6D01G243000;TraesCS2B01G315100;TraesCS7A01G423900;TraesCS2A01G182400;TraesCS2A01G339900;TraesCS4D01G090300;TraesCS4B01G228700;TraesCS1B01G157700;TraesCS3D01G542300;TraesCS1A01G248200;TraesCS2D01G098200;TraesCS6B01G069800;TraesCS5A01G222300;TraesCS6D01G133900;TraesCS2A01G150600;TraesCS7A01G537200;TraesCS4A01G171500;TraesCS5A01G048600;TraesCS2A01G401000;TraesCS4A01G211600;TraesCS3D01G262300;TraesCS5D01G212900;TraesCS7A01G384500;TraesCS6D01G362500;TraesCS2A01G041100;TraesCS7A01G267200;TraesCS6D01G316600;TraesCS7A01G118300;TraesCS3D01G273200;TraesCS2A01G117800;TraesCS2D01G190200;TraesCS5D01G158100;TraesCS5D01G223800;TraesCS1D01G199000;TraesCS2A01G209900;TraesCS5A01G173300;TraesCS7D01G524300;TraesCS7D01G444400;TraesCS2A01G023900;TraesCS4D01G229100;TraesCS7D01G037700;TraesCS5D01G297200;TraesCS5A01G463100;TraesCS1D01G229700;TraesCS6D01G050900;TraesCS5A01G514500;TraesCS3B01G376300;TraesCS5A01G210300;TraesCS6D01G047500;TraesCS3D01G182600;TraesCS3D01G337900;TraesCS1B01G257200;TraesCS1D01G073100;TraesCS6D01G381200;TraesCS3B01G253900;TraesCS2D01G509500;TraesCS3B01G356700;TraesCS3B01G295500;TraesCS7D01G130600;TraesCS3B01G053800;TraesCS6A01G374700;TraesCS7D01G213600;TraesCS3B01G377600;TraesCS3A01G034600;TraesCS6D01G115200;TraesCS1A01G215100;TraesCS2D01G178100;TraesCS5B01G437300;TraesCS4D01G325500;TraesCS4D01G254500;TraesCS7D01G048600;TraesCS7A01G091200;TraesCS7D01G128300;TraesCS3B01G374100;TraesCS1B01G095600;TraesCS3D01G238000;TraesCS2A01G428500;TraesCS1D01G295800;TraesCS3D01G535700;TraesCS7B01G325900;TraesCS3A01G493100;TraesCS7B01G105600;TraesCS7D01G390900;TraesCS2B01G197000;TraesCS6B01G305600;TraesCS7A01G127100;TraesCS3D01G250800;TraesCS6B01G285900;TraesCS5B01G082500;TraesCS3A01G255600;TraesCS7D01G136700;TraesCS2A01G418200;TraesCS2B01G198100;TraesCS6A01G225300;TraesCS7D01G113800;TraesCS2A01G455600;TraesCS5B01G151600;TraesCS7A01G405600;TraesCS2B01G243000;TraesCS6D01G240100;TraesCS3D01G339600;TraesCS6B01G420600;TraesCS2D01G217500;TraesCS6B01G370000;TraesCS5D01G478700;TraesCS1A01G358600;TraesCS1A01G228100;TraesCS5D01G374300;TraesCS2A01G503800;TraesCS1A01G424200;TraesCS2B01G449200;TraesCS2B01G489700;TraesCS5A01G062600;TraesCS2B01G236900;TraesCS3B01G279900;TraesCS6B01G006600;TraesCSU01G008300;TraesCS3B01G206500;TraesCS5B01G334700;TraesCS2D01G321400;TraesCS1B01G157300;TraesCS2D01G504300;TraesCS5B01G288700;TraesCS2B01G271700;TraesCS2D01G275400;TraesCS7B01G255500;TraesCS1D01G118300;TraesCS2D01G197600;TraesCS1D01G259700;TraesCS7B01G356400;TraesCS3A01G096500;TraesCS2D01G219900;TraesCS5B01G381500;TraesCS6B01G225800;TraesCS7B01G287100;TraesCS2B01G365900;TraesCS5D01G340300;TraesCS3D01G472000;TraesCS2B01G437200;TraesCS4D01G215200;TraesCS3D01G500800;TraesCS3D01G036000;TraesCS5A01G085900;TraesCS1A01G367100;TraesCS2D01G214200;TraesCS5B01G380400;TraesCS1D01G303700;TraesCS2A01G346000;TraesCS1A01G095500;TraesCS2D01G415600;TraesCS7D01G356800;TraesCS7D01G316100;TraesCS1D01G037200;TraesCS2B01G243200;TraesCS6B01G197000;TraesCS2D01G428900;TraesCS3D01G316700;TraesCS5A01G369500;TraesCS3B01G158300;TraesCS4A01G110100;TraesCS4B01G214600;TraesCS1B01G089100;TraesCS3D01G178300;TraesCS2A01G217700;TraesCS5B01G138400;TraesCS2A01G324200;TraesCS1B01G385000;TraesCS3D01G048000;TraesCS3B01G591000;TraesCS3D01G136700;TraesCS1B01G217500;TraesCS3D01G527900;TraesCS1D01G273800;TraesCS1B01G058600;TraesCS2A01G237300;TraesCS6A01G204600;TraesCS2D01G344700;TraesCS5A01G335500;TraesCS3A01G138200;TraesCS6A01G135100;TraesCS3D01G039300;TraesCSU01G021700;TraesCS6D01G360800;TraesCS7D01G124900;TraesCS3A01G256300;TraesCS3D01G046000;TraesCS2B01G210700;TraesCS6A01G132400;TraesCS3A01G471700;TraesCS7B01G179900;TraesCS3B01G155900;TraesCS3B01G306500;TraesCS3D01G256500;TraesCS1A01G141300;TraesCS6D01G367600;TraesCS2D01G572600;TraesCS5A01G307200;TraesCS2A01G446500;TraesCS1A01G080600;TraesCS2B01G532000;TraesCS2B01G536600;TraesCS2D01G315100;TraesCS1D01G372700;TraesCS6D01G145100;TraesCS6D01G220900;TraesCS1A01G259900;TraesCS5D01G434500;TraesCS3B01G240000;TraesCS3D01G467300;TraesCS2D01G493700;TraesCS4A01G100900;TraesCS7B01G031900;TraesCS3B01G232600;TraesCS3D01G212100;TraesCS4A01G207800;TraesCS5D01G216400;TraesCS3B01G409400;TraesCS5D01G357800;TraesCS2B01G114000;TraesCS7D01G028400;TraesCS2A01G255300;TraesCS3B01G304300;TraesCS2B01G189000;TraesCS6A01G124800;TraesCS2A01G155500;TraesCS2A01G512100;TraesCS3A01G345800;TraesCS5D01G089900;TraesCS1B01G229100;TraesCS6D01G363200;TraesCS4B01G098000;TraesCS3B01G141500;TraesCS7D01G243700;TraesCS5A01G076600;TraesCS2A01G141100;TraesCS5D01G157900;TraesCS7B01G333700;TraesCS7D01G380900;TraesCS3A01G050300;TraesCS3D01G104000;TraesCS7B01G356800;TraesCS6A01G310300;TraesCS2A01G211300;TraesCS2A01G198400;TraesCS1D01G130400;TraesCS5A01G206700;TraesCS7D01G261300;TraesCS3A01G471900;TraesCS5B01G197400;TraesCS7B01G015200;TraesCS4A01G250800;TraesCS4A01G226300;TraesCS7D01G041400;TraesCS3D01G355900;TraesCS1A01G070600;TraesCS1B01G314700;TraesCS1B01G310100;TraesCS2B01G175800;TraesCS6D01G122200;TraesCS7D01G417600;TraesCS5D01G329100;TraesCS3A01G049500;TraesCS1D01G372500;TraesCS2A01G081400;TraesCS3B01G038900;TraesCS6B01G256300;TraesCS4A01G102900;TraesCS5B01G188700;TraesCS7D01G248100;TraesCS3A01G101800;TraesCS3D01G359000;TraesCS3D01G048400;TraesCS6B01G238900;TraesCS6B01G385500;TraesCS6D01G191500;TraesCS3A01G261700;TraesCS3B01G289500;TraesCS7B01G261800;TraesCS4B01G203900;TraesCS2A01G233100;TraesCS4A01G094300;TraesCS6D01G307100;TraesCS2B01G452400;TraesCS1A01G215900;TraesCS2B01G511300;TraesCS3B01G090400;TraesCSU01G129000;TraesCS5A01G321500;TraesCS7A01G053400;TraesCS5D01G281200;TraesCS7B01G228900;TraesCS4D01G202300;TraesCS5D01G210800;TraesCS4B01G059700;TraesCS4B01G254700;TraesCS4D01G316500;TraesCS5D01G493200;TraesCS3A01G319800;TraesCS2A01G217200;TraesCS3A01G101700;TraesCS2D01G509400;TraesCS2A01G211900;TraesCS3D01G438800;TraesCS6D01G167300;TraesCS4B01G215100;TraesCS6D01G191400;TraesCS7B01G030400;TraesCS7B01G326200;TraesCS6B01G136100;TraesCS6B01G152800;TraesCS2D01G141100;TraesCS5B01G262900;TraesCS2B01G220900;TraesCS2B01G266900;TraesCS7A01G091500;TraesCS4A01G391100;TraesCS1D01G081400;TraesCS6A01G144900;TraesCS7A01G424700;TraesCS3A01G021600;TraesCS5A01G147500;TraesCS4A01G498700;TraesCS7D01G277300;TraesCS3D01G432000;TraesCS2B01G250100;TraesCS7A01G195800;TraesCS1A01G086100;TraesCS2D01G066900;TraesCS2A01G276400;TraesCS1D01G082500;TraesCS3A01G110400;TraesCS3A01G135700;TraesCS7A01G364200;TraesCS2A01G371700;TraesCS6B01G358800;TraesCS5D01G097900;TraesCS6D01G225300;TraesCS6D01G258200;TraesCS4B01G093500;TraesCS7B01G301100;TraesCS2D01G419700;TraesCS4A01G221700;TraesCS3B01G110500;TraesCS7B01G444800;TraesCS6D01G192500;TraesCS2A01G462700;TraesCS3B01G310000;TraesCS7D01G279900;TraesCS1A01G048000;TraesCS2D01G509200;TraesCS7B01G029200;TraesCS7D01G416900;TraesCS5D01G216300;TraesCS6A01G119900;TraesCS1B01G062200;TraesCS7B01G325300;TraesCS1A01G202300;TraesCS1B01G119700;TraesCS1A01G103900;TraesCS2D01G201700;TraesCS3B01G514900;TraesCS2D01G039500;TraesCS6B01G257800;TraesCS3A01G351500;TraesCS2A01G201900;TraesCS2D01G534400;TraesCS6A01G168900;TraesCS1D01G344700;TraesCS2B01G419100;TraesCS5B01G202900;TraesCS3D01G045400;TraesCS6B01G266500;TraesCS1A01G215600;TraesCS7A01G400900;TraesCS4B01G228200;TraesCS4A01G309300;TraesCS7A01G434300;TraesCS5D01G343000;TraesCS1D01G330300;TraesCS2B01G100300;TraesCS2D01G398500;TraesCS5B01G208200;TraesCS2A01G308400;TraesCS6B01G152600;TraesCS5A01G183600;TraesCS7D01G516400;TraesCS2B01G220700;TraesCS1D01G104400;TraesCS2B01G323700;TraesCS6D01G158400;TraesCS3B01G119500;TraesCS7A01G328100;TraesCS2B01G067000;TraesCS2D01G485200;TraesCS5D01G073900;TraesCS7D01G394800;TraesCS1D01G079600;TraesCS3B01G589600;TraesCS7D01G001600;TraesCS5A01G351300;TraesCS5A01G326100;TraesCS1D01G101100;TraesCS3D01G256600;TraesCS5A01G479600;TraesCS5D01G152300;TraesCS5D01G177800;TraesCS2D01G511300;TraesCS3B01G151200;TraesCS2A01G098700;TraesCS3A01G209200;TraesCS1D01G372800;TraesCS1D01G206900;TraesCS4D01G126800;TraesCS2A01G046500;TraesCS5A01G377900;TraesCS7A01G212000;TraesCS4D01G194900;TraesCS1A01G203400;TraesCS7D01G053900;TraesCS4B01G216000;TraesCS2B01G557100;TraesCS2D01G273700;TraesCS1A01G333800;TraesCS5A01G237700;TraesCS4A01G267300;TraesCS3D01G276200;TraesCS6B01G183300;TraesCS5D01G145100;TraesCS2A01G217600;TraesCS2B01G166100;TraesCS1B01G385300;TraesCS2B01G216800;TraesCS1B01G456700;TraesCS5D01G369200;TraesCS1A01G149700;TraesCS2B01G114900;TraesCS4D01G172700;TraesCS4D01G312300;TraesCS1B01G283400;TraesCS3A01G530200;TraesCS1B01G120100;TraesCS2A01G214100;TraesCS2A01G545700;TraesCS3B01G384000;TraesCS6D01G032300;TraesCS5A01G138600;TraesCS3A01G463400;TraesCS5D01G304700;TraesCS1D01G223000;TraesCS5D01G373700;TraesCS2B01G562100;TraesCS1A01G031200;TraesCS5B01G236200;TraesCS7B01G222500;TraesCS2A01G347400;TraesCS3A01G262200;TraesCS2A01G368700;TraesCS5D01G386800;TraesCS3A01G195400;TraesCS7A01G118200;TraesCS5D01G034700;TraesCS1B01G270300;TraesCS2B01G521800;TraesCS7A01G096800;TraesCS6A01G209000;TraesCS5B01G069900;TraesCS2A01G532600;TraesCS6D01G210200;TraesCS1D01G367800;TraesCS3D01G200800;TraesCS4B01G085500;TraesCS5D01G093700;TraesCS4D01G046900;TraesCS7A01G154900;TraesCS4A01G186700;TraesCS2B01G241800;TraesCS7B01G207100;TraesCS2B01G467400;TraesCS6B01G367100;TraesCS1B01G097700;TraesCS3D01G182300;TraesCS2B01G504000;TraesCS5A01G235700;TraesCS6D01G253100;TraesCS2D01G284200;TraesCS5B01G056800;TraesCS2D01G380800;TraesCS2D01G207400;TraesCS4D01G087200;TraesCS7D01G223300;TraesCS2A01G195800;TraesCS3A01G521300;TraesCS3A01G034700;TraesCS3B01G004100;TraesCS2B01G244000;TraesCS4B01G041300;TraesCS6A01G363900;TraesCS2B01G366600;TraesCS3D01G097000;TraesCS7D01G268600;TraesCS7B01G141900;TraesCS5B01G366400;TraesCS2A01G057800;TraesCS7B01G297200;TraesCS1D01G104800;TraesCS6D01G280700;TraesCS2B01G101800;TraesCS3D01G262200;TraesCS4B01G294300;TraesCS3D01G046900;TraesCS7A01G395300;TraesCS3A01G323200;TraesCS7A01G129300;TraesCS2D01G574000;TraesCS2D01G062100;TraesCS4D01G217000;TraesCS5D01G158000;TraesCS7D01G129500;TraesCS6B01G337900;TraesCS2B01G594100;TraesCS3D01G124200;TraesCS2B01G364400;TraesCS3B01G042800;TraesCS7D01G444500;TraesCS6A01G223500;TraesCS1B01G305200;TraesCS6A01G352800;TraesCS6A01G375900;TraesCS4B01G132100;TraesCS5B01G064400;TraesCS1A01G016000;TraesCS5B01G087500;TraesCS2A01G485600;TraesCS4D01G181200;TraesCS2A01G298600;TraesCS7B01G220500;TraesCS1D01G087600;TraesCS7D01G386800</t>
  </si>
  <si>
    <t>catalytic activity, acting on a protein</t>
  </si>
  <si>
    <t>TraesCS2B01G208900;TraesCS5B01G482400;TraesCS5D01G482800;TraesCS7A01G470400;TraesCS2B01G180500;TraesCS4D01G045300;TraesCS4B01G045400;TraesCS4B01G100100;TraesCS5D01G244800;TraesCS4D01G096400;TraesCS7B01G372400;TraesCS2A01G155500;TraesCS5A01G177800;TraesCS1A01G215600;TraesCS1B01G229100;TraesCS6A01G116000;TraesCS2D01G077300;TraesCS4A01G216100;TraesCS5A01G469800;TraesCS7D01G457800;TraesCS7B01G299200;TraesCS2A01G080000;TraesCS1D01G144600;TraesCS5B01G175100;TraesCS5D01G182100;TraesCS6D01G104800;TraesCS1A01G295300;TraesCS5A01G237900;TraesCS1B01G164200</t>
  </si>
  <si>
    <t>endoplasmic reticulum unfolded protein response</t>
  </si>
  <si>
    <t>cellular response to unfolded protein</t>
  </si>
  <si>
    <t>cellular response to topologically incorrect protein</t>
  </si>
  <si>
    <t>response to unfolded protein</t>
  </si>
  <si>
    <t>TraesCS2D01G538400;TraesCS3B01G490000;TraesCS5D01G359000;TraesCS6A01G419200;TraesCS6D01G358600;TraesCS7D01G092900;TraesCS1B01G454000;TraesCS3B01G295000;TraesCS7B01G473700;TraesCS1B01G375100;TraesCS7A01G188600;TraesCS4D01G207500;TraesCS6A01G124500;TraesCS7A01G163300;TraesCS6B01G052400;TraesCS2B01G236800;TraesCS4D01G210900;TraesCS3D01G072000;TraesCS6B01G222200;TraesCS7D01G318600;TraesCS2D01G079200;TraesCS2A01G190200;TraesCS7A01G476700;TraesCS3A01G276200;TraesCS3D01G049000;TraesCS3A01G033000;TraesCS4B01G088700;TraesCS6D01G360900;TraesCS3A01G342000;TraesCS2D01G219800;TraesCS5B01G182000;TraesCS6B01G225700;TraesCS4D01G366100;TraesCS5D01G204700;TraesCS5B01G526200;TraesCS6A01G052100;TraesCS4B01G376800;TraesCS1A01G206200;TraesCS5A01G350800;TraesCS2A01G170600;TraesCS2D01G255700;TraesCS2D01G297300;TraesCS1A01G367200;TraesCS5B01G101200;TraesCS2A01G182800;TraesCS2A01G216700;TraesCS6B01G398500;TraesCS2A01G537900;TraesCS1A01G045300;TraesCS7D01G444700;TraesCS2B01G477600;TraesCS7B01G047300;TraesCS4B01G210100;TraesCS3D01G270300;TraesCS3A01G274000;TraesCS5B01G371800;TraesCS2B01G151100;TraesCS3D01G316400;TraesCS6D01G198600;TraesCS1D01G100900;TraesCS1A01G184500;TraesCS3A01G344400;TraesCS3A01G048700;TraesCS1B01G385100;TraesCS4A01G089700;TraesCS1D01G363500;TraesCS3A01G034300;TraesCS4B01G238700;TraesCS6A01G078700;TraesCS4A01G050000;TraesCS2D01G000300;TraesCS2D01G537100;TraesCS5D01G387900;TraesCS5D01G232100;TraesCS5A01G216000;TraesCS2D01G449900;TraesCS5B01G146100;TraesCS2D01G426600;TraesCS7B01G356500;TraesCS5D01G524800;TraesCS3B01G049700;TraesCS3B01G196900;TraesCS5A01G197200;TraesCS7D01G334900;TraesCS4A01G062000;TraesCS7B01G415400;TraesCS2B01G180500;TraesCS6A01G377700;TraesCS1D01G186100;TraesCS6A01G000500;TraesCS2D01G529500;TraesCS2B01G437300;TraesCS4B01G106000;TraesCS5B01G526000;TraesCS7D01G087100;TraesCS3D01G030600;TraesCS4D01G035300;TraesCS4B01G047100;TraesCS1A01G367000;TraesCS1D01G046000;TraesCS5A01G322300;TraesCS2A01G216500;TraesCS7D01G165300;TraesCS3A01G045200;TraesCS2A01G323000;TraesCS7B01G129500;TraesCS2D01G415700;TraesCS5D01G181500;TraesCS6A01G225400;TraesCS2A01G418300;TraesCS7B01G194100;TraesCS7A01G455800;TraesCS7B01G299200;TraesCS1D01G146900;TraesCS5B01G184600;TraesCS6D01G211900;TraesCS1D01G218200;TraesCS2D01G097700;TraesCS7D01G392800;TraesCS7A01G435300;TraesCS2B01G537800;TraesCS2D01G223000;TraesCS3A01G272900;TraesCS3B01G289400;TraesCS6D01G157900;TraesCS2B01G053300;TraesCS3B01G394600;TraesCS2D01G232400;TraesCS2D01G364400;TraesCS3A01G152200;TraesCS7A01G194900;TraesCS2D01G216700;TraesCS3D01G104100;TraesCS2D01G409400;TraesCS6A01G273100;TraesCS2D01G317400;TraesCS1D01G209500;TraesCS1B01G384900;TraesCS2A01G525300;TraesCS2D01G445500;TraesCS3B01G307700;TraesCS1B01G091900;TraesCS6B01G051700;TraesCS2D01G537700;TraesCS7D01G495700;TraesCS4A01G414700;TraesCS5D01G424600;TraesCS3A01G256200;TraesCS5A01G401400;TraesCS5B01G492700;TraesCS5D01G365300;TraesCS5B01G501300;TraesCS2B01G242200;TraesCS6A01G262200;TraesCS7D01G324900;TraesCS3D01G256400;TraesCS2B01G001400;TraesCS6B01G163100;TraesCS6B01G421400;TraesCS1A01G080500;TraesCS1A01G330500;TraesCS3A01G290300;TraesCS7B01G309900;TraesCS2B01G536500;TraesCS6D01G122100;TraesCS7A01G264400;TraesCS1D01G372600;TraesCS5A01G294600;TraesCSU01G111800;TraesCS5D01G063800;TraesCS6B01G204600;TraesCS2B01G096000;TraesCS5B01G538800;TraesCS2A01G479500;TraesCS6B01G412500;TraesCS7D01G248200;TraesCS2B01G229000;TraesCS2B01G124100;TraesCS1A01G304200;TraesCS6A01G312600;TraesCS5B01G117200;TraesCS7B01G069100;TraesCS2A01G493800;TraesCS6A01G155200;TraesCS3A01G309800;TraesCS5A01G297900;TraesCS3D01G290100;TraesCS3B01G153800;TraesCS3A01G261800;TraesCS4A01G029800;TraesCS7B01G395000;TraesCSU01G238700;TraesCS3A01G224400;TraesCS1B01G376000;TraesCS7A01G242800;TraesCS2D01G491600;TraesCS3B01G291900;TraesCS4D01G059300;TraesCS4D01G229900;TraesCS5D01G040500;TraesCS6A01G226100;TraesCS2A01G211200;TraesCS1D01G140300;TraesCS4B01G315400;TraesCS2A01G431100;TraesCS5A01G426500;TraesCS2A01G040900;TraesCS6A01G199000;TraesCS4B01G201600;TraesCS5A01G205500;TraesCS3D01G261800;TraesCS5B01G204900;TraesCS7D01G146400;TraesCS3A01G362200;TraesCS1D01G372400;TraesCS6A01G264800;TraesCS6B01G256200;TraesCS2D01G117200;TraesCS3B01G473100;TraesCS5B01G215900;TraesCS5B01G538600;TraesCS2B01G394700;TraesCS1A01G377900;TraesCS7D01G086900;TraesCS2B01G208900;TraesCS2A01G343100;TraesCS7D01G449500;TraesCS6A01G241000;TraesCS2B01G363000;TraesCS2D01G582800;TraesCS2D01G144500;TraesCS6B01G471400;TraesCS1B01G167700;TraesCS3B01G600300;TraesCS1D01G082600;TraesCS2A01G538200;TraesCS5D01G475900;TraesCS7A01G249400;TraesCS7D01G356200;TraesCS7D01G085800;TraesCS6A01G336600;TraesCS6B01G415700;TraesCS6A01G378000;TraesCS2D01G222300;TraesCS4D01G340500;TraesCS2A01G199700;TraesCS7B01G100600;TraesCS7A01G001900;TraesCS1A01G016100;TraesCS1D01G364000;TraesCS5D01G358600;TraesCS4B01G162700;TraesCS1D01G381800;TraesCS6B01G412400;TraesCS2A01G320200;TraesCS1A01G077500;TraesCS2D01G509300;TraesCS4A01G010000;TraesCS4A01G255400;TraesCS4D01G238900;TraesCS6D01G407400;TraesCS4D01G293200;TraesCS2D01G463100;TraesCS5A01G078400;TraesCS7D01G024200;TraesCS2A01G509900;TraesCS1B01G119600;TraesCS2B01G324900;TraesCS1A01G273600;TraesCS7A01G213000;TraesCS6A01G258900;TraesCS6B01G413500;TraesCS6D01G359100;TraesCS2A01G371600;TraesCS3D01G435400;TraesCS7A01G282200;TraesCS6D01G180400;TraesCS3A01G477300;TraesCS3D01G049700;TraesCS5D01G519800;TraesCS6B01G300500;TraesCS3D01G335700;TraesCS4B01G287300;TraesCS5A01G429000;TraesCS7A01G091400;TraesCS5A01G027000;TraesCS1B01G198000;TraesCS3B01G119600;TraesCS7D01G189700;TraesCS1A01G300000;TraesCS2A01G106500;TraesCS1A01G079700;TraesCS2D01G485300;TraesCS1D01G299400;TraesCS6D01G056600;TraesCS4B01G345400;TraesCS5A01G376700;TraesCS1A01G342600;TraesCS5B01G214500;TraesCS6B01G255500;TraesCS1B01G347100;TraesCS6D01G210100;TraesCS3B01G325100;TraesCS5B01G428400;TraesCS7D01G303700;TraesCS5D01G059300;TraesCS4A01G396700;TraesCS7B01G372400;TraesCS7D01G085600;TraesCS2D01G107100;TraesCSU01G016900;TraesCS1D01G372900;TraesCS2D01G455900;TraesCS2D01G577000;TraesCS3A01G064400;TraesCS4D01G126900;TraesCS3B01G166600;TraesCS3B01G288100;TraesCS5D01G188600;TraesCS7A01G365600;TraesCS2D01G296700;TraesCS3B01G156800;TraesCS1A01G048100;TraesCS7A01G223000;TraesCS3A01G122300;TraesCS6A01G190700;TraesCS3D01G172200;TraesCSU01G047400;TraesCS7D01G265400;TraesCS4A01G323500;TraesCS4D01G352700;TraesCS1D01G384900;TraesCS3D01G345700;TraesCS1A01G080700;TraesCS6A01G277600;TraesCS2B01G035300;TraesCS5B01G026200;TraesCS6B01G291800;TraesCS1D01G076200;TraesCS5B01G208300;TraesCS6B01G289500;TraesCS6B01G152700;TraesCS7A01G321600;TraesCS7D01G451300;TraesCS6A01G301300;TraesCS6B01G059800;TraesCS6D01G158300;TraesCS4D01G089300;TraesCS5B01G373000;TraesCS5B01G520600;TraesCS5B01G474500;TraesCS1A01G296300;TraesCS2B01G240800;TraesCS1D01G239700;TraesCS6A01G327500;TraesCS1D01G082200;TraesCS5A01G198800;TraesCS7D01G201600;TraesCS7D01G463300;TraesCS1D01G032600;TraesCS5B01G078500;TraesCS2D01G222700;TraesCS2D01G564300;TraesCS5A01G152800;TraesCS7A01G306800;TraesCS4A01G384500;TraesCS7D01G224700;TraesCS6A01G375800;TraesCS3D01G272300;TraesCS2D01G528200;TraesCS1B01G109400;TraesCS7B01G249200;TraesCS2B01G241900;TraesCS4B01G132000;TraesCS6D01G328800;TraesCS4B01G216700;TraesCS6D01G335300;TraesCS2A01G324400;TraesCS7D01G357100;TraesCS5B01G056700;TraesCS1A01G073300;TraesCS1B01G385200;TraesCS7B01G008400;TraesCS5A01G398900;TraesCS4B01G055600;TraesCS1B01G251700;TraesCS7A01G131300;TraesCS3A01G439200;TraesCS1B01G375400;TraesCS3B01G352300;TraesCS2B01G539200;TraesCS4D01G312400;TraesCS6D01G243000;TraesCS2B01G315100;TraesCS7A01G423900;TraesCS2A01G182400;TraesCS2A01G339900;TraesCS4A01G071800;TraesCS4B01G228700;TraesCS1B01G157700;TraesCS3D01G542300;TraesCS2D01G098200;TraesCS6B01G069800;TraesCS5A01G138500;TraesCS5A01G222300;TraesCS2A01G150600;TraesCS4A01G171500;TraesCS5A01G048600;TraesCS4A01G211600;TraesCS3D01G262300;TraesCS5D01G212900;TraesCS7A01G384500;TraesCS6D01G362500;TraesCS7A01G267200;TraesCS6D01G316600;TraesCS3D01G273200;TraesCS2A01G117800;TraesCS2D01G190200;TraesCS5D01G158100;TraesCS5D01G223800;TraesCS1B01G398700;TraesCS1D01G199000;TraesCS2A01G209900;TraesCS5A01G173300;TraesCS5A01G152600;TraesCS7D01G444400;TraesCS2A01G023900;TraesCS4D01G229100;TraesCS7D01G037700;TraesCS5A01G463100;TraesCS1D01G229700;TraesCS6D01G050900;TraesCS5A01G514500;TraesCS3B01G376300;TraesCS5A01G210300;TraesCS6D01G047500;TraesCS3D01G182600;TraesCS3D01G337900;TraesCS1D01G073100;TraesCS6D01G381200;TraesCS3B01G253900;TraesCS2D01G509500;TraesCS3B01G295500;TraesCS7D01G130600;TraesCS3A01G009400;TraesCS3B01G053800;TraesCS6A01G374700;TraesCS7D01G213600;TraesCS3B01G377600;TraesCS3A01G034600;TraesCS6D01G115200;TraesCS1A01G215100;TraesCS2D01G178100;TraesCS5B01G437300;TraesCS4D01G325500;TraesCS4D01G254500;TraesCS7D01G048600;TraesCS7A01G091200;TraesCS7D01G128300;TraesCS3B01G374100;TraesCS1B01G095600;TraesCS3D01G238000;TraesCS2A01G428500;TraesCS1D01G295800;TraesCS3D01G535700;TraesCS7B01G325900;TraesCS3A01G493100;TraesCS5B01G482400;TraesCS7B01G105600;TraesCS2B01G197000;TraesCS6B01G305600;TraesCS7A01G127100;TraesCS5A01G217000;TraesCS5B01G082500;TraesCS3A01G255600;TraesCS7D01G136700;TraesCS2A01G418200;TraesCS2B01G198100;TraesCS6A01G225300;TraesCS2A01G455600;TraesCS5B01G151600;TraesCS2B01G243000;TraesCS6D01G240100;TraesCS3D01G339600;TraesCS6B01G420600;TraesCS5B01G358900;TraesCS2D01G217500;TraesCS5D01G478700;TraesCS1A01G358600;TraesCS5B01G138600;TraesCS1A01G228100;TraesCS5D01G374300;TraesCS2A01G503800;TraesCS1A01G424200;TraesCS7B01G093500;TraesCS2B01G449200;TraesCS2B01G489700;TraesCS5A01G062600;TraesCS2B01G236900;TraesCS6B01G006600;TraesCSU01G008300;TraesCS3B01G206500;TraesCS2D01G321400;TraesCS1B01G157300;TraesCS2D01G504300;TraesCS2B01G271700;TraesCS2D01G275400;TraesCS7B01G255500;TraesCS1D01G118300;TraesCS2A01G384100;TraesCS2D01G197600;TraesCS1D01G259700;TraesCS7B01G356400;TraesCS3A01G096500;TraesCS2D01G219900;TraesCS5B01G381500;TraesCS6B01G225800;TraesCS7B01G287100;TraesCS2B01G365900;TraesCS3D01G472000;TraesCS2B01G437200;TraesCS4D01G215200;TraesCS3D01G500800;TraesCS3D01G036000;TraesCS5A01G085900;TraesCS1A01G367100;TraesCS2D01G214200;TraesCS5B01G380400;TraesCS1D01G303700;TraesCS2B01G339600;TraesCS2A01G346000;TraesCS5A01G356400;TraesCS2D01G415600;TraesCS5D01G211300;TraesCS7D01G356800;TraesCS7D01G316100;TraesCS1D01G037200;TraesCS6B01G197000;TraesCS2D01G428900;TraesCS3D01G316700;TraesCS5A01G369500;TraesCS3B01G158300;TraesCS2B01G430800;TraesCS4A01G110100;TraesCS5A01G451400;TraesCS4B01G214600;TraesCS1B01G089100;TraesCS3D01G178300;TraesCS5B01G138400;TraesCS2A01G324200;TraesCS5A01G390300;TraesCS1B01G385000;TraesCS3D01G048000;TraesCS3B01G591000;TraesCS3D01G136700;TraesCS1B01G217500;TraesCS3D01G527900;TraesCS1D01G273800;TraesCS1B01G058600;TraesCS6A01G204600;TraesCS2D01G344700;TraesCS6A01G135100;TraesCSU01G021700;TraesCS6D01G360800;TraesCS7D01G124900;TraesCS3A01G256300;TraesCS3D01G046000;TraesCS6A01G132400;TraesCS3B01G306500;TraesCS3D01G256500;TraesCS1A01G141300;TraesCS6D01G367600;TraesCS2D01G572600;TraesCS2A01G446500;TraesCS4D01G096400;TraesCS5D01G225100;TraesCS1A01G080600;TraesCS2B01G532000;TraesCS2B01G536600;TraesCS2D01G315100;TraesCS1D01G372700;TraesCS6D01G145100;TraesCS1A01G259900;TraesCS5D01G434500;TraesCS3B01G240000;TraesCS2D01G493700;TraesCS4A01G100900;TraesCS7B01G031900;TraesCS3D01G212100;TraesCS4A01G207800;TraesCS5D01G482800;TraesCS7A01G470400;TraesCS5D01G216400;TraesCS3B01G409400;TraesCS5D01G357800;TraesCS2B01G114000;TraesCS7D01G028400;TraesCS2A01G255300;TraesCS3B01G304300;TraesCS6A01G124800;TraesCS2A01G155500;TraesCS3A01G345800;TraesCS5D01G089900;TraesCS6D01G363200;TraesCS3B01G141500;TraesCS7D01G243700;TraesCS5A01G076600;TraesCS2A01G141100;TraesCS5D01G157900;TraesCS7B01G333700;TraesCS7D01G380900;TraesCS3A01G050300;TraesCS3D01G104000;TraesCS7B01G356800;TraesCS2A01G211300;TraesCS1D01G130400;TraesCS6D01G039300;TraesCS5A01G206700;TraesCS7D01G261300;TraesCS5B01G197400;TraesCS4A01G226300;TraesCS7D01G041400;TraesCS3D01G355900;TraesCS1A01G070600;TraesCS1B01G314700;TraesCS1B01G310100;TraesCS2B01G175800;TraesCS6D01G122200;TraesCS7D01G417600;TraesCS5D01G329100;TraesCS3A01G049500;TraesCS1D01G372500;TraesCS2A01G081400;TraesCS3B01G038900;TraesCS6B01G256300;TraesCS4A01G102900;TraesCS5B01G188700;TraesCS7D01G248100;TraesCS3A01G101800;TraesCS3D01G359000;TraesCS3D01G048400;TraesCS6B01G238900;TraesCS6B01G385500;TraesCS6D01G191500;TraesCS3A01G261700;TraesCS3B01G289500;TraesCS7B01G261800;TraesCS4B01G203900;TraesCS2A01G233100;TraesCS4A01G094300;TraesCS6D01G307100;TraesCS2B01G452400;TraesCS1A01G215900;TraesCS2B01G511300;TraesCSU01G129000;TraesCS7A01G053400;TraesCS5D01G281200;TraesCS7B01G228900;TraesCS4D01G202300;TraesCS5D01G210800;TraesCS4B01G059700;TraesCS4B01G254700;TraesCS4D01G316500;TraesCS5D01G493200;TraesCS2A01G217200;TraesCS3A01G101700;TraesCS2D01G509400;TraesCS2A01G211900;TraesCS2A01G412200;TraesCS6D01G167300;TraesCS4B01G215100;TraesCS6D01G191400;TraesCS5A01G156200;TraesCS7B01G030400;TraesCS7B01G326200;TraesCS5A01G469800;TraesCS6B01G136100;TraesCS6B01G152800;TraesCS2D01G141100;TraesCS5B01G262900;TraesCS2B01G220900;TraesCS2B01G266900;TraesCS7A01G091500;TraesCS4A01G391100;TraesCS1D01G081400;TraesCS3A01G021600;TraesCS5A01G147500;TraesCS4A01G498700;TraesCS3D01G432000;TraesCS2B01G250100;TraesCS7A01G195800;TraesCS2D01G066900;TraesCS2A01G276400;TraesCS4B01G100100;TraesCS1D01G082500;TraesCS3A01G110400;TraesCS3A01G135700;TraesCS7A01G364200;TraesCS2A01G371700;TraesCS5A01G320600;TraesCS6B01G358800;TraesCS5D01G097900;TraesCS6D01G258200;TraesCS5A01G463000;TraesCS7B01G301100;TraesCS5D01G461600;TraesCS2D01G419700;TraesCS4A01G221700;TraesCS3B01G110500;TraesCS6D01G192500;TraesCS2A01G462700;TraesCS3B01G310000;TraesCS1A01G048000;TraesCS2D01G509200;TraesCS5A01G235300;TraesCS7B01G029200;TraesCS6A01G119900;TraesCS1B01G062200;TraesCS5A01G204800;TraesCS1A01G202300;TraesCS1B01G119700;TraesCS1A01G103900;TraesCS2D01G201700;TraesCS6B01G257800;TraesCS3A01G351500;TraesCS2A01G201900;TraesCS2D01G534400;TraesCS6A01G168900;TraesCS1D01G344700;TraesCS5B01G202900;TraesCS3D01G045400;TraesCS6B01G266500;TraesCS7A01G400900;TraesCS4B01G228200;TraesCS7A01G434300;TraesCS5D01G343000;TraesCS4A01G216100;TraesCS1D01G330300;TraesCS2B01G100300;TraesCS5B01G208200;TraesCS2A01G308400;TraesCS6B01G152600;TraesCS5A01G183600;TraesCS7A01G344600;TraesCS2B01G220700;TraesCS2B01G323700;TraesCS6D01G158400;TraesCS3B01G119500;TraesCS7A01G328100;TraesCS2B01G067000;TraesCS2D01G485200;TraesCS5D01G073900;TraesCS7D01G394800;TraesCS1D01G079600;TraesCS7D01G001600;TraesCS5A01G351300;TraesCS1D01G101100;TraesCS3D01G256600;TraesCS5A01G479600;TraesCS5D01G152300;TraesCS5D01G177800;TraesCS7D01G345200;TraesCS2D01G511300;TraesCS3B01G151200;TraesCS5D01G475800;TraesCS2A01G098700;TraesCS3A01G209200;TraesCS1D01G372800;TraesCS1D01G206900;TraesCS4D01G126800;TraesCS5A01G377900;TraesCS7A01G212000;TraesCS4D01G194900;TraesCS1A01G203400;TraesCS7D01G053900;TraesCS4B01G216000;TraesCS2B01G557100;TraesCS2D01G273700;TraesCS1A01G333800;TraesCS5A01G237700;TraesCS4A01G267300;TraesCS3D01G276200;TraesCS6B01G183300;TraesCS5D01G145100;TraesCS2A01G217600;TraesCS2B01G166100;TraesCS1B01G385300;TraesCS2B01G216800;TraesCS1B01G456700;TraesCS5D01G369200;TraesCS1A01G149700;TraesCS2B01G114900;TraesCS4D01G172700;TraesCS4D01G312300;TraesCS1B01G283400;TraesCS3A01G530200;TraesCS1B01G120100;TraesCS2A01G214100;TraesCS5B01G460200;TraesCS3B01G384000;TraesCS6D01G032300;TraesCS5A01G138600;TraesCS3A01G463400;TraesCS5D01G304700;TraesCS7A01G110500;TraesCS5D01G373700;TraesCS2B01G562100;TraesCS1A01G031200;TraesCS5B01G236200;TraesCS7B01G222500;TraesCS2A01G347400;TraesCS3A01G262200;TraesCS2B01G204800;TraesCS2A01G368700;TraesCS5D01G386800;TraesCS5D01G034700;TraesCS1B01G270300;TraesCS2B01G521800;TraesCS7A01G096800;TraesCS6A01G209000;TraesCS5B01G069900;TraesCS2A01G532600;TraesCS6D01G210200;TraesCS7D01G236600;TraesCS1D01G367800;TraesCS2D01G343000;TraesCS5D01G093700;TraesCS4D01G046900;TraesCS6A01G116000;TraesCS7A01G154900;TraesCS4A01G186700;TraesCS2B01G241800;TraesCS7B01G207100;TraesCS2B01G467400;TraesCS6B01G367100;TraesCS1B01G097700;TraesCS3D01G182300;TraesCS2B01G504000;TraesCS6D01G253100;TraesCS2D01G284200;TraesCS5B01G056800;TraesCS2D01G380800;TraesCS2D01G207400;TraesCS4D01G087200;TraesCS3A01G521300;TraesCS3A01G034700;TraesCS4B01G041300;TraesCS6A01G363900;TraesCS2B01G366600;TraesCS3D01G097000;TraesCS2D01G392800;TraesCS7D01G268600;TraesCS7B01G141900;TraesCS5B01G366400;TraesCS4B01G214200;TraesCS6D01G280700;TraesCS2B01G101800;TraesCS3D01G262200;TraesCS4B01G294300;TraesCS3D01G046900;TraesCS3A01G323200;TraesCS7A01G129300;TraesCS2D01G574000;TraesCS2D01G062100;TraesCS4D01G217000;TraesCS5D01G158000;TraesCS7D01G129500;TraesCS2B01G594100;TraesCS3D01G124200;TraesCS2B01G364400;TraesCS7D01G444500;TraesCS6A01G223500;TraesCS1B01G305200;TraesCS6A01G352800;TraesCS7D01G457800;TraesCS6A01G375900;TraesCS4B01G132100;TraesCS5B01G064400;TraesCS1A01G016000;TraesCS5B01G087500;TraesCS2A01G485600;TraesCS1A01G295300;TraesCS2A01G298600;TraesCS1A01G182700;TraesCS7B01G220500</t>
  </si>
  <si>
    <t>TraesCS2D01G538400;TraesCS5D01G359000;TraesCS4B01G059700;TraesCS4D01G316500;TraesCS2B01G208900;TraesCS6D01G358600;TraesCS2A01G343100;TraesCS7D01G092900;TraesCS3A01G101700;TraesCS3A01G493100;TraesCS2D01G509400;TraesCS7D01G449500;TraesCS6A01G241000;TraesCS2B01G197000;TraesCS2D01G582800;TraesCS2A01G211900;TraesCS7A01G127100;TraesCS6D01G191400;TraesCS7A01G163300;TraesCS6B01G052400;TraesCS2A01G538200;TraesCS5D01G475900;TraesCS7D01G356200;TraesCS2B01G236800;TraesCS6B01G415700;TraesCS6A01G378000;TraesCS7B01G030400;TraesCS2D01G222300;TraesCS2A01G418200;TraesCS2D01G079200;TraesCS2A01G199700;TraesCS6B01G136100;TraesCS6B01G152800;TraesCS2B01G243000;TraesCS2B01G220900;TraesCS1A01G016100;TraesCS3D01G049000;TraesCS5D01G358600;TraesCS1D01G081400;TraesCS3A01G342000;TraesCS2D01G217500;TraesCS3A01G021600;TraesCS6B01G225700;TraesCS5D01G478700;TraesCS5B01G526200;TraesCS3D01G432000;TraesCS4A01G010000;TraesCS6A01G052100;TraesCS4A01G255400;TraesCS4B01G376800;TraesCS5A01G350800;TraesCS2A01G170600;TraesCS4D01G293200;TraesCS2D01G463100;TraesCS2D01G297300;TraesCS2A01G509900;TraesCS2B01G324900;TraesCS1A01G273600;TraesCS3A01G110400;TraesCS2B01G489700;TraesCS7A01G364200;TraesCS2A01G182800;TraesCS2B01G236900;TraesCS6D01G359100;TraesCS6B01G358800;TraesCS2A01G537900;TraesCS3B01G206500;TraesCS5D01G097900;TraesCS2D01G321400;TraesCS7D01G444700;TraesCS7B01G301100;TraesCS3A01G477300;TraesCS5D01G519800;TraesCS2B01G271700;TraesCS4B01G287300;TraesCS2D01G197600;TraesCS4A01G221700;TraesCS1D01G259700;TraesCS3A01G274000;TraesCS5B01G371800;TraesCS7B01G356400;TraesCS3D01G316400;TraesCS2A01G462700;TraesCS3A01G096500;TraesCS1A01G184500;TraesCS3A01G048700;TraesCS1A01G048000;TraesCS6B01G225800;TraesCS7B01G287100;TraesCS2D01G509200;TraesCS2B01G365900;TraesCS2A01G106500;TraesCS3D01G472000;TraesCS4A01G089700;TraesCS2D01G485300;TraesCS7B01G029200;TraesCS2B01G437200;TraesCS4D01G215200;TraesCS1B01G062200;TraesCS3A01G034300;TraesCS4B01G238700;TraesCS2D01G201700;TraesCS6D01G210100;TraesCS5A01G085900;TraesCS2D01G534400;TraesCS5D01G059300;TraesCS5B01G380400;TraesCS7A01G400900;TraesCS2D01G537100;TraesCS5D01G343000;TraesCS2D01G415600;TraesCS5D01G387900;TraesCS4D01G126900;TraesCS1D01G330300;TraesCS7D01G316100;TraesCS2A01G308400;TraesCS5B01G146100;TraesCS2B01G220700;TraesCS2D01G428900;TraesCS3D01G316700;TraesCS5A01G369500;TraesCS7B01G356500;TraesCS5D01G524800;TraesCS3D01G178300;TraesCS5A01G197200;TraesCS4A01G062000;TraesCS2B01G067000;TraesCS2D01G485200;TraesCS2B01G180500;TraesCS7D01G394800;TraesCS6A01G000500;TraesCS7D01G265400;TraesCS2B01G437300;TraesCS4B01G106000;TraesCS1D01G101100;TraesCS5B01G526000;TraesCS4D01G352700;TraesCS5D01G152300;TraesCS5A01G322300;TraesCS5D01G177800;TraesCS2A01G216500;TraesCS7D01G165300;TraesCS3A01G045200;TraesCS3D01G345700;TraesCS6A01G204600;TraesCS4D01G126800;TraesCS1D01G076200;TraesCS2A01G418300;TraesCS5B01G208300;TraesCS6B01G152700;TraesCS7A01G455800;TraesCS5A01G377900;TraesCS7D01G451300;TraesCS6A01G301300;TraesCS7D01G053900;TraesCS6A01G135100;TraesCS4B01G216000;TraesCS5A01G237700;TraesCS6B01G059800;TraesCS4A01G267300;TraesCS6B01G183300;TraesCS7D01G124900;TraesCS5D01G145100;TraesCS2A01G217600;TraesCS4D01G089300;TraesCS1D01G218200;TraesCS2D01G097700;TraesCS1B01G456700;TraesCS5B01G520600;TraesCS2B01G537800;TraesCS2D01G223000;TraesCS3A01G272900;TraesCS6A01G132400;TraesCS5B01G474500;TraesCS2B01G240800;TraesCS4D01G172700;TraesCS2D01G364400;TraesCS2D01G572600;TraesCS4D01G312300;TraesCS1D01G239700;TraesCS6A01G327500;TraesCS1D01G082200;TraesCS3A01G152200;TraesCS2D01G216700;TraesCS1A01G080600;TraesCS1D01G032600;TraesCS3A01G530200;TraesCS1B01G120100;TraesCS2A01G214100;TraesCS2B01G532000;TraesCS2D01G564300;TraesCS2B01G536600;TraesCS6D01G145100;TraesCS5A01G138600;TraesCS5D01G434500;TraesCS3A01G463400;TraesCS3D01G272300;TraesCS5D01G304700;TraesCS2D01G493700;TraesCS5D01G373700;TraesCS2B01G562100;TraesCS1A01G031200;TraesCS2B01G241900;TraesCS1B01G091900;TraesCS4B01G132000;TraesCS2D01G537700;TraesCS5B01G236200;TraesCS7D01G495700;TraesCS6D01G328800;TraesCS4A01G414700;TraesCS4B01G216700;TraesCS2A01G347400;TraesCS7D01G357100;TraesCS5A01G401400;TraesCS5B01G056700;TraesCS1A01G073300;TraesCS4A01G207800;TraesCS5D01G386800;TraesCS5D01G216400;TraesCS1B01G251700;TraesCS7A01G131300;TraesCS3A01G439200;TraesCS1B01G270300;TraesCS2B01G242200;TraesCS2B01G521800;TraesCS7A01G096800;TraesCS5D01G357800;TraesCS3B01G352300;TraesCS2B01G539200;TraesCS6D01G210200;TraesCS4D01G312400;TraesCS6B01G163100;TraesCS1D01G367800;TraesCS2A01G155500;TraesCS1A01G330500;TraesCS3A01G290300;TraesCS3D01G542300;TraesCS7B01G309900;TraesCS2B01G536500;TraesCS6D01G122100;TraesCS4A01G186700;TraesCS5A01G294600;TraesCS6B01G069800;TraesCS2A01G150600;TraesCS7B01G333700;TraesCS2B01G241800;TraesCS3A01G050300;TraesCS6B01G204600;TraesCS6B01G367100;TraesCS1B01G097700;TraesCS2B01G096000;TraesCS7B01G356800;TraesCS4A01G171500;TraesCS5A01G048600;TraesCS7A01G384500;TraesCS2A01G211300;TraesCS2B01G124100;TraesCS5B01G056800;TraesCS1D01G130400;TraesCS2D01G207400;TraesCS6D01G316600;TraesCS2A01G493800;TraesCS6A01G155200;TraesCS3D01G273200;TraesCS7D01G261300;TraesCS2A01G117800;TraesCS5A01G297900;TraesCS2B01G244000;TraesCS4B01G041300;TraesCS4A01G029800;TraesCS5A01G173300;TraesCS6D01G122200;TraesCS7D01G444400;TraesCS3D01G097000;TraesCS5D01G329100;TraesCS3A01G049500;TraesCS5A01G463100;TraesCS2A01G081400;TraesCS5B01G366400;TraesCS6D01G050900;TraesCS7A01G242800;TraesCS3B01G291900;TraesCS6D01G047500;TraesCS4D01G059300;TraesCS6D01G280700;TraesCS1D01G073100;TraesCS4A01G102900;TraesCS2A01G211200;TraesCS4B01G294300;TraesCS5B01G188700;TraesCS4B01G315400;TraesCS2D01G509500;TraesCS2A01G431100;TraesCS3A01G323200;TraesCS7D01G130600;TraesCS6B01G238900;TraesCS4D01G217000;TraesCS6B01G385500;TraesCS2B01G594100;TraesCS6D01G115200;TraesCS5B01G437300;TraesCS3D01G261800;TraesCS5B01G204900;TraesCS7D01G444500;TraesCS2B01G452400;TraesCS7D01G146400;TraesCS1A01G215900;TraesCS2B01G511300;TraesCS4D01G325500;TraesCS7D01G048600;TraesCS6A01G352800;TraesCS2D01G117200;TraesCS4B01G132100;TraesCS1A01G016000;TraesCS2A01G485600;TraesCS7B01G220500</t>
  </si>
  <si>
    <t>TraesCS2D01G538400;TraesCS3B01G490000;TraesCS1A01G218400;TraesCS5D01G359000;TraesCS6D01G358600;TraesCS7D01G092900;TraesCS1B01G454000;TraesCS3B01G295000;TraesCS7B01G473700;TraesCS2A01G389900;TraesCS3B01G455000;TraesCS4D01G207500;TraesCS6A01G124500;TraesCS7A01G163300;TraesCS6B01G052400;TraesCS2D01G479100;TraesCS2B01G236800;TraesCS7D01G318600;TraesCS2D01G079200;TraesCS2A01G190200;TraesCS4B01G157800;TraesCS3B01G485900;TraesCS5B01G104500;TraesCS7A01G476700;TraesCS2B01G350500;TraesCS3A01G276200;TraesCS3D01G049000;TraesCS3D01G278000;TraesCS3A01G033000;TraesCS6D01G360900;TraesCS7B01G245800;TraesCS3A01G342000;TraesCS2D01G219800;TraesCS6B01G225700;TraesCS5B01G526200;TraesCS6A01G052100;TraesCS4B01G376800;TraesCS5A01G447200;TraesCS5A01G350800;TraesCS2A01G170600;TraesCS2D01G255700;TraesCS2D01G297300;TraesCS4B01G054900;TraesCS3D01G351600;TraesCS1A01G367200;TraesCS2A01G182800;TraesCS2A01G216700;TraesCS3D01G234400;TraesCS5B01G135200;TraesCS2A01G537900;TraesCS7D01G444700;TraesCS3B01G126400;TraesCS2B01G477600;TraesCS1D01G074500;TraesCS7B01G047300;TraesCS3D01G270300;TraesCS3A01G274000;TraesCS3A01G163300;TraesCS5B01G371800;TraesCS6B01G145700;TraesCS3D01G316400;TraesCS1A01G343000;TraesCS1D01G100900;TraesCS1A01G184500;TraesCS3A01G344400;TraesCS1A01G243400;TraesCS3A01G048700;TraesCS7B01G239300;TraesCS3A01G107600;TraesCS1B01G385100;TraesCS4A01G089700;TraesCS2A01G479900;TraesCS3A01G034300;TraesCS4B01G238700;TraesCS5D01G328300;TraesCS6A01G078700;TraesCS3B01G113500;TraesCS5B01G183500;TraesCS2D01G537100;TraesCS5D01G387900;TraesCS5B01G146100;TraesCS1D01G439400;TraesCS7B01G356500;TraesCS5D01G524800;TraesCS3B01G049700;TraesCS3B01G196900;TraesCS1A01G182300;TraesCS5A01G197200;TraesCS4A01G062000;TraesCS7B01G415400;TraesCS2B01G180500;TraesCS1D01G335400;TraesCS6A01G377700;TraesCS2B01G605800;TraesCS6A01G000500;TraesCS2B01G437300;TraesCS4B01G106000;TraesCS5B01G526000;TraesCS7D01G087100;TraesCS3B01G306400;TraesCS3D01G030600;TraesCS6A01G250800;TraesCS4B01G047100;TraesCS1A01G367000;TraesCS5A01G322300;TraesCS3A01G357700;TraesCS2A01G216500;TraesCS7D01G165300;TraesCS3A01G045200;TraesCS3B01G390400;TraesCS1B01G231900;TraesCS2D01G415700;TraesCS3B01G401600;TraesCS5D01G181500;TraesCS6A01G225400;TraesCS2A01G418300;TraesCS1B01G162400;TraesCS7A01G455800;TraesCS3A01G310400;TraesCS1D01G146900;TraesCS1D01G345200;TraesCS5B01G184600;TraesCS6D01G211900;TraesCS6A01G140800;TraesCS1D01G243400;TraesCS1D01G163400;TraesCS1D01G218200;TraesCS2D01G097700;TraesCS7A01G118900;TraesCS5B01G188600;TraesCS7A01G435300;TraesCS5D01G328100;TraesCS2B01G537800;TraesCS2D01G223000;TraesCS3A01G272900;TraesCS2B01G485600;TraesCS3B01G289400;TraesCS6D01G157900;TraesCS2B01G053300;TraesCS7A01G480100;TraesCS7A01G031700;TraesCS2D01G364400;TraesCS3A01G152200;TraesCS2D01G216700;TraesCS3D01G104100;TraesCS3A01G257500;TraesCS1B01G384900;TraesCS2A01G525300;TraesCS3B01G307700;TraesCS1B01G091900;TraesCS6B01G051700;TraesCS2D01G537700;TraesCS7D01G495700;TraesCS4A01G414700;TraesCS4D01G261400;TraesCS3A01G256200;TraesCS5A01G401400;TraesCS5B01G501300;TraesCS2B01G242200;TraesCS1D01G419400;TraesCS6A01G178500;TraesCS7D01G324900;TraesCS4A01G098600;TraesCS3D01G256400;TraesCS2B01G001400;TraesCS6B01G163100;TraesCS7A01G167300;TraesCS2B01G045700;TraesCS1A01G080500;TraesCS1A01G330500;TraesCS5D01G104900;TraesCS3A01G290300;TraesCS7B01G309900;TraesCS6B01G300900;TraesCS2B01G536500;TraesCS6D01G122100;TraesCS7A01G264400;TraesCS1D01G372600;TraesCS5A01G294600;TraesCSU01G111800;TraesCS3D01G257500;TraesCS5D01G063800;TraesCS4B01G174300;TraesCS6B01G204600;TraesCS7B01G260800;TraesCS2B01G096000;TraesCS5B01G538800;TraesCS6B01G412500;TraesCS7D01G248200;TraesCS2B01G124100;TraesCS1A01G304200;TraesCS1A01G430100;TraesCS7B01G107300;TraesCS7B01G069100;TraesCS5B01G247700;TraesCS2A01G493800;TraesCS5B01G152600;TraesCS6A01G155200;TraesCS5A01G297900;TraesCS3D01G290100;TraesCS1D01G379000;TraesCS3B01G153800;TraesCS3A01G261800;TraesCS3A01G355700;TraesCS4A01G029800;TraesCS7B01G395000;TraesCS7D01G335800;TraesCS1A01G372400;TraesCSU01G238700;TraesCS3A01G224400;TraesCS6B01G199700;TraesCS1B01G376000;TraesCS7A01G242800;TraesCS2D01G491600;TraesCS3B01G291900;TraesCS3A01G129000;TraesCS1D01G236900;TraesCS4D01G059300;TraesCS6D01G146500;TraesCS2A01G211200;TraesCS1D01G140300;TraesCS4B01G315400;TraesCS2A01G431100;TraesCS5A01G426500;TraesCS1A01G411600;TraesCS2A01G040900;TraesCS1B01G356200;TraesCS6B01G205900;TraesCS5D01G190600;TraesCS4B01G201600;TraesCS4D01G176300;TraesCS5A01G205500;TraesCS3D01G261800;TraesCS5B01G204900;TraesCS7D01G146400;TraesCS1D01G372400;TraesCS5A01G016200;TraesCS6B01G256200;TraesCS2D01G117200;TraesCS3B01G473100;TraesCS1B01G001800;TraesCS5B01G538600;TraesCS2B01G394700;TraesCS7D01G355100;TraesCS7D01G086900;TraesCS2B01G208900;TraesCS2A01G343100;TraesCS7D01G114100;TraesCS7D01G449500;TraesCS6A01G241000;TraesCS2D01G582800;TraesCS2A01G049700;TraesCS6B01G471400;TraesCS1B01G167700;TraesCS3B01G600300;TraesCS1D01G082600;TraesCS2B01G060900;TraesCS7B01G225500;TraesCS2A01G538200;TraesCS5B01G384300;TraesCS5D01G475900;TraesCS7A01G249400;TraesCS7D01G356200;TraesCS6D01G166100;TraesCS7D01G085800;TraesCS6A01G336600;TraesCS6B01G415700;TraesCS6D01G195900;TraesCS6A01G378000;TraesCS2D01G451100;TraesCS2D01G222300;TraesCS4B01G203000;TraesCS4D01G340500;TraesCS2A01G199700;TraesCS1A01G016100;TraesCS1D01G364000;TraesCS5D01G358600;TraesCS4B01G162700;TraesCS5D01G048600;TraesCS1D01G381800;TraesCS6B01G412400;TraesCS2D01G509300;TraesCS4A01G010000;TraesCS4A01G255400;TraesCS6D01G257000;TraesCS4D01G238900;TraesCS4D01G293200;TraesCS3B01G348200;TraesCS2D01G463100;TraesCS2A01G509900;TraesCS1B01G119600;TraesCS2B01G324900;TraesCS1A01G273600;TraesCS2A01G463900;TraesCS7A01G213000;TraesCS6A01G258900;TraesCS6B01G413500;TraesCS6D01G359100;TraesCS2A01G371600;TraesCS7A01G343800;TraesCS5D01G163500;TraesCS3A01G477300;TraesCS3D01G049700;TraesCS5D01G519800;TraesCS3D01G335700;TraesCS4B01G287300;TraesCS5A01G429000;TraesCS7A01G091400;TraesCS3B01G119600;TraesCS2A01G106500;TraesCS1A01G079700;TraesCS2D01G485300;TraesCS7D01G506300;TraesCS6D01G056600;TraesCS4B01G345400;TraesCS3A01G230900;TraesCS5A01G376700;TraesCSU01G003600;TraesCS1A01G342600;TraesCS3D01G441900;TraesCS1B01G347100;TraesCS6D01G210100;TraesCS3B01G325100;TraesCS5B01G428400;TraesCS3A01G317700;TraesCS5D01G059300;TraesCS1A01G332800;TraesCS4A01G396700;TraesCS7D01G085600;TraesCS2D01G107100;TraesCSU01G016900;TraesCS1D01G372900;TraesCS2D01G455900;TraesCS2D01G577000;TraesCS3A01G064400;TraesCS4D01G126900;TraesCS3A01G362500;TraesCS3B01G166600;TraesCS3B01G288100;TraesCS7D01G300200;TraesCS1A01G048100;TraesCS3A01G122300;TraesCS5B01G327800;TraesCS1D01G052000;TraesCS3D01G172200;TraesCS6D01G105000;TraesCS1B01G324000;TraesCSU01G047400;TraesCS7D01G265400;TraesCS4A01G323500;TraesCS4D01G352700;TraesCS3D01G345700;TraesCS1A01G047000;TraesCS1A01G080700;TraesCS6A01G277600;TraesCS6B01G381300;TraesCS2B01G035300;TraesCS3D01G219900;TraesCS1D01G076200;TraesCS5B01G208300;TraesCS6B01G152700;TraesCS7A01G321600;TraesCS7D01G451300;TraesCS6A01G301300;TraesCS1D01G047900;TraesCS6B01G059800;TraesCS6D01G158300;TraesCS4D01G089300;TraesCS5D01G069700;TraesCS5B01G520600;TraesCS1D01G335500;TraesCS5B01G474500;TraesCS1A01G296300;TraesCS2B01G240800;TraesCS1D01G239700;TraesCS6A01G327500;TraesCS1D01G082200;TraesCS7B01G301400;TraesCS7D01G463300;TraesCS1D01G032600;TraesCS2D01G222700;TraesCS2D01G564300;TraesCS5A01G152800;TraesCS3D01G324400;TraesCS4A01G384500;TraesCS5B01G225200;TraesCS6A01G375800;TraesCS3D01G272300;TraesCS2D01G528200;TraesCS1B01G109400;TraesCS2B01G241900;TraesCS2D01G464800;TraesCS4B01G132000;TraesCS5D01G455900;TraesCS6D01G328800;TraesCS4B01G216700;TraesCS6D01G335300;TraesCS7D01G357100;TraesCS5B01G056700;TraesCS1A01G073300;TraesCS1B01G385200;TraesCS4B01G055600;TraesCS1B01G251700;TraesCS7A01G131300;TraesCS3A01G439200;TraesCS1B01G375400;TraesCS3A01G357100;TraesCS3B01G352300;TraesCS2B01G539200;TraesCS4D01G312400;TraesCS2A01G182400;TraesCS3D01G315700;TraesCS4A01G071800;TraesCS3D01G349700;TraesCS1B01G157700;TraesCS3D01G542300;TraesCS2D01G098200;TraesCS6B01G069800;TraesCS7B01G167100;TraesCS5A01G222300;TraesCS2A01G150600;TraesCS5D01G195700;TraesCS4A01G171500;TraesCS5A01G048600;TraesCS4A01G211600;TraesCS3D01G262300;TraesCS5D01G212900;TraesCS7A01G384500;TraesCS6D01G362500;TraesCS6D01G316600;TraesCS3D01G273200;TraesCS2A01G117800;TraesCS2D01G190200;TraesCS5D01G158100;TraesCS6D01G107600;TraesCS2A01G209900;TraesCS7D01G364700;TraesCS5A01G173300;TraesCS7D01G167900;TraesCS7D01G444400;TraesCS2A01G023900;TraesCS4D01G229100;TraesCS7D01G037700;TraesCS3D01G230300;TraesCS5A01G463100;TraesCS2D01G227300;TraesCS1A01G066800;TraesCS5A01G185500;TraesCS3A01G419600;TraesCS6D01G050900;TraesCS5A01G514500;TraesCS3B01G410000;TraesCS3B01G376300;TraesCS5A01G210300;TraesCS6D01G047500;TraesCS3D01G182600;TraesCS3D01G337900;TraesCS1D01G073100;TraesCS6D01G381200;TraesCS3B01G253900;TraesCS1D01G333500;TraesCS2D01G509500;TraesCS3B01G295500;TraesCS3D01G136300;TraesCS7D01G130600;TraesCS3B01G053800;TraesCS6A01G374700;TraesCS2B01G187300;TraesCS3A01G034600;TraesCS2A01G033700;TraesCS6D01G115200;TraesCS4D01G220500;TraesCS2D01G178100;TraesCS5B01G437300;TraesCS7D01G203800;TraesCS1B01G157900;TraesCS7D01G341800;TraesCS3A01G123000;TraesCS4B01G054700;TraesCS4D01G325500;TraesCS7D01G048600;TraesCS7A01G091200;TraesCS7D01G128300;TraesCS1A01G429800;TraesCS4D01G267800;TraesCS6A01G211400;TraesCS3B01G374100;TraesCS1B01G204700;TraesCS3B01G280000;TraesCS1D01G295800;TraesCS3D01G535700;TraesCS7B01G325900;TraesCS3A01G493100;TraesCS1D01G220000;TraesCS2B01G197000;TraesCS6D01G161200;TraesCS6B01G305600;TraesCS7A01G127100;TraesCS2A01G056800;TraesCS3A01G097800;TraesCS4A01G101600;TraesCS3A01G255600;TraesCS7D01G136700;TraesCS1B01G254900;TraesCS2A01G418200;TraesCS5D01G031500;TraesCS6A01G225300;TraesCS2A01G455600;TraesCS5B01G151600;TraesCS2D01G549400;TraesCS2B01G243000;TraesCS4B01G181800;TraesCS6D01G240100;TraesCS3B01G194400;TraesCS2D01G217500;TraesCS5D01G478700;TraesCS1A01G002500;TraesCS5D01G374300;TraesCS2A01G503800;TraesCS1A01G424200;TraesCS6D01G153600;TraesCS2B01G489700;TraesCS5A01G062600;TraesCS2B01G236900;TraesCS3D01G209100;TraesCS6B01G006600;TraesCSU01G008300;TraesCS3B01G206500;TraesCS2D01G321400;TraesCS1B01G157300;TraesCS3B01G311900;TraesCS2D01G504300;TraesCS2B01G271700;TraesCS7B01G255500;TraesCS2A01G384100;TraesCS2D01G197600;TraesCS1D01G259700;TraesCS7B01G356400;TraesCS3A01G096500;TraesCS2D01G219900;TraesCS1D01G346200;TraesCS5B01G381500;TraesCS6B01G225800;TraesCS7B01G287100;TraesCS2B01G365900;TraesCS3D01G472000;TraesCS5D01G480600;TraesCS2B01G437200;TraesCS4D01G215200;TraesCS3D01G500800;TraesCS2D01G031100;TraesCS3D01G036000;TraesCS5A01G085900;TraesCS1A01G367100;TraesCS7D01G366600;TraesCS5B01G380400;TraesCS1D01G303700;TraesCS2D01G562200;TraesCS2A01G346000;TraesCS2D01G415600;TraesCS7D01G316100;TraesCS1D01G037200;TraesCS1D01G123700;TraesCS6B01G197000;TraesCS2D01G428900;TraesCS3D01G316700;TraesCS5A01G369500;TraesCS3B01G158300;TraesCS4B01G214600;TraesCS1B01G089100;TraesCS3D01G178300;TraesCS5B01G138400;TraesCS1B01G385000;TraesCS3D01G048000;TraesCS3D01G136700;TraesCS1B01G217500;TraesCS1B01G198700;TraesCS4D01G184200;TraesCS7D01G395100;TraesCS1D01G273800;TraesCS1A01G344000;TraesCS3D01G053600;TraesCS1D01G301300;TraesCS6A01G204600;TraesCS2D01G344700;TraesCS4B01G261800;TraesCS6A01G135100;TraesCS4D01G055000;TraesCS1D01G439300;TraesCS6D01G360800;TraesCS7D01G124900;TraesCS5B01G572600;TraesCS1D01G004700;TraesCS2B01G044700;TraesCS3A01G256300;TraesCS3D01G046000;TraesCS1D01G140400;TraesCS7A01G231600;TraesCS5B01G321800;TraesCS6A01G132400;TraesCS3B01G306500;TraesCS3D01G256500;TraesCS1A01G141300;TraesCS2D01G572600;TraesCS1B01G392400;TraesCS1A01G080600;TraesCS2B01G532000;TraesCS2B01G536600;TraesCS5A01G186000;TraesCS7D01G467100;TraesCS1D01G372700;TraesCS6D01G145100;TraesCS1B01G441900;TraesCS1A01G259900;TraesCS5D01G434500;TraesCS2D01G493700;TraesCS4B01G174200;TraesCS7B01G031900;TraesCS4A01G207800;TraesCS5D01G216400;TraesCS1A01G122800;TraesCS5D01G357800;TraesCS2B01G114000;TraesCS2A01G255300;TraesCS3B01G304300;TraesCS4A01G130300;TraesCS6A01G124800;TraesCS2A01G155500;TraesCS6D01G363200;TraesCS3B01G141500;TraesCS6A01G266900;TraesCS7D01G321500;TraesCS5D01G157900;TraesCS7B01G333700;TraesCS7D01G380900;TraesCS1B01G311400;TraesCS3A01G050300;TraesCS3D01G104000;TraesCS7B01G356800;TraesCS5A01G321300;TraesCS6A01G171800;TraesCS2A01G211300;TraesCS1D01G130400;TraesCS5B01G428000;TraesCS5A01G206700;TraesCS7D01G261300;TraesCS1B01G356100;TraesCS7D01G041400;TraesCS1A01G070600;TraesCS1B01G314700;TraesCS2B01G175800;TraesCS6A01G311400;TraesCS1D01G185500;TraesCS1A01G049600;TraesCS6D01G122200;TraesCS5D01G329100;TraesCS4B01G220200;TraesCS3A01G049500;TraesCS1D01G372500;TraesCS2A01G081400;TraesCS3B01G038900;TraesCS4D01G176200;TraesCS6B01G256300;TraesCS6B01G145800;TraesCS4A01G102900;TraesCS5B01G184100;TraesCS5B01G188700;TraesCS1A01G430000;TraesCS7D01G248100;TraesCS3A01G101800;TraesCS3B01G148100;TraesCS3D01G048400;TraesCS2A01G548300;TraesCS3A01G272800;TraesCS1A01G342900;TraesCS6B01G238900;TraesCS6B01G385500;TraesCS3B01G524400;TraesCS6D01G191500;TraesCS3A01G261700;TraesCS3B01G289500;TraesCS3A01G217900;TraesCS6D01G307100;TraesCS2B01G452400;TraesCS1A01G215900;TraesCS2B01G511300;TraesCS7B01G271600;TraesCS5D01G111500;TraesCS5A01G321500;TraesCS7A01G053400;TraesCS5D01G281200;TraesCS7B01G228900;TraesCS4D01G202300;TraesCS5D01G210800;TraesCS4B01G059700;TraesCS4D01G316500;TraesCS3A01G285700;TraesCS2A01G217200;TraesCS3A01G101700;TraesCS2D01G509400;TraesCS1D01G094700;TraesCS2A01G211900;TraesCS5D01G142900;TraesCS2D01G534600;TraesCS2B01G504600;TraesCS6D01G191400;TraesCS4B01G068300;TraesCS5A01G156200;TraesCS7D01G417800;TraesCS7B01G030400;TraesCS3D01G412400;TraesCS6B01G136100;TraesCS6B01G152800;TraesCS2B01G220900;TraesCS5D01G159100;TraesCS2B01G266900;TraesCS7A01G091500;TraesCS1A01G257200;TraesCS4A01G391100;TraesCS1D01G081400;TraesCS3A01G021600;TraesCS5A01G147500;TraesCS3D01G432000;TraesCS2B01G435600;TraesCS2D01G066900;TraesCS1D01G101300;TraesCS1D01G082500;TraesCS3A01G110400;TraesCS3A01G135700;TraesCS7A01G364200;TraesCS2A01G371700;TraesCS5A01G320600;TraesCS7B01G225600;TraesCS6B01G358800;TraesCS4D01G180700;TraesCS1B01G430800;TraesCS5D01G097900;TraesCS6D01G258200;TraesCS7B01G301100;TraesCS5A01G467600;TraesCS2D01G419700;TraesCS4D01G032900;TraesCS4A01G221700;TraesCS4D01G168600;TraesCS3B01G110500;TraesCS2A01G462700;TraesCS3B01G310000;TraesCS1A01G048000;TraesCS2D01G509200;TraesCS7B01G029200;TraesCS3D01G193200;TraesCS1B01G062200;TraesCS3B01G290300;TraesCS4D01G203900;TraesCS1B01G119700;TraesCS1A01G103900;TraesCS2D01G201700;TraesCS6B01G257800;TraesCS3A01G351500;TraesCS2D01G534400;TraesCS6A01G168900;TraesCS1D01G344700;TraesCS5B01G202900;TraesCS3D01G045400;TraesCS6B01G266500;TraesCS7A01G400900;TraesCS4B01G228200;TraesCS7A01G434300;TraesCS5B01G042800;TraesCS5D01G343000;TraesCS1D01G330300;TraesCS2B01G100300;TraesCS5B01G208200;TraesCS2A01G308400;TraesCS6B01G152600;TraesCS2B01G220700;TraesCS2B01G323700;TraesCS6D01G158400;TraesCS3B01G119500;TraesCS7A01G328100;TraesCS7D01G114200;TraesCS2B01G067000;TraesCS2D01G485200;TraesCS5D01G073900;TraesCS7D01G394800;TraesCS6B01G169000;TraesCS5A01G351300;TraesCS2A01G532800;TraesCS1D01G101100;TraesCS3D01G256600;TraesCS5D01G152300;TraesCS5D01G177800;TraesCS1A01G235200;TraesCS2D01G511300;TraesCS3B01G151200;TraesCS3A01G479800;TraesCS2A01G098700;TraesCS1D01G372800;TraesCS1D01G206900;TraesCS4D01G126800;TraesCS6B01G415600;TraesCS7A01G419500;TraesCS3B01G013200;TraesCS5A01G377900;TraesCS1A01G203400;TraesCS7D01G053900;TraesCS4B01G216000;TraesCS1A01G333800;TraesCS5A01G237700;TraesCS4A01G267300;TraesCS3D01G276200;TraesCS6B01G183300;TraesCS5D01G145100;TraesCS2A01G217600;TraesCS1B01G385300;TraesCS2B01G216800;TraesCS1B01G456700;TraesCS1A01G145100;TraesCS1A01G149700;TraesCS2B01G114900;TraesCS6D01G247700;TraesCS4D01G172700;TraesCS4D01G312300;TraesCS5D01G452500;TraesCS1B01G283400;TraesCS3A01G530200;TraesCS3B01G361100;TraesCS3B01G388600;TraesCS1B01G120100;TraesCS2A01G214100;TraesCS3B01G384000;TraesCS6D01G032300;TraesCS5A01G138600;TraesCS3A01G463400;TraesCS5D01G304700;TraesCS5A01G249900;TraesCS3B01G238600;TraesCS5D01G373700;TraesCS1A01G312300;TraesCS2B01G562100;TraesCS1A01G031200;TraesCS3B01G248400;TraesCS5B01G236200;TraesCS7B01G222500;TraesCS2A01G347400;TraesCS3A01G262200;TraesCS2A01G368700;TraesCS5D01G386800;TraesCS1B01G270300;TraesCS2B01G521800;TraesCS7A01G096800;TraesCS5B01G069900;TraesCS2A01G532600;TraesCS6D01G210200;TraesCS2D01G517200;TraesCS1D01G367800;TraesCS4D01G046900;TraesCS7A01G154900;TraesCS4A01G186700;TraesCS4A01G083900;TraesCS5D01G564000;TraesCS1D01G312500;TraesCS1B01G248400;TraesCS1D01G439500;TraesCS2B01G241800;TraesCS6B01G367100;TraesCS1B01G097700;TraesCS5A01G136200;TraesCS3A01G054100;TraesCS3D01G182300;TraesCS2D01G284200;TraesCS5B01G056800;TraesCS2D01G380800;TraesCS2D01G207400;TraesCS5A01G160100;TraesCS5A01G092600;TraesCS3B01G218800;TraesCS1D01G067800;TraesCS3A01G034700;TraesCS2B01G244000;TraesCS4B01G041300;TraesCS5B01G457000;TraesCS2B01G366600;TraesCS3D01G097000;TraesCS6D01G330800;TraesCS7B01G141900;TraesCS5B01G366400;TraesCS2D01G055600;TraesCS7B01G222700;TraesCS6D01G280700;TraesCS3D01G262200;TraesCS1A01G325800;TraesCS4B01G294300;TraesCS3D01G046900;TraesCS3A01G323200;TraesCS7A01G129300;TraesCS2D01G574000;TraesCS2D01G062100;TraesCS4D01G217000;TraesCS5D01G158000;TraesCS7D01G129500;TraesCS6D01G159100;TraesCS2B01G594100;TraesCS3B01G585400;TraesCS3D01G124200;TraesCS3D01G313600;TraesCS2B01G364400;TraesCS1A01G301600;TraesCS6A01G116200;TraesCS7D01G444500;TraesCS6B01G192400;TraesCS6A01G223500;TraesCS1B01G305200;TraesCS3D01G356300;TraesCS6A01G352800;TraesCS6A01G375900;TraesCS4B01G132100;TraesCS5B01G064400;TraesCS1A01G016000;TraesCS2A01G485600;TraesCS7A01G325000;TraesCS7B01G220500</t>
  </si>
  <si>
    <t>regulation of programmed cell death</t>
  </si>
  <si>
    <t>TraesCS2D01G538400;TraesCS3B01G490000;TraesCS1A01G218400;TraesCS5D01G359000;TraesCS5D01G038000;TraesCS6D01G358600;TraesCS7D01G092900;TraesCS1B01G454000;TraesCS3B01G295000;TraesCS7B01G473700;TraesCS2A01G389900;TraesCS3B01G455000;TraesCS4D01G207500;TraesCS6A01G124500;TraesCS7A01G163300;TraesCS6B01G052400;TraesCS2D01G479100;TraesCS2B01G236800;TraesCS7D01G318600;TraesCS2D01G079200;TraesCS2A01G190200;TraesCS5D01G383100;TraesCS4B01G157800;TraesCS3B01G485900;TraesCS5B01G104500;TraesCS7A01G476700;TraesCS2B01G350500;TraesCS3A01G276200;TraesCS3D01G049000;TraesCS3D01G278000;TraesCS3A01G033000;TraesCS6D01G360900;TraesCS7B01G245800;TraesCS3A01G342000;TraesCS2D01G219800;TraesCS6B01G225700;TraesCS5B01G526200;TraesCS6A01G052100;TraesCS4B01G376800;TraesCS5A01G447200;TraesCS5A01G350800;TraesCS2A01G170600;TraesCS2D01G255700;TraesCS2D01G297300;TraesCS4B01G054900;TraesCS3D01G351600;TraesCS1A01G367200;TraesCS2A01G182800;TraesCS2A01G216700;TraesCS3D01G234400;TraesCS5B01G135200;TraesCS2A01G537900;TraesCS7D01G444700;TraesCS3B01G126400;TraesCS2B01G477600;TraesCS1D01G074500;TraesCS7B01G047300;TraesCS3D01G270300;TraesCS3A01G274000;TraesCS3A01G163300;TraesCS5B01G371800;TraesCS4B01G306900;TraesCS6B01G145700;TraesCS3D01G316400;TraesCS1A01G343000;TraesCS1D01G100900;TraesCS1A01G184500;TraesCS3A01G344400;TraesCS1A01G243400;TraesCS3A01G048700;TraesCS7B01G239300;TraesCS3A01G107600;TraesCS1B01G385100;TraesCS4A01G089700;TraesCS1B01G158500;TraesCS2A01G479900;TraesCS3A01G034300;TraesCS4B01G238700;TraesCS5D01G328300;TraesCS6A01G078700;TraesCS3B01G113500;TraesCS5B01G183500;TraesCS2D01G537100;TraesCS5D01G387900;TraesCS2D01G226300;TraesCS5B01G146100;TraesCS1D01G439400;TraesCS7B01G356500;TraesCS5D01G524800;TraesCS3B01G049700;TraesCS3B01G196900;TraesCS1A01G182300;TraesCS5A01G197200;TraesCS4A01G062000;TraesCS7B01G415400;TraesCS2B01G180500;TraesCS1D01G335400;TraesCS6A01G377700;TraesCS2B01G605800;TraesCS6A01G000500;TraesCS2B01G437300;TraesCS4B01G106000;TraesCS5B01G526000;TraesCS7D01G087100;TraesCS3B01G306400;TraesCS3D01G030600;TraesCS6A01G250800;TraesCS2B01G097300;TraesCS4B01G047100;TraesCS1A01G367000;TraesCS5A01G322300;TraesCS3A01G357700;TraesCS2A01G216500;TraesCS7D01G165300;TraesCS3A01G045200;TraesCS3B01G390400;TraesCS1B01G231900;TraesCS2D01G415700;TraesCS3B01G401600;TraesCS5D01G181500;TraesCS6A01G225400;TraesCS2A01G418300;TraesCS6B01G020800;TraesCS1B01G162400;TraesCS7A01G455800;TraesCS3A01G310400;TraesCS1D01G146900;TraesCS1D01G345200;TraesCS5B01G184600;TraesCS6D01G211900;TraesCS6A01G140800;TraesCS1D01G243400;TraesCS1D01G163400;TraesCS1D01G218200;TraesCS2D01G097700;TraesCS7A01G118900;TraesCS5B01G188600;TraesCS7A01G435300;TraesCS5D01G328100;TraesCS2B01G537800;TraesCS2D01G223000;TraesCS3A01G272900;TraesCS2B01G485600;TraesCS3B01G289400;TraesCS6D01G157900;TraesCS2B01G053300;TraesCS7A01G480100;TraesCS7A01G031700;TraesCS2D01G364400;TraesCS3A01G152200;TraesCS2D01G216700;TraesCS3D01G104100;TraesCS3A01G257500;TraesCS1B01G384900;TraesCS5A01G370800;TraesCS2A01G525300;TraesCS3B01G307700;TraesCS1B01G091900;TraesCS6B01G051700;TraesCS2D01G537700;TraesCS7D01G495700;TraesCS4A01G414700;TraesCS4D01G261400;TraesCS3A01G256200;TraesCS5A01G401400;TraesCS5B01G501300;TraesCS2B01G242200;TraesCS1D01G419400;TraesCS6A01G178500;TraesCS7D01G324900;TraesCS4A01G098600;TraesCS3D01G256400;TraesCS2B01G001400;TraesCS6B01G163100;TraesCS2B01G097100;TraesCS7A01G167300;TraesCS2B01G045700;TraesCS1A01G080500;TraesCS1A01G330500;TraesCS5D01G104900;TraesCS3A01G290300;TraesCS7B01G309900;TraesCS6B01G300900;TraesCS2B01G536500;TraesCS5B01G028700;TraesCS6D01G122100;TraesCS7A01G264400;TraesCS1D01G372600;TraesCS5A01G294600;TraesCSU01G111800;TraesCS3D01G257500;TraesCS5D01G063800;TraesCS4B01G174300;TraesCS6B01G204600;TraesCS7B01G260800;TraesCS2B01G096000;TraesCS5B01G538800;TraesCS6B01G412500;TraesCS7D01G248200;TraesCS2B01G124100;TraesCS1A01G304200;TraesCS1A01G430100;TraesCS7B01G107300;TraesCS7B01G069100;TraesCS5B01G247700;TraesCS2A01G493800;TraesCS5B01G152600;TraesCS6A01G155200;TraesCS5A01G297900;TraesCS3D01G290100;TraesCS1D01G379000;TraesCS3B01G153800;TraesCS3A01G261800;TraesCS3A01G355700;TraesCS4A01G029800;TraesCS7B01G395000;TraesCS7D01G335800;TraesCS1A01G372400;TraesCSU01G238700;TraesCS3A01G224400;TraesCS6B01G199700;TraesCS1B01G376000;TraesCS5B01G316300;TraesCS7A01G242800;TraesCS2D01G491600;TraesCS3B01G291900;TraesCS3A01G129000;TraesCS1D01G236900;TraesCS4D01G059300;TraesCS6D01G146500;TraesCS2A01G211200;TraesCS1D01G140300;TraesCS4B01G315400;TraesCS2A01G431100;TraesCS5A01G426500;TraesCS1A01G411600;TraesCS2A01G040900;TraesCS1B01G356200;TraesCS6B01G205900;TraesCS5D01G190600;TraesCS5D01G509800;TraesCS4B01G201600;TraesCS4D01G176300;TraesCS5A01G205500;TraesCS3D01G261800;TraesCS5B01G204900;TraesCS7D01G146400;TraesCS1D01G372400;TraesCS4D01G305100;TraesCS5A01G016200;TraesCS6B01G256200;TraesCS2D01G117200;TraesCS3B01G473100;TraesCS1B01G001800;TraesCS5B01G538600;TraesCS2B01G394700;TraesCS7D01G355100;TraesCS7D01G086900;TraesCS2B01G208900;TraesCS2A01G343100;TraesCS7D01G114100;TraesCS7D01G449500;TraesCS6A01G241000;TraesCS2D01G582800;TraesCS2A01G049700;TraesCS6B01G471400;TraesCS1B01G167700;TraesCS3B01G600300;TraesCS1D01G082600;TraesCS2B01G060900;TraesCS7B01G225500;TraesCS2A01G538200;TraesCS5B01G384300;TraesCS5D01G475900;TraesCS7A01G249400;TraesCS7D01G356200;TraesCS6D01G166100;TraesCS7D01G085800;TraesCS6A01G336600;TraesCS6B01G415700;TraesCS6D01G195900;TraesCS6A01G378000;TraesCS2D01G451100;TraesCS2D01G222300;TraesCS4B01G203000;TraesCS4D01G340500;TraesCS2A01G199700;TraesCS5D01G380500;TraesCS1A01G016100;TraesCS1D01G364000;TraesCS5D01G358600;TraesCS4B01G162700;TraesCS5D01G048600;TraesCS1D01G381800;TraesCS6B01G412400;TraesCS2D01G509300;TraesCS4A01G010000;TraesCS5B01G375600;TraesCS4A01G255400;TraesCS6D01G257000;TraesCS4D01G238900;TraesCS4D01G293200;TraesCS3B01G348200;TraesCS2D01G463100;TraesCS2A01G509900;TraesCS1B01G119600;TraesCS2B01G324900;TraesCS1A01G273600;TraesCS2A01G463900;TraesCS5D01G022200;TraesCS7A01G213000;TraesCS6A01G258900;TraesCS6B01G413500;TraesCS6D01G359100;TraesCS2A01G371600;TraesCS7A01G343800;TraesCS5D01G163500;TraesCS3A01G477300;TraesCS3D01G049700;TraesCS5D01G519800;TraesCS3D01G335700;TraesCS4B01G287300;TraesCS5A01G429000;TraesCS7A01G091400;TraesCS2D01G112700;TraesCS3B01G119600;TraesCS2A01G106500;TraesCS1A01G079700;TraesCS2D01G485300;TraesCS4D01G360300;TraesCS7D01G506300;TraesCS5A01G030000;TraesCS6D01G056600;TraesCS4B01G345400;TraesCS3A01G230900;TraesCS2A01G083300;TraesCS5A01G376700;TraesCSU01G003600;TraesCS1A01G342600;TraesCS3D01G441900;TraesCS1B01G347100;TraesCS6D01G210100;TraesCS3B01G325100;TraesCS5B01G428400;TraesCS3A01G317700;TraesCS5D01G059300;TraesCS1A01G332800;TraesCS4A01G396700;TraesCS7D01G085600;TraesCS2D01G107100;TraesCSU01G016900;TraesCS1D01G372900;TraesCS2D01G455900;TraesCS2D01G577000;TraesCS3A01G064400;TraesCS4D01G126900;TraesCS3A01G362500;TraesCS3B01G166600;TraesCS3B01G288100;TraesCS7D01G300200;TraesCS3D01G220900;TraesCS1A01G048100;TraesCS3A01G122300;TraesCS5B01G327800;TraesCS1D01G052000;TraesCS3D01G172200;TraesCS6D01G105000;TraesCS1B01G324000;TraesCSU01G047400;TraesCS7D01G265400;TraesCS4A01G323500;TraesCS4D01G352700;TraesCS3D01G345700;TraesCS1A01G047000;TraesCS1A01G080700;TraesCS6A01G277600;TraesCS6B01G381300;TraesCS2B01G035300;TraesCS3D01G219900;TraesCS1D01G076200;TraesCS5B01G208300;TraesCS4B01G367200;TraesCS6B01G152700;TraesCS7A01G321600;TraesCS7D01G451300;TraesCS6A01G301300;TraesCS1D01G047900;TraesCS6B01G059800;TraesCS6D01G158300;TraesCS4D01G089300;TraesCS5D01G069700;TraesCS2A01G112300;TraesCS5B01G520600;TraesCS5D01G514500;TraesCS1D01G335500;TraesCS5B01G474500;TraesCS1A01G296300;TraesCS2B01G240800;TraesCS1D01G239700;TraesCS2B01G246100;TraesCS6A01G327500;TraesCS1D01G082200;TraesCS7B01G301400;TraesCS7D01G463300;TraesCS1D01G032600;TraesCS2D01G222700;TraesCS2D01G564300;TraesCS5A01G152800;TraesCS3D01G244500;TraesCS3D01G324400;TraesCS4A01G384500;TraesCS5B01G225200;TraesCS6A01G375800;TraesCS3D01G272300;TraesCS2D01G528200;TraesCS1B01G109400;TraesCS2B01G241900;TraesCS2D01G464800;TraesCS4B01G132000;TraesCS5D01G455900;TraesCS6D01G328800;TraesCS4B01G216700;TraesCS6D01G335300;TraesCS7D01G357100;TraesCS5B01G056700;TraesCS1A01G073300;TraesCS1B01G385200;TraesCS4B01G055600;TraesCS5A01G373600;TraesCS1B01G251700;TraesCS7A01G131300;TraesCS3A01G439200;TraesCS1B01G375400;TraesCS3A01G357100;TraesCS3B01G352300;TraesCS2B01G539200;TraesCS4D01G312400;TraesCS2A01G182400;TraesCS3D01G315700;TraesCS4A01G071800;TraesCS3D01G349700;TraesCS1B01G157700;TraesCS3D01G542300;TraesCS2D01G098200;TraesCS6B01G069800;TraesCS7B01G167100;TraesCS5A01G222300;TraesCS2A01G150600;TraesCS5D01G195700;TraesCS4A01G171500;TraesCS5A01G048600;TraesCS4A01G211600;TraesCS3D01G262300;TraesCS5D01G212900;TraesCS7A01G384500;TraesCS6D01G362500;TraesCS6D01G316600;TraesCS3D01G273200;TraesCS2A01G117800;TraesCS2D01G190200;TraesCS5D01G158100;TraesCS6D01G107600;TraesCS2A01G209900;TraesCS7D01G364700;TraesCS5A01G173300;TraesCS7D01G167900;TraesCS7D01G444400;TraesCS2A01G023900;TraesCS4D01G229100;TraesCS7D01G037700;TraesCS3D01G230300;TraesCS5A01G463100;TraesCS5D01G070900;TraesCS2D01G227300;TraesCS1A01G066800;TraesCS5A01G185500;TraesCS3A01G419600;TraesCS6D01G050900;TraesCS5A01G514500;TraesCS3B01G410000;TraesCS3B01G376300;TraesCS5A01G210300;TraesCS6D01G047500;TraesCS3D01G182600;TraesCS3D01G337900;TraesCS1D01G073100;TraesCS6D01G381200;TraesCS3B01G253900;TraesCS1D01G333500;TraesCS2D01G509500;TraesCS3B01G295500;TraesCS3D01G136300;TraesCS7D01G130600;TraesCS3B01G053800;TraesCS6A01G374700;TraesCS2B01G187300;TraesCS3A01G034600;TraesCS2A01G033700;TraesCS6D01G115200;TraesCS4D01G220500;TraesCS2D01G178100;TraesCS5B01G437300;TraesCS7D01G203800;TraesCS1B01G157900;TraesCS7D01G341800;TraesCS3A01G123000;TraesCS4B01G054700;TraesCS4D01G325500;TraesCS7D01G048600;TraesCS7A01G091200;TraesCS7D01G128300;TraesCS1A01G429800;TraesCS4D01G267800;TraesCS6A01G211400;TraesCS3B01G374100;TraesCS1B01G204700;TraesCS3B01G280000;TraesCS1D01G295800;TraesCS3D01G535700;TraesCS7B01G325900;TraesCS3A01G493100;TraesCS1D01G220000;TraesCS2B01G197000;TraesCS6D01G161200;TraesCS6B01G305600;TraesCS7A01G127100;TraesCS2A01G056800;TraesCS3A01G097800;TraesCS4A01G101600;TraesCS3A01G255600;TraesCS7D01G136700;TraesCS1B01G254900;TraesCS2A01G418200;TraesCS5D01G031500;TraesCS6A01G225300;TraesCS2A01G455600;TraesCS5B01G151600;TraesCS2D01G549400;TraesCS2B01G243000;TraesCS4B01G181800;TraesCS6D01G240100;TraesCS3B01G194400;TraesCS2D01G217500;TraesCS5D01G478700;TraesCS1A01G002500;TraesCS5D01G374300;TraesCS2A01G503800;TraesCS1A01G424200;TraesCS6D01G153600;TraesCS2B01G489700;TraesCS5A01G062600;TraesCS3D01G290000;TraesCS2B01G236900;TraesCS3D01G209100;TraesCS6B01G006600;TraesCSU01G008300;TraesCS3B01G206500;TraesCS2D01G321400;TraesCS1B01G157300;TraesCS3B01G311900;TraesCS2D01G504300;TraesCS2B01G271700;TraesCS6D01G246900;TraesCS7B01G255500;TraesCS2A01G384100;TraesCS2B01G350600;TraesCS2D01G197600;TraesCS1D01G259700;TraesCS7B01G356400;TraesCS5B01G530800;TraesCS3A01G096500;TraesCS2D01G219900;TraesCS5A01G315700;TraesCS1D01G346200;TraesCS5B01G381500;TraesCS6B01G225800;TraesCS7B01G287100;TraesCS2B01G365900;TraesCS7D01G030100;TraesCS3D01G472000;TraesCS5D01G480600;TraesCS2B01G437200;TraesCS4D01G215200;TraesCS3D01G500800;TraesCS2D01G031100;TraesCS3D01G036000;TraesCS5A01G085900;TraesCS6A01G268000;TraesCS1A01G367100;TraesCS7D01G366600;TraesCS5B01G380400;TraesCS1D01G303700;TraesCS2D01G562200;TraesCS2A01G346000;TraesCS2D01G415600;TraesCS3A01G232300;TraesCS7D01G316100;TraesCS1D01G037200;TraesCS1D01G123700;TraesCS6B01G197000;TraesCS2D01G428900;TraesCS3D01G316700;TraesCS5A01G369500;TraesCS3B01G158300;TraesCS4B01G214600;TraesCS1B01G089100;TraesCS3D01G178300;TraesCS5B01G138400;TraesCS1B01G385000;TraesCS3D01G048000;TraesCS3D01G136700;TraesCS1B01G217500;TraesCS1B01G198700;TraesCS4D01G184200;TraesCS7D01G395100;TraesCS1D01G273800;TraesCS1A01G344000;TraesCS3D01G053600;TraesCS1D01G301300;TraesCS6A01G204600;TraesCS2D01G344700;TraesCS4B01G261800;TraesCS6A01G135100;TraesCS4D01G055000;TraesCS1D01G439300;TraesCS6D01G360800;TraesCS7D01G124900;TraesCS5B01G572600;TraesCS1D01G004700;TraesCS2B01G044700;TraesCS3A01G256300;TraesCS3D01G046000;TraesCS1D01G140400;TraesCS7A01G231600;TraesCS5B01G321800;TraesCS6A01G132400;TraesCS3B01G306500;TraesCS3D01G256500;TraesCS1A01G141300;TraesCS2D01G572600;TraesCS1B01G392400;TraesCS1A01G080600;TraesCS2B01G532000;TraesCS2B01G536600;TraesCS5A01G186000;TraesCS7D01G467100;TraesCS1D01G372700;TraesCS6D01G145100;TraesCS1B01G441900;TraesCS1A01G259900;TraesCS5D01G434500;TraesCS1A01G213900;TraesCS2D01G493700;TraesCS5B01G014400;TraesCS4B01G174200;TraesCS7B01G031900;TraesCS4A01G207800;TraesCS5D01G216400;TraesCS1D01G013200;TraesCS1A01G122800;TraesCS5D01G357800;TraesCS2B01G114000;TraesCS2A01G255300;TraesCS3B01G304300;TraesCS4A01G130300;TraesCS6A01G124800;TraesCS2A01G155500;TraesCS6D01G363200;TraesCS3B01G141500;TraesCS6A01G266900;TraesCS7D01G321500;TraesCS5D01G157900;TraesCS7B01G333700;TraesCS7D01G380900;TraesCS1B01G311400;TraesCS3A01G050300;TraesCS5D01G321800;TraesCS3D01G104000;TraesCS7B01G356800;TraesCS5A01G321300;TraesCS6A01G171800;TraesCS2B01G130900;TraesCS2A01G211300;TraesCS1D01G130400;TraesCS5B01G428000;TraesCS5A01G206700;TraesCS7D01G261300;TraesCS1B01G356100;TraesCS7D01G041400;TraesCS1A01G070600;TraesCS1B01G314700;TraesCS2B01G175800;TraesCS5A01G534900;TraesCS6A01G311400;TraesCS1D01G185500;TraesCS1A01G049600;TraesCS6D01G122200;TraesCS5D01G329100;TraesCS4B01G220200;TraesCS3A01G049500;TraesCS1D01G372500;TraesCS2A01G081400;TraesCS3B01G038900;TraesCS4D01G176200;TraesCS6B01G256300;TraesCS7D01G430800;TraesCS6B01G145800;TraesCS4A01G102900;TraesCS5B01G184100;TraesCS5B01G188700;TraesCS1A01G430000;TraesCS7D01G248100;TraesCS3A01G101800;TraesCS3B01G148100;TraesCS3D01G048400;TraesCS2A01G548300;TraesCS3A01G272800;TraesCS1A01G342900;TraesCS6B01G238900;TraesCS6B01G385500;TraesCS3B01G524400;TraesCS6D01G191500;TraesCS3A01G261700;TraesCS3B01G289500;TraesCS3A01G217900;TraesCS6D01G307100;TraesCS2B01G452400;TraesCS1A01G215900;TraesCS2B01G511300;TraesCS7B01G271600;TraesCS1D01G338400;TraesCS5D01G111500;TraesCS5A01G321500;TraesCS7A01G053400;TraesCS5D01G281200;TraesCS7B01G228900;TraesCS4D01G202300;TraesCS5D01G210800;TraesCS4B01G059700;TraesCS4D01G316500;TraesCS3A01G285700;TraesCS2A01G217200;TraesCS3A01G101700;TraesCS2D01G509400;TraesCS1D01G094700;TraesCS2A01G211900;TraesCS5D01G142900;TraesCS2D01G534600;TraesCS2B01G504600;TraesCS6D01G191400;TraesCS4B01G068300;TraesCS5A01G156200;TraesCS7D01G417800;TraesCS7B01G030400;TraesCS3D01G412400;TraesCS6B01G136100;TraesCS6B01G152800;TraesCS2B01G220900;TraesCS3A01G056700;TraesCS5D01G159100;TraesCS2B01G266900;TraesCS7A01G091500;TraesCS1A01G257200;TraesCS4A01G391100;TraesCS1D01G081400;TraesCS3A01G021600;TraesCS5A01G147500;TraesCS3D01G432000;TraesCS2B01G435600;TraesCS2D01G066900;TraesCS1D01G101300;TraesCS1D01G082500;TraesCS3A01G110400;TraesCS3A01G135700;TraesCS7A01G364200;TraesCS2A01G371700;TraesCS5A01G320600;TraesCS7B01G225600;TraesCS6B01G358800;TraesCS4D01G180700;TraesCS1B01G430800;TraesCS5D01G097900;TraesCS6D01G258200;TraesCS7B01G301100;TraesCS5A01G467600;TraesCS2D01G419700;TraesCS4D01G032900;TraesCS4A01G221700;TraesCS4D01G168600;TraesCS3B01G110500;TraesCS2A01G462700;TraesCS3B01G310000;TraesCS1A01G048000;TraesCS2D01G509200;TraesCS7B01G029200;TraesCS3D01G193200;TraesCS1B01G062200;TraesCS3B01G290300;TraesCS4D01G203900;TraesCS1B01G119700;TraesCS1A01G103900;TraesCS2D01G201700;TraesCS6B01G257800;TraesCS3A01G351500;TraesCS2D01G534400;TraesCS6A01G168900;TraesCS1D01G344700;TraesCS5B01G202900;TraesCS3D01G045400;TraesCS6B01G266500;TraesCS7A01G400900;TraesCS4B01G228200;TraesCS7A01G434300;TraesCS5B01G042800;TraesCS5D01G343000;TraesCS1D01G330300;TraesCS2B01G100300;TraesCS5B01G208200;TraesCS2A01G308400;TraesCS6B01G152600;TraesCS2B01G220700;TraesCS2B01G323700;TraesCS6D01G158400;TraesCS3B01G119500;TraesCS7A01G328100;TraesCS7D01G114200;TraesCS2B01G067000;TraesCS2D01G485200;TraesCS5D01G073900;TraesCS7D01G394800;TraesCS6B01G169000;TraesCS1A01G015300;TraesCS5A01G351300;TraesCS2A01G532800;TraesCS1D01G101100;TraesCS3D01G256600;TraesCS5D01G152300;TraesCS5D01G177800;TraesCS1A01G235200;TraesCS2D01G511300;TraesCS3B01G151200;TraesCS3A01G479800;TraesCS2A01G098700;TraesCS1D01G372800;TraesCS1D01G206900;TraesCS4D01G126800;TraesCS6B01G415600;TraesCS7A01G419500;TraesCS3B01G013200;TraesCS5A01G377900;TraesCS1A01G203400;TraesCS7D01G053900;TraesCS3A01G247000;TraesCS4B01G216000;TraesCS1A01G333800;TraesCS5A01G237700;TraesCS4A01G267300;TraesCS3D01G276200;TraesCS6B01G183300;TraesCS5D01G145100;TraesCS2A01G217600;TraesCS1B01G385300;TraesCS2B01G216800;TraesCS1B01G456700;TraesCS1A01G145100;TraesCS1A01G149700;TraesCS7A01G479800;TraesCS2B01G114900;TraesCS1A01G088900;TraesCS6D01G247700;TraesCS4D01G172700;TraesCS4D01G312300;TraesCS5D01G452500;TraesCS4A01G455800;TraesCS1D01G216700;TraesCS6B01G295200;TraesCS1B01G283400;TraesCS3A01G530200;TraesCS3B01G361100;TraesCS3B01G388600;TraesCS1B01G120100;TraesCS2A01G214100;TraesCS4A01G363700;TraesCS3B01G384000;TraesCS6D01G032300;TraesCS5A01G138600;TraesCS3A01G463400;TraesCS5D01G304700;TraesCS5A01G249900;TraesCS3B01G238600;TraesCS5D01G373700;TraesCS1A01G312300;TraesCS2B01G562100;TraesCS1A01G031200;TraesCS3B01G248400;TraesCS5B01G236200;TraesCS7B01G222500;TraesCS2A01G347400;TraesCS3A01G262200;TraesCS2A01G368700;TraesCS3B01G272300;TraesCS5D01G386800;TraesCS5B01G509700;TraesCS1B01G270300;TraesCS2B01G521800;TraesCS7A01G096800;TraesCS5D01G179100;TraesCS5B01G069900;TraesCS2A01G083000;TraesCS2A01G532600;TraesCS6D01G210200;TraesCS2D01G517200;TraesCS1D01G367800;TraesCS4D01G046900;TraesCS7A01G154900;TraesCS4A01G186700;TraesCS4A01G083900;TraesCS5D01G564000;TraesCS1D01G312500;TraesCS1B01G248400;TraesCS1D01G439500;TraesCS2B01G241800;TraesCS6B01G367100;TraesCS1B01G097700;TraesCS3D01G056500;TraesCS5A01G136200;TraesCS3A01G054100;TraesCS3D01G182300;TraesCS2D01G284200;TraesCS5B01G056800;TraesCS2D01G380800;TraesCS2D01G207400;TraesCS5A01G160100;TraesCS5A01G092600;TraesCS3B01G218800;TraesCS1D01G067800;TraesCS3A01G034700;TraesCS2B01G244000;TraesCS4B01G041300;TraesCS5B01G457000;TraesCS2B01G366600;TraesCS3D01G097000;TraesCS4A01G407500;TraesCS6D01G330800;TraesCS7B01G141900;TraesCS5B01G366400;TraesCS2D01G055600;TraesCS7B01G222700;TraesCS6D01G280700;TraesCS3D01G262200;TraesCS1A01G325800;TraesCS4B01G294300;TraesCS3D01G046900;TraesCS3A01G323200;TraesCS7A01G129300;TraesCS2D01G574000;TraesCS2D01G062100;TraesCS4D01G217000;TraesCS5D01G158000;TraesCS7D01G129500;TraesCS6D01G159100;TraesCS2B01G594100;TraesCS2A01G220600;TraesCS3B01G585400;TraesCS3D01G124200;TraesCS3D01G313600;TraesCS2B01G364400;TraesCS1A01G301600;TraesCS6A01G116200;TraesCS7D01G444500;TraesCS6B01G192400;TraesCS6A01G223500;TraesCS1B01G305200;TraesCS3D01G356300;TraesCS6A01G352800;TraesCS6A01G375900;TraesCS4B01G132100;TraesCS5B01G064400;TraesCS1A01G016000;TraesCS2A01G485600;TraesCS7A01G325000;TraesCS7B01G220500</t>
  </si>
  <si>
    <t>TraesCS2B01G229000;TraesCS4B01G254700;TraesCS5D01G493200;TraesCS2B01G166100;TraesCS4D01G087200;TraesCS5D01G369200;TraesCS6A01G119900;TraesCS1D01G363500;TraesCS2D01G144500;TraesCS1A01G202300;TraesCS3B01G394600;TraesCS1B01G375100;TraesCS4A01G050000;TraesCS4A01G226300;TraesCS2A01G201900;TraesCS3D01G355900;TraesCS2D01G232400;TraesCS2D01G214200;TraesCS2D01G000300;TraesCS6A01G363900;TraesCS5B01G078500;TraesCS4D01G210900;TraesCS5B01G082500;TraesCS7D01G417600;TraesCS2D01G317400;TraesCS2D01G315100;TraesCS1D01G229700;TraesCS7B01G326200;TraesCS3B01G240000;TraesCS5A01G183600;TraesCS5D01G188600;TraesCS2D01G426600;TraesCS4B01G088700;TraesCS4A01G110100;TraesCS2B01G101800;TraesCS5B01G182000;TraesCS1A01G077500;TraesCS3D01G212100;TraesCS5B01G492700;TraesCS1A01G358600;TraesCS5A01G398900;TraesCS2B01G250100;TraesCS1D01G079600;TraesCS1A01G228100;TraesCS2B01G449200;TraesCS5A01G479600;TraesCS6A01G199000;TraesCS7A01G423900;TraesCS2A01G339900;TraesCS3A01G209200;TraesCS5D01G089900;TraesCS6B01G398500;TraesCS2A01G233100;TraesCS4A01G094300;TraesCS3A01G362200;TraesCS4D01G254500;TraesCS5A01G076600;TraesCS2A01G141100;TraesCS4B01G210100;TraesCS4D01G194900;TraesCS1B01G095600;TraesCS3D01G238000;TraesCS2A01G428500</t>
  </si>
  <si>
    <t>protein serine/threonine phosphatase activity</t>
  </si>
  <si>
    <t>TraesCS5A01G499900;TraesCS3B01G553900;TraesCS6B01G074200;TraesCS3B01G389400;TraesCS4B01G223400;TraesCS5D01G407400;TraesCS1B01G274400;TraesCS2A01G389900;TraesCS1B01G375100;TraesCS3A01G414400;TraesCS6B01G169700;TraesCS5B01G491000;TraesCS2A01G262800;TraesCS2A01G469900;TraesCS2D01G479100;TraesCS7D01G423800;TraesCS4D01G210900;TraesCS2B01G177500;TraesCS3D01G072000;TraesCS5A01G469000;TraesCS5A01G129500;TraesCS6D01G130800;TraesCS1A01G139500;TraesCS4A01G499200;TraesCS4A01G109200;TraesCS5B01G104500;TraesCS7A01G131700;TraesCS4D01G187800;TraesCS6A01G259200;TraesCS2B01G350500;TraesCS5B01G209800;TraesCS4B01G209100;TraesCS5B01G347900;TraesCS3D01G350300;TraesCS5D01G157600;TraesCS4B01G088700;TraesCS2B01G520300;TraesCS4D01G032000;TraesCS6D01G049600;TraesCS2D01G554900;TraesCS1B01G370900;TraesCS2D01G540500;TraesCS4D01G150300;TraesCS3B01G446500;TraesCS5B01G182000;TraesCS6A01G297500;TraesCS4A01G181400;TraesCS2A01G546600;TraesCS5D01G535700;TraesCS4A01G035900;TraesCS2A01G005100;TraesCS2B01G382300;TraesCS1A01G277400;TraesCS5D01G490700;TraesCS4B01G270600;TraesCS6A01G271300;TraesCS1B01G446400;TraesCS5A01G477900;TraesCS5B01G101200;TraesCS2A01G396200;TraesCS5B01G135200;TraesCS6B01G398500;TraesCS6D01G332200;TraesCS7B01G102000;TraesCS1D01G221000;TraesCS2D01G392500;TraesCS3B01G126400;TraesCS5D01G513700;TraesCS2D01G506600;TraesCS7B01G433000;TraesCS5B01G318100;TraesCS3D01G444900;TraesCS4B01G210100;TraesCS4A01G225500;TraesCS7B01G469000;TraesCS3A01G136100;TraesCS4A01G251600;TraesCS2B01G151100;TraesCS6B01G351600;TraesCS6D01G198600;TraesCSU01G151900;TraesCS7D01G178000;TraesCS1D01G302500;TraesCS3A01G107600;TraesCS1A01G134000;TraesCS3A01G103000;TraesCS5A01G403200;TraesCS2A01G479900;TraesCS1D01G363500;TraesCS3B01G538300;TraesCS5D01G269400;TraesCS6D01G289700;TraesCS6A01G353700;TraesCS2D01G207800;TraesCS2B01G139200;TraesCS4A01G050000;TraesCS4B01G003300;TraesCS5B01G491200;TraesCS5D01G464000;TraesCS2D01G000300;TraesCS6B01G192900;TraesCS6B01G346000;TraesCS1B01G285500;TraesCS7D01G377600;TraesCS5D01G232100;TraesCS2D01G174800;TraesCS5D01G183700;TraesCS1D01G263900;TraesCS4B01G377900;TraesCS5A01G216000;TraesCS1B01G187900;TraesCS1B01G164800;TraesCS3D01G010800;TraesCS5D01G491600;TraesCS5B01G192000;TraesCS7D01G271600;TraesCS4B01G327800;TraesCS5D01G524800;TraesCS6A01G305000;TraesCS6D01G276600;TraesCS5A01G057100;TraesCS3B01G125500;TraesCS1D01G335400;TraesCS3B01G421200;TraesCS6A01G377700;TraesCS2A01G546400;TraesCS5A01G513000;TraesCS2D01G529500;TraesCS2A01G121200;TraesCS4B01G097000;TraesCS5A01G343000;TraesCS5B01G526000;TraesCS7D01G087100;TraesCS6A01G250800;TraesCS3D01G225900;TraesCS6B01G406200;TraesCS7B01G332300;TraesCS1B01G283300;TraesCS1D01G080800;TraesCS1D01G106000;TraesCS4D01G172100;TraesCS1A01G435400;TraesCS2A01G323000;TraesCS4D01G176700;TraesCS3D01G041500;TraesCS1A01G118800;TraesCS6A01G225400;TraesCS7B01G171000;TraesCS6D01G038500;TraesCS4B01G237600;TraesCS6B01G059000;TraesCS2B01G306600;TraesCS7D01G080700;TraesCS4B01G086100;TraesCS5A01G153400;TraesCS3A01G448400;TraesCS7A01G277500;TraesCS3A01G356600;TraesCS6A01G140800;TraesCS5B01G404800;TraesCSU01G145600;TraesCS2A01G318300;TraesCS5B01G490300;TraesCS1A01G079500;TraesCS3D01G293800;TraesCS4D01G087800;TraesCS5D01G084300;TraesCS2D01G246800;TraesCS2B01G537800;TraesCS3B01G389000;TraesCS7D01G523800;TraesCS3B01G394600;TraesCS7A01G480100;TraesCS5B01G174200;TraesCS7B01G254100;TraesCS3A01G038300;TraesCS3D01G407100;TraesCS7A01G031700;TraesCS6A01G365100;TraesCS2D01G423700;TraesCS7D01G415100;TraesCS1A01G221400;TraesCS3D01G364300;TraesCS6D01G353300;TraesCS5A01G129100;TraesCS1D01G089400;TraesCS2D01G279500;TraesCS3D01G305300;TraesCS4B01G268700;TraesCS2D01G445500;TraesCS3A01G413700;TraesCS1D01G144900;TraesCS3D01G442100;TraesCS5A01G512800;TraesCS6D01G284200;TraesCS2B01G268800;TraesCS1D01G004600;TraesCS6B01G406000;TraesCS4D01G014400;TraesCS5B01G224800;TraesCS5D01G491400;TraesCS5D01G271100;TraesCS4A01G181800;TraesCS2A01G488000;TraesCS5A01G106000;TraesCS5D01G026400;TraesCS1B01G056900;TraesCS3A01G280500;TraesCS3D01G036100;TraesCS3D01G011000;TraesCS1D01G080600;TraesCS6A01G067800;TraesCS1A01G187400;TraesCS1A01G078200;TraesCS2B01G381600;TraesCS2B01G536500;TraesCS5B01G156800;TraesCS2A01G064900;TraesCS5A01G375000;TraesCS5A01G543900;TraesCS2A01G078100;TraesCS4B01G174300;TraesCS2A01G479500;TraesCS4A01G196000;TraesCS4D01G339300;TraesCS5B01G163500;TraesCS2D01G288000;TraesCS5B01G490500;TraesCS5D01G098900;TraesCS4D01G238600;TraesCS3D01G084600;TraesCS7B01G034000;TraesCS4D01G031800;TraesCS3A01G414600;TraesCS5B01G128100;TraesCS1D01G380000;TraesCS2B01G569600;TraesCS5B01G048500;TraesCS3D01G447600;TraesCS4A01G203300;TraesCS2D01G016900;TraesCS2A01G539500;TraesCS3D01G240900;TraesCS4A01G279100;TraesCS3B01G256500;TraesCS7B01G349100;TraesCS5B01G363800;TraesCS3B01G164700;TraesCS6D01G164000;TraesCS6B01G280300;TraesCS6B01G340300;TraesCS4D01G030700;TraesCS7A01G449500;TraesCS7D01G157300;TraesCS3D01G350100;TraesCS7A01G242800;TraesCS7D01G507100;TraesCS6B01G051900;TraesCS5A01G505000;TraesCS5B01G402800;TraesCS4D01G240900;TraesCS2B01G336400;TraesCS6A01G226100;TraesCS6D01G146500;TraesCS6D01G226300;TraesCS5A01G426500;TraesCS6B01G173100;TraesCS3B01G593700;TraesCS6A01G097400;TraesCS6D01G300600;TraesCS4D01G222000;TraesCS1A01G095800;TraesCS7D01G471300;TraesCS4B01G305600;TraesCS1D01G080400;TraesCS5B01G382100;TraesCS4B01G033100;TraesCS4B01G037700;TraesCS4D01G176300;TraesCS5A01G549000;TraesCS7B01G433200;TraesCS1A01G303100;TraesCS7A01G473600;TraesCS7B01G175200;TraesCS3A01G362200;TraesCS3A01G387600;TraesCS1A01G177800;TraesCS2A01G490500;TraesCS7D01G188000;TraesCS5B01G152400;TraesCS7B01G465000;TraesCS6B01G256200;TraesCS3B01G106600;TraesCS5D01G333700;TraesCS4A01G229900;TraesCS5A01G543700;TraesCS4A01G202200;TraesCS7D01G457000;TraesCS5D01G323900;TraesCS1B01G001800;TraesCS3D01G408000;TraesCS2B01G614100;TraesCS2B01G394700;TraesCS7D01G086900;TraesCS1B01G234500;TraesCS6B01G382800;TraesCS5D01G233800;TraesCS3A01G109300;TraesCS3A01G120100;TraesCS2A01G198600;TraesCS5D01G518700;TraesCS1A01G122500;TraesCS2D01G144500;TraesCS6A01G141500;TraesCS1B01G096300;TraesCS3A01G410600;TraesCS4D01G079900;TraesCS7D01G435100;TraesCS7B01G225500;TraesCS4B01G037800;TraesCS5D01G475900;TraesCS7B01G347000;TraesCS1A01G395100;TraesCS7D01G085800;TraesCS6D01G195900;TraesCS7D01G438600;TraesCS3D01G104500;TraesCS5A01G224100;TraesCS3B01G489700;TraesCS5A01G201200;TraesCS5D01G142800;TraesCS7B01G328500;TraesCS2D01G157800;TraesCS2A01G199700;TraesCS4A01G218200;TraesCS2B01G515600;TraesCS6A01G349700;TraesCS7A01G516900;TraesCS3D01G520900;TraesCS7B01G350200;TraesCS5B01G490800;TraesCS3A01G153000;TraesCS4B01G378300;TraesCS1A01G077500;TraesCS6A01G165500;TraesCS6D01G085100;TraesCS6B01G284000;TraesCS3D01G381800;TraesCS5A01G166100;TraesCS3B01G348200;TraesCS4D01G268000;TraesCS5A01G477100;TraesCS7D01G024200;TraesCS4D01G031700;TraesCS2A01G509900;TraesCS3B01G448000;TraesCS3D01G147200;TraesCS4B01G377200;TraesCS1A01G078600;TraesCS4D01G147800;TraesCS3D01G084900;TraesCS7A01G537600;TraesCS5A01G478200;TraesCS2B01G333600;TraesCS7A01G091400;TraesCS1A01G238800;TraesCS4A01G049500;TraesCS7D01G197300;TraesCS5D01G413200;TraesCS2A01G401400;TraesCS3D01G421000;TraesCS3D01G148300;TraesCS7A01G523400;TraesCS6B01G269900;TraesCS1B01G393400;TraesCS2D01G326600;TraesCS7B01G434700;TraesCS7D01G449700;TraesCSU01G172100;TraesCS1B01G234700;TraesCS5A01G182400;TraesCS6D01G056600;TraesCS6D01G111700;TraesCS1A01G384000;TraesCS7D01G071200;TraesCS5B01G153300;TraesCSU01G003600;TraesCS5B01G214500;TraesCS6B01G255500;TraesCS7D01G263200;TraesCS5D01G137000;TraesCS6D01G210100;TraesCS5B01G428400;TraesCS3A01G317700;TraesCS7A01G406100;TraesCS1A01G332800;TraesCS3B01G419900;TraesCS7B01G372400;TraesCS2A01G184400;TraesCS3D01G011100;TraesCS7D01G085600;TraesCS5B01G489800;TraesCS4B01G033400;TraesCS2D01G157600;TraesCSU01G016900;TraesCS5A01G337100;TraesCS3B01G120600;TraesCS5D01G068000;TraesCS2B01G345600;TraesCS1B01G258900;TraesCS2A01G199900;TraesCS1A01G043900;TraesCS3A01G488400;TraesCS7B01G146400;TraesCS4A01G248900;TraesCS7B01G169500;TraesCS7D01G000400;TraesCS5D01G188600;TraesCS4D01G271200;TraesCS4B01G023600;TraesCS7A01G086000;TraesCS2A01G539100;TraesCS2A01G026800;TraesCS4A01G095800;TraesCS4D01G316400;TraesCS3D01G445000;TraesCS3A01G044800;TraesCS4B01G378100;TraesCS2B01G348900;TraesCS7B01G101500;TraesCS3A01G325100;TraesCS5D01G487900;TraesCS1B01G324000;TraesCS3D01G500100;TraesCS6A01G176400;TraesCS2D01G339900;TraesCS7B01G208100;TraesCS5A01G477300;TraesCS1A01G047000;TraesCS1A01G078400;TraesCS1D01G414700;TraesCS4D01G182800;TraesCS4B01G377000;TraesCS4B01G035800;TraesCS3A01G062200;TraesCS3B01G462500;TraesCS7D01G488800;TraesCS6B01G289500;TraesCS2A01G577800;TraesCS2D01G084400;TraesCS7B01G247000;TraesCS7D01G264300;TraesCS1D01G047900;TraesCS2D01G543000;TraesCS3A01G249300;TraesCS1A01G416100;TraesCS5B01G404000;TraesCS2D01G589200;TraesCS2D01G322200;TraesCS7D01G527600;TraesCS5D01G069700;TraesCS7B01G081700;TraesCS3D01G088200;TraesCS4D01G104100;TraesCS5B01G373000;TraesCS3A01G512900;TraesCS1D01G335500;TraesCS2D01G173900;TraesCS7D01G506900;TraesCS5B01G474500;TraesCS6A01G306800;TraesCS6D01G294800;TraesCSU01G116600;TraesCS2D01G276900;TraesCS3D01G109100;TraesCS3A01G452400;TraesCS4B01G033600;TraesCS5B01G078500;TraesCS1A01G072200;TraesCS5B01G303800;TraesCS4D01G195700;TraesCS4B01G016000;TraesCS5B01G225200;TraesCS1D01G125800;TraesCS2D01G315900;TraesCS4D01G242100;TraesCS7A01G271500;TraesCS3D01G350700;TraesCS2D01G540100;TraesCS3D01G499700;TraesCS4D01G347300;TraesCS5A01G398900;TraesCSU01G128800;TraesCS7B01G253700;TraesCS5A01G263200;TraesCS5A01G477500;TraesCS6B01G335400;TraesCS6A01G258500;TraesCS6D01G243000;TraesCS7A01G423900;TraesCS7D01G347300;TraesCS5A01G397800;TraesCS7B01G277900;TraesCS1A01G248200;TraesCS3B01G154000;TraesCS2A01G008100;TraesCS5D01G082700;TraesCS6B01G149900;TraesCS6D01G133900;TraesCS7B01G170500;TraesCS3A01G082900;TraesCS4A01G009400;TraesCS1D01G217700;TraesCS6B01G091700;TraesCS4A01G129800;TraesCS7A01G384500;TraesCS1D01G054600;TraesCS6D01G358000;TraesCS2A01G368600;TraesCS7D01G342900;TraesCS7A01G267200;TraesCSU01G137500;TraesCS5B01G325800;TraesCS5B01G403100;TraesCS5D01G223800;TraesCS3D01G149600;TraesCS3D01G408900;TraesCS5D01G335100;TraesCS5B01G519400;TraesCS2B01G177300;TraesCS5D01G297200;TraesCS5A01G463100;TraesCS4A01G034600;TraesCS5D01G070900;TraesCS4D01G032200;TraesCS6D01G050900;TraesCS3B01G179500;TraesCS4B01G346900;TraesCS5A01G159000;TraesCSU01G002900;TraesCS1A01G077700;TraesCS4D01G127600;TraesCS4D01G209500;TraesCS1D01G333500;TraesCS2D01G509500;TraesCS2A01G437200;TraesCS3D01G499900;TraesCS4B01G182900;TraesCS2B01G007700;TraesCS2B01G223000;TraesCS3D01G183700;TraesCS3A01G391400;TraesCS1D01G103800;TraesCS1A01G365100;TraesCS1A01G215100;TraesCS7D01G364900;TraesCS2D01G543400;TraesCS4B01G377400;TraesCS4D01G254500;TraesCS2D01G206400;TraesCS5D01G014800;TraesCS1D01G123400;TraesCS3A01G356200;TraesCS5D01G408500;TraesCS7A01G091200;TraesCS2A01G053300;TraesCS2B01G595300;TraesCS6A01G211400;TraesCS6D01G236900;TraesCS2B01G262800;TraesCS3D01G532300;TraesCSU01G075000;TraesCS1B01G095600;TraesCS3D01G238000;TraesCS5A01G545200;TraesCS7A01G189900;TraesCS7B01G440900;TraesCS7D01G420400;TraesCS4D01G324800;TraesCS6A01G240700;TraesCS3B01G536200;TraesCS4D01G230400;TraesCS7B01G346600;TraesCS2D01G540600;TraesCS6A01G201100;TraesCS2A01G167300;TraesCS3D01G250800;TraesCS4A01G406100;TraesCS5D01G490600;TraesCS7D01G131000;TraesCS5B01G231600;TraesCS6D01G380400;TraesCS5A01G152400;TraesCS1A01G162400;TraesCS3D01G405200;TraesCS5A01G326800;TraesCS6B01G406300;TraesCS7A01G381300;TraesCS4B01G142200;TraesCS3B01G552700;TraesCS5A01G280700;TraesCS5B01G135100;TraesCS1B01G126600;TraesCS1D01G106100;TraesCS5B01G082500;TraesCS4B01G335100;TraesCS7D01G136700;TraesCS7A01G450400;TraesCS2B01G198100;TraesCS6A01G225300;TraesCS2D01G250100;TraesCS3A01G084700;TraesCS2D01G231600;TraesCS7A01G156900;TraesCS2A01G248400;TraesCS7A01G447000;TraesCS3A01G061600;TraesCS7B01G092200;TraesCS4D01G093300;TraesCS2A01G378900;TraesCS3D01G136900;TraesCS5B01G222900;TraesCS2B01G279200;TraesCS1A01G358600;TraesCS6B01G209100;TraesCS6D01G358700;TraesCS4A01G234100;TraesCS5D01G407500;TraesCS2A01G395000;TraesCS3B01G423300;TraesCS4A01G385300;TraesCS1A01G002500;TraesCS7A01G094100;TraesCS6D01G369400;TraesCS7D01G133400;TraesCS1A01G424200;TraesCS6D01G153600;TraesCS2B01G489700;TraesCS3A01G449400;TraesCS3B01G279900;TraesCS3D01G209100;TraesCS2A01G325100;TraesCS7A01G335400;TraesCS5B01G288700;TraesCS1D01G072200;TraesCS1D01G118300;TraesCS7D01G507000;TraesCS4D01G187900;TraesCS5B01G490000;TraesCS4D01G032100;TraesCS5D01G170700;TraesCS1D01G346200;TraesCS7B01G287100;TraesCS3D01G285700;TraesCS4D01G125000;TraesCS1D01G004500;TraesCS5D01G491500;TraesCS7B01G346800;TraesCS6A01G331400;TraesCS7A01G542600;TraesCS5B01G245800;TraesCS1B01G251600;TraesCS1D01G310000;TraesCS3D01G225800;TraesCS7A01G075600;TraesCS2A01G087100;TraesCS6B01G125800;TraesCS4D01G035200;TraesCS1D01G176400;TraesCS5D01G410500;TraesCS6D01G254700;TraesCS2B01G339600;TraesCS1A01G095500;TraesCS1D01G074600;TraesCS2D01G375200;TraesCS1D01G037200;TraesCS6D01G240300;TraesCS7A01G428300;TraesCS1A01G169000;TraesCS5B01G318200;TraesCS3A01G012400;TraesCS5D01G306400;TraesCS7A01G254300;TraesCS3A01G176900;TraesCS1A01G219400;TraesCS4A01G110100;TraesCS5D01G136600;TraesCS5B01G117700;TraesCS5A01G390300;TraesCS7B01G323700;TraesCSU01G145300;TraesCS5A01G059400;TraesCS2B01G585100;TraesCS6D01G222900;TraesCS3D01G192800;TraesCS5A01G028700;TraesCS5A01G544500;TraesCS2D01G203300;TraesCS6B01G423900;TraesCS5B01G491300;TraesCS3B01G354000;TraesCS1A01G344000;TraesCS7A01G251000;TraesCS5B01G059900;TraesCS4D01G174400;TraesCS6A01G174900;TraesCS1A01G141900;TraesCS3A01G152500;TraesCS5B01G246900;TraesCSU01G127900;TraesCS4B01G377800;TraesCS3D01G010900;TraesCS3A01G266300;TraesCS5D01G491700;TraesCSU01G021700;TraesCS5A01G476900;TraesCS1A01G029800;TraesCS7A01G187000;TraesCS1D01G004700;TraesCS4B01G378000;TraesCS5D01G491300;TraesCS7A01G231600;TraesCS4D01G064800;TraesCS5D01G254900;TraesCS1D01G035200;TraesCS4A01G181900;TraesCS3B01G446800;TraesCS4B01G106500;TraesCS2A01G505800;TraesCS5D01G026300;TraesCS2A01G232200;TraesCS2A01G425800;TraesCS2A01G446500;TraesCS7D01G511700;TraesCS3A01G513200;TraesCS2B01G536600;TraesCS5B01G200000;TraesCS5D01G490200;TraesCS5A01G186000;TraesCS7D01G467100;TraesCS5D01G411400;TraesCS1B01G382600;TraesCS4B01G132800;TraesCS5D01G434500;TraesCS3B01G240000;TraesCS1D01G175500;TraesCS4A01G100900;TraesCS4B01G174200;TraesCS7D01G512800;TraesCS2A01G290100;TraesCS7A01G273000;TraesCSU01G145500;TraesCS5B01G490400;TraesCS2B01G193500;TraesCS2D01G555000;TraesCS3D01G212100;TraesCS7D01G273100;TraesCS1A01G308700;TraesCS7A01G470400;TraesCS3A01G491300;TraesCS4B01G149000;TraesCS3B01G389100;TraesCS5D01G437800;TraesCS6D01G243800;TraesCS1A01G069600;TraesCS2B01G569500;TraesCS5A01G253700;TraesCS3D01G407000;TraesCS1A01G051700;TraesCS4A01G130300;TraesCS5A01G492100;TraesCS4A01G279200;TraesCS5B01G223600;TraesCS5D01G089900;TraesCS2B01G419400;TraesCS6D01G353400;TraesCS7A01G134000;TraesCS1D01G209400;TraesCS7D01G243700;TraesCS5A01G076600;TraesCS2A01G141100;TraesCS5B01G396800;TraesCS5D01G331600;TraesCS7A01G449600;TraesCS6A01G310300;TraesCS5D01G491100;TraesCS6D01G276900;TraesCS2A01G198400;TraesCS7D01G460500;TraesCS2A01G152400;TraesCS4A01G076900;TraesCS5B01G428000;TraesCS1A01G245300;TraesCS1B01G066400;TraesCS4A01G352200;TraesCS5A01G301700;TraesCSU01G007800;TraesCS1B01G219300;TraesCS5A01G378600;TraesCS4A01G226300;TraesCS7D01G387300;TraesCS3D01G355900;TraesCS5A01G248100;TraesCS6A01G296700;TraesCS2B01G357200;TraesCS4A01G132300;TraesCS7D01G188100;TraesCS1B01G371900;TraesCS1A01G351600;TraesCS7D01G417600;TraesCS1B01G195800;TraesCS6A01G376300;TraesCS7D01G077600;TraesCS4D01G031900;TraesCS5D01G310500;TraesCSU01G025000;TraesCS4D01G176200;TraesCS7B01G433100;TraesCS6B01G151000;TraesCS6B01G256300;TraesCS7D01G430800;TraesCS1D01G175700;TraesCS5A01G329200;TraesCS1D01G359100;TraesCS6B01G091000;TraesCS7A01G391700;TraesCS3B01G139600;TraesCS3D01G408100;TraesCS7B01G247500;TraesCS1B01G001900;TraesCS4D01G240800;TraesCS5D01G388500;TraesCS7B01G293600;TraesCS6D01G207700;TraesCS4D01G339200;TraesCSU01G145700;TraesCS5B01G184100;TraesCS5B01G490600;TraesCS5B01G430100;TraesCS7D01G523900;TraesCS3A01G227800;TraesCS3B01G268800;TraesCS3D01G084700;TraesCS5D01G353400;TraesCSU01G152000;TraesCS4A01G186100;TraesCS3D01G384200;TraesCS2B01G395900;TraesCS3B01G581600;TraesCS2A01G539600;TraesCS6A01G227300;TraesCS4B01G203900;TraesCS7B01G349000;TraesCS4A01G094300;TraesCS5A01G400000;TraesCS2B01G606600;TraesCS2D01G488300;TraesCS5D01G111500;TraesCS6A01G404500;TraesCS3A01G413600;TraesCS4A01G164100;TraesCS2A01G315100;TraesCS3D01G350200;TraesCS5B01G402900;TraesCS5D01G281200;TraesCS6D01G154100;TraesCS5B01G490700;TraesCS3D01G321400;TraesCS4B01G254700;TraesCS5D01G231500;TraesCS3A01G285700;TraesCS2D01G248700;TraesCS7D01G508800;TraesCS2D01G509400;TraesCS5D01G036500;TraesCS5A01G000900;TraesCS4D01G238800;TraesCS3D01G336900;TraesCS5D01G160100;TraesCS5D01G142900;TraesCS7B01G122500;TraesCS4B01G215100;TraesCS4D01G031600;TraesCSU01G128300;TraesCS3A01G107000;TraesCS2B01G504600;TraesCS3D01G147100;TraesCS2D01G398700;TraesCS5D01G207400;TraesCS5B01G202700;TraesCS2D01G543300;TraesCS7B01G326200;TraesCS2D01G141100;TraesCS3B01G128000;TraesCS5B01G262900;TraesCS3B01G328700;TraesCS5A01G478300;TraesCS4B01G170000;TraesCS7A01G091500;TraesCS4A01G391100;TraesCS1B01G313400;TraesCS6A01G144900;TraesCS7A01G537500;TraesCS3A01G537700;TraesCS4A01G175600;TraesCS5D01G233700;TraesCS5D01G491000;TraesCS4A01G232600;TraesCS4B01G174800;TraesCS7D01G439800;TraesCS2A01G152500;TraesCS4B01G149400;TraesCS3D01G375000;TraesCS2A01G322500;TraesCS7A01G133200;TraesCS7A01G195800;TraesCS5A01G137700;TraesCS6D01G155100;TraesCS4A01G082400;TraesCS6D01G239700;TraesCS5B01G403000;TraesCS1D01G044300;TraesCS2D01G396300;TraesCS4B01G033300;TraesCS7D01G438700;TraesCS4B01G037900;TraesCS7A01G432100;TraesCS6D01G030300;TraesCS3B01G256400;TraesCS2D01G157900;TraesCS5A01G205700;TraesCS7A01G516800;TraesCS4D01G131100;TraesCS3B01G282500;TraesCS5A01G453200;TraesCS5B01G490900;TraesCS2D01G509200;TraesCS4D01G255100;TraesCS5B01G327700;TraesCS3A01G132000;TraesCS3D01G193200;TraesCS3D01G500000;TraesCS7D01G244800;TraesCS6A01G119900;TraesCS3A01G189300;TraesCS1A01G202300;TraesCS5B01G151000;TraesCS3B01G448100;TraesCS5A01G263500;TraesCS3B01G486100;TraesCS6D01G065200;TraesCS5A01G477400;TraesCS7A01G186900;TraesCS4B01G062800;TraesCS4B01G079000;TraesCS2B01G226000;TraesCS1A01G112600;TraesCS1A01G177300;TraesCS1D01G114200;TraesCS4B01G377100;TraesCS7A01G373100;TraesCSU01G211400;TraesCS2D01G547700;TraesCS1D01G370600;TraesCS4B01G344200;TraesCS3B01G351500;TraesCS5A01G183600;TraesCS1A01G205800;TraesCS5D01G436200;TraesCS2D01G313400;TraesCS3B01G449200;TraesCS1D01G104400;TraesCS2B01G048700;TraesCS6B01G403400;TraesCS7A01G483700;TraesCS3D01G484900;TraesCS1D01G239000;TraesCS5A01G361100;TraesCS1D01G222800;TraesCS2D01G076900;TraesCS5A01G233100;TraesCS4A01G320100;TraesCS7D01G206100;TraesCS3D01G266400;TraesCS2B01G367500;TraesCS3B01G278200;TraesCS7D01G338700;TraesCS6A01G209600;TraesCS1D01G079600;TraesCS6B01G169000;TraesCS2A01G553500;TraesCS4A01G027800;TraesCS4B01G135200;TraesCS1B01G096400;TraesCS2D01G511300;TraesCS7A01G306100;TraesCS5B01G462200;TraesCS3A01G209200;TraesCS4A01G277100;TraesCS7A01G419500;TraesCS7B01G061100;TraesCS4D01G194900;TraesCS5A01G262200;TraesCS6B01G204400;TraesCS7D01G053900;TraesCS5D01G348900;TraesCS2B01G557100;TraesCS2D01G273700;TraesCS4B01G136300;TraesCS3D01G440900;TraesCS6A01G255700;TraesCS4A01G123100;TraesCS2B01G166100;TraesCS1B01G456700;TraesCS4D01G158400;TraesCS5D01G369200;TraesCS5D01G256400;TraesCS4A01G117900;TraesCS5A01G544400;TraesCS5D01G078300;TraesCS1B01G134500;TraesCS3D01G122200;TraesCS1D01G273500;TraesCS5A01G477600;TraesCS5A01G303400;TraesCS3B01G609400;TraesCS2B01G446100;TraesCS3B01G361100;TraesCS7B01G242100;TraesCS7B01G439400;TraesCS5D01G436000;TraesCS7A01G373300;TraesCS5A01G070600;TraesCS6D01G032300;TraesCS3B01G552300;TraesCS4B01G237300;TraesCS2A01G438200;TraesCS4A01G135100;TraesCS7B01G094900;TraesCS3B01G238600;TraesCS1D01G223000;TraesCS2B01G413200;TraesCS5D01G373700;TraesCS1A01G312300;TraesCS2A01G277900;TraesCS2B01G159800;TraesCS7A01G518800;TraesCS6A01G043000;TraesCS6A01G121600;TraesCS7D01G271800;TraesCS1B01G316300;TraesCS2D01G521700;TraesCS7A01G246200;TraesCS7B01G323100;TraesCS3A01G294000;TraesCS5A01G347000;TraesCS6D01G348500;TraesCS7B01G145200;TraesCS2B01G414500;TraesCS2D01G337800;TraesCS2A01G364100;TraesCS6D01G210200;TraesCS1D01G239600;TraesCS3A01G139900;TraesCS2D01G157500;TraesCS4D01G069600;TraesCS3B01G166100;TraesCS4B01G295200;TraesCS4D01G103100;TraesCS7A01G339600;TraesCS5B01G074000;TraesCS6D01G350800;TraesCS7A01G245100;TraesCS1D01G312500;TraesCS2D01G361900;TraesCS3A01G012500;TraesCS4D01G303800;TraesCS5D01G054300;TraesCS7B01G272100;TraesCS2A01G391700;TraesCS2D01G386100;TraesCS2A01G388300;TraesCS2B01G467400;TraesCS2D01G063000;TraesCS7D01G250900;TraesCS5A01G136200;TraesCS7A01G422700;TraesCS2B01G504000;TraesCS5D01G210600;TraesCS7B01G161500;TraesCS4A01G183600;TraesCS2D01G207400;TraesCS4D01G087200;TraesCS3B01G167400;TraesCS6A01G058300;TraesCS5A01G317600;TraesCS7A01G176700;TraesCS1B01G250900;TraesCS3B01G218800;TraesCS2B01G518400;TraesCS4A01G080600;TraesCS5D01G490800;TraesCS3B01G520500;TraesCS7A01G454300;TraesCS5D01G565100;TraesCS1A01G273500;TraesCS2A01G534600;TraesCS7D01G305600;TraesCS5B01G405400;TraesCS5A01G477800;TraesCS6A01G363900;TraesCS7D01G058500;TraesCS4D01G021200;TraesCS2B01G572100;TraesCS3A01G454900;TraesCS5A01G397900;TraesCS2D01G392800;TraesCS5B01G076400;TraesCS7D01G268600;TraesCS4B01G377500;TraesCS2D01G543500;TraesCS7A01G308900;TraesCS5B01G114500;TraesCS1D01G189300;TraesCS5A01G325400;TraesCS3A01G356100;TraesCS3D01G522600;TraesCS7D01G436900;TraesCS2A01G057800;TraesCS1D01G104800;TraesCS6B01G298500;TraesCS5A01G044300;TraesCS2D01G261100;TraesCS2B01G101800;TraesCS5B01G356400;TraesCS1B01G423400;TraesCS2D01G429700;TraesCS3B01G595200;TraesCS1D01G403300;TraesCS2D01G393900;TraesCS6B01G414100;TraesCS4A01G033400;TraesCS4B01G099700;TraesCS5B01G285400;TraesCS5D01G407300;TraesCS5A01G428000;TraesCS3D01G483200;TraesCS2B01G093100;TraesCS7B01G032400;TraesCS6D01G159100;TraesCS3A01G206100;TraesCS5A01G213900;TraesCSU01G152800;TraesCS2D01G123300;TraesCS1B01G096800;TraesCS1A01G239400;TraesCS3D01G313600;TraesCS3A01G452500;TraesCS3A01G102200;TraesCS6D01G361500;TraesCS4A01G311000;TraesCS2D01G157300;TraesCS6B01G192400;TraesCS2D01G021600;TraesCS5D01G218100;TraesCS7D01G457800;TraesCS4B01G019600;TraesCS4A01G221500;TraesCS3A01G228100;TraesCS3B01G282300;TraesCS4B01G065700;TraesCS5B01G180400;TraesCS5D01G287300;TraesCSU01G222700</t>
  </si>
  <si>
    <t>TraesCS2D01G538400;TraesCS3B01G490000;TraesCS1D01G295800;TraesCS5D01G359000;TraesCS3D01G535700;TraesCS7B01G325900;TraesCS6D01G358600;TraesCS7D01G092900;TraesCS3A01G493100;TraesCS1B01G454000;TraesCS3B01G295000;TraesCS2B01G197000;TraesCS6B01G305600;TraesCS7A01G127100;TraesCS7B01G473700;TraesCS6A01G124500;TraesCS7A01G163300;TraesCS6B01G052400;TraesCS3A01G400000;TraesCS2D01G541800;TraesCS2B01G236800;TraesCS5A01G058100;TraesCS3A01G255600;TraesCS7D01G136700;TraesCS7D01G318600;TraesCS2A01G418200;TraesCS2D01G079200;TraesCS6A01G225300;TraesCS2A01G190200;TraesCS2A01G455600;TraesCS5B01G151600;TraesCS4B01G157800;TraesCS2D01G549400;TraesCS3B01G485900;TraesCS2B01G243000;TraesCS7A01G476700;TraesCS2B01G350500;TraesCS3A01G276200;TraesCS6D01G240100;TraesCS3D01G049000;TraesCS5D01G170800;TraesCS3D01G278000;TraesCS3A01G033000;TraesCS6D01G360900;TraesCS3A01G342000;TraesCS2D01G217500;TraesCS2D01G219800;TraesCS6B01G225700;TraesCS7A01G332000;TraesCS5D01G478700;TraesCS5B01G526200;TraesCS6A01G052100;TraesCS4B01G376800;TraesCS5A01G350800;TraesCS2A01G170600;TraesCS2D01G255700;TraesCS5D01G374300;TraesCS2A01G503800;TraesCS2D01G297300;TraesCS1A01G424200;TraesCS2B01G489700;TraesCS5A01G062600;TraesCS1A01G367200;TraesCS2A01G182800;TraesCS2B01G236900;TraesCS2A01G216700;TraesCS6B01G006600;TraesCSU01G008300;TraesCS2A01G537900;TraesCS3B01G206500;TraesCS2D01G321400;TraesCS7D01G444700;TraesCS3B01G126400;TraesCS1B01G157300;TraesCS2B01G477600;TraesCS3B01G311900;TraesCS2D01G504300;TraesCS7B01G047300;TraesCS2B01G271700;TraesCS7A01G344100;TraesCS7B01G255500;TraesCS2D01G197600;TraesCS3D01G270300;TraesCS1D01G259700;TraesCS3A01G274000;TraesCS5B01G371800;TraesCS7B01G356400;TraesCS3D01G316400;TraesCS1D01G100900;TraesCS3A01G096500;TraesCS1A01G184500;TraesCS3A01G344400;TraesCS2D01G219900;TraesCS3A01G048700;TraesCS3A01G107600;TraesCS1D01G346200;TraesCS5B01G381500;TraesCS6B01G225800;TraesCS7B01G287100;TraesCS1B01G385100;TraesCS2B01G365900;TraesCS3D01G472000;TraesCS4A01G089700;TraesCS2B01G437200;TraesCS4D01G215200;TraesCS3A01G034300;TraesCS4B01G238700;TraesCS3D01G500800;TraesCS6A01G078700;TraesCS3D01G036000;TraesCS5A01G085900;TraesCS1A01G367100;TraesCS5B01G380400;TraesCS1D01G303700;TraesCS2A01G346000;TraesCS2D01G537100;TraesCS2D01G415600;TraesCS5D01G387900;TraesCS7D01G316100;TraesCS1D01G037200;TraesCS1D01G123700;TraesCS4A01G276900;TraesCS4D01G118600;TraesCS5B01G146100;TraesCS6B01G197000;TraesCS2D01G428900;TraesCS3D01G316700;TraesCS5A01G369500;TraesCS7B01G356500;TraesCS1A01G106600;TraesCS5D01G524800;TraesCS3B01G049700;TraesCS3B01G158300;TraesCS3B01G196900;TraesCS4B01G214600;TraesCS1B01G089100;TraesCS3D01G178300;TraesCS5A01G197200;TraesCS5B01G138400;TraesCS1B01G385000;TraesCS4A01G062000;TraesCS3D01G048000;TraesCS7B01G415400;TraesCS3D01G136700;TraesCS1B01G217500;TraesCS2B01G180500;TraesCS6A01G377700;TraesCS3D01G192800;TraesCS6A01G000500;TraesCS2B01G437300;TraesCS4B01G106000;TraesCS5B01G526000;TraesCS7D01G087100;TraesCS3D01G030600;TraesCS1D01G273800;TraesCS4B01G047100;TraesCS1A01G344000;TraesCS1A01G367000;TraesCS1D01G046000;TraesCS5A01G322300;TraesCS1B01G058600;TraesCS2A01G216500;TraesCS7D01G165300;TraesCS3A01G045200;TraesCS6A01G204600;TraesCS2D01G344700;TraesCS2D01G415700;TraesCS5D01G181500;TraesCS6A01G225400;TraesCS2A01G418300;TraesCS7A01G455800;TraesCS6A01G135100;TraesCS1D01G146900;TraesCS5B01G184600;TraesCS2D01G382500;TraesCS6D01G211900;TraesCS7D01G340200;TraesCS6D01G360800;TraesCS7D01G124900;TraesCS1D01G218200;TraesCS2D01G097700;TraesCS3A01G256300;TraesCS3D01G046000;TraesCS7A01G435300;TraesCS2B01G537800;TraesCS2D01G223000;TraesCS3A01G272900;TraesCS3B01G289400;TraesCS6A01G132400;TraesCS6D01G157900;TraesCS2B01G053300;TraesCS3B01G306500;TraesCS3D01G256500;TraesCS1A01G141300;TraesCS2D01G364400;TraesCS2D01G572600;TraesCS3A01G152200;TraesCS2D01G216700;TraesCS3D01G104100;TraesCS1A01G080600;TraesCS2B01G532000;TraesCS2B01G536600;TraesCS1B01G384900;TraesCS1D01G372700;TraesCS6D01G145100;TraesCS2A01G525300;TraesCS1A01G259900;TraesCS5D01G434500;TraesCS2D01G493700;TraesCS3B01G307700;TraesCS7A01G216100;TraesCS1B01G091900;TraesCS6B01G051700;TraesCS2D01G537700;TraesCS7D01G495700;TraesCS4A01G414700;TraesCS2B01G233800;TraesCS7B01G031900;TraesCS3A01G256200;TraesCS5A01G401400;TraesCS4A01G207800;TraesCS5D01G499000;TraesCS5D01G216400;TraesCS6B01G175200;TraesCS5B01G501300;TraesCS2B01G242200;TraesCS1A01G122800;TraesCS5D01G357800;TraesCS7D01G324900;TraesCS2B01G114000;TraesCS4A01G094000;TraesCS2A01G255300;TraesCS3B01G304300;TraesCS3D01G256400;TraesCS2B01G001400;TraesCS6B01G163100;TraesCS6A01G124800;TraesCS2A01G155500;TraesCS7A01G167300;TraesCS1A01G080500;TraesCS1A01G330500;TraesCS5D01G104900;TraesCS6D01G363200;TraesCS3A01G290300;TraesCS7B01G309900;TraesCS2B01G536500;TraesCS3B01G141500;TraesCS6D01G122100;TraesCS7A01G264400;TraesCS1D01G372600;TraesCS5A01G294600;TraesCS7D01G321500;TraesCSU01G111800;TraesCS4D01G034000;TraesCS5D01G157900;TraesCS7B01G333700;TraesCS7D01G380900;TraesCS3A01G050300;TraesCS5D01G063800;TraesCS6D01G104800;TraesCS6B01G204600;TraesCS2B01G096000;TraesCS3D01G104000;TraesCS7B01G356800;TraesCS5B01G538800;TraesCS4B01G120600;TraesCS6B01G412500;TraesCS7D01G248200;TraesCS2A01G211300;TraesCS2B01G124100;TraesCS1A01G304200;TraesCS2A01G414700;TraesCS1D01G130400;TraesCS7B01G069100;TraesCS5A01G206700;TraesCS2A01G493800;TraesCS5A01G166200;TraesCS6A01G155200;TraesCS7D01G261300;TraesCS2D01G421200;TraesCS5A01G297900;TraesCS3D01G290100;TraesCS7D01G041400;TraesCS4A01G203300;TraesCS3B01G153800;TraesCS1A01G070600;TraesCS1B01G314700;TraesCS2B01G112000;TraesCS3A01G261800;TraesCS4A01G029800;TraesCS2B01G175800;TraesCS7B01G395000;TraesCS6D01G122200;TraesCS5A01G100300;TraesCS5D01G329100;TraesCS3A01G049500;TraesCS1D01G372500;TraesCS2A01G081400;TraesCS3B01G038900;TraesCSU01G238700;TraesCS3A01G224400;TraesCS1B01G376000;TraesCS6B01G256300;TraesCS6B01G280300;TraesCS7A01G242800;TraesCS2D01G491600;TraesCS3B01G291900;TraesCS4D01G059300;TraesCS7D01G412000;TraesCS4A01G102900;TraesCS2A01G211200;TraesCS5B01G188700;TraesCS6B01G328300;TraesCS6D01G226300;TraesCS1D01G140300;TraesCS7D01G248100;TraesCS3A01G101800;TraesCS4B01G315400;TraesCS2A01G431100;TraesCS3D01G048400;TraesCS7A01G376100;TraesCS5A01G426500;TraesCS2A01G548300;TraesCS2A01G040900;TraesCS7A01G427500;TraesCS6B01G238900;TraesCS6B01G385500;TraesCS6D01G191500;TraesCS3A01G261700;TraesCS3B01G289500;TraesCS4B01G201600;TraesCS5A01G205500;TraesCS3D01G261800;TraesCS5B01G204900;TraesCS6D01G307100;TraesCS2B01G452400;TraesCS7D01G146400;TraesCS1A01G215900;TraesCS2B01G511300;TraesCS1D01G372400;TraesCS6B01G256200;TraesCS2D01G117200;TraesCS3B01G473100;TraesCS7A01G053400;TraesCS5B01G538600;TraesCS2B01G394700;TraesCS5D01G281200;TraesCS7B01G228900;TraesCS4D01G202300;TraesCS5D01G210800;TraesCS7D01G086900;TraesCS4B01G059700;TraesCS4D01G316500;TraesCS3A01G285700;TraesCS2A01G217200;TraesCS2B01G208900;TraesCS2A01G343100;TraesCS3A01G101700;TraesCS2D01G509400;TraesCS7D01G449500;TraesCS6A01G241000;TraesCS2D01G582800;TraesCS2A01G211900;TraesCS2D01G095000;TraesCS6B01G471400;TraesCS1B01G167700;TraesCS3B01G600300;TraesCS2D01G534600;TraesCS1D01G082600;TraesCS6D01G191400;TraesCS4B01G068300;TraesCS7B01G225500;TraesCS2A01G538200;TraesCS5D01G475900;TraesCS7A01G249400;TraesCS7D01G356200;TraesCS7D01G085800;TraesCS6A01G336600;TraesCS6B01G415700;TraesCS6A01G378000;TraesCS2A01G291700;TraesCS7B01G030400;TraesCS7A01G419200;TraesCS2D01G222300;TraesCS4D01G340500;TraesCS2A01G199700;TraesCS6B01G136100;TraesCS6B01G152800;TraesCS2B01G220900;TraesCS1A01G016100;TraesCS1D01G364000;TraesCS5D01G358600;TraesCS2B01G266900;TraesCS4B01G162700;TraesCS7A01G091500;TraesCS1D01G381800;TraesCS4A01G391100;TraesCS1D01G081400;TraesCS7A01G424700;TraesCS6B01G412400;TraesCS3A01G021600;TraesCS5A01G147500;TraesCS2D01G509300;TraesCS3D01G432000;TraesCS4A01G010000;TraesCS4A01G255400;TraesCS4D01G238900;TraesCS4D01G293200;TraesCS2D01G066900;TraesCS2D01G463100;TraesCS2A01G509900;TraesCS1B01G119600;TraesCS2B01G324900;TraesCS1A01G273600;TraesCS1D01G082500;TraesCS3A01G110400;TraesCS3A01G135700;TraesCS7A01G364200;TraesCS2A01G371700;TraesCS7A01G213000;TraesCS5A01G320600;TraesCS6A01G258900;TraesCS7B01G225600;TraesCS7D01G335500;TraesCS6B01G413500;TraesCS6D01G359100;TraesCS2A01G371600;TraesCS6B01G358800;TraesCS5D01G097900;TraesCS6D01G258200;TraesCS7B01G301100;TraesCS2B01G127700;TraesCS3A01G477300;TraesCS3D01G049700;TraesCS5D01G519800;TraesCS3D01G335700;TraesCS2D01G419700;TraesCS4B01G287300;TraesCS4A01G221700;TraesCS7A01G091400;TraesCS3B01G110500;TraesCS2A01G462700;TraesCS3B01G310000;TraesCS1A01G048000;TraesCS3B01G119600;TraesCS2D01G509200;TraesCS2A01G106500;TraesCS1A01G079700;TraesCS2D01G485300;TraesCS7B01G029200;TraesCS7D01G416900;TraesCS1B01G062200;TraesCS6D01G056600;TraesCS7B01G325300;TraesCS4B01G345400;TraesCS3A01G189300;TraesCS5A01G376700;TraesCS1A01G342600;TraesCS1B01G119700;TraesCS3D01G441900;TraesCS1A01G103900;TraesCS1B01G347100;TraesCS2D01G201700;TraesCS6D01G210100;TraesCS3B01G325100;TraesCS5B01G428400;TraesCS6B01G257800;TraesCS3A01G351500;TraesCS2D01G534400;TraesCS5D01G059300;TraesCS6A01G168900;TraesCS4A01G396700;TraesCS1D01G344700;TraesCS5B01G202900;TraesCS7D01G085600;TraesCS3D01G045400;TraesCS2A01G096500;TraesCS2D01G107100;TraesCSU01G016900;TraesCS6B01G266500;TraesCS7A01G400900;TraesCS4B01G228200;TraesCS7A01G434300;TraesCS1D01G372900;TraesCS5D01G343000;TraesCS2B01G308200;TraesCS2D01G455900;TraesCS2D01G577000;TraesCS3A01G064400;TraesCS4D01G126900;TraesCS1D01G330300;TraesCS2B01G100300;TraesCS3B01G166600;TraesCS5B01G208200;TraesCS2A01G308400;TraesCS3B01G288100;TraesCS6B01G152600;TraesCS2B01G220700;TraesCS2B01G323700;TraesCS6D01G158400;TraesCS1A01G048100;TraesCS3B01G119500;TraesCS7A01G328100;TraesCS2B01G067000;TraesCS3A01G122300;TraesCS2D01G485200;TraesCS5D01G073900;TraesCS7D01G394800;TraesCS3D01G172200;TraesCS5A01G351300;TraesCSU01G047400;TraesCS2A01G532800;TraesCS7D01G265400;TraesCS1D01G101100;TraesCS3D01G256600;TraesCS4A01G323500;TraesCS4D01G352700;TraesCS5D01G152300;TraesCS5D01G177800;TraesCS2D01G511300;TraesCS3B01G151200;TraesCS3D01G345700;TraesCS1A01G080700;TraesCS2A01G098700;TraesCS6A01G277600;TraesCS4A01G277100;TraesCS6B01G381300;TraesCS2B01G035300;TraesCS4B01G035800;TraesCS1D01G372800;TraesCS1D01G206900;TraesCS4D01G126800;TraesCS1D01G076200;TraesCS3B01G013200;TraesCS5B01G208300;TraesCS4A01G246500;TraesCS6B01G152700;TraesCS5A01G377900;TraesCS7A01G321600;TraesCS7D01G451300;TraesCS1A01G203400;TraesCS6A01G301300;TraesCS7D01G053900;TraesCS4B01G216000;TraesCS1A01G333800;TraesCS5A01G237700;TraesCS6B01G059800;TraesCS4A01G267300;TraesCS3D01G276200;TraesCS6B01G183300;TraesCS6D01G158300;TraesCS5D01G145100;TraesCS2A01G217600;TraesCS4D01G089300;TraesCS5D01G069700;TraesCS1B01G385300;TraesCS4D01G104100;TraesCS2B01G216800;TraesCS1B01G456700;TraesCS5B01G520600;TraesCS1A01G149700;TraesCS1D01G361000;TraesCS2B01G114900;TraesCS5B01G474500;TraesCS1B01G134500;TraesCS3D01G502500;TraesCS1A01G296300;TraesCS2B01G240800;TraesCS4D01G172700;TraesCS4D01G312300;TraesCS1D01G239700;TraesCS6A01G327500;TraesCS1D01G082200;TraesCS1B01G283400;TraesCS7D01G463300;TraesCS1D01G032600;TraesCS3A01G530200;TraesCS3B01G361100;TraesCS1B01G120100;TraesCS2A01G214100;TraesCS2D01G222700;TraesCS2D01G564300;TraesCS5A01G152800;TraesCS3D01G324400;TraesCS4A01G384500;TraesCS3B01G384000;TraesCS6D01G032300;TraesCS5B01G225200;TraesCS6A01G375800;TraesCS5A01G138600;TraesCS3A01G463400;TraesCS3D01G272300;TraesCS5D01G304700;TraesCS2D01G528200;TraesCS7B01G123300;TraesCS1B01G109400;TraesCS5D01G373700;TraesCS2B01G562100;TraesCS1A01G031200;TraesCS2B01G241900;TraesCS4B01G132000;TraesCS5B01G236200;TraesCS6D01G328800;TraesCS4B01G216700;TraesCS7B01G222500;TraesCS6D01G335300;TraesCS2A01G347400;TraesCS7D01G357100;TraesCS3A01G262200;TraesCS5B01G056700;TraesCS1A01G073300;TraesCS1B01G385200;TraesCS2A01G368700;TraesCS5D01G386800;TraesCS4B01G055600;TraesCS1B01G251700;TraesCS7A01G131300;TraesCS3A01G439200;TraesCS7D01G372500;TraesCS1B01G270300;TraesCS2B01G521800;TraesCS7A01G096800;TraesCS1B01G373100;TraesCS1B01G375400;TraesCS5B01G069900;TraesCS2A01G532600;TraesCS3B01G352300;TraesCS2B01G539200;TraesCS6D01G210200;TraesCS2D01G517200;TraesCS4D01G312400;TraesCS1D01G367800;TraesCS2A01G182400;TraesCS3D01G315700;TraesCS1B01G157700;TraesCS4D01G046900;TraesCS6A01G116000;TraesCS3D01G542300;TraesCS7A01G154900;TraesCS4A01G186700;TraesCS2D01G098200;TraesCS6B01G069800;TraesCS5A01G222300;TraesCS2A01G150600;TraesCS3A01G272100;TraesCS2A01G386000;TraesCS2B01G241800;TraesCS6B01G367100;TraesCS1B01G097700;TraesCS5B01G387300;TraesCS3D01G182300;TraesCS4A01G171500;TraesCS5A01G048600;TraesCS4A01G211600;TraesCS3D01G262300;TraesCS5D01G212900;TraesCS7A01G384500;TraesCS6D01G362500;TraesCS2D01G284200;TraesCS5B01G056800;TraesCS7B01G025800;TraesCS2D01G380800;TraesCS2D01G207400;TraesCS6D01G316600;TraesCS5A01G092600;TraesCS3D01G273200;TraesCS5B01G065400;TraesCS2A01G117800;TraesCS2D01G190200;TraesCS3A01G034700;TraesCS5D01G158100;TraesCS2B01G244000;TraesCS4B01G041300;TraesCS2A01G209900;TraesCS5A01G173300;TraesCS2B01G366600;TraesCS7D01G167900;TraesCS7D01G444400;TraesCS2A01G023900;TraesCS4D01G229100;TraesCS7D01G037700;TraesCS3D01G097000;TraesCS5A01G463100;TraesCS6D01G330800;TraesCS7B01G141900;TraesCS5B01G366400;TraesCS6D01G050900;TraesCS5A01G514500;TraesCS3B01G376300;TraesCS5A01G210300;TraesCS6D01G047500;TraesCS3D01G182600;TraesCS3D01G337900;TraesCS6D01G280700;TraesCS1D01G073100;TraesCS7B01G243500;TraesCS3D01G262200;TraesCS1A01G325800;TraesCS6D01G381200;TraesCS3B01G253900;TraesCS4B01G294300;TraesCS6D01G232300;TraesCS1D01G333500;TraesCS2D01G509500;TraesCS3D01G046900;TraesCS3A01G323200;TraesCS3B01G295500;TraesCS7D01G130600;TraesCS3B01G053800;TraesCS6A01G374700;TraesCS7A01G129300;TraesCS2D01G574000;TraesCS2D01G062100;TraesCS2B01G187300;TraesCS4D01G217000;TraesCS5D01G158000;TraesCS7D01G129500;TraesCS3A01G034600;TraesCS4A01G417300;TraesCS2B01G594100;TraesCS6D01G115200;TraesCS3D01G124200;TraesCS2D01G178100;TraesCS5B01G437300;TraesCS2B01G364400;TraesCS7D01G444500;TraesCS4D01G325500;TraesCS6A01G223500;TraesCS1B01G305200;TraesCS7D01G048600;TraesCS6A01G352800;TraesCS6A01G375900;TraesCS7A01G091200;TraesCS4B01G132100;TraesCS5B01G064400;TraesCS1A01G016000;TraesCS7D01G128300;TraesCS2A01G485600;TraesCS7A01G325000;TraesCS3B01G374100;TraesCS7B01G220500</t>
  </si>
  <si>
    <t>TraesCS2D01G538400;TraesCS3B01G490000;TraesCS1D01G295800;TraesCS5D01G359000;TraesCS3D01G535700;TraesCS7B01G325900;TraesCS6D01G358600;TraesCS7D01G092900;TraesCS3A01G493100;TraesCS1B01G454000;TraesCS3B01G295000;TraesCS2B01G197000;TraesCS6B01G305600;TraesCS7A01G127100;TraesCS7B01G473700;TraesCS6A01G124500;TraesCS7A01G163300;TraesCS6B01G052400;TraesCS2B01G236800;TraesCS3A01G255600;TraesCS7D01G136700;TraesCS7D01G318600;TraesCS2A01G418200;TraesCS2D01G079200;TraesCS6A01G225300;TraesCS2A01G190200;TraesCS2A01G455600;TraesCS5B01G151600;TraesCS2B01G243000;TraesCS7A01G476700;TraesCS3A01G276200;TraesCS6D01G240100;TraesCS3D01G049000;TraesCS3A01G033000;TraesCS6D01G360900;TraesCS3A01G342000;TraesCS2D01G217500;TraesCS2D01G219800;TraesCS6B01G225700;TraesCS5D01G478700;TraesCS5B01G526200;TraesCS6A01G052100;TraesCS4B01G376800;TraesCS5A01G350800;TraesCS2A01G170600;TraesCS2D01G255700;TraesCS5D01G374300;TraesCS2A01G503800;TraesCS2D01G297300;TraesCS1A01G424200;TraesCS2B01G489700;TraesCS5A01G062600;TraesCS1A01G367200;TraesCS2A01G182800;TraesCS2B01G236900;TraesCS2A01G216700;TraesCS6B01G006600;TraesCSU01G008300;TraesCS2A01G537900;TraesCS3B01G206500;TraesCS2D01G321400;TraesCS7D01G444700;TraesCS1B01G157300;TraesCS2B01G477600;TraesCS2D01G504300;TraesCS7B01G047300;TraesCS2B01G271700;TraesCS7B01G255500;TraesCS2D01G197600;TraesCS3D01G270300;TraesCS1D01G259700;TraesCS3A01G274000;TraesCS5B01G371800;TraesCS7B01G356400;TraesCS3D01G316400;TraesCS1D01G100900;TraesCS3A01G096500;TraesCS1A01G184500;TraesCS3A01G344400;TraesCS2D01G219900;TraesCS3A01G048700;TraesCS5B01G381500;TraesCS6B01G225800;TraesCS7B01G287100;TraesCS1B01G385100;TraesCS2B01G365900;TraesCS3D01G472000;TraesCS4A01G089700;TraesCS2B01G437200;TraesCS4D01G215200;TraesCS3A01G034300;TraesCS4B01G238700;TraesCS3D01G500800;TraesCS6A01G078700;TraesCS3D01G036000;TraesCS5A01G085900;TraesCS1A01G367100;TraesCS5B01G380400;TraesCS1D01G303700;TraesCS2A01G346000;TraesCS2D01G537100;TraesCS2D01G415600;TraesCS5D01G387900;TraesCS7D01G316100;TraesCS1D01G037200;TraesCS5B01G146100;TraesCS6B01G197000;TraesCS2D01G428900;TraesCS3D01G316700;TraesCS5A01G369500;TraesCS7B01G356500;TraesCS5D01G524800;TraesCS3B01G049700;TraesCS3B01G158300;TraesCS3B01G196900;TraesCS4B01G214600;TraesCS1B01G089100;TraesCS3D01G178300;TraesCS5A01G197200;TraesCS5B01G138400;TraesCS1B01G385000;TraesCS4A01G062000;TraesCS3D01G048000;TraesCS7B01G415400;TraesCS3D01G136700;TraesCS1B01G217500;TraesCS2B01G180500;TraesCS6A01G377700;TraesCS6A01G000500;TraesCS2B01G437300;TraesCS4B01G106000;TraesCS5B01G526000;TraesCS7D01G087100;TraesCS3D01G030600;TraesCS1D01G273800;TraesCS4B01G047100;TraesCS1A01G367000;TraesCS5A01G322300;TraesCS2A01G216500;TraesCS7D01G165300;TraesCS3A01G045200;TraesCS6A01G204600;TraesCS2D01G344700;TraesCS2D01G415700;TraesCS5D01G181500;TraesCS6A01G225400;TraesCS2A01G418300;TraesCS7A01G455800;TraesCS6A01G135100;TraesCS1D01G146900;TraesCS5B01G184600;TraesCS6D01G211900;TraesCS6D01G360800;TraesCS7D01G124900;TraesCS1D01G218200;TraesCS2D01G097700;TraesCS3A01G256300;TraesCS3D01G046000;TraesCS7A01G435300;TraesCS2B01G537800;TraesCS2D01G223000;TraesCS3A01G272900;TraesCS3B01G289400;TraesCS6A01G132400;TraesCS6D01G157900;TraesCS2B01G053300;TraesCS3B01G306500;TraesCS3D01G256500;TraesCS1A01G141300;TraesCS2D01G364400;TraesCS2D01G572600;TraesCS3A01G152200;TraesCS2D01G216700;TraesCS3D01G104100;TraesCS1A01G080600;TraesCS2B01G532000;TraesCS2B01G536600;TraesCS1B01G384900;TraesCS1D01G372700;TraesCS6D01G145100;TraesCS2A01G525300;TraesCS1A01G259900;TraesCS5D01G434500;TraesCS2D01G493700;TraesCS3B01G307700;TraesCS1B01G091900;TraesCS6B01G051700;TraesCS2D01G537700;TraesCS7D01G495700;TraesCS4A01G414700;TraesCS7B01G031900;TraesCS3A01G256200;TraesCS5A01G401400;TraesCS4A01G207800;TraesCS5D01G216400;TraesCS5B01G501300;TraesCS2B01G242200;TraesCS5D01G357800;TraesCS7D01G324900;TraesCS2B01G114000;TraesCS2A01G255300;TraesCS3B01G304300;TraesCS3D01G256400;TraesCS2B01G001400;TraesCS6B01G163100;TraesCS6A01G124800;TraesCS2A01G155500;TraesCS1A01G080500;TraesCS1A01G330500;TraesCS6D01G363200;TraesCS3A01G290300;TraesCS7B01G309900;TraesCS2B01G536500;TraesCS3B01G141500;TraesCS6D01G122100;TraesCS7A01G264400;TraesCS1D01G372600;TraesCS5A01G294600;TraesCSU01G111800;TraesCS5D01G157900;TraesCS7B01G333700;TraesCS7D01G380900;TraesCS3A01G050300;TraesCS5D01G063800;TraesCS6B01G204600;TraesCS2B01G096000;TraesCS3D01G104000;TraesCS7B01G356800;TraesCS5B01G538800;TraesCS6B01G412500;TraesCS7D01G248200;TraesCS2A01G211300;TraesCS2B01G124100;TraesCS1A01G304200;TraesCS1D01G130400;TraesCS7B01G069100;TraesCS5A01G206700;TraesCS2A01G493800;TraesCS6A01G155200;TraesCS7D01G261300;TraesCS5A01G297900;TraesCS3D01G290100;TraesCS7D01G041400;TraesCS3B01G153800;TraesCS1A01G070600;TraesCS1B01G314700;TraesCS3A01G261800;TraesCS4A01G029800;TraesCS2B01G175800;TraesCS7B01G395000;TraesCS6D01G122200;TraesCS5D01G329100;TraesCS3A01G049500;TraesCS1D01G372500;TraesCS2A01G081400;TraesCS3B01G038900;TraesCSU01G238700;TraesCS3A01G224400;TraesCS1B01G376000;TraesCS6B01G256300;TraesCS7A01G242800;TraesCS2D01G491600;TraesCS3B01G291900;TraesCS4D01G059300;TraesCS4A01G102900;TraesCS2A01G211200;TraesCS5B01G188700;TraesCS1D01G140300;TraesCS7D01G248100;TraesCS3A01G101800;TraesCS4B01G315400;TraesCS2A01G431100;TraesCS3D01G048400;TraesCS5A01G426500;TraesCS2A01G040900;TraesCS6B01G238900;TraesCS6B01G385500;TraesCS6D01G191500;TraesCS3A01G261700;TraesCS3B01G289500;TraesCS4B01G201600;TraesCS5A01G205500;TraesCS3D01G261800;TraesCS5B01G204900;TraesCS6D01G307100;TraesCS2B01G452400;TraesCS7D01G146400;TraesCS1A01G215900;TraesCS2B01G511300;TraesCS1D01G372400;TraesCS6B01G256200;TraesCS2D01G117200;TraesCS3B01G473100;TraesCS7A01G053400;TraesCS5B01G538600;TraesCS2B01G394700;TraesCS5D01G281200;TraesCS7B01G228900;TraesCS4D01G202300;TraesCS5D01G210800;TraesCS7D01G086900;TraesCS4B01G059700;TraesCS4D01G316500;TraesCS2A01G217200;TraesCS2B01G208900;TraesCS2A01G343100;TraesCS3A01G101700;TraesCS2D01G509400;TraesCS7D01G449500;TraesCS6A01G241000;TraesCS2D01G582800;TraesCS2A01G211900;TraesCS6B01G471400;TraesCS1B01G167700;TraesCS3B01G600300;TraesCS1D01G082600;TraesCS6D01G191400;TraesCS2A01G538200;TraesCS5D01G475900;TraesCS7A01G249400;TraesCS7D01G356200;TraesCS7D01G085800;TraesCS6A01G336600;TraesCS6B01G415700;TraesCS6A01G378000;TraesCS7B01G030400;TraesCS2D01G222300;TraesCS4D01G340500;TraesCS2A01G199700;TraesCS6B01G136100;TraesCS6B01G152800;TraesCS2B01G220900;TraesCS1A01G016100;TraesCS1D01G364000;TraesCS5D01G358600;TraesCS2B01G266900;TraesCS4B01G162700;TraesCS7A01G091500;TraesCS1D01G381800;TraesCS4A01G391100;TraesCS1D01G081400;TraesCS7A01G424700;TraesCS6B01G412400;TraesCS3A01G021600;TraesCS5A01G147500;TraesCS2D01G509300;TraesCS3D01G432000;TraesCS4A01G010000;TraesCS4A01G255400;TraesCS4D01G238900;TraesCS4D01G293200;TraesCS2D01G066900;TraesCS2D01G463100;TraesCS2A01G509900;TraesCS1B01G119600;TraesCS2B01G324900;TraesCS1A01G273600;TraesCS1D01G082500;TraesCS3A01G110400;TraesCS3A01G135700;TraesCS7A01G364200;TraesCS2A01G371700;TraesCS7A01G213000;TraesCS6A01G258900;TraesCS6B01G413500;TraesCS6D01G359100;TraesCS2A01G371600;TraesCS6B01G358800;TraesCS5D01G097900;TraesCS6D01G258200;TraesCS7B01G301100;TraesCS3A01G477300;TraesCS3D01G049700;TraesCS5D01G519800;TraesCS3D01G335700;TraesCS2D01G419700;TraesCS4B01G287300;TraesCS4A01G221700;TraesCS7A01G091400;TraesCS3B01G110500;TraesCS2A01G462700;TraesCS3B01G310000;TraesCS1A01G048000;TraesCS3B01G119600;TraesCS2D01G509200;TraesCS2A01G106500;TraesCS1A01G079700;TraesCS2D01G485300;TraesCS7B01G029200;TraesCS7D01G416900;TraesCS1B01G062200;TraesCS6D01G056600;TraesCS7B01G325300;TraesCS4B01G345400;TraesCS5A01G376700;TraesCS1A01G342600;TraesCS1B01G119700;TraesCS1A01G103900;TraesCS1B01G347100;TraesCS2D01G201700;TraesCS6D01G210100;TraesCS3B01G325100;TraesCS5B01G428400;TraesCS6B01G257800;TraesCS3A01G351500;TraesCS2D01G534400;TraesCS5D01G059300;TraesCS6A01G168900;TraesCS4A01G396700;TraesCS1D01G344700;TraesCS5B01G202900;TraesCS7D01G085600;TraesCS3D01G045400;TraesCS2D01G107100;TraesCSU01G016900;TraesCS6B01G266500;TraesCS7A01G400900;TraesCS4B01G228200;TraesCS7A01G434300;TraesCS1D01G372900;TraesCS5D01G343000;TraesCS2D01G455900;TraesCS2D01G577000;TraesCS3A01G064400;TraesCS4D01G126900;TraesCS1D01G330300;TraesCS2B01G100300;TraesCS3B01G166600;TraesCS5B01G208200;TraesCS2A01G308400;TraesCS3B01G288100;TraesCS6B01G152600;TraesCS2B01G220700;TraesCS2B01G323700;TraesCS6D01G158400;TraesCS1A01G048100;TraesCS3B01G119500;TraesCS7A01G328100;TraesCS2B01G067000;TraesCS3A01G122300;TraesCS2D01G485200;TraesCS5D01G073900;TraesCS7D01G394800;TraesCS3D01G172200;TraesCS5A01G351300;TraesCSU01G047400;TraesCS7D01G265400;TraesCS1D01G101100;TraesCS3D01G256600;TraesCS4A01G323500;TraesCS4D01G352700;TraesCS5D01G152300;TraesCS5D01G177800;TraesCS2D01G511300;TraesCS3B01G151200;TraesCS3D01G345700;TraesCS1A01G080700;TraesCS2A01G098700;TraesCS6A01G277600;TraesCS2B01G035300;TraesCS1D01G372800;TraesCS1D01G206900;TraesCS4D01G126800;TraesCS1D01G076200;TraesCS5B01G208300;TraesCS6B01G152700;TraesCS5A01G377900;TraesCS7A01G321600;TraesCS7D01G451300;TraesCS1A01G203400;TraesCS6A01G301300;TraesCS7D01G053900;TraesCS4B01G216000;TraesCS1A01G333800;TraesCS5A01G237700;TraesCS6B01G059800;TraesCS4A01G267300;TraesCS3D01G276200;TraesCS6B01G183300;TraesCS6D01G158300;TraesCS5D01G145100;TraesCS2A01G217600;TraesCS4D01G089300;TraesCS1B01G385300;TraesCS2B01G216800;TraesCS1B01G456700;TraesCS5B01G520600;TraesCS1A01G149700;TraesCS2B01G114900;TraesCS5B01G474500;TraesCS1A01G296300;TraesCS2B01G240800;TraesCS4D01G172700;TraesCS4D01G312300;TraesCS1D01G239700;TraesCS6A01G327500;TraesCS1D01G082200;TraesCS1B01G283400;TraesCS7D01G463300;TraesCS1D01G032600;TraesCS3A01G530200;TraesCS1B01G120100;TraesCS2A01G214100;TraesCS2D01G222700;TraesCS2D01G564300;TraesCS5A01G152800;TraesCS4A01G384500;TraesCS3B01G384000;TraesCS6D01G032300;TraesCS6A01G375800;TraesCS5A01G138600;TraesCS3A01G463400;TraesCS3D01G272300;TraesCS5D01G304700;TraesCS2D01G528200;TraesCS1B01G109400;TraesCS5D01G373700;TraesCS2B01G562100;TraesCS1A01G031200;TraesCS2B01G241900;TraesCS4B01G132000;TraesCS5B01G236200;TraesCS6D01G328800;TraesCS4B01G216700;TraesCS7B01G222500;TraesCS6D01G335300;TraesCS2A01G347400;TraesCS7D01G357100;TraesCS3A01G262200;TraesCS5B01G056700;TraesCS1A01G073300;TraesCS1B01G385200;TraesCS2A01G368700;TraesCS5D01G386800;TraesCS4B01G055600;TraesCS1B01G251700;TraesCS7A01G131300;TraesCS3A01G439200;TraesCS1B01G270300;TraesCS2B01G521800;TraesCS7A01G096800;TraesCS1B01G375400;TraesCS5B01G069900;TraesCS2A01G532600;TraesCS3B01G352300;TraesCS2B01G539200;TraesCS6D01G210200;TraesCS4D01G312400;TraesCS1D01G367800;TraesCS2A01G182400;TraesCS1B01G157700;TraesCS4D01G046900;TraesCS3D01G542300;TraesCS7A01G154900;TraesCS4A01G186700;TraesCS2D01G098200;TraesCS6B01G069800;TraesCS5A01G222300;TraesCS2A01G150600;TraesCS2B01G241800;TraesCS6B01G367100;TraesCS1B01G097700;TraesCS3D01G182300;TraesCS4A01G171500;TraesCS5A01G048600;TraesCS4A01G211600;TraesCS3D01G262300;TraesCS5D01G212900;TraesCS7A01G384500;TraesCS6D01G362500;TraesCS2D01G284200;TraesCS5B01G056800;TraesCS2D01G380800;TraesCS2D01G207400;TraesCS6D01G316600;TraesCS3D01G273200;TraesCS2A01G117800;TraesCS2D01G190200;TraesCS3A01G034700;TraesCS5D01G158100;TraesCS2B01G244000;TraesCS4B01G041300;TraesCS2A01G209900;TraesCS5A01G173300;TraesCS2B01G366600;TraesCS7D01G444400;TraesCS2A01G023900;TraesCS4D01G229100;TraesCS7D01G037700;TraesCS3D01G097000;TraesCS5A01G463100;TraesCS7B01G141900;TraesCS5B01G366400;TraesCS6D01G050900;TraesCS5A01G514500;TraesCS3B01G376300;TraesCS5A01G210300;TraesCS6D01G047500;TraesCS3D01G182600;TraesCS3D01G337900;TraesCS6D01G280700;TraesCS1D01G073100;TraesCS3D01G262200;TraesCS6D01G381200;TraesCS3B01G253900;TraesCS4B01G294300;TraesCS2D01G509500;TraesCS3D01G046900;TraesCS3A01G323200;TraesCS3B01G295500;TraesCS7D01G130600;TraesCS3B01G053800;TraesCS6A01G374700;TraesCS7A01G129300;TraesCS2D01G574000;TraesCS2D01G062100;TraesCS4D01G217000;TraesCS5D01G158000;TraesCS7D01G129500;TraesCS3A01G034600;TraesCS2B01G594100;TraesCS6D01G115200;TraesCS3D01G124200;TraesCS2D01G178100;TraesCS5B01G437300;TraesCS2B01G364400;TraesCS7D01G444500;TraesCS4D01G325500;TraesCS6A01G223500;TraesCS1B01G305200;TraesCS7D01G048600;TraesCS6A01G352800;TraesCS6A01G375900;TraesCS7A01G091200;TraesCS4B01G132100;TraesCS5B01G064400;TraesCS1A01G016000;TraesCS7D01G128300;TraesCS2A01G485600;TraesCS3B01G374100;TraesCS7B01G220500</t>
  </si>
  <si>
    <t>TraesCS2D01G538400;TraesCS3B01G490000;TraesCS5D01G359000;TraesCS6D01G358600;TraesCS7D01G092900;TraesCS1B01G454000;TraesCS3B01G295000;TraesCS7B01G473700;TraesCS1B01G375100;TraesCS6A01G124500;TraesCS7A01G163300;TraesCS6B01G052400;TraesCS2B01G236800;TraesCS4D01G210900;TraesCS7D01G318600;TraesCS4D01G069300;TraesCS2D01G079200;TraesCS2A01G190200;TraesCS4B01G157800;TraesCS3B01G485900;TraesCS7A01G476700;TraesCS2B01G350500;TraesCS3A01G276200;TraesCS3D01G049000;TraesCS1A01G381500;TraesCS3D01G278000;TraesCS3A01G033000;TraesCS4B01G088700;TraesCS6D01G360900;TraesCS3A01G342000;TraesCS2D01G219800;TraesCS7A01G357300;TraesCS5B01G182000;TraesCS6B01G225700;TraesCS5B01G526200;TraesCS6A01G052100;TraesCS4B01G376800;TraesCS5A01G350800;TraesCS2A01G170600;TraesCS2D01G255700;TraesCS2D01G297300;TraesCS3A01G242200;TraesCS1A01G367200;TraesCS2A01G182800;TraesCS2A01G216700;TraesCS6B01G398500;TraesCS2A01G537900;TraesCS1A01G045300;TraesCS7D01G444700;TraesCS3B01G126400;TraesCS2B01G477600;TraesCS1D01G074500;TraesCS7B01G047300;TraesCS4B01G210100;TraesCS3D01G270300;TraesCS3A01G274000;TraesCS4A01G251600;TraesCS5B01G371800;TraesCS3D01G316400;TraesCS4B01G067800;TraesCS1D01G100900;TraesCS1A01G184500;TraesCS3A01G344400;TraesCS3A01G048700;TraesCS3A01G107600;TraesCS1B01G385100;TraesCS4A01G089700;TraesCS1D01G363500;TraesCS3A01G034300;TraesCS4B01G238700;TraesCS6A01G078700;TraesCS4A01G050000;TraesCS2D01G000300;TraesCS2D01G537100;TraesCS5D01G387900;TraesCS2A01G103800;TraesCS4A01G276900;TraesCS5B01G146100;TraesCS2D01G426600;TraesCS7B01G356500;TraesCS5D01G524800;TraesCS3B01G049700;TraesCS3B01G196900;TraesCS5A01G197200;TraesCS7D01G334900;TraesCS4A01G062000;TraesCS7B01G415400;TraesCS2B01G180500;TraesCS6A01G377700;TraesCS6B01G246000;TraesCS6A01G000500;TraesCS1B01G461600;TraesCS2A01G121200;TraesCS2B01G437300;TraesCS4B01G106000;TraesCS5B01G526000;TraesCS7D01G087100;TraesCS3D01G030600;TraesCS4B01G047100;TraesCS1A01G367000;TraesCS1D01G046000;TraesCS5A01G322300;TraesCS1B01G283300;TraesCS2A01G216500;TraesCS7D01G165300;TraesCS3A01G045200;TraesCS7B01G129500;TraesCS2D01G415700;TraesCS5D01G181500;TraesCS6A01G225400;TraesCS2A01G418300;TraesCS7A01G455800;TraesCS7B01G299200;TraesCS1D01G146900;TraesCS5B01G184600;TraesCS2D01G382500;TraesCS6D01G211900;TraesCS1D01G218200;TraesCS2D01G097700;TraesCS7D01G392800;TraesCS7A01G435300;TraesCS2B01G537800;TraesCS2D01G223000;TraesCS3A01G272900;TraesCS3B01G289400;TraesCS6D01G157900;TraesCS2B01G053300;TraesCS3B01G394600;TraesCS5B01G419200;TraesCS2D01G232400;TraesCS2D01G364400;TraesCS3A01G152200;TraesCS2D01G216700;TraesCS3D01G104100;TraesCS2D01G317400;TraesCS5A01G129100;TraesCS1B01G384900;TraesCS2A01G525300;TraesCS3B01G307700;TraesCS4D01G059100;TraesCS7A01G216100;TraesCS1B01G091900;TraesCS6B01G051700;TraesCS2D01G537700;TraesCS7D01G495700;TraesCS4A01G414700;TraesCS5D01G424600;TraesCS3B01G360600;TraesCS3A01G256200;TraesCS5A01G401400;TraesCS5B01G492700;TraesCS7A01G263300;TraesCS5B01G501300;TraesCS2B01G242200;TraesCS1D01G419400;TraesCS1B01G241100;TraesCS7D01G324900;TraesCS3D01G256400;TraesCS2B01G001400;TraesCS6B01G163100;TraesCS6B01G331600;TraesCS7A01G167300;TraesCS1A01G080500;TraesCS1A01G330500;TraesCS1A01G187400;TraesCS5D01G104900;TraesCS3A01G290300;TraesCS7B01G309900;TraesCS2B01G536500;TraesCS6D01G122100;TraesCS7A01G264400;TraesCS1D01G372600;TraesCS5A01G294600;TraesCSU01G111800;TraesCS5D01G063800;TraesCS6B01G204600;TraesCS2B01G096000;TraesCS5B01G538800;TraesCS6B01G412500;TraesCS7D01G248200;TraesCS2B01G229000;TraesCS2B01G124100;TraesCS1A01G304200;TraesCS7B01G069100;TraesCS2A01G493800;TraesCS6A01G155200;TraesCS3A01G227900;TraesCS5A01G297900;TraesCS3D01G290100;TraesCS4A01G203300;TraesCS3B01G153800;TraesCS4D01G132500;TraesCS3A01G261800;TraesCS4A01G029800;TraesCS7B01G395000;TraesCSU01G238700;TraesCS3A01G224400;TraesCS1B01G376000;TraesCS6B01G280300;TraesCS7A01G242800;TraesCS2D01G491600;TraesCS3B01G291900;TraesCS5A01G505000;TraesCS4D01G059300;TraesCS2A01G211200;TraesCS6D01G226300;TraesCS1D01G140300;TraesCS4B01G315400;TraesCS2A01G431100;TraesCS5A01G426500;TraesCS1A01G411600;TraesCS2A01G040900;TraesCS1B01G304800;TraesCS6A01G199000;TraesCS4B01G201600;TraesCS5A01G205500;TraesCS3D01G261800;TraesCS5B01G204900;TraesCS7D01G146400;TraesCS3A01G362200;TraesCS1D01G372400;TraesCS3A01G477100;TraesCS6B01G256200;TraesCS2D01G117200;TraesCS3B01G473100;TraesCS5B01G538600;TraesCS2B01G394700;TraesCS7D01G086900;TraesCS2B01G208900;TraesCS2A01G343100;TraesCS2D01G301100;TraesCS6A01G177700;TraesCS7D01G449500;TraesCS6A01G241000;TraesCS2D01G582800;TraesCS2D01G144500;TraesCS6B01G471400;TraesCS1B01G167700;TraesCS3B01G600300;TraesCS3A01G110300;TraesCS1D01G082600;TraesCS7B01G225500;TraesCS2A01G538200;TraesCS5D01G475900;TraesCS7A01G249400;TraesCS7D01G356200;TraesCS7D01G085800;TraesCS6A01G336600;TraesCS6B01G415700;TraesCS6A01G378000;TraesCS2A01G291700;TraesCS6D01G258300;TraesCS2D01G222300;TraesCS4D01G340500;TraesCS2A01G199700;TraesCS4A01G244500;TraesCS4B01G070500;TraesCS1A01G016100;TraesCS1D01G364000;TraesCS5D01G358600;TraesCS4B01G162700;TraesCS1D01G381800;TraesCS1D01G216200;TraesCS6B01G412400;TraesCS1A01G077500;TraesCS2D01G509300;TraesCS4A01G010000;TraesCS4A01G255400;TraesCS4D01G238900;TraesCS4D01G293200;TraesCS2D01G463100;TraesCS7D01G024200;TraesCS2A01G509900;TraesCS1B01G119600;TraesCS2B01G324900;TraesCS1A01G273600;TraesCS7A01G213000;TraesCS6A01G258900;TraesCS6B01G413500;TraesCS6D01G359100;TraesCS2A01G371600;TraesCS3A01G477300;TraesCS3D01G049700;TraesCS5D01G519800;TraesCS3D01G335700;TraesCS4B01G287300;TraesCS7A01G091400;TraesCS1D01G389300;TraesCS7A01G101500;TraesCS3B01G119600;TraesCS2A01G106500;TraesCS1A01G079700;TraesCS2D01G485300;TraesCS7D01G506300;TraesCS6D01G056600;TraesCS4B01G345400;TraesCS7D01G071200;TraesCS5A01G376700;TraesCS1A01G342600;TraesCS3D01G441900;TraesCS6A01G302400;TraesCS1B01G347100;TraesCS6D01G210100;TraesCS3B01G325100;TraesCS5B01G428400;TraesCS5D01G059300;TraesCS7A01G406100;TraesCS4A01G396700;TraesCS6B01G127300;TraesCS7B01G372400;TraesCS7D01G085600;TraesCS2D01G107100;TraesCSU01G016900;TraesCS5A01G337100;TraesCS1D01G372900;TraesCS2B01G308200;TraesCS2D01G455900;TraesCS2D01G577000;TraesCS3A01G064400;TraesCS4D01G126900;TraesCS3B01G166600;TraesCS3B01G288100;TraesCS5D01G188600;TraesCS3B01G156800;TraesCS1A01G048100;TraesCS7A01G223000;TraesCS4D01G066800;TraesCS5A01G235400;TraesCS3A01G122300;TraesCS3D01G172200;TraesCSU01G047400;TraesCS7D01G265400;TraesCS4A01G323500;TraesCS4D01G352700;TraesCS3D01G345700;TraesCS1A01G080700;TraesCS6A01G277600;TraesCS6B01G381300;TraesCS2B01G035300;TraesCS1D01G076200;TraesCS5B01G208300;TraesCS6B01G152700;TraesCS7A01G321600;TraesCS7D01G451300;TraesCS6A01G301300;TraesCS6B01G059800;TraesCS6D01G158300;TraesCS4D01G089300;TraesCS5D01G069700;TraesCS4D01G104100;TraesCS6A01G245200;TraesCS5B01G520600;TraesCS1B01G224300;TraesCS5B01G474500;TraesCS3D01G502500;TraesCS7A01G092300;TraesCS1A01G296300;TraesCS2B01G240800;TraesCS1D01G239700;TraesCS6A01G327500;TraesCS1D01G082200;TraesCS7D01G463300;TraesCS1D01G032600;TraesCS5B01G078500;TraesCS2D01G222700;TraesCS2D01G564300;TraesCS5A01G152800;TraesCS3D01G324400;TraesCS4A01G384500;TraesCS7D01G224700;TraesCS5B01G225200;TraesCS6A01G375800;TraesCS3D01G272300;TraesCS2D01G528200;TraesCS7B01G123300;TraesCS1B01G109400;TraesCS2A01G420800;TraesCS2B01G241900;TraesCS4B01G132000;TraesCS6D01G328800;TraesCS4B01G216700;TraesCS6D01G335300;TraesCS7D01G357100;TraesCS5B01G056700;TraesCS1A01G073300;TraesCS1B01G385200;TraesCS4B01G137700;TraesCS5A01G398900;TraesCS4B01G055600;TraesCS1B01G251700;TraesCS7A01G131300;TraesCS3A01G439200;TraesCS1B01G375400;TraesCS3B01G352300;TraesCS2B01G539200;TraesCS4D01G312400;TraesCS6A01G258500;TraesCS7A01G423900;TraesCS2A01G182400;TraesCS2A01G339900;TraesCS3D01G315700;TraesCS1B01G157700;TraesCS3D01G242300;TraesCS3D01G542300;TraesCS7B01G277900;TraesCS2D01G417800;TraesCS7D01G077100;TraesCS2A01G302400;TraesCS2D01G098200;TraesCS6B01G069800;TraesCS5A01G222300;TraesCS1A01G312400;TraesCS2A01G150600;TraesCS2A01G386000;TraesCS4A01G171500;TraesCS5A01G048600;TraesCS4A01G211600;TraesCS3D01G262300;TraesCS5D01G212900;TraesCS7A01G384500;TraesCS6D01G358000;TraesCS6D01G362500;TraesCS6D01G316600;TraesCS3D01G273200;TraesCS5B01G065400;TraesCS2A01G117800;TraesCS2D01G190200;TraesCS5D01G158100;TraesCS2A01G209900;TraesCS5A01G173300;TraesCS7D01G167900;TraesCS7D01G444400;TraesCS2A01G023900;TraesCS4D01G229100;TraesCS7D01G037700;TraesCS5A01G463100;TraesCS1D01G229700;TraesCS5D01G070900;TraesCS1D01G312600;TraesCS6D01G050900;TraesCS5A01G514500;TraesCS3B01G376300;TraesCS5A01G210300;TraesCS6D01G047500;TraesCS3D01G182600;TraesCS3D01G337900;TraesCS1D01G073100;TraesCS6D01G381200;TraesCS3B01G253900;TraesCS6D01G232300;TraesCS1D01G333500;TraesCS2D01G509500;TraesCS4A01G255600;TraesCS3B01G295500;TraesCS7D01G130600;TraesCS3B01G053800;TraesCS6A01G374700;TraesCS2B01G187300;TraesCS3A01G034600;TraesCS6D01G115200;TraesCS1A01G365100;TraesCS2D01G178100;TraesCS5B01G437300;TraesCS6D01G281900;TraesCS4D01G325500;TraesCS4D01G254500;TraesCS7D01G048600;TraesCS7A01G091200;TraesCS7D01G128300;TraesCS3B01G374100;TraesCS1B01G095600;TraesCS3D01G238000;TraesCS2A01G428500;TraesCS3B01G280000;TraesCS1D01G295800;TraesCS3D01G535700;TraesCS7B01G325900;TraesCS3A01G493100;TraesCS5B01G482400;TraesCS2B01G197000;TraesCS6B01G305600;TraesCS7A01G127100;TraesCS7A01G012000;TraesCS5A01G058100;TraesCS5B01G082500;TraesCS3A01G255600;TraesCS4B01G335100;TraesCS7D01G136700;TraesCS2A01G418200;TraesCS6A01G225300;TraesCS2A01G455600;TraesCS5B01G151600;TraesCS2D01G549400;TraesCS2B01G243000;TraesCS6D01G240100;TraesCS2D01G217500;TraesCS5D01G478700;TraesCS1A01G358600;TraesCS1A01G228100;TraesCS5D01G374300;TraesCS2A01G503800;TraesCS1A01G424200;TraesCS5B01G233800;TraesCS2B01G449200;TraesCS2B01G489700;TraesCS5A01G062600;TraesCS2B01G236900;TraesCS6B01G006600;TraesCSU01G008300;TraesCS3B01G206500;TraesCS2D01G321400;TraesCS1B01G157300;TraesCS3B01G311900;TraesCS2D01G504300;TraesCS2B01G271700;TraesCS7B01G255500;TraesCS2A01G384100;TraesCS2D01G197600;TraesCS1D01G259700;TraesCS7B01G356400;TraesCS3A01G096500;TraesCS2D01G219900;TraesCS1D01G346200;TraesCS5B01G381500;TraesCS6B01G225800;TraesCS7B01G287100;TraesCS2B01G365900;TraesCS3D01G472000;TraesCS5A01G071500;TraesCS2B01G437200;TraesCS4D01G215200;TraesCS3D01G500800;TraesCS6A01G216800;TraesCS7A01G075600;TraesCS3D01G036000;TraesCS5A01G085900;TraesCS1A01G367100;TraesCS2D01G214200;TraesCS5A01G209800;TraesCS5B01G380400;TraesCS1D01G303700;TraesCS2B01G339600;TraesCS2A01G346000;TraesCS2D01G415600;TraesCS1A01G357300;TraesCS7D01G316100;TraesCS1D01G037200;TraesCS1D01G123700;TraesCS6B01G197000;TraesCS2D01G428900;TraesCS3D01G316700;TraesCS5A01G369500;TraesCS7B01G161100;TraesCS3B01G158300;TraesCS4A01G110100;TraesCS4B01G214600;TraesCS5D01G136600;TraesCS1B01G089100;TraesCS3D01G178300;TraesCS5B01G138400;TraesCS1B01G385000;TraesCS5B01G207900;TraesCS3D01G048000;TraesCS3D01G136700;TraesCS5A01G059400;TraesCS1B01G217500;TraesCS3D01G432600;TraesCS3D01G192800;TraesCS3A01G439800;TraesCS1D01G273800;TraesCS1A01G344000;TraesCS1B01G058600;TraesCS6A01G204600;TraesCS2D01G344700;TraesCS3B01G275500;TraesCS6A01G135100;TraesCS6D01G360800;TraesCS7D01G124900;TraesCS3A01G256300;TraesCS3D01G046000;TraesCS6A01G132400;TraesCS1A01G210400;TraesCS3B01G306500;TraesCS3D01G256500;TraesCS1A01G141300;TraesCS2D01G572600;TraesCS4D01G096400;TraesCS1A01G080600;TraesCS2B01G532000;TraesCS2B01G536600;TraesCS2D01G315100;TraesCS5B01G191900;TraesCS1D01G372700;TraesCS6D01G145100;TraesCS1B01G441900;TraesCS1A01G259900;TraesCS1B01G382600;TraesCS5D01G434500;TraesCS3B01G240000;TraesCS2D01G493700;TraesCS6D01G083200;TraesCS7B01G031900;TraesCS3D01G212100;TraesCS4A01G207800;TraesCS5D01G482800;TraesCS7A01G470400;TraesCS5D01G216400;TraesCS4B01G059400;TraesCS1A01G122800;TraesCS5D01G357800;TraesCS1B01G404000;TraesCS2B01G114000;TraesCS2A01G255300;TraesCS3B01G304300;TraesCS5A01G269300;TraesCS6A01G277800;TraesCS6A01G124800;TraesCS2A01G155500;TraesCS5D01G089900;TraesCS6D01G363200;TraesCS3B01G141500;TraesCS3D01G345900;TraesCS5A01G076600;TraesCS2A01G141100;TraesCS7D01G321500;TraesCS5D01G157900;TraesCS7B01G333700;TraesCS7D01G380900;TraesCS3A01G050300;TraesCS6D01G104800;TraesCS3D01G104000;TraesCS7B01G356800;TraesCS2A01G211300;TraesCS2A01G414700;TraesCS1D01G130400;TraesCS6D01G039300;TraesCS5A01G206700;TraesCS7D01G261300;TraesCS4A01G226300;TraesCS7D01G041400;TraesCS3D01G355900;TraesCS1A01G070600;TraesCS1B01G314700;TraesCS2B01G175800;TraesCS6D01G122200;TraesCS5A01G100300;TraesCS7D01G417600;TraesCS5D01G329100;TraesCS3A01G049500;TraesCS1D01G372500;TraesCS2A01G081400;TraesCS3B01G038900;TraesCS5B01G244300;TraesCS6B01G256300;TraesCS4A01G102900;TraesCS5B01G188700;TraesCS7D01G248100;TraesCS3A01G101800;TraesCS3D01G048400;TraesCS2A01G548300;TraesCS6B01G238900;TraesCS6B01G385500;TraesCS6D01G191500;TraesCS3A01G261700;TraesCS3B01G289500;TraesCS2A01G233100;TraesCS4A01G094300;TraesCS6D01G307100;TraesCS2B01G452400;TraesCS1A01G215900;TraesCS2B01G511300;TraesCS7A01G053400;TraesCS5D01G281200;TraesCS1D01G213700;TraesCS7B01G228900;TraesCS4D01G202300;TraesCS5D01G199800;TraesCS5D01G210800;TraesCS4B01G059700;TraesCS4B01G254700;TraesCS4D01G316500;TraesCS3A01G285700;TraesCS5D01G493200;TraesCS2A01G217200;TraesCS3A01G101700;TraesCS2D01G509400;TraesCS5D01G277500;TraesCS2A01G211900;TraesCS5D01G216100;TraesCS3A01G330600;TraesCS2D01G534600;TraesCS6D01G191400;TraesCS4B01G068300;TraesCS5A01G156200;TraesCS7B01G030400;TraesCS7B01G326200;TraesCS5A01G469800;TraesCS6B01G136100;TraesCS6B01G152800;TraesCS2B01G220900;TraesCS2B01G266900;TraesCS7A01G091500;TraesCS4A01G391100;TraesCS1D01G081400;TraesCS3A01G021600;TraesCS5A01G147500;TraesCS7D01G277300;TraesCS3D01G432000;TraesCS2B01G250100;TraesCS3A01G124800;TraesCS2D01G066900;TraesCS6D01G239700;TraesCS4B01G100100;TraesCS1D01G082500;TraesCS3A01G110400;TraesCS3A01G135700;TraesCS7A01G364200;TraesCS2A01G371700;TraesCS5A01G320600;TraesCS7B01G225600;TraesCS6B01G358800;TraesCS5D01G097900;TraesCS6D01G258200;TraesCS7B01G301100;TraesCS2D01G419700;TraesCS4A01G221700;TraesCS3B01G110500;TraesCS1A01G213400;TraesCS2A01G462700;TraesCS3B01G310000;TraesCS1A01G048000;TraesCS2D01G509200;TraesCS7B01G029200;TraesCS6A01G119900;TraesCS1B01G062200;TraesCS3A01G189300;TraesCS1A01G202300;TraesCS1B01G119700;TraesCS1A01G103900;TraesCS2D01G201700;TraesCS6B01G257800;TraesCS3A01G351500;TraesCS2A01G201900;TraesCS2D01G534400;TraesCS6A01G168900;TraesCS1D01G344700;TraesCS4B01G062800;TraesCS5B01G202900;TraesCS3D01G045400;TraesCS6B01G266500;TraesCS7A01G400900;TraesCS4B01G228200;TraesCS7A01G434300;TraesCS5D01G343000;TraesCS4A01G216100;TraesCS1D01G330300;TraesCS2B01G100300;TraesCS1D01G370600;TraesCS5B01G208200;TraesCS2A01G308400;TraesCS6B01G152600;TraesCS5A01G183600;TraesCS7A01G344600;TraesCS2B01G220700;TraesCS2B01G323700;TraesCS6D01G158400;TraesCS3B01G119500;TraesCS7A01G328100;TraesCS2B01G067000;TraesCS2D01G485200;TraesCS5D01G073900;TraesCS7D01G394800;TraesCS1D01G079600;TraesCS5A01G351300;TraesCS2A01G532800;TraesCS1D01G101100;TraesCS3D01G256600;TraesCS5A01G479600;TraesCS5D01G152300;TraesCS5D01G177800;TraesCS1B01G316500;TraesCS2D01G511300;TraesCS3B01G151200;TraesCS1A01G305800;TraesCS2A01G098700;TraesCS3A01G209200;TraesCS1D01G372800;TraesCS1D01G206900;TraesCS4D01G126800;TraesCS4A01G073900;TraesCS3B01G013200;TraesCS5A01G377900;TraesCS4D01G194900;TraesCS1A01G203400;TraesCS7D01G053900;TraesCS4B01G216000;TraesCS1A01G333800;TraesCS5A01G237700;TraesCS4A01G267300;TraesCS3D01G276200;TraesCS6B01G183300;TraesCS5D01G145100;TraesCS2A01G217600;TraesCS2B01G166100;TraesCS1B01G385300;TraesCS2B01G216800;TraesCS1B01G456700;TraesCS5D01G369200;TraesCS1A01G149700;TraesCS4A01G080400;TraesCS1D01G361000;TraesCS2B01G114900;TraesCS1D01G273500;TraesCS4D01G172700;TraesCS4D01G312300;TraesCS1B01G283400;TraesCS3A01G530200;TraesCS1B01G120100;TraesCS2A01G214100;TraesCS3B01G384000;TraesCS6D01G032300;TraesCS5A01G138600;TraesCS3A01G463400;TraesCS5D01G304700;TraesCS5D01G373700;TraesCS2B01G562100;TraesCS1A01G031200;TraesCS5B01G236200;TraesCS7B01G222500;TraesCS2A01G347400;TraesCS3A01G262200;TraesCS2A01G368700;TraesCS5D01G386800;TraesCS1B01G270300;TraesCS2B01G521800;TraesCS7A01G096800;TraesCS1B01G373100;TraesCS5B01G069900;TraesCS2A01G532600;TraesCS6D01G210200;TraesCS2D01G517200;TraesCS1D01G367800;TraesCS4D01G046900;TraesCS6A01G116000;TraesCS7A01G154900;TraesCS4A01G186700;TraesCS2B01G241800;TraesCS6B01G367100;TraesCS1B01G097700;TraesCS3D01G182300;TraesCS2D01G284200;TraesCS5B01G056800;TraesCS2D01G380800;TraesCS3B01G423200;TraesCS2D01G207400;TraesCS4D01G087200;TraesCS5A01G092600;TraesCS3A01G034700;TraesCS1A01G273500;TraesCS4B01G041300;TraesCS1B01G226800;TraesCS6A01G363900;TraesCS2B01G366600;TraesCS3D01G097000;TraesCS2D01G392800;TraesCS6D01G330800;TraesCS7B01G141900;TraesCS1D01G189300;TraesCS5B01G366400;TraesCS6D01G198700;TraesCS6D01G280700;TraesCS2B01G101800;TraesCS3D01G262200;TraesCS4B01G294300;TraesCS3D01G046900;TraesCS3A01G323200;TraesCS7A01G129300;TraesCS2D01G574000;TraesCS2D01G062100;TraesCS4D01G217000;TraesCS5D01G158000;TraesCS7D01G129500;TraesCS2B01G594100;TraesCS3B01G585400;TraesCS2D01G123300;TraesCS3D01G124200;TraesCS2B01G364400;TraesCS7D01G444500;TraesCS6A01G223500;TraesCS4A01G380200;TraesCS4D01G300100;TraesCS1B01G305200;TraesCS6A01G352800;TraesCS7D01G457800;TraesCS4D01G223900;TraesCS6A01G375900;TraesCS4B01G132100;TraesCS5B01G064400;TraesCS1A01G016000;TraesCS2A01G485600;TraesCS7A01G325000;TraesCS1A01G295300;TraesCS7B01G220500</t>
  </si>
  <si>
    <t>TraesCS2D01G538400;TraesCS3B01G490000;TraesCS1D01G295800;TraesCS5D01G359000;TraesCS3D01G535700;TraesCS7B01G325900;TraesCS6D01G358600;TraesCS7D01G092900;TraesCS3A01G493100;TraesCS5B01G482400;TraesCS1B01G454000;TraesCS3B01G295000;TraesCS2B01G197000;TraesCS6B01G305600;TraesCS7A01G127100;TraesCS7B01G473700;TraesCS6A01G124500;TraesCS7A01G163300;TraesCS6B01G052400;TraesCS2B01G236800;TraesCS3A01G255600;TraesCS7D01G136700;TraesCS7D01G318600;TraesCS2A01G418200;TraesCS2D01G079200;TraesCS6A01G225300;TraesCS2A01G190200;TraesCS2A01G455600;TraesCS5B01G151600;TraesCS2B01G243000;TraesCS7A01G476700;TraesCS3A01G276200;TraesCS6D01G240100;TraesCS3D01G049000;TraesCS3A01G033000;TraesCS6D01G360900;TraesCS3A01G342000;TraesCS2D01G217500;TraesCS2D01G219800;TraesCS6B01G225700;TraesCS5D01G478700;TraesCS5B01G526200;TraesCS6A01G052100;TraesCS4B01G376800;TraesCS5A01G350800;TraesCS2A01G170600;TraesCS2D01G255700;TraesCS5D01G374300;TraesCS2A01G503800;TraesCS2D01G297300;TraesCS1A01G424200;TraesCS2B01G489700;TraesCS5A01G062600;TraesCS1A01G367200;TraesCS2A01G182800;TraesCS2B01G236900;TraesCS2A01G216700;TraesCS6B01G006600;TraesCSU01G008300;TraesCS2A01G537900;TraesCS3B01G206500;TraesCS2D01G321400;TraesCS7D01G444700;TraesCS1B01G157300;TraesCS2B01G477600;TraesCS2D01G504300;TraesCS7B01G047300;TraesCS2B01G271700;TraesCS7B01G255500;TraesCS2A01G384100;TraesCS2D01G197600;TraesCS3D01G270300;TraesCS1D01G259700;TraesCS3A01G274000;TraesCS5B01G371800;TraesCS7B01G356400;TraesCS3D01G316400;TraesCS1D01G100900;TraesCS3A01G096500;TraesCS1A01G184500;TraesCS3A01G344400;TraesCS2D01G219900;TraesCS3A01G048700;TraesCS5B01G381500;TraesCS6B01G225800;TraesCS7B01G287100;TraesCS1B01G385100;TraesCS2B01G365900;TraesCS3D01G472000;TraesCS4A01G089700;TraesCS2B01G437200;TraesCS4D01G215200;TraesCS3A01G034300;TraesCS4B01G238700;TraesCS3D01G500800;TraesCS6A01G078700;TraesCS3D01G036000;TraesCS5A01G085900;TraesCS1A01G367100;TraesCS5B01G380400;TraesCS1D01G303700;TraesCS2A01G346000;TraesCS2D01G537100;TraesCS2D01G415600;TraesCS5D01G387900;TraesCS7D01G316100;TraesCS1D01G037200;TraesCS5B01G146100;TraesCS6B01G197000;TraesCS2D01G428900;TraesCS3D01G316700;TraesCS5A01G369500;TraesCS7B01G356500;TraesCS5D01G524800;TraesCS3B01G049700;TraesCS3B01G158300;TraesCS3B01G196900;TraesCS4B01G214600;TraesCS1B01G089100;TraesCS3D01G178300;TraesCS5A01G197200;TraesCS5B01G138400;TraesCS1B01G385000;TraesCS4A01G062000;TraesCS3D01G048000;TraesCS7B01G415400;TraesCS3D01G136700;TraesCS1B01G217500;TraesCS2B01G180500;TraesCS6A01G377700;TraesCS6A01G000500;TraesCS2B01G437300;TraesCS4B01G106000;TraesCS5B01G526000;TraesCS7D01G087100;TraesCS3D01G030600;TraesCS1D01G273800;TraesCS4B01G047100;TraesCS1A01G367000;TraesCS5A01G322300;TraesCS2A01G216500;TraesCS7D01G165300;TraesCS3A01G045200;TraesCS6A01G204600;TraesCS2D01G344700;TraesCS2D01G415700;TraesCS5D01G181500;TraesCS6A01G225400;TraesCS2A01G418300;TraesCS7A01G455800;TraesCS7B01G299200;TraesCS6A01G135100;TraesCS1D01G146900;TraesCS5B01G184600;TraesCS6D01G211900;TraesCS6D01G360800;TraesCS7D01G124900;TraesCS1D01G218200;TraesCS2D01G097700;TraesCS3A01G256300;TraesCS3D01G046000;TraesCS7D01G392800;TraesCS7A01G435300;TraesCS2B01G537800;TraesCS2D01G223000;TraesCS3A01G272900;TraesCS3B01G289400;TraesCS6A01G132400;TraesCS6D01G157900;TraesCS2B01G053300;TraesCS3B01G306500;TraesCS3D01G256500;TraesCS1A01G141300;TraesCS2D01G364400;TraesCS2D01G572600;TraesCS4D01G096400;TraesCS3A01G152200;TraesCS2D01G216700;TraesCS3D01G104100;TraesCS1A01G080600;TraesCS2B01G532000;TraesCS2B01G536600;TraesCS1B01G384900;TraesCS1D01G372700;TraesCS6D01G145100;TraesCS2A01G525300;TraesCS1A01G259900;TraesCS5D01G434500;TraesCS2D01G493700;TraesCS3B01G307700;TraesCS1B01G091900;TraesCS6B01G051700;TraesCS2D01G537700;TraesCS7D01G495700;TraesCS4A01G414700;TraesCS7B01G031900;TraesCS3A01G256200;TraesCS5A01G401400;TraesCS4A01G207800;TraesCS5D01G482800;TraesCS7A01G470400;TraesCS5D01G216400;TraesCS5B01G501300;TraesCS2B01G242200;TraesCS5D01G357800;TraesCS7D01G324900;TraesCS2B01G114000;TraesCS2A01G255300;TraesCS3B01G304300;TraesCS3D01G256400;TraesCS2B01G001400;TraesCS6B01G163100;TraesCS6A01G124800;TraesCS2A01G155500;TraesCS1A01G080500;TraesCS1A01G330500;TraesCS6D01G363200;TraesCS3A01G290300;TraesCS7B01G309900;TraesCS2B01G536500;TraesCS3B01G141500;TraesCS6D01G122100;TraesCS7A01G264400;TraesCS1D01G372600;TraesCS5A01G294600;TraesCSU01G111800;TraesCS5D01G157900;TraesCS7B01G333700;TraesCS7D01G380900;TraesCS3A01G050300;TraesCS5D01G063800;TraesCS6B01G204600;TraesCS2B01G096000;TraesCS3D01G104000;TraesCS7B01G356800;TraesCS5B01G538800;TraesCS6B01G412500;TraesCS7D01G248200;TraesCS2A01G211300;TraesCS2B01G124100;TraesCS1A01G304200;TraesCS1D01G130400;TraesCS6D01G039300;TraesCS7B01G069100;TraesCS5A01G206700;TraesCS2A01G493800;TraesCS6A01G155200;TraesCS7D01G261300;TraesCS5A01G297900;TraesCS3D01G290100;TraesCS7D01G041400;TraesCS3B01G153800;TraesCS1A01G070600;TraesCS1B01G314700;TraesCS3A01G261800;TraesCS4A01G029800;TraesCS2B01G175800;TraesCS7B01G395000;TraesCS6D01G122200;TraesCS5D01G329100;TraesCS3A01G049500;TraesCS1D01G372500;TraesCS2A01G081400;TraesCS3B01G038900;TraesCSU01G238700;TraesCS3A01G224400;TraesCS1B01G376000;TraesCS6B01G256300;TraesCS7A01G242800;TraesCS2D01G491600;TraesCS3B01G291900;TraesCS4D01G059300;TraesCS4A01G102900;TraesCS2A01G211200;TraesCS5B01G188700;TraesCS1D01G140300;TraesCS7D01G248100;TraesCS3A01G101800;TraesCS4B01G315400;TraesCS2A01G431100;TraesCS3D01G048400;TraesCS5A01G426500;TraesCS2A01G040900;TraesCS6B01G238900;TraesCS6B01G385500;TraesCS6D01G191500;TraesCS3A01G261700;TraesCS3B01G289500;TraesCS4B01G201600;TraesCS5A01G205500;TraesCS3D01G261800;TraesCS5B01G204900;TraesCS6D01G307100;TraesCS2B01G452400;TraesCS7D01G146400;TraesCS1A01G215900;TraesCS2B01G511300;TraesCS1D01G372400;TraesCS6B01G256200;TraesCS2D01G117200;TraesCS3B01G473100;TraesCS7A01G053400;TraesCS5B01G538600;TraesCS2B01G394700;TraesCS5D01G281200;TraesCS7B01G228900;TraesCS4D01G202300;TraesCS5D01G210800;TraesCS7D01G086900;TraesCS4B01G059700;TraesCS4D01G316500;TraesCS2A01G217200;TraesCS2B01G208900;TraesCS2A01G343100;TraesCS3A01G101700;TraesCS2D01G509400;TraesCS7D01G449500;TraesCS6A01G241000;TraesCS2D01G582800;TraesCS2A01G211900;TraesCS6B01G471400;TraesCS1B01G167700;TraesCS3B01G600300;TraesCS1D01G082600;TraesCS6D01G191400;TraesCS2A01G538200;TraesCS5D01G475900;TraesCS7A01G249400;TraesCS7D01G356200;TraesCS7D01G085800;TraesCS6A01G336600;TraesCS6B01G415700;TraesCS6A01G378000;TraesCS7B01G030400;TraesCS2D01G222300;TraesCS4D01G340500;TraesCS2A01G199700;TraesCS5A01G469800;TraesCS6B01G136100;TraesCS6B01G152800;TraesCS2B01G220900;TraesCS1A01G016100;TraesCS1D01G364000;TraesCS5D01G358600;TraesCS2B01G266900;TraesCS4B01G162700;TraesCS7A01G091500;TraesCS1D01G381800;TraesCS4A01G391100;TraesCS1D01G081400;TraesCS6B01G412400;TraesCS3A01G021600;TraesCS5A01G147500;TraesCS2D01G509300;TraesCS3D01G432000;TraesCS4A01G010000;TraesCS4A01G255400;TraesCS4D01G238900;TraesCS4D01G293200;TraesCS2D01G066900;TraesCS2D01G463100;TraesCS4B01G100100;TraesCS2A01G509900;TraesCS1B01G119600;TraesCS2B01G324900;TraesCS1A01G273600;TraesCS1D01G082500;TraesCS3A01G110400;TraesCS3A01G135700;TraesCS7A01G364200;TraesCS2A01G371700;TraesCS7A01G213000;TraesCS6A01G258900;TraesCS6B01G413500;TraesCS6D01G359100;TraesCS2A01G371600;TraesCS6B01G358800;TraesCS5D01G097900;TraesCS6D01G258200;TraesCS7B01G301100;TraesCS3A01G477300;TraesCS3D01G049700;TraesCS5D01G519800;TraesCS3D01G335700;TraesCS2D01G419700;TraesCS4B01G287300;TraesCS4A01G221700;TraesCS7A01G091400;TraesCS3B01G110500;TraesCS2A01G462700;TraesCS3B01G310000;TraesCS1A01G048000;TraesCS3B01G119600;TraesCS2D01G509200;TraesCS2A01G106500;TraesCS1A01G079700;TraesCS2D01G485300;TraesCS7B01G029200;TraesCS1B01G062200;TraesCS6D01G056600;TraesCS4B01G345400;TraesCS5A01G376700;TraesCS1A01G342600;TraesCS1B01G119700;TraesCS1A01G103900;TraesCS1B01G347100;TraesCS2D01G201700;TraesCS6D01G210100;TraesCS3B01G325100;TraesCS5B01G428400;TraesCS6B01G257800;TraesCS3A01G351500;TraesCS2D01G534400;TraesCS5D01G059300;TraesCS6A01G168900;TraesCS4A01G396700;TraesCS1D01G344700;TraesCS7B01G372400;TraesCS5B01G202900;TraesCS7D01G085600;TraesCS3D01G045400;TraesCS2D01G107100;TraesCSU01G016900;TraesCS6B01G266500;TraesCS7A01G400900;TraesCS4B01G228200;TraesCS7A01G434300;TraesCS1D01G372900;TraesCS5D01G343000;TraesCS2D01G455900;TraesCS2D01G577000;TraesCS3A01G064400;TraesCS4A01G216100;TraesCS4D01G126900;TraesCS1D01G330300;TraesCS2B01G100300;TraesCS3B01G166600;TraesCS5B01G208200;TraesCS2A01G308400;TraesCS3B01G288100;TraesCS6B01G152600;TraesCS2B01G220700;TraesCS2B01G323700;TraesCS6D01G158400;TraesCS1A01G048100;TraesCS3B01G119500;TraesCS7A01G328100;TraesCS2B01G067000;TraesCS3A01G122300;TraesCS2D01G485200;TraesCS5D01G073900;TraesCS7D01G394800;TraesCS3D01G172200;TraesCS5A01G351300;TraesCSU01G047400;TraesCS7D01G265400;TraesCS1D01G101100;TraesCS3D01G256600;TraesCS4A01G323500;TraesCS4D01G352700;TraesCS5D01G152300;TraesCS5D01G177800;TraesCS2D01G511300;TraesCS3B01G151200;TraesCS3D01G345700;TraesCS1A01G080700;TraesCS2A01G098700;TraesCS6A01G277600;TraesCS2B01G035300;TraesCS1D01G372800;TraesCS1D01G206900;TraesCS4D01G126800;TraesCS1D01G076200;TraesCS5B01G208300;TraesCS6B01G152700;TraesCS5A01G377900;TraesCS7A01G321600;TraesCS7D01G451300;TraesCS1A01G203400;TraesCS6A01G301300;TraesCS7D01G053900;TraesCS4B01G216000;TraesCS1A01G333800;TraesCS5A01G237700;TraesCS6B01G059800;TraesCS4A01G267300;TraesCS3D01G276200;TraesCS6B01G183300;TraesCS6D01G158300;TraesCS5D01G145100;TraesCS2A01G217600;TraesCS4D01G089300;TraesCS1B01G385300;TraesCS2B01G216800;TraesCS1B01G456700;TraesCS5B01G520600;TraesCS1A01G149700;TraesCS2B01G114900;TraesCS5B01G474500;TraesCS1A01G296300;TraesCS2B01G240800;TraesCS4D01G172700;TraesCS4D01G312300;TraesCS1D01G239700;TraesCS6A01G327500;TraesCS1D01G082200;TraesCS1B01G283400;TraesCS7D01G463300;TraesCS1D01G032600;TraesCS3A01G530200;TraesCS1B01G120100;TraesCS2A01G214100;TraesCS2D01G222700;TraesCS2D01G564300;TraesCS5A01G152800;TraesCS4A01G384500;TraesCS3B01G384000;TraesCS6D01G032300;TraesCS6A01G375800;TraesCS5A01G138600;TraesCS3A01G463400;TraesCS3D01G272300;TraesCS5D01G304700;TraesCS2D01G528200;TraesCS1B01G109400;TraesCS5D01G373700;TraesCS2B01G562100;TraesCS1A01G031200;TraesCS2B01G241900;TraesCS4B01G132000;TraesCS5B01G236200;TraesCS6D01G328800;TraesCS4B01G216700;TraesCS7B01G222500;TraesCS6D01G335300;TraesCS2A01G347400;TraesCS7D01G357100;TraesCS3A01G262200;TraesCS5B01G056700;TraesCS1A01G073300;TraesCS1B01G385200;TraesCS2A01G368700;TraesCS5D01G386800;TraesCS4B01G055600;TraesCS1B01G251700;TraesCS7A01G131300;TraesCS3A01G439200;TraesCS1B01G270300;TraesCS2B01G521800;TraesCS7A01G096800;TraesCS1B01G375400;TraesCS5B01G069900;TraesCS2A01G532600;TraesCS3B01G352300;TraesCS2B01G539200;TraesCS6D01G210200;TraesCS4D01G312400;TraesCS1D01G367800;TraesCS2A01G182400;TraesCS1B01G157700;TraesCS4D01G046900;TraesCS3D01G542300;TraesCS7A01G154900;TraesCS4A01G186700;TraesCS2D01G098200;TraesCS6B01G069800;TraesCS5A01G222300;TraesCS2A01G150600;TraesCS2B01G241800;TraesCS6B01G367100;TraesCS1B01G097700;TraesCS3D01G182300;TraesCS4A01G171500;TraesCS5A01G048600;TraesCS4A01G211600;TraesCS3D01G262300;TraesCS5D01G212900;TraesCS7A01G384500;TraesCS6D01G362500;TraesCS2D01G284200;TraesCS5B01G056800;TraesCS2D01G380800;TraesCS2D01G207400;TraesCS6D01G316600;TraesCS3D01G273200;TraesCS2A01G117800;TraesCS2D01G190200;TraesCS3A01G034700;TraesCS5D01G158100;TraesCS4B01G041300;TraesCS2A01G209900;TraesCS5A01G173300;TraesCS2B01G366600;TraesCS7D01G444400;TraesCS2A01G023900;TraesCS4D01G229100;TraesCS7D01G037700;TraesCS3D01G097000;TraesCS2D01G392800;TraesCS5A01G463100;TraesCS7B01G141900;TraesCS5B01G366400;TraesCS6D01G050900;TraesCS5A01G514500;TraesCS3B01G376300;TraesCS5A01G210300;TraesCS6D01G047500;TraesCS3D01G182600;TraesCS3D01G337900;TraesCS6D01G280700;TraesCS1D01G073100;TraesCS3D01G262200;TraesCS6D01G381200;TraesCS3B01G253900;TraesCS4B01G294300;TraesCS2D01G509500;TraesCS3D01G046900;TraesCS3A01G323200;TraesCS3B01G295500;TraesCS7D01G130600;TraesCS3B01G053800;TraesCS6A01G374700;TraesCS7A01G129300;TraesCS2D01G574000;TraesCS2D01G062100;TraesCS4D01G217000;TraesCS5D01G158000;TraesCS7D01G129500;TraesCS3A01G034600;TraesCS2B01G594100;TraesCS6D01G115200;TraesCS3D01G124200;TraesCS2D01G178100;TraesCS5B01G437300;TraesCS2B01G364400;TraesCS7D01G444500;TraesCS4D01G325500;TraesCS6A01G223500;TraesCS1B01G305200;TraesCS7D01G048600;TraesCS6A01G352800;TraesCS7D01G457800;TraesCS6A01G375900;TraesCS7A01G091200;TraesCS4B01G132100;TraesCS5B01G064400;TraesCS1A01G016000;TraesCS7D01G128300;TraesCS2A01G485600;TraesCS1A01G295300;TraesCS3B01G374100;TraesCS7B01G220500</t>
  </si>
  <si>
    <t>TraesCS2D01G538400;TraesCS3B01G490000;TraesCS1D01G295800;TraesCS5D01G359000;TraesCS3D01G535700;TraesCS7B01G325900;TraesCS6D01G358600;TraesCS7D01G092900;TraesCS3A01G493100;TraesCS5B01G482400;TraesCS1B01G454000;TraesCS3B01G295000;TraesCS2B01G197000;TraesCS6B01G305600;TraesCS7A01G127100;TraesCS7B01G473700;TraesCS6A01G124500;TraesCS7A01G163300;TraesCS6B01G052400;TraesCS2B01G236800;TraesCS3A01G255600;TraesCS4B01G335100;TraesCS7D01G136700;TraesCS7D01G318600;TraesCS2A01G418200;TraesCS2D01G079200;TraesCS6A01G225300;TraesCS2A01G190200;TraesCS2A01G455600;TraesCS5B01G151600;TraesCS4B01G157800;TraesCS2D01G549400;TraesCS2B01G243000;TraesCS7A01G476700;TraesCS2B01G350500;TraesCS3A01G276200;TraesCS6D01G240100;TraesCS3D01G049000;TraesCS3D01G278000;TraesCS3A01G033000;TraesCS6D01G360900;TraesCS3A01G342000;TraesCS2D01G217500;TraesCS2D01G219800;TraesCS6B01G225700;TraesCS5D01G478700;TraesCS5B01G526200;TraesCS6A01G052100;TraesCS4B01G376800;TraesCS5A01G350800;TraesCS2A01G170600;TraesCS2D01G255700;TraesCS5D01G374300;TraesCS2A01G503800;TraesCS2D01G297300;TraesCS1A01G424200;TraesCS2B01G489700;TraesCS5A01G062600;TraesCS1A01G367200;TraesCS2A01G182800;TraesCS2B01G236900;TraesCS2A01G216700;TraesCS6B01G006600;TraesCSU01G008300;TraesCS2A01G537900;TraesCS3B01G206500;TraesCS2D01G321400;TraesCS7D01G444700;TraesCS3B01G126400;TraesCS1B01G157300;TraesCS2B01G477600;TraesCS3B01G311900;TraesCS2D01G504300;TraesCS1D01G074500;TraesCS7B01G047300;TraesCS2B01G271700;TraesCS7B01G255500;TraesCS2A01G384100;TraesCS2D01G197600;TraesCS3D01G270300;TraesCS1D01G259700;TraesCS3A01G274000;TraesCS5B01G371800;TraesCS7B01G356400;TraesCS3D01G316400;TraesCS1D01G100900;TraesCS3A01G096500;TraesCS1A01G184500;TraesCS3A01G344400;TraesCS2D01G219900;TraesCS3A01G048700;TraesCS3A01G107600;TraesCS1D01G346200;TraesCS5B01G381500;TraesCS6B01G225800;TraesCS7B01G287100;TraesCS1B01G385100;TraesCS2B01G365900;TraesCS3D01G472000;TraesCS4A01G089700;TraesCS2B01G437200;TraesCS4D01G215200;TraesCS3A01G034300;TraesCS4B01G238700;TraesCS3D01G500800;TraesCS6A01G078700;TraesCS7A01G075600;TraesCS3D01G036000;TraesCS5A01G085900;TraesCS1A01G367100;TraesCS5B01G380400;TraesCS1D01G303700;TraesCS2A01G346000;TraesCS2D01G537100;TraesCS2D01G415600;TraesCS5D01G387900;TraesCS7D01G316100;TraesCS1D01G037200;TraesCS1D01G123700;TraesCS4A01G276900;TraesCS5B01G146100;TraesCS6B01G197000;TraesCS2D01G428900;TraesCS3D01G316700;TraesCS5A01G369500;TraesCS7B01G356500;TraesCS5D01G524800;TraesCS3B01G049700;TraesCS3B01G158300;TraesCS3B01G196900;TraesCS4B01G214600;TraesCS1B01G089100;TraesCS3D01G178300;TraesCS5A01G197200;TraesCS5B01G138400;TraesCS1B01G385000;TraesCS4A01G062000;TraesCS3D01G048000;TraesCS7B01G415400;TraesCS3D01G136700;TraesCS1B01G217500;TraesCS2B01G180500;TraesCS6A01G377700;TraesCS3D01G432600;TraesCS3D01G192800;TraesCS6A01G000500;TraesCS2A01G121200;TraesCS3A01G439800;TraesCS2B01G437300;TraesCS4B01G106000;TraesCS5B01G526000;TraesCS7D01G087100;TraesCS3D01G030600;TraesCS1D01G273800;TraesCS4B01G047100;TraesCS1A01G344000;TraesCS1A01G367000;TraesCS1D01G046000;TraesCS5A01G322300;TraesCS1B01G058600;TraesCS2A01G216500;TraesCS7D01G165300;TraesCS3A01G045200;TraesCS6A01G204600;TraesCS2D01G344700;TraesCS2D01G415700;TraesCS5D01G181500;TraesCS6A01G225400;TraesCS2A01G418300;TraesCS7A01G455800;TraesCS7B01G299200;TraesCS6A01G135100;TraesCS1D01G146900;TraesCS5B01G184600;TraesCS6D01G211900;TraesCS6D01G360800;TraesCS7D01G124900;TraesCS1D01G218200;TraesCS2D01G097700;TraesCS3A01G256300;TraesCS3D01G046000;TraesCS7D01G392800;TraesCS7A01G435300;TraesCS2B01G537800;TraesCS2D01G223000;TraesCS3A01G272900;TraesCS3B01G289400;TraesCS6A01G132400;TraesCS6D01G157900;TraesCS2B01G053300;TraesCS3B01G306500;TraesCS3D01G256500;TraesCS1A01G141300;TraesCS2D01G364400;TraesCS2D01G572600;TraesCS4D01G096400;TraesCS3A01G152200;TraesCS2D01G216700;TraesCS3D01G104100;TraesCS1A01G080600;TraesCS2B01G532000;TraesCS2B01G536600;TraesCS1B01G384900;TraesCS1D01G372700;TraesCS6D01G145100;TraesCS2A01G525300;TraesCS1A01G259900;TraesCS5D01G434500;TraesCS2D01G493700;TraesCS3B01G307700;TraesCS7A01G216100;TraesCS1B01G091900;TraesCS6B01G051700;TraesCS2D01G537700;TraesCS7D01G495700;TraesCS4A01G414700;TraesCS7B01G031900;TraesCS3A01G256200;TraesCS5A01G401400;TraesCS4A01G207800;TraesCS5D01G482800;TraesCS7A01G470400;TraesCS5D01G216400;TraesCS5B01G501300;TraesCS2B01G242200;TraesCS1A01G122800;TraesCS5D01G357800;TraesCS7D01G324900;TraesCS2B01G114000;TraesCS2A01G255300;TraesCS3B01G304300;TraesCS3D01G256400;TraesCS2B01G001400;TraesCS6B01G163100;TraesCS6B01G331600;TraesCS6A01G124800;TraesCS2A01G155500;TraesCS7A01G167300;TraesCS1A01G080500;TraesCS1A01G330500;TraesCS5D01G104900;TraesCS6D01G363200;TraesCS3A01G290300;TraesCS7B01G309900;TraesCS2B01G536500;TraesCS3B01G141500;TraesCS6D01G122100;TraesCS7A01G264400;TraesCS1D01G372600;TraesCS5A01G294600;TraesCS7D01G321500;TraesCSU01G111800;TraesCS5D01G157900;TraesCS7B01G333700;TraesCS7D01G380900;TraesCS3A01G050300;TraesCS5D01G063800;TraesCS6D01G104800;TraesCS6B01G204600;TraesCS2B01G096000;TraesCS3D01G104000;TraesCS7B01G356800;TraesCS5B01G538800;TraesCS6B01G412500;TraesCS7D01G248200;TraesCS2A01G211300;TraesCS2B01G124100;TraesCS1A01G304200;TraesCS2A01G414700;TraesCS1D01G130400;TraesCS6D01G039300;TraesCS7B01G069100;TraesCS5A01G206700;TraesCS2A01G493800;TraesCS6A01G155200;TraesCS7D01G261300;TraesCS5A01G297900;TraesCS3D01G290100;TraesCS7D01G041400;TraesCS4A01G203300;TraesCS3B01G153800;TraesCS1A01G070600;TraesCS1B01G314700;TraesCS3A01G261800;TraesCS4A01G029800;TraesCS2B01G175800;TraesCS7B01G395000;TraesCS6D01G122200;TraesCS5A01G100300;TraesCS5D01G329100;TraesCS3A01G049500;TraesCS1D01G372500;TraesCS2A01G081400;TraesCS3B01G038900;TraesCSU01G238700;TraesCS5B01G244300;TraesCS3A01G224400;TraesCS1B01G376000;TraesCS6B01G256300;TraesCS6B01G280300;TraesCS7A01G242800;TraesCS2D01G491600;TraesCS3B01G291900;TraesCS5A01G505000;TraesCS4D01G059300;TraesCS4A01G102900;TraesCS2A01G211200;TraesCS5B01G188700;TraesCS6D01G226300;TraesCS1D01G140300;TraesCS7D01G248100;TraesCS3A01G101800;TraesCS4B01G315400;TraesCS2A01G431100;TraesCS3D01G048400;TraesCS5A01G426500;TraesCS2A01G548300;TraesCS2A01G040900;TraesCS6B01G238900;TraesCS6B01G385500;TraesCS6D01G191500;TraesCS3A01G261700;TraesCS3B01G289500;TraesCS4B01G201600;TraesCS5A01G205500;TraesCS3D01G261800;TraesCS5B01G204900;TraesCS6D01G307100;TraesCS2B01G452400;TraesCS7D01G146400;TraesCS1A01G215900;TraesCS2B01G511300;TraesCS1D01G372400;TraesCS6B01G256200;TraesCS2D01G117200;TraesCS3B01G473100;TraesCS7A01G053400;TraesCS5B01G538600;TraesCS2B01G394700;TraesCS5D01G281200;TraesCS7B01G228900;TraesCS4D01G202300;TraesCS5D01G210800;TraesCS7D01G086900;TraesCS4B01G059700;TraesCS4D01G316500;TraesCS3A01G285700;TraesCS2A01G217200;TraesCS2B01G208900;TraesCS2A01G343100;TraesCS3A01G101700;TraesCS2D01G509400;TraesCS7D01G449500;TraesCS6A01G241000;TraesCS2D01G582800;TraesCS2A01G211900;TraesCS6B01G471400;TraesCS1B01G167700;TraesCS3B01G600300;TraesCS2D01G534600;TraesCS1D01G082600;TraesCS6D01G191400;TraesCS4B01G068300;TraesCS7B01G225500;TraesCS2A01G538200;TraesCS5D01G475900;TraesCS7A01G249400;TraesCS7D01G356200;TraesCS7D01G085800;TraesCS6A01G336600;TraesCS6B01G415700;TraesCS6A01G378000;TraesCS7B01G030400;TraesCS2D01G222300;TraesCS4D01G340500;TraesCS2A01G199700;TraesCS5A01G469800;TraesCS6B01G136100;TraesCS6B01G152800;TraesCS2B01G220900;TraesCS1A01G016100;TraesCS1D01G364000;TraesCS5D01G358600;TraesCS2B01G266900;TraesCS4B01G162700;TraesCS7A01G091500;TraesCS1D01G381800;TraesCS4A01G391100;TraesCS1D01G081400;TraesCS6B01G412400;TraesCS3A01G021600;TraesCS5A01G147500;TraesCS2D01G509300;TraesCS3D01G432000;TraesCS4A01G010000;TraesCS4A01G255400;TraesCS3A01G124800;TraesCS4D01G238900;TraesCS4D01G293200;TraesCS2D01G066900;TraesCS2D01G463100;TraesCS4B01G100100;TraesCS2A01G509900;TraesCS1B01G119600;TraesCS2B01G324900;TraesCS1A01G273600;TraesCS1D01G082500;TraesCS3A01G110400;TraesCS3A01G135700;TraesCS7A01G364200;TraesCS2A01G371700;TraesCS7A01G213000;TraesCS5A01G320600;TraesCS6A01G258900;TraesCS6B01G413500;TraesCS6D01G359100;TraesCS2A01G371600;TraesCS6B01G358800;TraesCS5D01G097900;TraesCS6D01G258200;TraesCS7B01G301100;TraesCS3A01G477300;TraesCS3D01G049700;TraesCS5D01G519800;TraesCS3D01G335700;TraesCS2D01G419700;TraesCS4B01G287300;TraesCS4A01G221700;TraesCS7A01G091400;TraesCS3B01G110500;TraesCS7A01G101500;TraesCS2A01G462700;TraesCS3B01G310000;TraesCS1A01G048000;TraesCS3B01G119600;TraesCS2D01G509200;TraesCS2A01G106500;TraesCS1A01G079700;TraesCS2D01G485300;TraesCS7B01G029200;TraesCS7D01G506300;TraesCS1B01G062200;TraesCS6D01G056600;TraesCS4B01G345400;TraesCS3A01G189300;TraesCS7D01G071200;TraesCS5A01G376700;TraesCS1A01G342600;TraesCS1B01G119700;TraesCS6A01G302400;TraesCS1A01G103900;TraesCS1B01G347100;TraesCS2D01G201700;TraesCS6D01G210100;TraesCS3B01G325100;TraesCS5B01G428400;TraesCS6B01G257800;TraesCS3A01G351500;TraesCS2D01G534400;TraesCS5D01G059300;TraesCS6A01G168900;TraesCS4A01G396700;TraesCS1D01G344700;TraesCS7B01G372400;TraesCS5B01G202900;TraesCS7D01G085600;TraesCS3D01G045400;TraesCS2D01G107100;TraesCSU01G016900;TraesCS6B01G266500;TraesCS7A01G400900;TraesCS4B01G228200;TraesCS7A01G434300;TraesCS1D01G372900;TraesCS5D01G343000;TraesCS2B01G308200;TraesCS2D01G455900;TraesCS2D01G577000;TraesCS3A01G064400;TraesCS4A01G216100;TraesCS4D01G126900;TraesCS1D01G330300;TraesCS2B01G100300;TraesCS3B01G166600;TraesCS5B01G208200;TraesCS2A01G308400;TraesCS3B01G288100;TraesCS6B01G152600;TraesCS2B01G220700;TraesCS2B01G323700;TraesCS6D01G158400;TraesCS1A01G048100;TraesCS3B01G119500;TraesCS7A01G328100;TraesCS2B01G067000;TraesCS3A01G122300;TraesCS2D01G485200;TraesCS5D01G073900;TraesCS7D01G394800;TraesCS3D01G172200;TraesCS5A01G351300;TraesCSU01G047400;TraesCS2A01G532800;TraesCS7D01G265400;TraesCS1D01G101100;TraesCS3D01G256600;TraesCS4A01G323500;TraesCS4D01G352700;TraesCS5D01G152300;TraesCS5D01G177800;TraesCS2D01G511300;TraesCS3B01G151200;TraesCS3D01G345700;TraesCS1A01G080700;TraesCS2A01G098700;TraesCS6A01G277600;TraesCS6B01G381300;TraesCS2B01G035300;TraesCS1D01G372800;TraesCS1D01G206900;TraesCS4D01G126800;TraesCS1D01G076200;TraesCS5B01G208300;TraesCS6B01G152700;TraesCS5A01G377900;TraesCS7A01G321600;TraesCS7D01G451300;TraesCS1A01G203400;TraesCS6A01G301300;TraesCS7D01G053900;TraesCS4B01G216000;TraesCS1A01G333800;TraesCS5A01G237700;TraesCS6B01G059800;TraesCS4A01G267300;TraesCS3D01G276200;TraesCS6B01G183300;TraesCS6D01G158300;TraesCS5D01G145100;TraesCS2A01G217600;TraesCS4D01G089300;TraesCS5D01G069700;TraesCS1B01G385300;TraesCS4D01G104100;TraesCS2B01G216800;TraesCS1B01G456700;TraesCS5B01G520600;TraesCS1A01G149700;TraesCS1D01G361000;TraesCS2B01G114900;TraesCS5B01G474500;TraesCS3D01G502500;TraesCS1A01G296300;TraesCS2B01G240800;TraesCS4D01G172700;TraesCS4D01G312300;TraesCS1D01G239700;TraesCS6A01G327500;TraesCS1D01G082200;TraesCS1B01G283400;TraesCS7D01G463300;TraesCS1D01G032600;TraesCS3A01G530200;TraesCS1B01G120100;TraesCS2A01G214100;TraesCS2D01G222700;TraesCS2D01G564300;TraesCS5A01G152800;TraesCS3D01G324400;TraesCS4A01G384500;TraesCS3B01G384000;TraesCS6D01G032300;TraesCS5B01G225200;TraesCS6A01G375800;TraesCS5A01G138600;TraesCS3A01G463400;TraesCS3D01G272300;TraesCS5D01G304700;TraesCS2D01G528200;TraesCS7B01G123300;TraesCS1B01G109400;TraesCS5D01G373700;TraesCS2B01G562100;TraesCS1A01G031200;TraesCS2B01G241900;TraesCS4B01G132000;TraesCS5B01G236200;TraesCS6D01G328800;TraesCS4B01G216700;TraesCS7B01G222500;TraesCS6D01G335300;TraesCS2A01G347400;TraesCS7D01G357100;TraesCS3A01G262200;TraesCS5B01G056700;TraesCS1A01G073300;TraesCS1B01G385200;TraesCS2A01G368700;TraesCS5D01G386800;TraesCS4B01G055600;TraesCS1B01G251700;TraesCS7A01G131300;TraesCS3A01G439200;TraesCS1B01G270300;TraesCS2B01G521800;TraesCS7A01G096800;TraesCS1B01G373100;TraesCS1B01G375400;TraesCS5B01G069900;TraesCS2A01G532600;TraesCS3B01G352300;TraesCS2B01G539200;TraesCS6D01G210200;TraesCS2D01G517200;TraesCS4D01G312400;TraesCS1D01G367800;TraesCS2A01G182400;TraesCS3D01G315700;TraesCS1B01G157700;TraesCS4D01G046900;TraesCS6A01G116000;TraesCS3D01G542300;TraesCS7A01G154900;TraesCS4A01G186700;TraesCS2D01G098200;TraesCS6B01G069800;TraesCS5A01G222300;TraesCS2A01G150600;TraesCS2B01G241800;TraesCS6B01G367100;TraesCS1B01G097700;TraesCS3D01G182300;TraesCS4A01G171500;TraesCS5A01G048600;TraesCS4A01G211600;TraesCS3D01G262300;TraesCS5D01G212900;TraesCS7A01G384500;TraesCS6D01G358000;TraesCS6D01G362500;TraesCS2D01G284200;TraesCS5B01G056800;TraesCS2D01G380800;TraesCS3B01G423200;TraesCS2D01G207400;TraesCS6D01G316600;TraesCS5A01G092600;TraesCS3D01G273200;TraesCS2A01G117800;TraesCS2D01G190200;TraesCS3A01G034700;TraesCS5D01G158100;TraesCS4B01G041300;TraesCS2A01G209900;TraesCS5A01G173300;TraesCS2B01G366600;TraesCS7D01G167900;TraesCS7D01G444400;TraesCS2A01G023900;TraesCS4D01G229100;TraesCS7D01G037700;TraesCS3D01G097000;TraesCS2D01G392800;TraesCS5A01G463100;TraesCS6D01G330800;TraesCS7B01G141900;TraesCS5B01G366400;TraesCS6D01G050900;TraesCS5A01G514500;TraesCS3B01G376300;TraesCS5A01G210300;TraesCS6D01G047500;TraesCS3D01G182600;TraesCS3D01G337900;TraesCS6D01G280700;TraesCS1D01G073100;TraesCS3D01G262200;TraesCS6D01G381200;TraesCS3B01G253900;TraesCS4B01G294300;TraesCS6D01G232300;TraesCS2D01G509500;TraesCS3D01G046900;TraesCS3A01G323200;TraesCS3B01G295500;TraesCS7D01G130600;TraesCS3B01G053800;TraesCS6A01G374700;TraesCS7A01G129300;TraesCS2D01G574000;TraesCS2D01G062100;TraesCS2B01G187300;TraesCS4D01G217000;TraesCS5D01G158000;TraesCS7D01G129500;TraesCS3A01G034600;TraesCS2B01G594100;TraesCS6D01G115200;TraesCS2D01G123300;TraesCS3D01G124200;TraesCS2D01G178100;TraesCS5B01G437300;TraesCS6D01G281900;TraesCS2B01G364400;TraesCS7D01G444500;TraesCS4D01G325500;TraesCS6A01G223500;TraesCS1B01G305200;TraesCS7D01G048600;TraesCS6A01G352800;TraesCS7D01G457800;TraesCS6A01G375900;TraesCS7A01G091200;TraesCS4B01G132100;TraesCS5B01G064400;TraesCS1A01G016000;TraesCS7D01G128300;TraesCS2A01G485600;TraesCS7A01G325000;TraesCS1A01G295300;TraesCS3B01G374100;TraesCS7B01G220500</t>
  </si>
  <si>
    <t>TraesCS2D01G538400;TraesCS3B01G490000;TraesCS1D01G295800;TraesCS5D01G359000;TraesCS3D01G535700;TraesCS7B01G325900;TraesCS6D01G358600;TraesCS7D01G092900;TraesCS3A01G493100;TraesCS1B01G454000;TraesCS3B01G295000;TraesCS2B01G197000;TraesCS6B01G305600;TraesCS7A01G127100;TraesCS7B01G473700;TraesCS6A01G124500;TraesCS7A01G163300;TraesCS6B01G052400;TraesCS3A01G400000;TraesCS2D01G541800;TraesCS2B01G236800;TraesCS5A01G058100;TraesCS3A01G255600;TraesCS7D01G136700;TraesCS7D01G318600;TraesCS2A01G418200;TraesCS2D01G079200;TraesCS6A01G225300;TraesCS2A01G190200;TraesCS2A01G455600;TraesCS5B01G151600;TraesCS4B01G157800;TraesCS2D01G549400;TraesCS2B01G243000;TraesCS7A01G476700;TraesCS2B01G350500;TraesCS3A01G276200;TraesCS6D01G240100;TraesCS3D01G049000;TraesCS3D01G278000;TraesCS3A01G033000;TraesCS6D01G360900;TraesCS3A01G342000;TraesCS2D01G217500;TraesCS2D01G219800;TraesCS6B01G225700;TraesCS7A01G332000;TraesCS5D01G478700;TraesCS5B01G526200;TraesCS6A01G052100;TraesCS4B01G376800;TraesCS5A01G350800;TraesCS2A01G170600;TraesCS2D01G255700;TraesCS5D01G374300;TraesCS2A01G503800;TraesCS2D01G297300;TraesCS1A01G424200;TraesCS2B01G489700;TraesCS5A01G062600;TraesCS1A01G367200;TraesCS2A01G182800;TraesCS2B01G236900;TraesCS2A01G216700;TraesCS6B01G006600;TraesCSU01G008300;TraesCS2A01G537900;TraesCS3B01G206500;TraesCS2D01G321400;TraesCS7D01G444700;TraesCS3B01G126400;TraesCS1B01G157300;TraesCS2B01G477600;TraesCS3B01G311900;TraesCS2D01G504300;TraesCS7B01G047300;TraesCS2B01G271700;TraesCS7B01G255500;TraesCS2D01G197600;TraesCS3D01G270300;TraesCS1D01G259700;TraesCS3A01G274000;TraesCS5B01G371800;TraesCS7B01G356400;TraesCS3D01G316400;TraesCS1D01G100900;TraesCS3A01G096500;TraesCS1A01G184500;TraesCS3A01G344400;TraesCS2D01G219900;TraesCS3A01G048700;TraesCS3A01G107600;TraesCS1D01G346200;TraesCS5B01G381500;TraesCS6B01G225800;TraesCS7B01G287100;TraesCS1B01G385100;TraesCS2B01G365900;TraesCS3D01G472000;TraesCS4A01G089700;TraesCS2B01G437200;TraesCS4D01G215200;TraesCS3A01G034300;TraesCS4B01G238700;TraesCS3D01G500800;TraesCS6A01G078700;TraesCS3D01G036000;TraesCS5A01G085900;TraesCS1A01G367100;TraesCS5B01G380400;TraesCS1D01G303700;TraesCS2A01G346000;TraesCS2D01G537100;TraesCS2D01G415600;TraesCS5D01G387900;TraesCS7D01G316100;TraesCS1D01G037200;TraesCS1D01G123700;TraesCS4A01G276900;TraesCS5B01G146100;TraesCS6B01G197000;TraesCS2D01G428900;TraesCS3D01G316700;TraesCS5A01G369500;TraesCS7B01G356500;TraesCS5D01G524800;TraesCS3B01G049700;TraesCS3B01G158300;TraesCS3B01G196900;TraesCS4B01G214600;TraesCS1B01G089100;TraesCS3D01G178300;TraesCS5A01G197200;TraesCS5B01G138400;TraesCS1B01G385000;TraesCS4A01G062000;TraesCS3D01G048000;TraesCS7B01G415400;TraesCS3D01G136700;TraesCS1B01G217500;TraesCS2B01G180500;TraesCS6A01G377700;TraesCS3D01G192800;TraesCS6A01G000500;TraesCS2B01G437300;TraesCS4B01G106000;TraesCS5B01G526000;TraesCS7D01G087100;TraesCS3D01G030600;TraesCS1D01G273800;TraesCS4B01G047100;TraesCS1A01G344000;TraesCS1A01G367000;TraesCS1D01G046000;TraesCS5A01G322300;TraesCS1B01G058600;TraesCS2A01G216500;TraesCS7D01G165300;TraesCS3A01G045200;TraesCS6A01G204600;TraesCS2D01G344700;TraesCS2D01G415700;TraesCS5D01G181500;TraesCS6A01G225400;TraesCS2A01G418300;TraesCS7A01G455800;TraesCS6A01G135100;TraesCS1D01G146900;TraesCS5B01G184600;TraesCS6D01G211900;TraesCS7D01G340200;TraesCS6D01G360800;TraesCS7D01G124900;TraesCS1D01G218200;TraesCS2D01G097700;TraesCS3A01G256300;TraesCS3D01G046000;TraesCS7A01G435300;TraesCS2B01G537800;TraesCS2D01G223000;TraesCS3A01G272900;TraesCS3B01G289400;TraesCS6A01G132400;TraesCS6D01G157900;TraesCS2B01G053300;TraesCS3B01G306500;TraesCS3D01G256500;TraesCS1A01G141300;TraesCS2D01G364400;TraesCS2D01G572600;TraesCS3A01G152200;TraesCS2D01G216700;TraesCS3D01G104100;TraesCS1A01G080600;TraesCS2B01G532000;TraesCS2B01G536600;TraesCS1B01G384900;TraesCS1D01G372700;TraesCS6D01G145100;TraesCS2A01G525300;TraesCS1A01G259900;TraesCS5D01G434500;TraesCS2D01G493700;TraesCS3B01G307700;TraesCS7A01G216100;TraesCS1B01G091900;TraesCS6B01G051700;TraesCS2D01G537700;TraesCS7D01G495700;TraesCS4A01G414700;TraesCS7B01G031900;TraesCS3A01G256200;TraesCS5A01G401400;TraesCS4A01G207800;TraesCS5D01G216400;TraesCS6B01G175200;TraesCS5B01G501300;TraesCS2B01G242200;TraesCS1A01G122800;TraesCS5D01G357800;TraesCS7D01G324900;TraesCS2B01G114000;TraesCS2A01G255300;TraesCS3B01G304300;TraesCS3D01G256400;TraesCS2B01G001400;TraesCS6B01G163100;TraesCS6A01G124800;TraesCS2A01G155500;TraesCS7A01G167300;TraesCS1A01G080500;TraesCS1A01G330500;TraesCS5D01G104900;TraesCS6D01G363200;TraesCS3A01G290300;TraesCS7B01G309900;TraesCS2B01G536500;TraesCS3B01G141500;TraesCS6D01G122100;TraesCS7A01G264400;TraesCS1D01G372600;TraesCS5A01G294600;TraesCS7D01G321500;TraesCSU01G111800;TraesCS5D01G157900;TraesCS7B01G333700;TraesCS7D01G380900;TraesCS3A01G050300;TraesCS5D01G063800;TraesCS6D01G104800;TraesCS6B01G204600;TraesCS2B01G096000;TraesCS3D01G104000;TraesCS7B01G356800;TraesCS5B01G538800;TraesCS6B01G412500;TraesCS7D01G248200;TraesCS2A01G211300;TraesCS2B01G124100;TraesCS1A01G304200;TraesCS2A01G414700;TraesCS1D01G130400;TraesCS7B01G069100;TraesCS5A01G206700;TraesCS2A01G493800;TraesCS6A01G155200;TraesCS7D01G261300;TraesCS5A01G297900;TraesCS3D01G290100;TraesCS7D01G041400;TraesCS4A01G203300;TraesCS3B01G153800;TraesCS1A01G070600;TraesCS1B01G314700;TraesCS3A01G261800;TraesCS4A01G029800;TraesCS2B01G175800;TraesCS7B01G395000;TraesCS6D01G122200;TraesCS5A01G100300;TraesCS5D01G329100;TraesCS3A01G049500;TraesCS1D01G372500;TraesCS2A01G081400;TraesCS3B01G038900;TraesCSU01G238700;TraesCS3A01G224400;TraesCS1B01G376000;TraesCS6B01G256300;TraesCS6B01G280300;TraesCS7A01G242800;TraesCS2D01G491600;TraesCS3B01G291900;TraesCS4D01G059300;TraesCS4A01G102900;TraesCS2A01G211200;TraesCS5B01G188700;TraesCS6D01G226300;TraesCS1D01G140300;TraesCS7D01G248100;TraesCS3A01G101800;TraesCS4B01G315400;TraesCS2A01G431100;TraesCS3D01G048400;TraesCS5A01G426500;TraesCS2A01G548300;TraesCS2A01G040900;TraesCS7A01G427500;TraesCS6B01G238900;TraesCS6B01G385500;TraesCS6D01G191500;TraesCS3A01G261700;TraesCS3B01G289500;TraesCS4B01G201600;TraesCS5A01G205500;TraesCS3D01G261800;TraesCS5B01G204900;TraesCS6D01G307100;TraesCS2B01G452400;TraesCS7D01G146400;TraesCS1A01G215900;TraesCS2B01G511300;TraesCS1D01G372400;TraesCS6B01G256200;TraesCS2D01G117200;TraesCS3B01G473100;TraesCS7A01G053400;TraesCS5B01G538600;TraesCS2B01G394700;TraesCS5D01G281200;TraesCS7B01G228900;TraesCS4D01G202300;TraesCS5D01G210800;TraesCS7D01G086900;TraesCS4B01G059700;TraesCS4D01G316500;TraesCS3A01G285700;TraesCS2A01G217200;TraesCS2B01G208900;TraesCS2A01G343100;TraesCS3A01G101700;TraesCS2D01G509400;TraesCS7D01G449500;TraesCS6A01G241000;TraesCS2D01G582800;TraesCS2A01G211900;TraesCS6B01G471400;TraesCS1B01G167700;TraesCS3B01G600300;TraesCS2D01G534600;TraesCS1D01G082600;TraesCS6D01G191400;TraesCS4B01G068300;TraesCS7B01G225500;TraesCS2A01G538200;TraesCS5D01G475900;TraesCS7A01G249400;TraesCS7D01G356200;TraesCS7D01G085800;TraesCS6A01G336600;TraesCS6B01G415700;TraesCS6A01G378000;TraesCS2A01G291700;TraesCS7B01G030400;TraesCS2D01G222300;TraesCS4D01G340500;TraesCS2A01G199700;TraesCS6B01G136100;TraesCS6B01G152800;TraesCS2B01G220900;TraesCS1A01G016100;TraesCS1D01G364000;TraesCS5D01G358600;TraesCS2B01G266900;TraesCS4B01G162700;TraesCS7A01G091500;TraesCS1D01G381800;TraesCS4A01G391100;TraesCS1D01G081400;TraesCS7A01G424700;TraesCS6B01G412400;TraesCS3A01G021600;TraesCS5A01G147500;TraesCS2D01G509300;TraesCS3D01G432000;TraesCS4A01G010000;TraesCS4A01G255400;TraesCS4D01G238900;TraesCS4D01G293200;TraesCS2D01G066900;TraesCS2D01G463100;TraesCS2A01G509900;TraesCS1B01G119600;TraesCS2B01G324900;TraesCS1A01G273600;TraesCS1D01G082500;TraesCS3A01G110400;TraesCS3A01G135700;TraesCS7A01G364200;TraesCS2A01G371700;TraesCS7A01G213000;TraesCS5A01G320600;TraesCS6A01G258900;TraesCS7B01G225600;TraesCS6B01G413500;TraesCS6D01G359100;TraesCS2A01G371600;TraesCS6B01G358800;TraesCS5D01G097900;TraesCS6D01G258200;TraesCS7B01G301100;TraesCS3A01G477300;TraesCS3D01G049700;TraesCS5D01G519800;TraesCS3D01G335700;TraesCS2D01G419700;TraesCS4B01G287300;TraesCS4A01G221700;TraesCS7A01G091400;TraesCS3B01G110500;TraesCS2A01G462700;TraesCS3B01G310000;TraesCS1A01G048000;TraesCS3B01G119600;TraesCS2D01G509200;TraesCS2A01G106500;TraesCS1A01G079700;TraesCS2D01G485300;TraesCS7B01G029200;TraesCS7D01G416900;TraesCS1B01G062200;TraesCS6D01G056600;TraesCS7B01G325300;TraesCS4B01G345400;TraesCS3A01G189300;TraesCS5A01G376700;TraesCS1A01G342600;TraesCS1B01G119700;TraesCS1A01G103900;TraesCS1B01G347100;TraesCS2D01G201700;TraesCS6D01G210100;TraesCS3B01G325100;TraesCS5B01G428400;TraesCS6B01G257800;TraesCS3A01G351500;TraesCS2D01G534400;TraesCS5D01G059300;TraesCS6A01G168900;TraesCS4A01G396700;TraesCS1D01G344700;TraesCS5B01G202900;TraesCS7D01G085600;TraesCS3D01G045400;TraesCS2D01G107100;TraesCSU01G016900;TraesCS6B01G266500;TraesCS7A01G400900;TraesCS4B01G228200;TraesCS7A01G434300;TraesCS1D01G372900;TraesCS5D01G343000;TraesCS2B01G308200;TraesCS2D01G455900;TraesCS2D01G577000;TraesCS3A01G064400;TraesCS4D01G126900;TraesCS1D01G330300;TraesCS2B01G100300;TraesCS3B01G166600;TraesCS5B01G208200;TraesCS2A01G308400;TraesCS3B01G288100;TraesCS6B01G152600;TraesCS2B01G220700;TraesCS2B01G323700;TraesCS6D01G158400;TraesCS1A01G048100;TraesCS3B01G119500;TraesCS7A01G328100;TraesCS2B01G067000;TraesCS3A01G122300;TraesCS2D01G485200;TraesCS5D01G073900;TraesCS7D01G394800;TraesCS3D01G172200;TraesCS5A01G351300;TraesCSU01G047400;TraesCS2A01G532800;TraesCS7D01G265400;TraesCS1D01G101100;TraesCS3D01G256600;TraesCS4A01G323500;TraesCS4D01G352700;TraesCS5D01G152300;TraesCS5D01G177800;TraesCS2D01G511300;TraesCS3B01G151200;TraesCS3D01G345700;TraesCS1A01G080700;TraesCS2A01G098700;TraesCS6A01G277600;TraesCS6B01G381300;TraesCS2B01G035300;TraesCS1D01G372800;TraesCS1D01G206900;TraesCS4D01G126800;TraesCS1D01G076200;TraesCS3B01G013200;TraesCS5B01G208300;TraesCS6B01G152700;TraesCS5A01G377900;TraesCS7A01G321600;TraesCS7D01G451300;TraesCS1A01G203400;TraesCS6A01G301300;TraesCS7D01G053900;TraesCS4B01G216000;TraesCS1A01G333800;TraesCS5A01G237700;TraesCS6B01G059800;TraesCS4A01G267300;TraesCS3D01G276200;TraesCS6B01G183300;TraesCS6D01G158300;TraesCS5D01G145100;TraesCS2A01G217600;TraesCS4D01G089300;TraesCS5D01G069700;TraesCS1B01G385300;TraesCS4D01G104100;TraesCS2B01G216800;TraesCS1B01G456700;TraesCS5B01G520600;TraesCS1A01G149700;TraesCS1D01G361000;TraesCS2B01G114900;TraesCS5B01G474500;TraesCS3D01G502500;TraesCS1A01G296300;TraesCS2B01G240800;TraesCS4D01G172700;TraesCS4D01G312300;TraesCS1D01G239700;TraesCS6A01G327500;TraesCS1D01G082200;TraesCS1B01G283400;TraesCS7D01G463300;TraesCS1D01G032600;TraesCS3A01G530200;TraesCS3B01G361100;TraesCS1B01G120100;TraesCS2A01G214100;TraesCS2D01G222700;TraesCS2D01G564300;TraesCS5A01G152800;TraesCS3D01G324400;TraesCS4A01G384500;TraesCS3B01G384000;TraesCS6D01G032300;TraesCS5B01G225200;TraesCS6A01G375800;TraesCS5A01G138600;TraesCS3A01G463400;TraesCS3D01G272300;TraesCS5D01G304700;TraesCS2D01G528200;TraesCS7B01G123300;TraesCS1B01G109400;TraesCS5D01G373700;TraesCS2B01G562100;TraesCS1A01G031200;TraesCS2B01G241900;TraesCS4B01G132000;TraesCS5B01G236200;TraesCS6D01G328800;TraesCS4B01G216700;TraesCS7B01G222500;TraesCS6D01G335300;TraesCS2A01G347400;TraesCS7D01G357100;TraesCS3A01G262200;TraesCS5B01G056700;TraesCS1A01G073300;TraesCS1B01G385200;TraesCS2A01G368700;TraesCS5D01G386800;TraesCS4B01G055600;TraesCS1B01G251700;TraesCS7A01G131300;TraesCS3A01G439200;TraesCS1B01G270300;TraesCS2B01G521800;TraesCS7A01G096800;TraesCS1B01G373100;TraesCS1B01G375400;TraesCS5B01G069900;TraesCS2A01G532600;TraesCS3B01G352300;TraesCS2B01G539200;TraesCS6D01G210200;TraesCS2D01G517200;TraesCS4D01G312400;TraesCS1D01G367800;TraesCS2A01G182400;TraesCS3D01G315700;TraesCS1B01G157700;TraesCS4D01G046900;TraesCS6A01G116000;TraesCS3D01G542300;TraesCS7A01G154900;TraesCS4A01G186700;TraesCS2D01G098200;TraesCS6B01G069800;TraesCS5A01G222300;TraesCS2A01G150600;TraesCS2B01G241800;TraesCS6B01G367100;TraesCS1B01G097700;TraesCS3D01G182300;TraesCS4A01G171500;TraesCS5A01G048600;TraesCS4A01G211600;TraesCS3D01G262300;TraesCS5D01G212900;TraesCS7A01G384500;TraesCS6D01G362500;TraesCS2D01G284200;TraesCS5B01G056800;TraesCS2D01G380800;TraesCS2D01G207400;TraesCS6D01G316600;TraesCS5A01G092600;TraesCS3D01G273200;TraesCS5B01G065400;TraesCS2A01G117800;TraesCS2D01G190200;TraesCS3A01G034700;TraesCS5D01G158100;TraesCS2B01G244000;TraesCS4B01G041300;TraesCS2A01G209900;TraesCS5A01G173300;TraesCS2B01G366600;TraesCS7D01G167900;TraesCS7D01G444400;TraesCS2A01G023900;TraesCS4D01G229100;TraesCS7D01G037700;TraesCS3D01G097000;TraesCS5A01G463100;TraesCS6D01G330800;TraesCS7B01G141900;TraesCS5B01G366400;TraesCS6D01G050900;TraesCS5A01G514500;TraesCS3B01G376300;TraesCS5A01G210300;TraesCS6D01G047500;TraesCS3D01G182600;TraesCS3D01G337900;TraesCS6D01G280700;TraesCS1D01G073100;TraesCS7B01G243500;TraesCS3D01G262200;TraesCS1A01G325800;TraesCS6D01G381200;TraesCS3B01G253900;TraesCS4B01G294300;TraesCS6D01G232300;TraesCS1D01G333500;TraesCS2D01G509500;TraesCS3D01G046900;TraesCS3A01G323200;TraesCS3B01G295500;TraesCS7D01G130600;TraesCS3B01G053800;TraesCS6A01G374700;TraesCS7A01G129300;TraesCS2D01G574000;TraesCS2D01G062100;TraesCS2B01G187300;TraesCS4D01G217000;TraesCS5D01G158000;TraesCS7D01G129500;TraesCS3A01G034600;TraesCS2B01G594100;TraesCS6D01G115200;TraesCS3D01G124200;TraesCS2D01G178100;TraesCS5B01G437300;TraesCS2B01G364400;TraesCS7D01G444500;TraesCS4D01G325500;TraesCS6A01G223500;TraesCS1B01G305200;TraesCS7D01G048600;TraesCS6A01G352800;TraesCS6A01G375900;TraesCS7A01G091200;TraesCS4B01G132100;TraesCS5B01G064400;TraesCS1A01G016000;TraesCS7D01G128300;TraesCS2A01G485600;TraesCS7A01G325000;TraesCS3B01G374100;TraesCS7B01G220500</t>
  </si>
  <si>
    <t>TraesCS2D01G538400;TraesCS3B01G490000;TraesCS5D01G359000;TraesCS6D01G358600;TraesCS7D01G092900;TraesCS1B01G454000;TraesCS3B01G295000;TraesCS7B01G473700;TraesCS1B01G375100;TraesCS6A01G124500;TraesCS7A01G163300;TraesCS6B01G052400;TraesCS2B01G236800;TraesCS4D01G210900;TraesCS7D01G318600;TraesCS4D01G069300;TraesCS2D01G079200;TraesCS2A01G190200;TraesCS4B01G157800;TraesCS3B01G485900;TraesCS7A01G476700;TraesCS2B01G350500;TraesCS3A01G276200;TraesCS3D01G049000;TraesCS1A01G381500;TraesCS3D01G278000;TraesCS3A01G033000;TraesCS4B01G088700;TraesCS6D01G360900;TraesCS3A01G342000;TraesCS2D01G219800;TraesCS7A01G357300;TraesCS5B01G182000;TraesCS6B01G225700;TraesCS5B01G526200;TraesCS6A01G052100;TraesCS4B01G376800;TraesCS5A01G350800;TraesCS2A01G170600;TraesCS2D01G255700;TraesCS2D01G297300;TraesCS3A01G242200;TraesCS1A01G367200;TraesCS2A01G182800;TraesCS2A01G216700;TraesCS6B01G398500;TraesCS2A01G537900;TraesCS1A01G045300;TraesCS7D01G444700;TraesCS3B01G126400;TraesCS2B01G477600;TraesCS1D01G074500;TraesCS7B01G047300;TraesCS4B01G210100;TraesCS3D01G270300;TraesCS3A01G274000;TraesCS4A01G251600;TraesCS5B01G371800;TraesCS3D01G316400;TraesCS4B01G067800;TraesCS1D01G100900;TraesCS1A01G184500;TraesCS3A01G344400;TraesCS3A01G048700;TraesCS3A01G107600;TraesCS1B01G385100;TraesCS4A01G089700;TraesCS1D01G363500;TraesCS3A01G034300;TraesCS4B01G238700;TraesCS6A01G078700;TraesCS4A01G050000;TraesCS2D01G000300;TraesCS2D01G537100;TraesCS5D01G387900;TraesCS2A01G103800;TraesCS4A01G276900;TraesCS5B01G146100;TraesCS2D01G426600;TraesCS7B01G356500;TraesCS5D01G524800;TraesCS3B01G049700;TraesCS3B01G196900;TraesCS5A01G197200;TraesCS7D01G334900;TraesCS4A01G062000;TraesCS7B01G415400;TraesCS2B01G180500;TraesCS6A01G377700;TraesCS6B01G246000;TraesCS6A01G000500;TraesCS1B01G461600;TraesCS2A01G121200;TraesCS2B01G437300;TraesCS4B01G106000;TraesCS5B01G526000;TraesCS7D01G087100;TraesCS3D01G030600;TraesCS4B01G047100;TraesCS1A01G367000;TraesCS1D01G046000;TraesCS5A01G322300;TraesCS1B01G283300;TraesCS2A01G216500;TraesCS7D01G165300;TraesCS3A01G045200;TraesCS7B01G129500;TraesCS2D01G415700;TraesCS5D01G181500;TraesCS6A01G225400;TraesCS2A01G418300;TraesCS7A01G455800;TraesCS7B01G299200;TraesCS1D01G146900;TraesCS5B01G184600;TraesCS2D01G382500;TraesCS6D01G211900;TraesCS1D01G218200;TraesCS2D01G097700;TraesCS7D01G392800;TraesCS7A01G435300;TraesCS2B01G537800;TraesCS2D01G223000;TraesCS3A01G272900;TraesCS3B01G289400;TraesCS6D01G157900;TraesCS2B01G053300;TraesCS3B01G394600;TraesCS5B01G419200;TraesCS2D01G232400;TraesCS2D01G364400;TraesCS3A01G152200;TraesCS2D01G216700;TraesCS3D01G104100;TraesCS2D01G317400;TraesCS5A01G129100;TraesCS1B01G384900;TraesCS2A01G525300;TraesCS3B01G307700;TraesCS4D01G059100;TraesCS7A01G216100;TraesCS1B01G091900;TraesCS6B01G051700;TraesCS2D01G537700;TraesCS7D01G495700;TraesCS4A01G414700;TraesCS5D01G424600;TraesCS3B01G360600;TraesCS3A01G256200;TraesCS5A01G401400;TraesCS5B01G492700;TraesCS5B01G501300;TraesCS2B01G242200;TraesCS1D01G419400;TraesCS1B01G241100;TraesCS7D01G324900;TraesCS3D01G256400;TraesCS2B01G001400;TraesCS6B01G163100;TraesCS6B01G331600;TraesCS7A01G167300;TraesCS1A01G080500;TraesCS1A01G330500;TraesCS1A01G187400;TraesCS5D01G104900;TraesCS3A01G290300;TraesCS7B01G309900;TraesCS2B01G536500;TraesCS6D01G122100;TraesCS7A01G264400;TraesCS1D01G372600;TraesCS5A01G294600;TraesCSU01G111800;TraesCS5D01G063800;TraesCS6B01G204600;TraesCS2B01G096000;TraesCS5B01G538800;TraesCS6B01G412500;TraesCS7D01G248200;TraesCS2B01G229000;TraesCS2B01G124100;TraesCS1A01G304200;TraesCS7B01G069100;TraesCS2A01G493800;TraesCS6A01G155200;TraesCS3A01G227900;TraesCS5A01G297900;TraesCS3D01G290100;TraesCS4A01G203300;TraesCS3B01G153800;TraesCS4D01G132500;TraesCS3A01G261800;TraesCS4A01G029800;TraesCS7B01G395000;TraesCSU01G238700;TraesCS3A01G224400;TraesCS1B01G376000;TraesCS6B01G280300;TraesCS7A01G242800;TraesCS2D01G491600;TraesCS3B01G291900;TraesCS5A01G505000;TraesCS4D01G059300;TraesCS2A01G211200;TraesCS6D01G226300;TraesCS1D01G140300;TraesCS4B01G315400;TraesCS2A01G431100;TraesCS5A01G426500;TraesCS1A01G411600;TraesCS2A01G040900;TraesCS1B01G304800;TraesCS6A01G199000;TraesCS4B01G201600;TraesCS5A01G205500;TraesCS3D01G261800;TraesCS5B01G204900;TraesCS7D01G146400;TraesCS3A01G362200;TraesCS1D01G372400;TraesCS3A01G477100;TraesCS6B01G256200;TraesCS2D01G117200;TraesCS3B01G473100;TraesCS5B01G538600;TraesCS2B01G394700;TraesCS7D01G086900;TraesCS2B01G208900;TraesCS2A01G343100;TraesCS2D01G301100;TraesCS7D01G449500;TraesCS6A01G241000;TraesCS2D01G582800;TraesCS2D01G144500;TraesCS6B01G471400;TraesCS1B01G167700;TraesCS3B01G600300;TraesCS3A01G110300;TraesCS1D01G082600;TraesCS7B01G225500;TraesCS2A01G538200;TraesCS5D01G475900;TraesCS7A01G249400;TraesCS7D01G356200;TraesCS7D01G085800;TraesCS6A01G336600;TraesCS6B01G415700;TraesCS6A01G378000;TraesCS2A01G291700;TraesCS6D01G258300;TraesCS2D01G222300;TraesCS4D01G340500;TraesCS2A01G199700;TraesCS4A01G244500;TraesCS4B01G070500;TraesCS1A01G016100;TraesCS1D01G364000;TraesCS5D01G358600;TraesCS4B01G162700;TraesCS1D01G381800;TraesCS1D01G216200;TraesCS6B01G412400;TraesCS1A01G077500;TraesCS2D01G509300;TraesCS4A01G010000;TraesCS4A01G255400;TraesCS4D01G238900;TraesCS4D01G293200;TraesCS2D01G463100;TraesCS7D01G024200;TraesCS2A01G509900;TraesCS1B01G119600;TraesCS2B01G324900;TraesCS1A01G273600;TraesCS7A01G213000;TraesCS6A01G258900;TraesCS6B01G413500;TraesCS6D01G359100;TraesCS2A01G371600;TraesCS3A01G477300;TraesCS3D01G049700;TraesCS5D01G519800;TraesCS3D01G335700;TraesCS4B01G287300;TraesCS7A01G091400;TraesCS1D01G389300;TraesCS7A01G101500;TraesCS3B01G119600;TraesCS2A01G106500;TraesCS1A01G079700;TraesCS2D01G485300;TraesCS7D01G506300;TraesCS6D01G056600;TraesCS4B01G345400;TraesCS7D01G071200;TraesCS5A01G376700;TraesCS1A01G342600;TraesCS3D01G441900;TraesCS6A01G302400;TraesCS1B01G347100;TraesCS6D01G210100;TraesCS3B01G325100;TraesCS5B01G428400;TraesCS5D01G059300;TraesCS7A01G406100;TraesCS4A01G396700;TraesCS6B01G127300;TraesCS7B01G372400;TraesCS7D01G085600;TraesCS2D01G107100;TraesCSU01G016900;TraesCS5A01G337100;TraesCS1D01G372900;TraesCS2B01G308200;TraesCS2D01G455900;TraesCS2D01G577000;TraesCS3A01G064400;TraesCS4D01G126900;TraesCS3B01G166600;TraesCS3B01G288100;TraesCS5D01G188600;TraesCS3B01G156800;TraesCS1A01G048100;TraesCS7A01G223000;TraesCS4D01G066800;TraesCS5A01G235400;TraesCS3A01G122300;TraesCS3D01G172200;TraesCSU01G047400;TraesCS7D01G265400;TraesCS4A01G323500;TraesCS4D01G352700;TraesCS3D01G345700;TraesCS1A01G080700;TraesCS6A01G277600;TraesCS6B01G381300;TraesCS2B01G035300;TraesCS1D01G076200;TraesCS5B01G208300;TraesCS6B01G152700;TraesCS7A01G321600;TraesCS7D01G451300;TraesCS6A01G301300;TraesCS6B01G059800;TraesCS6D01G158300;TraesCS4D01G089300;TraesCS5D01G069700;TraesCS4D01G104100;TraesCS6A01G245200;TraesCS5B01G520600;TraesCS1B01G224300;TraesCS5B01G474500;TraesCS3D01G502500;TraesCS7A01G092300;TraesCS1A01G296300;TraesCS2B01G240800;TraesCS1D01G239700;TraesCS6A01G327500;TraesCS1D01G082200;TraesCS7D01G463300;TraesCS1D01G032600;TraesCS5B01G078500;TraesCS2D01G222700;TraesCS2D01G564300;TraesCS5A01G152800;TraesCS3D01G324400;TraesCS4A01G384500;TraesCS7D01G224700;TraesCS5B01G225200;TraesCS6A01G375800;TraesCS3D01G272300;TraesCS2D01G528200;TraesCS7B01G123300;TraesCS1B01G109400;TraesCS2A01G420800;TraesCS2B01G241900;TraesCS4B01G132000;TraesCS6D01G328800;TraesCS4B01G216700;TraesCS6D01G335300;TraesCS7D01G357100;TraesCS5B01G056700;TraesCS1A01G073300;TraesCS1B01G385200;TraesCS4B01G137700;TraesCS5A01G398900;TraesCS4B01G055600;TraesCS1B01G251700;TraesCS7A01G131300;TraesCS3A01G439200;TraesCS1B01G375400;TraesCS3B01G352300;TraesCS2B01G539200;TraesCS4D01G312400;TraesCS6A01G258500;TraesCS7A01G423900;TraesCS2A01G182400;TraesCS2A01G339900;TraesCS3D01G315700;TraesCS1B01G157700;TraesCS3D01G242300;TraesCS3D01G542300;TraesCS7B01G277900;TraesCS2D01G417800;TraesCS7D01G077100;TraesCS2A01G302400;TraesCS2D01G098200;TraesCS6B01G069800;TraesCS5A01G222300;TraesCS1A01G312400;TraesCS2A01G150600;TraesCS2A01G386000;TraesCS4A01G171500;TraesCS5A01G048600;TraesCS4A01G211600;TraesCS3D01G262300;TraesCS5D01G212900;TraesCS7A01G384500;TraesCS6D01G358000;TraesCS6D01G362500;TraesCS6D01G316600;TraesCS3D01G273200;TraesCS5B01G065400;TraesCS2A01G117800;TraesCS2D01G190200;TraesCS5D01G158100;TraesCS2A01G209900;TraesCS5A01G173300;TraesCS7D01G167900;TraesCS7D01G444400;TraesCS2A01G023900;TraesCS4D01G229100;TraesCS7D01G037700;TraesCS5A01G463100;TraesCS1D01G229700;TraesCS5D01G070900;TraesCS1D01G312600;TraesCS6D01G050900;TraesCS5A01G514500;TraesCS3B01G376300;TraesCS5A01G210300;TraesCS6D01G047500;TraesCS3D01G182600;TraesCS3D01G337900;TraesCS1D01G073100;TraesCS6D01G381200;TraesCS3B01G253900;TraesCS6D01G232300;TraesCS1D01G333500;TraesCS2D01G509500;TraesCS4A01G255600;TraesCS3B01G295500;TraesCS7D01G130600;TraesCS3B01G053800;TraesCS6A01G374700;TraesCS2B01G187300;TraesCS3A01G034600;TraesCS6D01G115200;TraesCS1A01G365100;TraesCS2D01G178100;TraesCS5B01G437300;TraesCS6D01G281900;TraesCS4D01G325500;TraesCS4D01G254500;TraesCS7D01G048600;TraesCS7A01G091200;TraesCS7D01G128300;TraesCS3B01G374100;TraesCS1B01G095600;TraesCS3D01G238000;TraesCS2A01G428500;TraesCS3B01G280000;TraesCS1D01G295800;TraesCS3D01G535700;TraesCS7B01G325900;TraesCS3A01G493100;TraesCS5B01G482400;TraesCS2B01G197000;TraesCS6B01G305600;TraesCS7A01G127100;TraesCS7A01G012000;TraesCS5A01G058100;TraesCS5B01G082500;TraesCS3A01G255600;TraesCS4B01G335100;TraesCS7D01G136700;TraesCS2A01G418200;TraesCS6A01G225300;TraesCS2A01G455600;TraesCS5B01G151600;TraesCS2D01G549400;TraesCS2B01G243000;TraesCS6D01G240100;TraesCS2D01G217500;TraesCS5D01G478700;TraesCS1A01G358600;TraesCS1A01G228100;TraesCS5D01G374300;TraesCS2A01G503800;TraesCS1A01G424200;TraesCS5B01G233800;TraesCS2B01G449200;TraesCS2B01G489700;TraesCS5A01G062600;TraesCS2B01G236900;TraesCS6B01G006600;TraesCSU01G008300;TraesCS3B01G206500;TraesCS2D01G321400;TraesCS1B01G157300;TraesCS3B01G311900;TraesCS2D01G504300;TraesCS2B01G271700;TraesCS7B01G255500;TraesCS2A01G384100;TraesCS2D01G197600;TraesCS1D01G259700;TraesCS7B01G356400;TraesCS3A01G096500;TraesCS2D01G219900;TraesCS1D01G346200;TraesCS5B01G381500;TraesCS6B01G225800;TraesCS7B01G287100;TraesCS2B01G365900;TraesCS3D01G472000;TraesCS5A01G071500;TraesCS2B01G437200;TraesCS4D01G215200;TraesCS3D01G500800;TraesCS6A01G216800;TraesCS7A01G075600;TraesCS3D01G036000;TraesCS5A01G085900;TraesCS1A01G367100;TraesCS2D01G214200;TraesCS5A01G209800;TraesCS5B01G380400;TraesCS1D01G303700;TraesCS2B01G339600;TraesCS2A01G346000;TraesCS2D01G415600;TraesCS1A01G357300;TraesCS7D01G316100;TraesCS1D01G037200;TraesCS1D01G123700;TraesCS6B01G197000;TraesCS2D01G428900;TraesCS3D01G316700;TraesCS5A01G369500;TraesCS3B01G158300;TraesCS4A01G110100;TraesCS4B01G214600;TraesCS5D01G136600;TraesCS1B01G089100;TraesCS3D01G178300;TraesCS5B01G138400;TraesCS1B01G385000;TraesCS5B01G207900;TraesCS3D01G048000;TraesCS3D01G136700;TraesCS5A01G059400;TraesCS1B01G217500;TraesCS3D01G432600;TraesCS3D01G192800;TraesCS3A01G439800;TraesCS1D01G273800;TraesCS1A01G344000;TraesCS1B01G058600;TraesCS6A01G204600;TraesCS2D01G344700;TraesCS3B01G275500;TraesCS6A01G135100;TraesCS6D01G360800;TraesCS7D01G124900;TraesCS3A01G256300;TraesCS3D01G046000;TraesCS6A01G132400;TraesCS1A01G210400;TraesCS3B01G306500;TraesCS3D01G256500;TraesCS1A01G141300;TraesCS2D01G572600;TraesCS4D01G096400;TraesCS1A01G080600;TraesCS2B01G532000;TraesCS2B01G536600;TraesCS2D01G315100;TraesCS5B01G191900;TraesCS1D01G372700;TraesCS6D01G145100;TraesCS1B01G441900;TraesCS1A01G259900;TraesCS1B01G382600;TraesCS5D01G434500;TraesCS3B01G240000;TraesCS2D01G493700;TraesCS6D01G083200;TraesCS7B01G031900;TraesCS3D01G212100;TraesCS4A01G207800;TraesCS5D01G482800;TraesCS7A01G470400;TraesCS5D01G216400;TraesCS4B01G059400;TraesCS1A01G122800;TraesCS5D01G357800;TraesCS1B01G404000;TraesCS2B01G114000;TraesCS2A01G255300;TraesCS3B01G304300;TraesCS5A01G269300;TraesCS6A01G277800;TraesCS6A01G124800;TraesCS2A01G155500;TraesCS5D01G089900;TraesCS6D01G363200;TraesCS3B01G141500;TraesCS3D01G345900;TraesCS5A01G076600;TraesCS2A01G141100;TraesCS7D01G321500;TraesCS5D01G157900;TraesCS7B01G333700;TraesCS7D01G380900;TraesCS3A01G050300;TraesCS6D01G104800;TraesCS3D01G104000;TraesCS7B01G356800;TraesCS2A01G211300;TraesCS2A01G414700;TraesCS1D01G130400;TraesCS6D01G039300;TraesCS5A01G206700;TraesCS7D01G261300;TraesCS4A01G226300;TraesCS7D01G041400;TraesCS3D01G355900;TraesCS1A01G070600;TraesCS1B01G314700;TraesCS2B01G175800;TraesCS6D01G122200;TraesCS5A01G100300;TraesCS7D01G417600;TraesCS5D01G329100;TraesCS3A01G049500;TraesCS1D01G372500;TraesCS2A01G081400;TraesCS3B01G038900;TraesCS5B01G244300;TraesCS6B01G256300;TraesCS4A01G102900;TraesCS5B01G188700;TraesCS7D01G248100;TraesCS3A01G101800;TraesCS3D01G048400;TraesCS2A01G548300;TraesCS6B01G238900;TraesCS6B01G385500;TraesCS6D01G191500;TraesCS3A01G261700;TraesCS3B01G289500;TraesCS2A01G233100;TraesCS4A01G094300;TraesCS6D01G307100;TraesCS2B01G452400;TraesCS1A01G215900;TraesCS2B01G511300;TraesCS7A01G053400;TraesCS5D01G281200;TraesCS1D01G213700;TraesCS7B01G228900;TraesCS4D01G202300;TraesCS5D01G199800;TraesCS5D01G210800;TraesCS4B01G059700;TraesCS4B01G254700;TraesCS4D01G316500;TraesCS3A01G285700;TraesCS5D01G493200;TraesCS2A01G217200;TraesCS3A01G101700;TraesCS2D01G509400;TraesCS5D01G277500;TraesCS2A01G211900;TraesCS5D01G216100;TraesCS3A01G330600;TraesCS2D01G534600;TraesCS6D01G191400;TraesCS4B01G068300;TraesCS5A01G156200;TraesCS7B01G030400;TraesCS7B01G326200;TraesCS5A01G469800;TraesCS6B01G136100;TraesCS6B01G152800;TraesCS2B01G220900;TraesCS2B01G266900;TraesCS7A01G091500;TraesCS4A01G391100;TraesCS1D01G081400;TraesCS3A01G021600;TraesCS5A01G147500;TraesCS7D01G277300;TraesCS3D01G432000;TraesCS2B01G250100;TraesCS3A01G124800;TraesCS2D01G066900;TraesCS6D01G239700;TraesCS4B01G100100;TraesCS1D01G082500;TraesCS3A01G110400;TraesCS3A01G135700;TraesCS7A01G364200;TraesCS2A01G371700;TraesCS5A01G320600;TraesCS7B01G225600;TraesCS6B01G358800;TraesCS5D01G097900;TraesCS6D01G258200;TraesCS7B01G301100;TraesCS2D01G419700;TraesCS4A01G221700;TraesCS3B01G110500;TraesCS1A01G213400;TraesCS2A01G462700;TraesCS3B01G310000;TraesCS1A01G048000;TraesCS2D01G509200;TraesCS7B01G029200;TraesCS6A01G119900;TraesCS1B01G062200;TraesCS3A01G189300;TraesCS1A01G202300;TraesCS1B01G119700;TraesCS1A01G103900;TraesCS2D01G201700;TraesCS6B01G257800;TraesCS3A01G351500;TraesCS2A01G201900;TraesCS2D01G534400;TraesCS6A01G168900;TraesCS1D01G344700;TraesCS4B01G062800;TraesCS5B01G202900;TraesCS3D01G045400;TraesCS6B01G266500;TraesCS7A01G400900;TraesCS4B01G228200;TraesCS7A01G434300;TraesCS5D01G343000;TraesCS4A01G216100;TraesCS1D01G330300;TraesCS2B01G100300;TraesCS1D01G370600;TraesCS5B01G208200;TraesCS2A01G308400;TraesCS6B01G152600;TraesCS5A01G183600;TraesCS7A01G344600;TraesCS2B01G220700;TraesCS2B01G323700;TraesCS6D01G158400;TraesCS3B01G119500;TraesCS7A01G328100;TraesCS2B01G067000;TraesCS2D01G485200;TraesCS5D01G073900;TraesCS7D01G394800;TraesCS1D01G079600;TraesCS5A01G351300;TraesCS2A01G532800;TraesCS1D01G101100;TraesCS3D01G256600;TraesCS5A01G479600;TraesCS5D01G152300;TraesCS5D01G177800;TraesCS1B01G316500;TraesCS2D01G511300;TraesCS3B01G151200;TraesCS1A01G305800;TraesCS2A01G098700;TraesCS3A01G209200;TraesCS1D01G372800;TraesCS1D01G206900;TraesCS4D01G126800;TraesCS4A01G073900;TraesCS3B01G013200;TraesCS5A01G377900;TraesCS4D01G194900;TraesCS1A01G203400;TraesCS7D01G053900;TraesCS4B01G216000;TraesCS1A01G333800;TraesCS5A01G237700;TraesCS4A01G267300;TraesCS3D01G276200;TraesCS6B01G183300;TraesCS5D01G145100;TraesCS2A01G217600;TraesCS2B01G166100;TraesCS1B01G385300;TraesCS2B01G216800;TraesCS1B01G456700;TraesCS5D01G369200;TraesCS1A01G149700;TraesCS4A01G080400;TraesCS1D01G361000;TraesCS2B01G114900;TraesCS1D01G273500;TraesCS4D01G172700;TraesCS4D01G312300;TraesCS1B01G283400;TraesCS3A01G530200;TraesCS1B01G120100;TraesCS2A01G214100;TraesCS3B01G384000;TraesCS6D01G032300;TraesCS5A01G138600;TraesCS3A01G463400;TraesCS5D01G304700;TraesCS5D01G373700;TraesCS2B01G562100;TraesCS1A01G031200;TraesCS5B01G236200;TraesCS7B01G222500;TraesCS2A01G347400;TraesCS3A01G262200;TraesCS2A01G368700;TraesCS5D01G386800;TraesCS1B01G270300;TraesCS2B01G521800;TraesCS7A01G096800;TraesCS1B01G373100;TraesCS5B01G069900;TraesCS2A01G532600;TraesCS6D01G210200;TraesCS2D01G517200;TraesCS1D01G367800;TraesCS4D01G046900;TraesCS6A01G116000;TraesCS7A01G154900;TraesCS4A01G186700;TraesCS2B01G241800;TraesCS6B01G367100;TraesCS1B01G097700;TraesCS3D01G182300;TraesCS2D01G284200;TraesCS5B01G056800;TraesCS2D01G380800;TraesCS3B01G423200;TraesCS2D01G207400;TraesCS4D01G087200;TraesCS5A01G092600;TraesCS3A01G034700;TraesCS1A01G273500;TraesCS4B01G041300;TraesCS1B01G226800;TraesCS6A01G363900;TraesCS2B01G366600;TraesCS3D01G097000;TraesCS2D01G392800;TraesCS6D01G330800;TraesCS7B01G141900;TraesCS1D01G189300;TraesCS5B01G366400;TraesCS6D01G198700;TraesCS6D01G280700;TraesCS2B01G101800;TraesCS3D01G262200;TraesCS4B01G294300;TraesCS3D01G046900;TraesCS3A01G323200;TraesCS7A01G129300;TraesCS2D01G574000;TraesCS2D01G062100;TraesCS4D01G217000;TraesCS5D01G158000;TraesCS7D01G129500;TraesCS2B01G594100;TraesCS3B01G585400;TraesCS2D01G123300;TraesCS3D01G124200;TraesCS2B01G364400;TraesCS7D01G444500;TraesCS6A01G223500;TraesCS4A01G380200;TraesCS4D01G300100;TraesCS1B01G305200;TraesCS6A01G352800;TraesCS7D01G457800;TraesCS4D01G223900;TraesCS6A01G375900;TraesCS4B01G132100;TraesCS5B01G064400;TraesCS1A01G016000;TraesCS2A01G485600;TraesCS7A01G325000;TraesCS1A01G295300;TraesCS7B01G220500</t>
  </si>
  <si>
    <t>TraesCS2D01G538400;TraesCS3B01G490000;TraesCS1D01G295800;TraesCS5D01G359000;TraesCS3D01G535700;TraesCS7B01G325900;TraesCS6D01G358600;TraesCS7D01G092900;TraesCS3A01G493100;TraesCS1B01G454000;TraesCS3B01G295000;TraesCS2B01G197000;TraesCS6B01G305600;TraesCS7A01G127100;TraesCS7B01G473700;TraesCS6A01G124500;TraesCS7A01G163300;TraesCS6B01G052400;TraesCS3A01G400000;TraesCS2B01G236800;TraesCS5A01G058100;TraesCS3A01G255600;TraesCS7D01G136700;TraesCS7D01G318600;TraesCS2A01G418200;TraesCS2D01G079200;TraesCS6A01G225300;TraesCS2A01G190200;TraesCS2A01G455600;TraesCS5B01G151600;TraesCS4B01G157800;TraesCS2B01G243000;TraesCS7A01G476700;TraesCS2B01G350500;TraesCS3A01G276200;TraesCS6D01G240100;TraesCS3D01G049000;TraesCS3D01G278000;TraesCS3A01G033000;TraesCS6D01G360900;TraesCS3A01G342000;TraesCS2D01G217500;TraesCS2D01G219800;TraesCS6B01G225700;TraesCS7A01G332000;TraesCS5D01G478700;TraesCS5B01G526200;TraesCS6A01G052100;TraesCS4B01G376800;TraesCS5A01G350800;TraesCS2A01G170600;TraesCS2D01G255700;TraesCS5D01G374300;TraesCS2A01G503800;TraesCS2D01G297300;TraesCS1A01G424200;TraesCS2B01G489700;TraesCS5A01G062600;TraesCS1A01G367200;TraesCS2A01G182800;TraesCS2B01G236900;TraesCS2A01G216700;TraesCS6B01G006600;TraesCSU01G008300;TraesCS2A01G537900;TraesCS3B01G206500;TraesCS2D01G321400;TraesCS7D01G444700;TraesCS3B01G126400;TraesCS1B01G157300;TraesCS2B01G477600;TraesCS3B01G311900;TraesCS2D01G504300;TraesCS7B01G047300;TraesCS2B01G271700;TraesCS7B01G255500;TraesCS2D01G197600;TraesCS3D01G270300;TraesCS1D01G259700;TraesCS3A01G274000;TraesCS5B01G371800;TraesCS7B01G356400;TraesCS3D01G316400;TraesCS1D01G100900;TraesCS3A01G096500;TraesCS1A01G184500;TraesCS3A01G344400;TraesCS2D01G219900;TraesCS3A01G048700;TraesCS3A01G107600;TraesCS1D01G346200;TraesCS5B01G381500;TraesCS6B01G225800;TraesCS7B01G287100;TraesCS1B01G385100;TraesCS2B01G365900;TraesCS3D01G472000;TraesCS4A01G089700;TraesCS2B01G437200;TraesCS4D01G215200;TraesCS3A01G034300;TraesCS4B01G238700;TraesCS3D01G500800;TraesCS6A01G078700;TraesCS3D01G036000;TraesCS5A01G085900;TraesCS1A01G367100;TraesCS5B01G380400;TraesCS1D01G303700;TraesCS2A01G346000;TraesCS2D01G537100;TraesCS2D01G415600;TraesCS5D01G387900;TraesCS7D01G316100;TraesCS1D01G037200;TraesCS1D01G123700;TraesCS5B01G146100;TraesCS6B01G197000;TraesCS2D01G428900;TraesCS3D01G316700;TraesCS5A01G369500;TraesCS7B01G356500;TraesCS5D01G524800;TraesCS3B01G049700;TraesCS3B01G158300;TraesCS3B01G196900;TraesCS4B01G214600;TraesCS1B01G089100;TraesCS3D01G178300;TraesCS5A01G197200;TraesCS5B01G138400;TraesCS1B01G385000;TraesCS4A01G062000;TraesCS3D01G048000;TraesCS7B01G415400;TraesCS3D01G136700;TraesCS1B01G217500;TraesCS2B01G180500;TraesCS6A01G377700;TraesCS3D01G192800;TraesCS6A01G000500;TraesCS2B01G437300;TraesCS4B01G106000;TraesCS5B01G526000;TraesCS7D01G087100;TraesCS3D01G030600;TraesCS1D01G273800;TraesCS4B01G047100;TraesCS1A01G344000;TraesCS1A01G367000;TraesCS5A01G322300;TraesCS2A01G216500;TraesCS7D01G165300;TraesCS3A01G045200;TraesCS6A01G204600;TraesCS2D01G344700;TraesCS2D01G415700;TraesCS5D01G181500;TraesCS6A01G225400;TraesCS2A01G418300;TraesCS7A01G455800;TraesCS6A01G135100;TraesCS1D01G146900;TraesCS5B01G184600;TraesCS6D01G211900;TraesCS7D01G340200;TraesCS6D01G360800;TraesCS7D01G124900;TraesCS1D01G218200;TraesCS2D01G097700;TraesCS3A01G256300;TraesCS3D01G046000;TraesCS7A01G435300;TraesCS2B01G537800;TraesCS2D01G223000;TraesCS3A01G272900;TraesCS3B01G289400;TraesCS6A01G132400;TraesCS6D01G157900;TraesCS2B01G053300;TraesCS3B01G306500;TraesCS3D01G256500;TraesCS1A01G141300;TraesCS2D01G364400;TraesCS2D01G572600;TraesCS3A01G152200;TraesCS2D01G216700;TraesCS3D01G104100;TraesCS1A01G080600;TraesCS2B01G532000;TraesCS2B01G536600;TraesCS1B01G384900;TraesCS1D01G372700;TraesCS6D01G145100;TraesCS2A01G525300;TraesCS1A01G259900;TraesCS5D01G434500;TraesCS2D01G493700;TraesCS3B01G307700;TraesCS1B01G091900;TraesCS6B01G051700;TraesCS2D01G537700;TraesCS7D01G495700;TraesCS4A01G414700;TraesCS7B01G031900;TraesCS3A01G256200;TraesCS5A01G401400;TraesCS4A01G207800;TraesCS5D01G216400;TraesCS5B01G501300;TraesCS2B01G242200;TraesCS1A01G122800;TraesCS5D01G357800;TraesCS7D01G324900;TraesCS2B01G114000;TraesCS2A01G255300;TraesCS3B01G304300;TraesCS3D01G256400;TraesCS2B01G001400;TraesCS6B01G163100;TraesCS6A01G124800;TraesCS2A01G155500;TraesCS7A01G167300;TraesCS1A01G080500;TraesCS1A01G330500;TraesCS5D01G104900;TraesCS6D01G363200;TraesCS3A01G290300;TraesCS7B01G309900;TraesCS2B01G536500;TraesCS3B01G141500;TraesCS6D01G122100;TraesCS7A01G264400;TraesCS1D01G372600;TraesCS5A01G294600;TraesCS7D01G321500;TraesCSU01G111800;TraesCS5D01G157900;TraesCS7B01G333700;TraesCS7D01G380900;TraesCS3A01G050300;TraesCS5D01G063800;TraesCS6D01G104800;TraesCS6B01G204600;TraesCS2B01G096000;TraesCS3D01G104000;TraesCS7B01G356800;TraesCS5B01G538800;TraesCS6B01G412500;TraesCS7D01G248200;TraesCS2A01G211300;TraesCS2B01G124100;TraesCS1A01G304200;TraesCS1D01G130400;TraesCS7B01G069100;TraesCS5A01G206700;TraesCS2A01G493800;TraesCS6A01G155200;TraesCS7D01G261300;TraesCS5A01G297900;TraesCS3D01G290100;TraesCS7D01G041400;TraesCS4A01G203300;TraesCS3B01G153800;TraesCS1A01G070600;TraesCS1B01G314700;TraesCS3A01G261800;TraesCS4A01G029800;TraesCS2B01G175800;TraesCS7B01G395000;TraesCS6D01G122200;TraesCS5D01G329100;TraesCS3A01G049500;TraesCS1D01G372500;TraesCS2A01G081400;TraesCS3B01G038900;TraesCSU01G238700;TraesCS3A01G224400;TraesCS1B01G376000;TraesCS6B01G256300;TraesCS6B01G280300;TraesCS7A01G242800;TraesCS2D01G491600;TraesCS3B01G291900;TraesCS4D01G059300;TraesCS4A01G102900;TraesCS2A01G211200;TraesCS5B01G188700;TraesCS6D01G226300;TraesCS1D01G140300;TraesCS7D01G248100;TraesCS3A01G101800;TraesCS4B01G315400;TraesCS2A01G431100;TraesCS3D01G048400;TraesCS5A01G426500;TraesCS2A01G040900;TraesCS7A01G427500;TraesCS6B01G238900;TraesCS6B01G385500;TraesCS6D01G191500;TraesCS3A01G261700;TraesCS3B01G289500;TraesCS4B01G201600;TraesCS5A01G205500;TraesCS3D01G261800;TraesCS5B01G204900;TraesCS6D01G307100;TraesCS2B01G452400;TraesCS7D01G146400;TraesCS1A01G215900;TraesCS2B01G511300;TraesCS1D01G372400;TraesCS6B01G256200;TraesCS2D01G117200;TraesCS3B01G473100;TraesCS7A01G053400;TraesCS5B01G538600;TraesCS2B01G394700;TraesCS5D01G281200;TraesCS7B01G228900;TraesCS4D01G202300;TraesCS5D01G210800;TraesCS7D01G086900;TraesCS4B01G059700;TraesCS4D01G316500;TraesCS2A01G217200;TraesCS2B01G208900;TraesCS2A01G343100;TraesCS3A01G101700;TraesCS2D01G509400;TraesCS7D01G449500;TraesCS6A01G241000;TraesCS2D01G582800;TraesCS2A01G211900;TraesCS6B01G471400;TraesCS1B01G167700;TraesCS3B01G600300;TraesCS2D01G534600;TraesCS1D01G082600;TraesCS6D01G191400;TraesCS4B01G068300;TraesCS7B01G225500;TraesCS2A01G538200;TraesCS5D01G475900;TraesCS7A01G249400;TraesCS7D01G356200;TraesCS7D01G085800;TraesCS6A01G336600;TraesCS6B01G415700;TraesCS6A01G378000;TraesCS7B01G030400;TraesCS2D01G222300;TraesCS4D01G340500;TraesCS2A01G199700;TraesCS6B01G136100;TraesCS6B01G152800;TraesCS2B01G220900;TraesCS1A01G016100;TraesCS1D01G364000;TraesCS5D01G358600;TraesCS2B01G266900;TraesCS4B01G162700;TraesCS7A01G091500;TraesCS1D01G381800;TraesCS4A01G391100;TraesCS1D01G081400;TraesCS7A01G424700;TraesCS6B01G412400;TraesCS3A01G021600;TraesCS5A01G147500;TraesCS2D01G509300;TraesCS3D01G432000;TraesCS4A01G010000;TraesCS4A01G255400;TraesCS4D01G238900;TraesCS4D01G293200;TraesCS2D01G066900;TraesCS2D01G463100;TraesCS2A01G509900;TraesCS1B01G119600;TraesCS2B01G324900;TraesCS1A01G273600;TraesCS1D01G082500;TraesCS3A01G110400;TraesCS3A01G135700;TraesCS7A01G364200;TraesCS2A01G371700;TraesCS7A01G213000;TraesCS5A01G320600;TraesCS6A01G258900;TraesCS7B01G225600;TraesCS6B01G413500;TraesCS6D01G359100;TraesCS2A01G371600;TraesCS6B01G358800;TraesCS5D01G097900;TraesCS6D01G258200;TraesCS7B01G301100;TraesCS3A01G477300;TraesCS3D01G049700;TraesCS5D01G519800;TraesCS3D01G335700;TraesCS2D01G419700;TraesCS4B01G287300;TraesCS4A01G221700;TraesCS7A01G091400;TraesCS3B01G110500;TraesCS2A01G462700;TraesCS3B01G310000;TraesCS1A01G048000;TraesCS3B01G119600;TraesCS2D01G509200;TraesCS2A01G106500;TraesCS1A01G079700;TraesCS2D01G485300;TraesCS7B01G029200;TraesCS7D01G416900;TraesCS1B01G062200;TraesCS6D01G056600;TraesCS7B01G325300;TraesCS4B01G345400;TraesCS3A01G189300;TraesCS5A01G376700;TraesCS1A01G342600;TraesCS1B01G119700;TraesCS1A01G103900;TraesCS1B01G347100;TraesCS2D01G201700;TraesCS6D01G210100;TraesCS3B01G325100;TraesCS5B01G428400;TraesCS6B01G257800;TraesCS3A01G351500;TraesCS2D01G534400;TraesCS5D01G059300;TraesCS6A01G168900;TraesCS4A01G396700;TraesCS1D01G344700;TraesCS5B01G202900;TraesCS7D01G085600;TraesCS3D01G045400;TraesCS2D01G107100;TraesCSU01G016900;TraesCS6B01G266500;TraesCS7A01G400900;TraesCS4B01G228200;TraesCS7A01G434300;TraesCS1D01G372900;TraesCS5D01G343000;TraesCS2D01G455900;TraesCS2D01G577000;TraesCS3A01G064400;TraesCS4D01G126900;TraesCS1D01G330300;TraesCS2B01G100300;TraesCS3B01G166600;TraesCS5B01G208200;TraesCS2A01G308400;TraesCS3B01G288100;TraesCS6B01G152600;TraesCS2B01G220700;TraesCS2B01G323700;TraesCS6D01G158400;TraesCS1A01G048100;TraesCS3B01G119500;TraesCS7A01G328100;TraesCS2B01G067000;TraesCS3A01G122300;TraesCS2D01G485200;TraesCS5D01G073900;TraesCS7D01G394800;TraesCS3D01G172200;TraesCS5A01G351300;TraesCSU01G047400;TraesCS2A01G532800;TraesCS7D01G265400;TraesCS1D01G101100;TraesCS3D01G256600;TraesCS4A01G323500;TraesCS4D01G352700;TraesCS5D01G152300;TraesCS5D01G177800;TraesCS2D01G511300;TraesCS3B01G151200;TraesCS3D01G345700;TraesCS1A01G080700;TraesCS2A01G098700;TraesCS6A01G277600;TraesCS6B01G381300;TraesCS2B01G035300;TraesCS1D01G372800;TraesCS1D01G206900;TraesCS4D01G126800;TraesCS1D01G076200;TraesCS3B01G013200;TraesCS5B01G208300;TraesCS4A01G246500;TraesCS6B01G152700;TraesCS5A01G377900;TraesCS7A01G321600;TraesCS7D01G451300;TraesCS1A01G203400;TraesCS6A01G301300;TraesCS7D01G053900;TraesCS4B01G216000;TraesCS1A01G333800;TraesCS5A01G237700;TraesCS6B01G059800;TraesCS4A01G267300;TraesCS3D01G276200;TraesCS6B01G183300;TraesCS6D01G158300;TraesCS5D01G145100;TraesCS2A01G217600;TraesCS4D01G089300;TraesCS5D01G069700;TraesCS1B01G385300;TraesCS4D01G104100;TraesCS2B01G216800;TraesCS1B01G456700;TraesCS5B01G520600;TraesCS1A01G149700;TraesCS2B01G114900;TraesCS5B01G474500;TraesCS3D01G502500;TraesCS1A01G296300;TraesCS2B01G240800;TraesCS4D01G172700;TraesCS4D01G312300;TraesCS1D01G239700;TraesCS6A01G327500;TraesCS1D01G082200;TraesCS1B01G283400;TraesCS7D01G463300;TraesCS1D01G032600;TraesCS3A01G530200;TraesCS3B01G361100;TraesCS1B01G120100;TraesCS2A01G214100;TraesCS2D01G222700;TraesCS2D01G564300;TraesCS5A01G152800;TraesCS3D01G324400;TraesCS4A01G384500;TraesCS3B01G384000;TraesCS6D01G032300;TraesCS5B01G225200;TraesCS6A01G375800;TraesCS5A01G138600;TraesCS3A01G463400;TraesCS3D01G272300;TraesCS5D01G304700;TraesCS2D01G528200;TraesCS1B01G109400;TraesCS5D01G373700;TraesCS2B01G562100;TraesCS1A01G031200;TraesCS2B01G241900;TraesCS4B01G132000;TraesCS5B01G236200;TraesCS6D01G328800;TraesCS4B01G216700;TraesCS7B01G222500;TraesCS6D01G335300;TraesCS2A01G347400;TraesCS7D01G357100;TraesCS3A01G262200;TraesCS5B01G056700;TraesCS1A01G073300;TraesCS1B01G385200;TraesCS2A01G368700;TraesCS5D01G386800;TraesCS4B01G055600;TraesCS1B01G251700;TraesCS7A01G131300;TraesCS3A01G439200;TraesCS1B01G270300;TraesCS2B01G521800;TraesCS7A01G096800;TraesCS1B01G375400;TraesCS5B01G069900;TraesCS2A01G532600;TraesCS3B01G352300;TraesCS2B01G539200;TraesCS6D01G210200;TraesCS2D01G517200;TraesCS4D01G312400;TraesCS1D01G367800;TraesCS2A01G182400;TraesCS3D01G315700;TraesCS1B01G157700;TraesCS4D01G046900;TraesCS6A01G116000;TraesCS3D01G542300;TraesCS7A01G154900;TraesCS4A01G186700;TraesCS2D01G098200;TraesCS6B01G069800;TraesCS5A01G222300;TraesCS2A01G150600;TraesCS2B01G241800;TraesCS6B01G367100;TraesCS1B01G097700;TraesCS3D01G182300;TraesCS4A01G171500;TraesCS5A01G048600;TraesCS4A01G211600;TraesCS3D01G262300;TraesCS5D01G212900;TraesCS7A01G384500;TraesCS6D01G362500;TraesCS2D01G284200;TraesCS5B01G056800;TraesCS2D01G380800;TraesCS2D01G207400;TraesCS6D01G316600;TraesCS5A01G092600;TraesCS3D01G273200;TraesCS5B01G065400;TraesCS2A01G117800;TraesCS2D01G190200;TraesCS3A01G034700;TraesCS5D01G158100;TraesCS2B01G244000;TraesCS4B01G041300;TraesCS2A01G209900;TraesCS5A01G173300;TraesCS2B01G366600;TraesCS7D01G167900;TraesCS7D01G444400;TraesCS2A01G023900;TraesCS4D01G229100;TraesCS7D01G037700;TraesCS3D01G097000;TraesCS5A01G463100;TraesCS6D01G330800;TraesCS7B01G141900;TraesCS5B01G366400;TraesCS6D01G050900;TraesCS5A01G514500;TraesCS3B01G376300;TraesCS5A01G210300;TraesCS6D01G047500;TraesCS3D01G182600;TraesCS3D01G337900;TraesCS6D01G280700;TraesCS1D01G073100;TraesCS7B01G243500;TraesCS3D01G262200;TraesCS6D01G381200;TraesCS3B01G253900;TraesCS4B01G294300;TraesCS1D01G333500;TraesCS2D01G509500;TraesCS3D01G046900;TraesCS3A01G323200;TraesCS3B01G295500;TraesCS7D01G130600;TraesCS3B01G053800;TraesCS6A01G374700;TraesCS7A01G129300;TraesCS2D01G574000;TraesCS2D01G062100;TraesCS4D01G217000;TraesCS5D01G158000;TraesCS7D01G129500;TraesCS3A01G034600;TraesCS2B01G594100;TraesCS6D01G115200;TraesCS3D01G124200;TraesCS2D01G178100;TraesCS5B01G437300;TraesCS2B01G364400;TraesCS7D01G444500;TraesCS4D01G325500;TraesCS6A01G223500;TraesCS1B01G305200;TraesCS7D01G048600;TraesCS6A01G352800;TraesCS6A01G375900;TraesCS7A01G091200;TraesCS4B01G132100;TraesCS5B01G064400;TraesCS1A01G016000;TraesCS7D01G128300;TraesCS2A01G485600;TraesCS7A01G325000;TraesCS3B01G374100;TraesCS7B01G220500</t>
  </si>
  <si>
    <t>TraesCS2D01G538400;TraesCS3B01G490000;TraesCS1A01G218400;TraesCS5D01G359000;TraesCS6D01G358600;TraesCS7D01G092900;TraesCS1B01G454000;TraesCS3B01G295000;TraesCS4D01G232700;TraesCS7B01G473700;TraesCS2A01G389900;TraesCS3B01G455000;TraesCS4A01G159700;TraesCS4D01G207500;TraesCS6A01G124500;TraesCS7A01G163300;TraesCS6B01G052400;TraesCS2D01G479100;TraesCS2B01G236800;TraesCS7D01G318600;TraesCS2D01G079200;TraesCS2A01G190200;TraesCS4B01G157800;TraesCS3B01G485900;TraesCS5B01G104500;TraesCS7A01G476700;TraesCS2B01G350500;TraesCS3A01G276200;TraesCS7B01G274100;TraesCS3D01G049000;TraesCS3D01G278000;TraesCS3A01G033000;TraesCS6D01G360900;TraesCS7B01G245800;TraesCS3A01G342000;TraesCS2D01G219800;TraesCS6B01G225700;TraesCS5B01G526200;TraesCS6A01G052100;TraesCS4B01G376800;TraesCS5A01G447200;TraesCS5A01G350800;TraesCS2A01G170600;TraesCS2D01G255700;TraesCS2D01G297300;TraesCS4B01G054900;TraesCS3D01G351600;TraesCS1A01G367200;TraesCS2A01G182800;TraesCS2A01G216700;TraesCS3D01G234400;TraesCS5B01G135200;TraesCS2A01G537900;TraesCS7D01G444700;TraesCS3B01G126400;TraesCS2B01G477600;TraesCS1D01G074500;TraesCS7B01G047300;TraesCS3D01G270300;TraesCS3A01G274000;TraesCS3A01G163300;TraesCS5B01G371800;TraesCS6B01G145700;TraesCS3D01G316400;TraesCS1A01G343000;TraesCS1D01G100900;TraesCS1A01G184500;TraesCS3A01G344400;TraesCS1A01G243400;TraesCS3A01G048700;TraesCS7B01G239300;TraesCS3A01G107600;TraesCS1B01G385100;TraesCS1B01G089000;TraesCS4A01G089700;TraesCS2A01G479900;TraesCS3A01G034300;TraesCS4B01G238700;TraesCS5D01G328300;TraesCS6A01G078700;TraesCS3B01G113500;TraesCS5B01G183500;TraesCS6D01G199500;TraesCS4B01G222100;TraesCS2D01G537100;TraesCSU01G169600;TraesCS1A01G181000;TraesCS5D01G387900;TraesCS5B01G146100;TraesCS1D01G439400;TraesCS7B01G356500;TraesCS5D01G524800;TraesCS3B01G049700;TraesCS3B01G196900;TraesCS1A01G182300;TraesCS3D01G260300;TraesCS5A01G197200;TraesCS4A01G062000;TraesCS1D01G249600;TraesCS7B01G415400;TraesCS2B01G180500;TraesCS1D01G335400;TraesCS6A01G377700;TraesCS2B01G605800;TraesCS6A01G000500;TraesCS2B01G437300;TraesCS4B01G106000;TraesCS5B01G526000;TraesCS7D01G087100;TraesCS3B01G306400;TraesCS3D01G030600;TraesCS6A01G250800;TraesCS4B01G047100;TraesCS1A01G367000;TraesCS5A01G322300;TraesCS3A01G357700;TraesCS2A01G216500;TraesCS7D01G165300;TraesCS3A01G045200;TraesCS3B01G390400;TraesCS1B01G231900;TraesCS2D01G415700;TraesCS3B01G401600;TraesCS5D01G181500;TraesCS6A01G225400;TraesCS2A01G418300;TraesCS1B01G162400;TraesCS7A01G455800;TraesCS3A01G310400;TraesCS1D01G146900;TraesCS1D01G345200;TraesCS5B01G184600;TraesCS6D01G211900;TraesCS6A01G140800;TraesCS1D01G243400;TraesCS1D01G163400;TraesCS1D01G218200;TraesCS2D01G097700;TraesCS7A01G118900;TraesCS5B01G188600;TraesCS7A01G435300;TraesCS5D01G328100;TraesCS2B01G537800;TraesCS2D01G223000;TraesCS3A01G272900;TraesCS2B01G485600;TraesCS3B01G289400;TraesCS6D01G157900;TraesCS2B01G053300;TraesCS7A01G480100;TraesCS3D01G378700;TraesCS2D01G349000;TraesCS7A01G031700;TraesCS2D01G364400;TraesCS2A01G516800;TraesCS3A01G152200;TraesCS2D01G216700;TraesCS3D01G104100;TraesCS7B01G294800;TraesCS3B01G141600;TraesCS3A01G257500;TraesCS3A01G385600;TraesCS1B01G384900;TraesCS2A01G525300;TraesCS3B01G307700;TraesCS1B01G091900;TraesCS6B01G051700;TraesCS2D01G537700;TraesCS7D01G495700;TraesCS4A01G414700;TraesCS4D01G261400;TraesCS3A01G256200;TraesCS5A01G401400;TraesCS5B01G501300;TraesCS2B01G242200;TraesCS1D01G419400;TraesCS6A01G178500;TraesCS7D01G324900;TraesCS4A01G098600;TraesCS3D01G256400;TraesCS2B01G001400;TraesCS6A01G216100;TraesCS6B01G163100;TraesCS7A01G167300;TraesCS2B01G045700;TraesCS1A01G080500;TraesCS1A01G330500;TraesCS5D01G104900;TraesCS3A01G290300;TraesCS7B01G309900;TraesCS6B01G300900;TraesCS2B01G536500;TraesCS6D01G122100;TraesCS7A01G264400;TraesCS1D01G372600;TraesCS5A01G294600;TraesCSU01G111800;TraesCS5A01G375000;TraesCS3D01G257500;TraesCS5D01G063800;TraesCS4B01G174300;TraesCS6B01G204600;TraesCS7B01G260800;TraesCS2B01G096000;TraesCS5B01G538800;TraesCS6B01G412500;TraesCS7D01G248200;TraesCS2B01G124100;TraesCS1A01G329500;TraesCS1A01G304200;TraesCS1A01G430100;TraesCS7B01G107300;TraesCS4D01G238600;TraesCS7B01G069100;TraesCS5B01G247700;TraesCS2A01G493800;TraesCS5B01G152600;TraesCS6A01G155200;TraesCS5A01G297900;TraesCS3D01G290100;TraesCS1D01G379000;TraesCS3B01G153800;TraesCS3A01G261800;TraesCS3A01G355700;TraesCS4A01G029800;TraesCS7B01G395000;TraesCS7D01G335800;TraesCS7D01G354100;TraesCS1A01G372400;TraesCSU01G238700;TraesCS3A01G224400;TraesCS6B01G199700;TraesCS1B01G376000;TraesCS7A01G242800;TraesCS2D01G491600;TraesCS3B01G291900;TraesCS3A01G129000;TraesCS1D01G236900;TraesCS4D01G059300;TraesCS6D01G146500;TraesCS2A01G211200;TraesCS1D01G140300;TraesCS4B01G315400;TraesCS2A01G431100;TraesCS5A01G426500;TraesCS1A01G411600;TraesCS2A01G040900;TraesCS2D01G139200;TraesCS1B01G356200;TraesCS6B01G205900;TraesCS5D01G190600;TraesCS2A01G396400;TraesCS4B01G201600;TraesCS4D01G176300;TraesCS5A01G205500;TraesCS3D01G261800;TraesCS5B01G204900;TraesCS7D01G146400;TraesCS1D01G372400;TraesCS5A01G016200;TraesCS6B01G256200;TraesCS2D01G117200;TraesCS3B01G473100;TraesCS1B01G001800;TraesCS5B01G538600;TraesCS2B01G394700;TraesCS7D01G355100;TraesCS7D01G086900;TraesCS2B01G208900;TraesCS2A01G343100;TraesCS7D01G114100;TraesCS7D01G449500;TraesCS2A01G382700;TraesCS6A01G241000;TraesCS2D01G582800;TraesCS2A01G049700;TraesCS2B01G414800;TraesCS6B01G471400;TraesCS1B01G167700;TraesCS3B01G600300;TraesCS1D01G082600;TraesCS2B01G060900;TraesCS7B01G225500;TraesCS2A01G538200;TraesCS5B01G384300;TraesCS5D01G475900;TraesCS7A01G249400;TraesCS7D01G356200;TraesCS6D01G166100;TraesCS7D01G085800;TraesCS6A01G336600;TraesCS6B01G415700;TraesCS6D01G195900;TraesCS6A01G378000;TraesCS2D01G451100;TraesCS2D01G222300;TraesCS4B01G203000;TraesCS4D01G340500;TraesCS2A01G199700;TraesCS1A01G016100;TraesCS1D01G364000;TraesCS5D01G358600;TraesCS4B01G162700;TraesCS5D01G048600;TraesCS1D01G381800;TraesCS6B01G412400;TraesCS2D01G509300;TraesCS4A01G010000;TraesCS4A01G255400;TraesCS4D01G326400;TraesCS6D01G257000;TraesCS4D01G238900;TraesCS4D01G293200;TraesCS3B01G348200;TraesCS2D01G463100;TraesCS2A01G509900;TraesCS1B01G119600;TraesCS2B01G324900;TraesCS1A01G273600;TraesCS2A01G463900;TraesCS7A01G213000;TraesCS6A01G258900;TraesCS6B01G413500;TraesCS6D01G359100;TraesCS2A01G371600;TraesCS7A01G343800;TraesCS5D01G163500;TraesCS3A01G477300;TraesCS3D01G049700;TraesCS5D01G519800;TraesCS3D01G335700;TraesCS4B01G287300;TraesCS5A01G429000;TraesCS7A01G091400;TraesCS3B01G119600;TraesCS2A01G106500;TraesCS1A01G079700;TraesCS2D01G485300;TraesCS7D01G506300;TraesCS6D01G056600;TraesCS4B01G345400;TraesCS3A01G230900;TraesCS5A01G376700;TraesCSU01G003600;TraesCS1A01G342600;TraesCS3D01G441900;TraesCS1B01G347100;TraesCS6D01G210100;TraesCS3B01G325100;TraesCS5B01G428400;TraesCS5B01G407300;TraesCS3A01G317700;TraesCS5D01G059300;TraesCS1A01G332800;TraesCS4A01G396700;TraesCS7B01G372400;TraesCS7D01G383600;TraesCS7D01G085600;TraesCS2D01G107100;TraesCSU01G016900;TraesCS1D01G372900;TraesCS2D01G455900;TraesCS2D01G577000;TraesCS3A01G064400;TraesCS4D01G126900;TraesCS3A01G362500;TraesCS3B01G166600;TraesCS3B01G288100;TraesCS7D01G300200;TraesCSU01G249900;TraesCS1A01G048100;TraesCS6B01G246800;TraesCS3A01G122300;TraesCS5B01G327800;TraesCS1D01G052000;TraesCS3D01G172200;TraesCS6D01G105000;TraesCS1B01G324000;TraesCSU01G047400;TraesCS7D01G265400;TraesCS3A01G443500;TraesCS4A01G323500;TraesCS4D01G352700;TraesCS3D01G345700;TraesCS1A01G047000;TraesCS1A01G080700;TraesCS6A01G277600;TraesCS6B01G381300;TraesCS2B01G035300;TraesCS3D01G219900;TraesCS1D01G076200;TraesCS5B01G208300;TraesCS6B01G152700;TraesCS7A01G321600;TraesCS7D01G451300;TraesCS6A01G301300;TraesCS1D01G047900;TraesCS6B01G059800;TraesCS6D01G158300;TraesCS4D01G089300;TraesCS5D01G069700;TraesCS5B01G520600;TraesCS1D01G335500;TraesCS2B01G047300;TraesCS5B01G474500;TraesCS1A01G296300;TraesCS2B01G240800;TraesCS1D01G239700;TraesCS6A01G327500;TraesCS1D01G082200;TraesCS7B01G301400;TraesCS7D01G463300;TraesCS1D01G032600;TraesCS1A01G072200;TraesCS2D01G222700;TraesCS2D01G564300;TraesCS5A01G152800;TraesCS3D01G324400;TraesCS4A01G384500;TraesCS5B01G225200;TraesCS6A01G375800;TraesCS3D01G272300;TraesCS2D01G528200;TraesCS1B01G109400;TraesCS2B01G241900;TraesCS2D01G464800;TraesCS4B01G132000;TraesCS5D01G455900;TraesCS6D01G328800;TraesCS4B01G216700;TraesCS6D01G335300;TraesCS7D01G357100;TraesCS3B01G100600;TraesCS5B01G056700;TraesCS1A01G073300;TraesCS1B01G385200;TraesCS4B01G055600;TraesCS1B01G251700;TraesCS7A01G131300;TraesCS3A01G439200;TraesCS1B01G375400;TraesCS3A01G357100;TraesCS3B01G352300;TraesCS2B01G539200;TraesCS4D01G312400;TraesCS2A01G182400;TraesCS3D01G315700;TraesCS4A01G071800;TraesCS3D01G349700;TraesCS1B01G157700;TraesCS2B01G400000;TraesCS3D01G542300;TraesCS7D01G054000;TraesCS2D01G098200;TraesCS3B01G477100;TraesCS6B01G069800;TraesCS7B01G167100;TraesCS5A01G222300;TraesCS2A01G150600;TraesCS5D01G195700;TraesCS4A01G171500;TraesCS5A01G048600;TraesCS4A01G211600;TraesCS3D01G262300;TraesCS5D01G212900;TraesCS7A01G384500;TraesCS6D01G362500;TraesCS6D01G316600;TraesCS3D01G273200;TraesCS2A01G117800;TraesCS2D01G190200;TraesCS5D01G158100;TraesCS6D01G107600;TraesCS4D01G264500;TraesCS2A01G209900;TraesCS7D01G364700;TraesCS5A01G173300;TraesCS7D01G167900;TraesCS7D01G444400;TraesCS2A01G023900;TraesCS4D01G229100;TraesCS7D01G037700;TraesCS3D01G230300;TraesCS4B01G052300;TraesCS5A01G463100;TraesCS2D01G227300;TraesCS1A01G066800;TraesCS5A01G185500;TraesCS3A01G419600;TraesCS6D01G050900;TraesCS5A01G514500;TraesCS3B01G410000;TraesCS4A01G431500;TraesCS3B01G376300;TraesCS5A01G210300;TraesCS6D01G047500;TraesCS3D01G182600;TraesCS3D01G337900;TraesCS1D01G073100;TraesCS7A01G059500;TraesCS6D01G381200;TraesCS3B01G253900;TraesCS1D01G333500;TraesCS2D01G509500;TraesCS3B01G295500;TraesCS3D01G136300;TraesCS7D01G130600;TraesCS3B01G053800;TraesCS6A01G374700;TraesCS2B01G187300;TraesCS3A01G034600;TraesCS2A01G033700;TraesCS6D01G115200;TraesCS4D01G220500;TraesCS2D01G178100;TraesCS5B01G437300;TraesCS7D01G203800;TraesCS1B01G157900;TraesCS7D01G341800;TraesCS3A01G123000;TraesCS4B01G054700;TraesCS4D01G325500;TraesCS7D01G048600;TraesCS7A01G091200;TraesCS7D01G128300;TraesCS1A01G429800;TraesCS4D01G267800;TraesCS6A01G211400;TraesCS3B01G374100;TraesCS1B01G204700;TraesCS3B01G280000;TraesCS1D01G295800;TraesCS1D01G270500;TraesCS3D01G535700;TraesCS7B01G325900;TraesCS3A01G493100;TraesCS1D01G220000;TraesCS2B01G197000;TraesCS6D01G161200;TraesCS6B01G305600;TraesCS7A01G127100;TraesCS2A01G056800;TraesCS3A01G097800;TraesCS4A01G101600;TraesCS2B01G440400;TraesCS3A01G255600;TraesCS7D01G136700;TraesCS1B01G254900;TraesCS2A01G418200;TraesCS5D01G031500;TraesCS6A01G225300;TraesCS2A01G455600;TraesCS5B01G151600;TraesCS2D01G549400;TraesCS2B01G243000;TraesCS4B01G181800;TraesCS6D01G240100;TraesCS3B01G194400;TraesCS2D01G217500;TraesCS5D01G478700;TraesCS1A01G002500;TraesCS5D01G374300;TraesCS2A01G503800;TraesCS1A01G424200;TraesCS2D01G033100;TraesCS6D01G153600;TraesCS2B01G489700;TraesCS5A01G062600;TraesCS2B01G236900;TraesCS3D01G209100;TraesCS4A01G262600;TraesCS6B01G006600;TraesCSU01G008300;TraesCS3B01G206500;TraesCS2D01G321400;TraesCS1B01G157300;TraesCS3B01G311900;TraesCS2D01G504300;TraesCS2B01G271700;TraesCS7B01G255500;TraesCS2A01G384100;TraesCS2D01G197600;TraesCS1D01G259700;TraesCS7B01G356400;TraesCS4B01G124800;TraesCS3A01G096500;TraesCS2D01G219900;TraesCS1D01G346200;TraesCS5B01G381500;TraesCS6B01G225800;TraesCS7B01G287100;TraesCS2B01G365900;TraesCS3D01G472000;TraesCS5D01G480600;TraesCS2B01G437200;TraesCS4D01G215200;TraesCS3D01G500800;TraesCS2D01G031100;TraesCS3D01G036000;TraesCS5A01G085900;TraesCS1A01G367100;TraesCS7D01G366600;TraesCS5B01G380400;TraesCS1D01G303700;TraesCS2D01G562200;TraesCS2A01G346000;TraesCS2D01G415600;TraesCS3D01G435900;TraesCS1D01G074600;TraesCS7D01G316100;TraesCS1D01G037200;TraesCS1D01G123700;TraesCS6B01G197000;TraesCS2D01G428900;TraesCS3D01G316700;TraesCS5A01G369500;TraesCS3B01G158300;TraesCS4B01G214600;TraesCS1B01G089100;TraesCS3D01G178300;TraesCS5B01G138400;TraesCS1B01G385000;TraesCS3D01G048000;TraesCS3D01G136700;TraesCS1B01G217500;TraesCS1B01G198700;TraesCS4D01G184200;TraesCS7D01G395100;TraesCS1D01G273800;TraesCS1A01G344000;TraesCS3D01G053600;TraesCS1D01G301300;TraesCS6A01G204600;TraesCS2D01G344700;TraesCS4B01G261800;TraesCS6A01G135100;TraesCS4D01G055000;TraesCS1D01G439300;TraesCS6D01G360800;TraesCS7D01G124900;TraesCS5B01G572600;TraesCS1D01G004700;TraesCS2B01G044700;TraesCS3A01G256300;TraesCS3D01G046000;TraesCS1D01G140400;TraesCS7A01G231600;TraesCS5B01G321800;TraesCS6A01G132400;TraesCS3B01G306500;TraesCS3D01G256500;TraesCS1A01G141300;TraesCS2D01G572600;TraesCS1B01G392400;TraesCS1A01G080600;TraesCS2B01G532000;TraesCS2B01G536600;TraesCS5A01G186000;TraesCS7D01G467100;TraesCS1D01G372700;TraesCS6D01G145100;TraesCS1B01G441900;TraesCS1A01G259900;TraesCS5D01G434500;TraesCS2D01G493700;TraesCS4B01G174200;TraesCS7B01G031900;TraesCS4A01G207800;TraesCS7A01G470400;TraesCS5D01G216400;TraesCS5D01G412500;TraesCS1A01G122800;TraesCS5D01G357800;TraesCS2B01G114000;TraesCS2A01G255300;TraesCS3B01G304300;TraesCS4A01G130300;TraesCS6A01G124800;TraesCS2A01G155500;TraesCS6D01G363200;TraesCS4A01G075600;TraesCS3B01G141500;TraesCS6A01G266900;TraesCS7D01G321500;TraesCS5D01G157900;TraesCS7B01G333700;TraesCS7D01G380900;TraesCS1B01G311400;TraesCS3A01G050300;TraesCS3D01G104000;TraesCS7B01G356800;TraesCS5A01G321300;TraesCS4A01G043800;TraesCS6A01G171800;TraesCS2A01G211300;TraesCS1D01G130400;TraesCS5B01G428000;TraesCS5A01G206700;TraesCS7D01G261300;TraesCS1B01G356100;TraesCS7A01G392800;TraesCS7D01G041400;TraesCS1A01G070600;TraesCS1B01G314700;TraesCS2A01G421400;TraesCS2B01G175800;TraesCS6A01G311400;TraesCS1D01G185500;TraesCS1A01G049600;TraesCS6D01G122200;TraesCS5D01G329100;TraesCS4B01G220200;TraesCS3A01G049500;TraesCS1D01G372500;TraesCS2A01G081400;TraesCS3B01G038900;TraesCS4D01G176200;TraesCS6B01G256300;TraesCS7D01G388400;TraesCS6B01G145800;TraesCS4A01G102900;TraesCS5B01G184100;TraesCS5B01G188700;TraesCS1A01G430000;TraesCS7D01G248100;TraesCS3A01G101800;TraesCS3B01G148100;TraesCS3D01G048400;TraesCS2A01G548300;TraesCS3A01G272800;TraesCS1A01G342900;TraesCS6B01G238900;TraesCS6B01G385500;TraesCS3B01G524400;TraesCS6D01G191500;TraesCS7A01G387000;TraesCS3A01G261700;TraesCS3B01G289500;TraesCS2D01G394200;TraesCS3A01G217900;TraesCS2A01G516500;TraesCS6D01G307100;TraesCS2B01G452400;TraesCS1A01G215900;TraesCS2B01G511300;TraesCS7B01G271600;TraesCS5D01G111500;TraesCS5A01G321500;TraesCS7A01G053400;TraesCS5D01G281200;TraesCS7B01G228900;TraesCS4D01G202300;TraesCS1D01G184500;TraesCS5D01G210800;TraesCS4B01G059700;TraesCS4D01G316500;TraesCS3A01G285700;TraesCS2A01G217200;TraesCS3A01G101700;TraesCS2D01G509400;TraesCS1D01G094700;TraesCS2A01G211900;TraesCS5D01G142900;TraesCS2D01G534600;TraesCS2B01G504600;TraesCS6D01G191400;TraesCS4B01G068300;TraesCS5A01G156200;TraesCS7D01G417800;TraesCS7B01G030400;TraesCS3D01G412400;TraesCS6B01G136100;TraesCS6B01G152800;TraesCS4B01G264500;TraesCS2B01G220900;TraesCS5D01G159100;TraesCS2B01G266900;TraesCS7A01G091500;TraesCS1A01G257200;TraesCS4A01G391100;TraesCS1D01G081400;TraesCS3A01G021600;TraesCS5A01G147500;TraesCS3D01G432000;TraesCS2B01G435600;TraesCS2D01G066900;TraesCS1D01G101300;TraesCS1D01G082500;TraesCS3A01G110400;TraesCS3A01G135700;TraesCS7A01G364200;TraesCS2A01G371700;TraesCS5A01G320600;TraesCS7B01G225600;TraesCS6B01G358800;TraesCS4D01G180700;TraesCS1B01G430800;TraesCS5D01G097900;TraesCS6D01G258200;TraesCS7B01G301100;TraesCS5A01G467600;TraesCS2D01G419700;TraesCS4D01G032900;TraesCS4A01G221700;TraesCS4D01G168600;TraesCS3B01G110500;TraesCS2A01G462700;TraesCS3B01G310000;TraesCS1A01G048000;TraesCS2D01G509200;TraesCS7B01G029200;TraesCS3D01G193200;TraesCS1B01G062200;TraesCS3B01G290300;TraesCS4D01G203900;TraesCS1B01G119700;TraesCS4D01G052500;TraesCS1A01G103900;TraesCS2D01G201700;TraesCS6B01G257800;TraesCS3A01G351500;TraesCS2D01G534400;TraesCS6A01G168900;TraesCS1D01G344700;TraesCS5B01G202900;TraesCS3D01G045400;TraesCS6B01G266500;TraesCS7A01G400900;TraesCS4B01G228200;TraesCS7A01G434300;TraesCS5B01G042800;TraesCS5D01G343000;TraesCS1D01G330300;TraesCS2B01G100300;TraesCS5B01G208200;TraesCS2A01G308400;TraesCS2D01G379000;TraesCS6B01G152600;TraesCS2B01G220700;TraesCS2B01G323700;TraesCS4B01G231400;TraesCS6D01G158400;TraesCS3B01G119500;TraesCS7A01G328100;TraesCS7D01G114200;TraesCS2B01G067000;TraesCS2D01G485200;TraesCS5D01G073900;TraesCS7D01G394800;TraesCS2D01G418400;TraesCS6B01G169000;TraesCS5A01G351300;TraesCS2A01G532800;TraesCS1D01G101100;TraesCS3D01G256600;TraesCS5D01G152300;TraesCS5D01G177800;TraesCS1A01G235200;TraesCS2D01G511300;TraesCS3B01G151200;TraesCS3A01G479800;TraesCS2A01G098700;TraesCS1D01G372800;TraesCS1D01G206900;TraesCS4D01G126800;TraesCS6B01G415600;TraesCS7A01G419500;TraesCS3B01G013200;TraesCS6D01G397500;TraesCS5A01G377900;TraesCS1A01G203400;TraesCS7D01G053900;TraesCS4B01G216000;TraesCS1A01G333800;TraesCS5A01G237700;TraesCS4A01G267300;TraesCS3D01G276200;TraesCS6B01G183300;TraesCS5D01G145100;TraesCS2A01G217600;TraesCS1B01G385300;TraesCS2B01G216800;TraesCS1B01G456700;TraesCS1A01G145100;TraesCS1A01G149700;TraesCS2B01G114900;TraesCS4D01G159500;TraesCS6D01G247700;TraesCS4D01G172700;TraesCS4D01G312300;TraesCS5D01G452500;TraesCS1B01G283400;TraesCS3A01G530200;TraesCS3B01G361100;TraesCS3B01G388600;TraesCS1B01G120100;TraesCS2A01G214100;TraesCS3B01G384000;TraesCS6D01G032300;TraesCS4B01G237300;TraesCS5A01G138600;TraesCS3A01G463400;TraesCS5D01G304700;TraesCS5A01G249900;TraesCS3B01G238600;TraesCS5D01G373700;TraesCS1A01G312300;TraesCS2B01G562100;TraesCS1A01G031200;TraesCS3B01G248400;TraesCS5B01G236200;TraesCS7B01G222500;TraesCS2A01G347400;TraesCS3A01G262200;TraesCS2A01G368700;TraesCS5D01G386800;TraesCS1B01G270300;TraesCS2B01G521800;TraesCS7A01G096800;TraesCS5B01G069900;TraesCS2A01G532600;TraesCS6D01G210200;TraesCS2D01G517200;TraesCS1D01G367800;TraesCS4D01G222600;TraesCS4D01G046900;TraesCS7A01G154900;TraesCS4A01G186700;TraesCS4A01G083900;TraesCS5D01G564000;TraesCS1D01G312500;TraesCS1B01G248400;TraesCS1D01G439500;TraesCS2B01G241800;TraesCS6B01G367100;TraesCS1B01G097700;TraesCS5A01G136200;TraesCS3A01G054100;TraesCS3D01G182300;TraesCS1D01G073000;TraesCS2D01G284200;TraesCS5B01G056800;TraesCS2D01G380800;TraesCS2D01G207400;TraesCS5A01G160100;TraesCS7B01G253600;TraesCS5A01G092600;TraesCS3B01G218800;TraesCS1D01G067800;TraesCS3A01G034700;TraesCS2B01G244000;TraesCS4B01G041300;TraesCS5B01G457000;TraesCS2B01G366600;TraesCS3D01G097000;TraesCS6D01G330800;TraesCS7B01G141900;TraesCS5B01G366400;TraesCS4A01G081700;TraesCS2D01G055600;TraesCS7B01G222700;TraesCS6D01G280700;TraesCS3D01G262200;TraesCS1A01G325800;TraesCS4B01G294300;TraesCS3D01G046900;TraesCS3A01G323200;TraesCS7A01G129300;TraesCS2D01G574000;TraesCS2D01G062100;TraesCS4D01G217000;TraesCS5D01G158000;TraesCS7D01G129500;TraesCS6D01G159100;TraesCS2B01G594100;TraesCS3B01G585400;TraesCS3D01G124200;TraesCS3D01G313600;TraesCS2B01G364400;TraesCS1A01G301600;TraesCS2D01G348900;TraesCS6A01G116200;TraesCS7D01G444500;TraesCS6B01G192400;TraesCS6A01G223500;TraesCS1B01G305200;TraesCS3D01G356300;TraesCS6A01G352800;TraesCS7D01G457800;TraesCS6A01G375900;TraesCS4B01G132100;TraesCS5B01G064400;TraesCS1A01G016000;TraesCS2A01G485600;TraesCS7A01G325000;TraesCS4A01G431600;TraesCS7B01G220500</t>
  </si>
  <si>
    <t>drug binding</t>
  </si>
  <si>
    <t>TraesCS3B01G490000;TraesCS1A01G218400;TraesCS2D01G022300;TraesCS5D01G038000;TraesCS7D01G092900;TraesCS4D01G232700;TraesCS7B01G473700;TraesCS5D01G407400;TraesCS2A01G389900;TraesCS6B01G169700;TraesCS4A01G159700;TraesCS5B01G491000;TraesCS3A01G481000;TraesCS3A01G349900;TraesCS2B01G236800;TraesCS4D01G210900;TraesCS2B01G177500;TraesCS5A01G469000;TraesCS5A01G129500;TraesCS6D01G130800;TraesCS1A01G139500;TraesCS4A01G499200;TraesCS2D01G079200;TraesCS3B01G485900;TraesCS6A01G259200;TraesCS7A01G476700;TraesCS2B01G350500;TraesCS5B01G209800;TraesCS7B01G274100;TraesCS3D01G049000;TraesCS5B01G347900;TraesCS3D01G350300;TraesCS3D01G278000;TraesCS2D01G380500;TraesCS2B01G520300;TraesCS6D01G049600;TraesCS2A01G292000;TraesCS1B01G370900;TraesCS2D01G540500;TraesCS4D01G150300;TraesCS3A01G342000;TraesCS6A01G297500;TraesCS5B01G526200;TraesCS6A01G052100;TraesCS4B01G376800;TraesCS5A01G447200;TraesCS5D01G535700;TraesCS4A01G035900;TraesCS2A01G005100;TraesCS2D01G255700;TraesCS5D01G490700;TraesCS3D01G351600;TraesCS6A01G271300;TraesCS5A01G477900;TraesCS1A01G367200;TraesCS5B01G101200;TraesCS2A01G182800;TraesCS2A01G216700;TraesCS2A01G396200;TraesCS3D01G234400;TraesCS6D01G332200;TraesCS2A01G537900;TraesCS1D01G221000;TraesCS2D01G392500;TraesCS3B01G126400;TraesCS2D01G506600;TraesCS5B01G318100;TraesCS7B01G047300;TraesCS3A01G136100;TraesCS4A01G251600;TraesCS3A01G163300;TraesCS4B01G306900;TraesCS6B01G145700;TraesCS3D01G316400;TraesCS6B01G351600;TraesCS7D01G178000;TraesCS1A01G184500;TraesCS1D01G302500;TraesCS1A01G243400;TraesCS3A01G048700;TraesCS7B01G239300;TraesCS3A01G107600;TraesCS1B01G385100;TraesCS4A01G089700;TraesCS5A01G403200;TraesCS2A01G479900;TraesCS1D01G363500;TraesCS4B01G238700;TraesCS6D01G289700;TraesCS6A01G078700;TraesCS6A01G353700;TraesCS3B01G113500;TraesCS2B01G139200;TraesCS5B01G183500;TraesCS5D01G464000;TraesCS6B01G192900;TraesCS1A01G181000;TraesCS2D01G151500;TraesCS7D01G377600;TraesCS5D01G183700;TraesCS2D01G226300;TraesCS5A01G216000;TraesCS5B01G146100;TraesCS3D01G010800;TraesCS5D01G491600;TraesCS7B01G356500;TraesCS5B01G192000;TraesCS7D01G271600;TraesCS4B01G327800;TraesCS3B01G049700;TraesCS1A01G182300;TraesCS5A01G197200;TraesCS7B01G415400;TraesCS3B01G125500;TraesCS1D01G335400;TraesCS6A01G377700;TraesCS2A01G546400;TraesCS2B01G605800;TraesCS6A01G000500;TraesCS7B01G311600;TraesCS2B01G437300;TraesCS4B01G106000;TraesCS4B01G097000;TraesCS5A01G343000;TraesCS7D01G087100;TraesCS3B01G306400;TraesCS6A01G250800;TraesCS2B01G097300;TraesCS3D01G225900;TraesCS4B01G047100;TraesCS1D01G106000;TraesCS3A01G045200;TraesCS4D01G172100;TraesCS1A01G435400;TraesCS3D01G041500;TraesCS1B01G231900;TraesCS2D01G415700;TraesCS5D01G181500;TraesCS6A01G225400;TraesCS6D01G038500;TraesCS1B01G162400;TraesCS7A01G455800;TraesCS3A01G310400;TraesCS1D01G146900;TraesCS1D01G345200;TraesCS3A01G448400;TraesCS6D01G211900;TraesCS7A01G277500;TraesCS3A01G356600;TraesCS6A01G140800;TraesCS2A01G318300;TraesCS1D01G163400;TraesCS1D01G218200;TraesCS7A01G118900;TraesCS4D01G087800;TraesCS5D01G084300;TraesCS7A01G435300;TraesCS2D01G246800;TraesCS5D01G328100;TraesCS3A01G272900;TraesCS7D01G523800;TraesCS3B01G289400;TraesCS6D01G157900;TraesCS2B01G053300;TraesCS3B01G394600;TraesCS3D01G378700;TraesCS5B01G174200;TraesCS7B01G254100;TraesCS7A01G031700;TraesCS2D01G364400;TraesCS2D01G423700;TraesCS7D01G368700;TraesCS3A01G152200;TraesCS7D01G415100;TraesCS3B01G141600;TraesCS3A01G385600;TraesCS5A01G129100;TraesCS1D01G089400;TraesCS3D01G305300;TraesCS2D01G445500;TraesCS3B01G307700;TraesCS1B01G091900;TraesCS3A01G413700;TraesCS6B01G051700;TraesCS3D01G442100;TraesCS5A01G512800;TraesCS2D01G537700;TraesCS7D01G495700;TraesCS2B01G268800;TraesCS4A01G414700;TraesCS6B01G406000;TraesCS5A01G401400;TraesCS4D01G014400;TraesCS5D01G271100;TraesCS5B01G501300;TraesCS2A01G488000;TraesCS2B01G242200;TraesCS5A01G106000;TraesCS5D01G026400;TraesCS6A01G178500;TraesCS3A01G280500;TraesCS4A01G098600;TraesCS3D01G036100;TraesCS6B01G163100;TraesCS1D01G080600;TraesCS2B01G045700;TraesCS5D01G104900;TraesCS3A01G290300;TraesCS6B01G300900;TraesCS2B01G381600;TraesCS5B01G372500;TraesCS5B01G156800;TraesCS5D01G379700;TraesCS1B01G382500;TraesCS5A01G375000;TraesCS5A01G543900;TraesCS2A01G078100;TraesCS3D01G257500;TraesCS5D01G063800;TraesCS6B01G204600;TraesCS7B01G260800;TraesCS2B01G096000;TraesCS2A01G479500;TraesCS5B01G163500;TraesCS2B01G124100;TraesCS1A01G430100;TraesCS5B01G490500;TraesCS5D01G098900;TraesCS7B01G069100;TraesCS5B01G247700;TraesCS2A01G493800;TraesCS3D01G084600;TraesCS7B01G034000;TraesCS4D01G031800;TraesCS3A01G414600;TraesCS1D01G380000;TraesCS2B01G569600;TraesCS5A01G297900;TraesCS5B01G048500;TraesCS3D01G290100;TraesCS1D01G379000;TraesCS3A01G261800;TraesCS3A01G355700;TraesCS2D01G016900;TraesCS4A01G279100;TraesCS3B01G357200;TraesCS7D01G335800;TraesCS3B01G256500;TraesCS3B01G164700;TraesCS3A01G224400;TraesCS5B01G316300;TraesCS3A01G146800;TraesCS6B01G280300;TraesCS7A01G449500;TraesCS7A01G242800;TraesCS3A01G129000;TraesCS5B01G402800;TraesCS1D01G236900;TraesCS4D01G059300;TraesCS1D01G140300;TraesCS4B01G315400;TraesCS2A01G431100;TraesCS3B01G593700;TraesCS6A01G097400;TraesCS6D01G300600;TraesCS5B01G540900;TraesCS4D01G222000;TraesCS1B01G356200;TraesCS1A01G095800;TraesCS6B01G205900;TraesCS7D01G471300;TraesCS4B01G305600;TraesCS4B01G037700;TraesCS5D01G509800;TraesCS7B01G433200;TraesCS5B01G204900;TraesCS1A01G303100;TraesCS7D01G146400;TraesCS7A01G473600;TraesCS7B01G175200;TraesCS1D01G372400;TraesCS1A01G177800;TraesCS5B01G152400;TraesCS6B01G256200;TraesCS2D01G117200;TraesCS2B01G302400;TraesCS3B01G473100;TraesCS4A01G202200;TraesCS7D01G457000;TraesCS5B01G538600;TraesCS1B01G234500;TraesCS6B01G382800;TraesCS3A01G109300;TraesCS3A01G120100;TraesCS6A01G241000;TraesCS2D01G582800;TraesCS5D01G518700;TraesCS6B01G471400;TraesCS1B01G167700;TraesCS1B01G096300;TraesCS3A01G410600;TraesCS2B01G060900;TraesCS7D01G435100;TraesCS7B01G225500;TraesCS4B01G037800;TraesCS5D01G475900;TraesCS7A01G249400;TraesCS7D01G356200;TraesCS7D01G085800;TraesCS6B01G415700;TraesCS7D01G438600;TraesCS5A01G224100;TraesCS5A01G261400;TraesCS2D01G222300;TraesCS4D01G340500;TraesCS5D01G142800;TraesCS7A01G339100;TraesCS7B01G328500;TraesCS2A01G199700;TraesCS4A01G218200;TraesCS6A01G349700;TraesCS7A01G516900;TraesCS1A01G016100;TraesCS1D01G364000;TraesCS5D01G048600;TraesCS3D01G520900;TraesCS1D01G381800;TraesCS7D01G346400;TraesCS3A01G153000;TraesCS1A01G077500;TraesCS2D01G509300;TraesCS3D01G381800;TraesCS5B01G375600;TraesCS5A01G166100;TraesCS4D01G238900;TraesCS4D01G293200;TraesCS3B01G348200;TraesCS5A01G477100;TraesCS4D01G031700;TraesCS2A01G509900;TraesCS3B01G448000;TraesCS1B01G119600;TraesCS2D01G467700;TraesCS1A01G273600;TraesCS2A01G463900;TraesCS7A01G213000;TraesCS6B01G413500;TraesCS4B01G377200;TraesCS2B01G127700;TraesCS3A01G477300;TraesCS4B01G287300;TraesCS5A01G429000;TraesCS2B01G333600;TraesCS7A01G091400;TraesCS1A01G238800;TraesCS5D01G413200;TraesCS3D01G148300;TraesCS2D01G112700;TraesCS3B01G119600;TraesCS6B01G269900;TraesCS2D01G326600;TraesCS1A01G079700;TraesCS7D01G449700;TraesCSU01G172100;TraesCS6D01G111700;TraesCS7D01G071200;TraesCS5A01G376700;TraesCS5B01G153300;TraesCS7D01G263200;TraesCS5D01G137000;TraesCS6D01G210100;TraesCS3B01G325100;TraesCS5B01G407300;TraesCS5D01G059300;TraesCS4A01G396700;TraesCS3B01G419900;TraesCS2A01G291900;TraesCS4B01G033400;TraesCS2D01G157600;TraesCS5A01G337100;TraesCS3B01G120600;TraesCS1D01G372900;TraesCS2B01G345600;TraesCS1B01G258900;TraesCS2D01G577000;TraesCS3A01G064400;TraesCS3A01G362500;TraesCS3A01G488400;TraesCS4A01G248900;TraesCS3B01G288100;TraesCS7D01G000400;TraesCS5D01G188600;TraesCS4B01G023600;TraesCS6D01G328200;TraesCS7A01G086000;TraesCS7D01G300200;TraesCS1A01G048100;TraesCS2A01G026800;TraesCS4D01G316400;TraesCS5D01G390500;TraesCS3A01G044800;TraesCS4B01G378100;TraesCS3A01G122300;TraesCS5B01G327800;TraesCS1D01G052000;TraesCS3A01G325100;TraesCS5D01G487900;TraesCS6D01G105000;TraesCSU01G047400;TraesCS3D01G500100;TraesCS7D01G265400;TraesCS3A01G443500;TraesCS6A01G176400;TraesCS2D01G339900;TraesCS7B01G208100;TraesCS3D01G345700;TraesCS1A01G080700;TraesCS1A01G078400;TraesCS1D01G414700;TraesCS4D01G182800;TraesCS3A01G062200;TraesCS6B01G289500;TraesCS2B01G100200;TraesCS7D01G451300;TraesCS7B01G247000;TraesCS6A01G301300;TraesCS1D01G047900;TraesCS3A01G249300;TraesCS6D01G158300;TraesCS2D01G322200;TraesCS7B01G081700;TraesCS3D01G088200;TraesCS5B01G373000;TraesCS1D01G335500;TraesCS7D01G506900;TraesCS5B01G474500;TraesCS1A01G296300;TraesCS2B01G240800;TraesCS2B01G246100;TraesCS6A01G327500;TraesCS3D01G109100;TraesCS3A01G452400;TraesCS7B01G301400;TraesCS7D01G463300;TraesCS1A01G072200;TraesCS2D01G222700;TraesCS5A01G152800;TraesCS5B01G303800;TraesCS4D01G195700;TraesCS3D01G324400;TraesCS4B01G016000;TraesCS2D01G315900;TraesCS3D01G272300;TraesCS4D01G242100;TraesCS1B01G109400;TraesCS5D01G455900;TraesCS3D01G350700;TraesCS7B01G079400;TraesCS6D01G335300;TraesCS7D01G357100;TraesCS2D01G540100;TraesCS3B01G100600;TraesCS1B01G385200;TraesCS5A01G398900;TraesCSU01G128800;TraesCS4B01G055600;TraesCS5A01G373600;TraesCS7B01G253700;TraesCS1B01G375400;TraesCS3A01G357100;TraesCS5A01G263200;TraesCS3B01G352300;TraesCS5A01G477500;TraesCS4D01G312400;TraesCS6D01G243000;TraesCS5D01G370100;TraesCS7D01G347300;TraesCS2A01G182400;TraesCS3D01G349700;TraesCS2B01G400000;TraesCS3D01G542300;TraesCS1A01G248200;TraesCS3B01G154000;TraesCS2A01G008100;TraesCS3B01G477100;TraesCS6B01G069800;TraesCS7B01G167100;TraesCS5A01G222300;TraesCS6D01G133900;TraesCS5D01G195700;TraesCS1D01G217700;TraesCS3A01G337500;TraesCS6B01G091700;TraesCS4A01G211600;TraesCS4A01G129800;TraesCS7A01G384500;TraesCS1D01G054600;TraesCS6D01G358000;TraesCS6D01G362500;TraesCS3D01G319000;TraesCS2A01G368600;TraesCS7D01G342900;TraesCS7A01G267200;TraesCS6D01G316600;TraesCS3D01G273200;TraesCS2A01G117800;TraesCS2D01G190200;TraesCS3B01G379800;TraesCS5D01G223800;TraesCS6D01G107600;TraesCS3D01G149600;TraesCS2A01G209900;TraesCS7D01G364700;TraesCS5A01G173300;TraesCS5B01G519400;TraesCS7D01G444400;TraesCS4D01G229100;TraesCS7D01G037700;TraesCS1A01G418900;TraesCS5D01G297200;TraesCS4A01G034600;TraesCS5D01G070900;TraesCS1D01G359900;TraesCS2D01G227300;TraesCS1A01G066800;TraesCS4D01G032200;TraesCS5A01G514500;TraesCS3B01G376300;TraesCS5A01G210300;TraesCS3D01G310200;TraesCS4B01G346900;TraesCS5A01G159000;TraesCS6D01G047500;TraesCSU01G002900;TraesCS3D01G182600;TraesCS4D01G127600;TraesCS4D01G209500;TraesCS2A01G586100;TraesCS6D01G381200;TraesCS3B01G253900;TraesCS2A01G437200;TraesCS2B01G401300;TraesCS3D01G499900;TraesCS3D01G136300;TraesCS3B01G053800;TraesCS4B01G182900;TraesCS6A01G374700;TraesCS2B01G007700;TraesCS2B01G187300;TraesCS3A01G034600;TraesCS2B01G223000;TraesCS6D01G115200;TraesCS3A01G391400;TraesCS1D01G103800;TraesCS1A01G365100;TraesCS2D01G178100;TraesCS1B01G157900;TraesCS4B01G054700;TraesCS4D01G254500;TraesCS4B01G205400;TraesCS5D01G014800;TraesCS1D01G123400;TraesCS3A01G356200;TraesCS4A01G059900;TraesCS4D01G267800;TraesCS2B01G071200;TraesCS3B01G374100;TraesCSU01G075000;TraesCS1B01G204700;TraesCS3D01G238000;TraesCS5A01G545200;TraesCS7D01G420400;TraesCS4D01G324800;TraesCS1D01G220000;TraesCS6A01G240700;TraesCS3B01G536200;TraesCS4D01G230400;TraesCS7B01G346600;TraesCS2D01G540600;TraesCS6A01G201100;TraesCS4A01G406100;TraesCS5D01G490600;TraesCS7D01G131000;TraesCS2A01G056800;TraesCS6D01G380400;TraesCS1A01G162400;TraesCS5A01G326800;TraesCS3A01G097800;TraesCS4B01G142200;TraesCS3B01G552700;TraesCS1D01G005400;TraesCS5B01G135100;TraesCS1B01G126600;TraesCS2B01G440400;TraesCS7D01G136700;TraesCS1B01G254900;TraesCS2A01G418200;TraesCS2B01G198100;TraesCS2A01G455600;TraesCS5B01G151600;TraesCS2D01G549400;TraesCS2D01G231600;TraesCS7A01G447000;TraesCS4B01G181800;TraesCS4D01G093300;TraesCS3B01G194400;TraesCS2D01G217500;TraesCS2A01G378900;TraesCS5B01G222900;TraesCS6D01G354100;TraesCS2B01G279200;TraesCS1A01G358600;TraesCS2A01G395000;TraesCS3B01G423300;TraesCS4A01G385300;TraesCS5D01G374300;TraesCS1A01G424200;TraesCS2B01G489700;TraesCS2B01G236900;TraesCS3D01G209100;TraesCS2A01G325100;TraesCS1B01G157300;TraesCS3B01G311900;TraesCS5B01G288700;TraesCS1D01G072200;TraesCS2B01G271700;TraesCS6D01G246900;TraesCS1D01G118300;TraesCS7D01G507000;TraesCS4D01G187900;TraesCS5B01G490000;TraesCS7B01G356400;TraesCS4B01G124800;TraesCS4D01G206300;TraesCS3A01G096500;TraesCS5A01G315700;TraesCS1D01G346200;TraesCS6B01G225800;TraesCS3D01G285700;TraesCS2B01G365900;TraesCS1D01G004500;TraesCS5D01G491500;TraesCS2B01G437200;TraesCS6A01G331400;TraesCS7A01G542600;TraesCS4D01G215200;TraesCS3D01G500800;TraesCS7A01G075600;TraesCS3D01G036000;TraesCS5A01G085900;TraesCS1A01G367100;TraesCS5D01G410500;TraesCS5B01G380400;TraesCS2B01G339600;TraesCS2A01G346000;TraesCS2D01G415600;TraesCS3A01G232300;TraesCS7D01G316100;TraesCS6D01G240300;TraesCS7A01G428300;TraesCS1A01G169000;TraesCS1D01G123700;TraesCS5B01G318200;TraesCS3A01G012400;TraesCS2D01G428900;TraesCS5A01G369500;TraesCS7A01G254300;TraesCS1A01G219400;TraesCS3B01G158300;TraesCS4B01G214600;TraesCS5D01G136600;TraesCS5B01G117700;TraesCSU01G145300;TraesCS3D01G048000;TraesCS3D01G136700;TraesCS1B01G217500;TraesCS1B01G198700;TraesCS6D01G222900;TraesCS3D01G192800;TraesCS5A01G544500;TraesCS2D01G203300;TraesCS6B01G423900;TraesCS4D01G002500;TraesCS5B01G491300;TraesCS1D01G273800;TraesCS1A01G344000;TraesCS1D01G301300;TraesCS5B01G059900;TraesCS6A01G204600;TraesCS1A01G141900;TraesCS2D01G344700;TraesCS5B01G246900;TraesCSU01G127900;TraesCS4B01G261800;TraesCS6A01G135100;TraesCS6D01G383900;TraesCS4D01G055000;TraesCS1D01G439300;TraesCS6D01G360800;TraesCS1A01G029800;TraesCS7A01G187000;TraesCS4B01G378000;TraesCS3A01G256300;TraesCS7A01G231600;TraesCS4D01G064800;TraesCS1D01G035200;TraesCS4A01G181900;TraesCS3B01G446800;TraesCS4B01G106500;TraesCS2A01G505800;TraesCS5D01G026300;TraesCS5B01G321800;TraesCS6A01G132400;TraesCS2A01G232200;TraesCS3B01G306500;TraesCS2D01G572600;TraesCS2A01G425800;TraesCS1B01G447200;TraesCS2B01G230300;TraesCS1B01G392400;TraesCS1A01G080600;TraesCS3A01G513200;TraesCS1B01G044800;TraesCS2B01G532000;TraesCS5D01G490200;TraesCS5A01G186000;TraesCS1B01G441900;TraesCS5D01G411400;TraesCS1A01G259900;TraesCS1B01G382600;TraesCS4B01G132800;TraesCS5D01G434500;TraesCS4A01G100900;TraesCS4B01G174200;TraesCS7D01G512800;TraesCS2A01G290100;TraesCS7A01G273000;TraesCS7B01G031900;TraesCS5B01G490400;TraesCS5D01G216400;TraesCS6D01G243800;TraesCS1A01G122800;TraesCS5D01G357800;TraesCS2B01G114000;TraesCS2A01G255300;TraesCS5A01G253700;TraesCS3B01G304300;TraesCS1A01G051700;TraesCS5B01G103100;TraesCS4A01G130300;TraesCS6A01G124800;TraesCS2A01G155500;TraesCS4A01G279200;TraesCS5D01G089900;TraesCS2B01G419400;TraesCS7A01G134000;TraesCS3B01G141500;TraesCS5A01G076600;TraesCS6A01G266900;TraesCS7D01G321500;TraesCS5B01G396800;TraesCS5D01G331600;TraesCS5D01G157900;TraesCS7B01G333700;TraesCS1B01G311400;TraesCS3A01G050300;TraesCS7A01G449600;TraesCS5D01G321800;TraesCS5A01G380700;TraesCS7B01G356800;TraesCS4A01G043800;TraesCS2B01G130900;TraesCS5D01G491100;TraesCS2A01G211300;TraesCS1D01G130400;TraesCS2A01G250900;TraesCS3A01G109500;TraesCS2A01G152400;TraesCS5B01G428000;TraesCS1A01G245300;TraesCS7D01G261300;TraesCS1B01G219300;TraesCS4A01G226300;TraesCS7D01G041400;TraesCS7D01G387300;TraesCS6A01G296700;TraesCS2A01G421400;TraesCS2B01G175800;TraesCS1B01G371900;TraesCS6A01G311400;TraesCS1D01G185500;TraesCS6D01G122200;TraesCS1A01G351600;TraesCS7D01G417600;TraesCS6A01G376300;TraesCS4D01G031900;TraesCSU01G025000;TraesCS1D01G372500;TraesCS3B01G038900;TraesCS7B01G433100;TraesCS6B01G151000;TraesCS1D01G175700;TraesCS1D01G359100;TraesCS6B01G091000;TraesCS7A01G391700;TraesCS3B01G139600;TraesCS3D01G408100;TraesCS5D01G388500;TraesCS7B01G293600;TraesCS6D01G207700;TraesCSU01G145700;TraesCS3D01G317400;TraesCS5B01G184100;TraesCS1A01G430000;TraesCS3B01G148100;TraesCS3D01G048400;TraesCS3A01G272800;TraesCS7D01G523900;TraesCS3A01G227800;TraesCS5D01G353400;TraesCSU01G152000;TraesCS6B01G385500;TraesCS3D01G384200;TraesCS3B01G581600;TraesCS3A01G261700;TraesCS3B01G289500;TraesCS2A01G539600;TraesCS6A01G227300;TraesCS2D01G394200;TraesCS4B01G203900;TraesCS4A01G098900;TraesCS2A01G516500;TraesCS2B01G452400;TraesCS1A01G215900;TraesCS3D01G341500;TraesCS1D01G036500;TraesCS6A01G404500;TraesCS3A01G413600;TraesCS4A01G164100;TraesCS5A01G321500;TraesCS1B01G242500;TraesCS7A01G053400;TraesCS4D01G202300;TraesCS3D01G321400;TraesCS4B01G059700;TraesCS4B01G254700;TraesCS5D01G231500;TraesCS2D01G374600;TraesCS3A01G285700;TraesCS7D01G508800;TraesCS2D01G509400;TraesCS5D01G036500;TraesCS5A01G000900;TraesCS1D01G094700;TraesCS4D01G238800;TraesCS3D01G336900;TraesCS5D01G142900;TraesCS4B01G215100;TraesCSU01G128300;TraesCS5A01G156200;TraesCS5D01G207400;TraesCS2D01G543300;TraesCS7B01G326200;TraesCS6B01G152800;TraesCS4B01G264500;TraesCS3B01G128000;TraesCS5B01G262900;TraesCS3B01G328700;TraesCS2A01G508900;TraesCS2B01G220900;TraesCS1A01G257200;TraesCS4A01G391100;TraesCS1D01G081400;TraesCS6A01G144900;TraesCS3A01G537700;TraesCS4A01G175600;TraesCS5D01G233700;TraesCS5D01G491000;TraesCS4A01G232600;TraesCS7D01G439800;TraesCS2A01G152500;TraesCS2A01G322500;TraesCS7A01G133200;TraesCS7A01G195800;TraesCS6D01G155100;TraesCS2D01G066900;TraesCS6D01G239700;TraesCS3A01G110400;TraesCS3A01G135700;TraesCS7A01G364200;TraesCS5A01G320600;TraesCS7B01G225600;TraesCS2D01G396300;TraesCS6B01G358800;TraesCS1B01G430800;TraesCS5D01G097900;TraesCS4B01G037900;TraesCS5A01G205700;TraesCS7A01G516800;TraesCS4D01G131100;TraesCS3B01G282500;TraesCS5A01G453200;TraesCS2A01G462700;TraesCS5B01G490900;TraesCS1A01G048000;TraesCS1B01G456900;TraesCS7B01G029200;TraesCS3D01G193200;TraesCS3D01G500000;TraesCS7D01G244800;TraesCS6A01G119900;TraesCS1B01G062200;TraesCS3B01G448100;TraesCS5A01G263500;TraesCS6B01G257800;TraesCS2D01G534400;TraesCS6A01G168900;TraesCS6D01G065200;TraesCS6B01G423000;TraesCS7A01G186900;TraesCS4B01G062800;TraesCS5B01G202900;TraesCS3D01G045400;TraesCS1A01G112600;TraesCS4B01G377100;TraesCS7A01G373100;TraesCS2D01G547700;TraesCS7B01G273600;TraesCS1D01G330300;TraesCS2B01G100300;TraesCS5B01G208200;TraesCS4B01G344200;TraesCS2D01G379000;TraesCS3B01G351500;TraesCS5D01G436200;TraesCS4A01G081300;TraesCS2B01G323700;TraesCS6B01G403400;TraesCS1D01G239000;TraesCS5A01G361100;TraesCS3B01G119500;TraesCS7A01G328100;TraesCS5D01G073900;TraesCS7D01G206100;TraesCS7D01G338700;TraesCS7D01G394800;TraesCS1D01G079600;TraesCS2A01G553500;TraesCS5A01G351300;TraesCS1D01G101100;TraesCS4A01G027800;TraesCS1B01G096400;TraesCS5D01G152300;TraesCS2A01G031000;TraesCS2D01G511300;TraesCS3B01G151200;TraesCS3A01G479800;TraesCS3A01G209200;TraesCS4A01G277100;TraesCS1D01G206900;TraesCS3B01G013200;TraesCS5A01G377900;TraesCS1A01G203400;TraesCS5A01G262200;TraesCS6B01G204400;TraesCS7D01G053900;TraesCS3A01G247000;TraesCS4B01G216000;TraesCS5D01G348900;TraesCS4B01G136300;TraesCS1A01G333800;TraesCS5A01G237700;TraesCS3B01G359000;TraesCS4A01G267300;TraesCS6A01G255700;TraesCS4A01G123100;TraesCS5D01G145100;TraesCS2B01G166100;TraesCS1B01G385300;TraesCS2B01G216800;TraesCS5D01G256400;TraesCS1A01G145100;TraesCS7A01G479800;TraesCS2B01G114900;TraesCS3B01G587400;TraesCS5A01G544400;TraesCS5D01G078300;TraesCS1A01G088900;TraesCS2A01G203200;TraesCS4D01G159500;TraesCS6D01G247700;TraesCS5A01G477600;TraesCS4D01G312300;TraesCS1D01G216700;TraesCS6B01G295200;TraesCS1B01G283400;TraesCS2B01G446100;TraesCS3A01G530200;TraesCS7B01G242100;TraesCS1B01G120100;TraesCS3B01G384000;TraesCS6D01G032300;TraesCS3B01G552300;TraesCS4B01G237300;TraesCS2A01G438200;TraesCS3A01G463400;TraesCS4A01G135100;TraesCS1D01G223000;TraesCS2B01G413200;TraesCS2A01G277900;TraesCS1A01G031200;TraesCS2B01G159800;TraesCS5B01G236200;TraesCS6A01G043000;TraesCS7B01G222500;TraesCS1B01G316300;TraesCS2A01G347400;TraesCS3A01G262200;TraesCS2A01G368700;TraesCS3B01G272300;TraesCS5D01G386800;TraesCS7A01G246200;TraesCS7B01G323100;TraesCS2B01G521800;TraesCS2B01G414500;TraesCS2A01G083000;TraesCS2A01G532600;TraesCS4D01G069600;TraesCS3D01G286600;TraesCS4B01G295200;TraesCS4D01G103100;TraesCS4D01G046900;TraesCS7A01G339600;TraesCS7D01G175800;TraesCS7A01G154900;TraesCS4A01G186700;TraesCS4A01G083900;TraesCS5D01G564000;TraesCS1D01G312500;TraesCS3A01G012500;TraesCS4D01G303800;TraesCS5D01G054300;TraesCS2B01G241800;TraesCS2D01G386100;TraesCS2A01G388300;TraesCS2B01G467400;TraesCS2D01G063000;TraesCS1B01G097700;TraesCS3D01G056500;TraesCS5A01G136200;TraesCS7B01G079500;TraesCS1D01G073000;TraesCS3D01G367200;TraesCS2B01G504000;TraesCS2D01G284200;TraesCS5B01G056800;TraesCS2D01G380800;TraesCS5D01G210600;TraesCS7B01G161500;TraesCS4A01G183600;TraesCS7B01G253600;TraesCS7D01G227900;TraesCS5A01G092600;TraesCS7A01G176700;TraesCS1B01G250900;TraesCS3B01G218800;TraesCS3A01G034700;TraesCS2B01G244000;TraesCS5B01G405400;TraesCS5B01G457000;TraesCS6A01G363900;TraesCS4D01G021200;TraesCS2B01G572100;TraesCS3A01G454900;TraesCS3D01G097000;TraesCS5A01G397900;TraesCS4A01G407500;TraesCS2B01G085500;TraesCS2D01G392800;TraesCS5B01G076400;TraesCS4B01G377500;TraesCS7B01G141900;TraesCS7A01G308900;TraesCS5A01G325400;TraesCS3A01G356100;TraesCS4A01G081700;TraesCS3D01G522600;TraesCS6D01G280700;TraesCS2D01G261100;TraesCS5B01G356400;TraesCS3D01G262200;TraesCS1A01G325800;TraesCS2D01G429700;TraesCS4B01G294300;TraesCS1D01G403300;TraesCS6B01G414100;TraesCS3A01G323200;TraesCS4B01G099700;TraesCS1A01G228300;TraesCS2D01G574000;TraesCS5D01G407300;TraesCS2D01G062100;TraesCS4D01G217000;TraesCS5D01G158000;TraesCS7D01G129500;TraesCS2B01G093100;TraesCS7B01G032400;TraesCS6D01G159100;TraesCS2A01G220600;TraesCS3A01G206100;TraesCSU01G152800;TraesCS3D01G124200;TraesCS1B01G096800;TraesCS1A01G239400;TraesCS4A01G311000;TraesCS2D01G157300;TraesCS6B01G192400;TraesCS1B01G305200;TraesCS2D01G021600;TraesCS5D01G218100;TraesCS6A01G352800;TraesCS6A01G375900;TraesCS4B01G019600;TraesCS4A01G221500;TraesCS5B01G064400;TraesCS1A01G016000;TraesCS7A01G325000;TraesCSU01G222700;TraesCS5D01G268800;TraesCS4A01G431600;TraesCS2D01G538400;TraesCS5A01G499900;TraesCS5D01G359000;TraesCS3B01G553900;TraesCS6B01G074200;TraesCS6D01G358600;TraesCS1B01G454000;TraesCS3B01G389400;TraesCS3B01G295000;TraesCS4B01G223400;TraesCS1B01G274400;TraesCS4A01G079700;TraesCS1B01G375100;TraesCS3A01G414400;TraesCS3B01G455000;TraesCS2A01G262800;TraesCS4D01G207500;TraesCS6A01G124500;TraesCS7A01G163300;TraesCS6B01G052400;TraesCS2A01G469900;TraesCS2D01G479100;TraesCS7D01G423800;TraesCS3D01G072000;TraesCS7D01G318600;TraesCS4A01G109200;TraesCS2A01G190200;TraesCS5D01G383100;TraesCS4B01G157800;TraesCS5B01G104500;TraesCS7A01G131700;TraesCS4D01G187800;TraesCS3A01G276200;TraesCS4B01G209100;TraesCS5D01G157600;TraesCS3A01G033000;TraesCS4B01G088700;TraesCS4D01G032000;TraesCS6D01G360900;TraesCS2D01G554900;TraesCS7B01G245800;TraesCS2D01G219800;TraesCS3B01G446500;TraesCS5B01G182000;TraesCS6B01G225700;TraesCS4A01G181400;TraesCS2A01G546600;TraesCS5A01G350800;TraesCS2B01G382300;TraesCS2A01G170600;TraesCS1A01G277400;TraesCS2D01G297300;TraesCS4B01G054900;TraesCS4B01G270600;TraesCS1B01G446400;TraesCS2A01G467700;TraesCS2D01G264400;TraesCS5B01G135200;TraesCS6B01G398500;TraesCS7B01G102000;TraesCS7D01G444700;TraesCS2B01G477600;TraesCS5D01G513700;TraesCS7B01G433000;TraesCS1D01G074500;TraesCS3D01G444900;TraesCS4B01G210100;TraesCS3D01G270300;TraesCS4A01G225500;TraesCS7B01G469000;TraesCS3A01G274000;TraesCS5B01G371800;TraesCS2B01G151100;TraesCS6D01G198600;TraesCS1A01G343000;TraesCS1D01G100900;TraesCS6B01G407500;TraesCSU01G151900;TraesCS3A01G344400;TraesCS1A01G134000;TraesCS3A01G103000;TraesCS1B01G089000;TraesCS1B01G158500;TraesCS3B01G538300;TraesCS3A01G034300;TraesCS5D01G269400;TraesCS5D01G328300;TraesCS2D01G207800;TraesCS4A01G050000;TraesCS4B01G003300;TraesCS5B01G491200;TraesCS2D01G000300;TraesCS4B01G222100;TraesCS6B01G346000;TraesCS1B01G285500;TraesCS2D01G537100;TraesCS5D01G387900;TraesCS5D01G232100;TraesCS2D01G174800;TraesCS1D01G263900;TraesCS4B01G377900;TraesCS1B01G187900;TraesCS1B01G164800;TraesCS1D01G439400;TraesCS3B01G353000;TraesCS2A01G384000;TraesCS5D01G524800;TraesCS6A01G305000;TraesCS3B01G196900;TraesCS4A01G062000;TraesCS6D01G276600;TraesCS5A01G057100;TraesCS2B01G180500;TraesCS3B01G421200;TraesCS5A01G513000;TraesCS2D01G529500;TraesCS2A01G121200;TraesCS5B01G526000;TraesCS3D01G030600;TraesCS6B01G406200;TraesCS1A01G367000;TraesCS5A01G322300;TraesCS3A01G357700;TraesCS7B01G332300;TraesCS4B01G366800;TraesCS1B01G283300;TraesCS1D01G080800;TraesCS2A01G216500;TraesCS7D01G165300;TraesCS3A01G347900;TraesCS4B01G224300;TraesCS2A01G323000;TraesCS3B01G390400;TraesCS4D01G176700;TraesCS1A01G118800;TraesCS3B01G401600;TraesCS7B01G171000;TraesCS2A01G418300;TraesCS6B01G020800;TraesCS4B01G237600;TraesCS6B01G059000;TraesCS2D01G057600;TraesCS2B01G306600;TraesCS7D01G080700;TraesCS4B01G086100;TraesCS5A01G153400;TraesCS5B01G184600;TraesCS5B01G404800;TraesCSU01G145600;TraesCS1D01G243400;TraesCS5B01G490300;TraesCS1A01G079500;TraesCS2D01G097700;TraesCS3D01G293800;TraesCS5B01G188600;TraesCS2B01G537800;TraesCS2D01G223000;TraesCS3B01G389000;TraesCS2B01G485600;TraesCS7A01G480100;TraesCS3A01G038300;TraesCS3D01G407100;TraesCS6A01G365100;TraesCS2A01G516800;TraesCS2D01G216700;TraesCS3D01G104100;TraesCS7B01G294800;TraesCS1A01G221400;TraesCS3D01G364300;TraesCS6D01G353300;TraesCS3A01G257500;TraesCS1B01G384900;TraesCS5A01G370800;TraesCS2A01G525300;TraesCS2D01G279500;TraesCS4B01G268700;TraesCS1D01G144900;TraesCS6D01G284200;TraesCS1D01G004600;TraesCS4D01G261400;TraesCS3A01G256200;TraesCS5B01G224800;TraesCS5D01G491400;TraesCS4A01G181800;TraesCS7D01G097500;TraesCS1D01G419400;TraesCS1B01G056900;TraesCS7D01G324900;TraesCS3D01G256400;TraesCS2B01G001400;TraesCS2B01G097100;TraesCS3D01G011000;TraesCS7A01G333500;TraesCS7A01G167300;TraesCS6A01G067800;TraesCS1A01G080500;TraesCS1A01G330500;TraesCS1A01G187400;TraesCS7B01G309900;TraesCS1A01G078200;TraesCS2B01G536500;TraesCS5B01G028700;TraesCS6D01G122100;TraesCS7A01G264400;TraesCS1D01G372600;TraesCS2A01G064900;TraesCS5A01G294600;TraesCSU01G111800;TraesCS1D01G230100;TraesCS1A01G035100;TraesCS4B01G174300;TraesCS5B01G538800;TraesCS4A01G196000;TraesCS6B01G412500;TraesCS7D01G248200;TraesCS4D01G339300;TraesCS2D01G288000;TraesCS1A01G329500;TraesCS1A01G304200;TraesCS7B01G107300;TraesCS4D01G238600;TraesCS7B01G476100;TraesCS5B01G152600;TraesCS6A01G155200;TraesCS5B01G128100;TraesCS3D01G447600;TraesCS4A01G203300;TraesCS3B01G153800;TraesCS4A01G029800;TraesCS7A01G354000;TraesCS7B01G395000;TraesCS2A01G539500;TraesCS3D01G240900;TraesCS1A01G372400;TraesCS7B01G349100;TraesCS5B01G363800;TraesCS5D01G312800;TraesCS6D01G164000;TraesCS4B01G222500;TraesCSU01G238700;TraesCS6B01G199700;TraesCS1B01G376000;TraesCS7D01G176000;TraesCS6B01G340300;TraesCS4D01G030700;TraesCS6D01G110100;TraesCS7D01G157300;TraesCS3D01G350100;TraesCS2D01G491600;TraesCS3B01G291900;TraesCS7D01G507100;TraesCS6B01G051900;TraesCS7D01G065500;TraesCS5A01G505000;TraesCS4D01G240900;TraesCS2B01G336400;TraesCS6A01G226100;TraesCS6D01G146500;TraesCS2A01G211200;TraesCS6D01G226300;TraesCS5A01G426500;TraesCS6B01G173100;TraesCS1A01G411600;TraesCS2A01G040900;TraesCS2D01G139200;TraesCS1D01G080400;TraesCS5D01G190600;TraesCS5B01G382100;TraesCS2A01G396400;TraesCS4B01G033100;TraesCS2B01G070900;TraesCS4B01G201600;TraesCS4D01G176300;TraesCS5A01G205500;TraesCS5A01G549000;TraesCS3D01G261800;TraesCS3A01G362200;TraesCS3A01G387600;TraesCS5A01G097600;TraesCS2A01G490500;TraesCS4D01G305100;TraesCS5A01G016200;TraesCS7D01G188000;TraesCS7B01G465000;TraesCS3B01G106600;TraesCS5D01G333700;TraesCS4A01G229900;TraesCS5A01G543700;TraesCS5D01G323900;TraesCS6D01G368800;TraesCS1B01G001800;TraesCS3D01G408000;TraesCS2B01G614100;TraesCS2B01G394700;TraesCS7D01G355100;TraesCS7D01G086900;TraesCS2B01G208900;TraesCS2A01G343100;TraesCS5D01G233800;TraesCS7D01G114100;TraesCS7D01G449500;TraesCS2A01G382700;TraesCS2A01G198600;TraesCS2A01G049700;TraesCS2B01G101300;TraesCS1A01G122500;TraesCS2B01G414800;TraesCS2D01G144500;TraesCS3B01G600300;TraesCS1D01G082600;TraesCS6A01G141500;TraesCS4D01G079900;TraesCS2A01G538200;TraesCS5B01G384300;TraesCS6D01G166100;TraesCS7B01G347000;TraesCS1A01G395100;TraesCS6A01G336600;TraesCS6D01G195900;TraesCS6A01G378000;TraesCS2D01G451100;TraesCS3D01G104500;TraesCS3B01G489700;TraesCS4B01G203000;TraesCS5A01G201200;TraesCS2D01G157800;TraesCS2B01G515600;TraesCS5D01G380500;TraesCS5D01G358600;TraesCS4B01G162700;TraesCS1A01G259500;TraesCS7B01G350200;TraesCS5B01G490800;TraesCS6B01G412400;TraesCS4B01G378300;TraesCS6A01G165500;TraesCS6D01G085100;TraesCS6B01G284000;TraesCS4A01G010000;TraesCS4A01G255400;TraesCS6D01G257000;TraesCS2D01G463100;TraesCS4D01G268000;TraesCS7D01G024200;TraesCS2B01G324900;TraesCS5D01G022200;TraesCS3D01G147200;TraesCS6A01G258900;TraesCS6D01G359100;TraesCS2A01G371600;TraesCS1A01G078600;TraesCS4D01G147800;TraesCS7A01G343800;TraesCS5D01G163500;TraesCS3D01G049700;TraesCS5D01G519800;TraesCS3D01G084900;TraesCS7A01G537600;TraesCS3D01G335700;TraesCS5A01G478200;TraesCS4A01G049500;TraesCS7D01G197300;TraesCS2A01G401400;TraesCS3D01G421000;TraesCS7A01G523400;TraesCS1B01G393400;TraesCS2A01G106500;TraesCS7B01G434700;TraesCS2D01G485300;TraesCS4D01G360300;TraesCS7D01G506300;TraesCS4A01G402100;TraesCS1B01G234700;TraesCS5A01G182400;TraesCS5A01G030000;TraesCS6D01G056600;TraesCS4B01G345400;TraesCS1A01G384000;TraesCS3A01G230900;TraesCS2A01G083300;TraesCSU01G003600;TraesCS1A01G342600;TraesCS3D01G441900;TraesCS5B01G214500;TraesCS6B01G255500;TraesCS1B01G347100;TraesCS5B01G428400;TraesCS3A01G317700;TraesCS7A01G406100;TraesCS1A01G332800;TraesCS7B01G372400;TraesCS2A01G184400;TraesCS3D01G011100;TraesCS7D01G383600;TraesCS7D01G085600;TraesCS5B01G489800;TraesCS7A01G226500;TraesCS2D01G107100;TraesCSU01G016900;TraesCS5D01G068000;TraesCS2D01G455900;TraesCS2A01G199900;TraesCS4D01G126900;TraesCS3B01G166600;TraesCS1A01G043900;TraesCS7B01G146400;TraesCS7B01G169500;TraesCS4D01G271200;TraesCS2A01G539100;TraesCSU01G249900;TraesCS3D01G220900;TraesCS4A01G095800;TraesCS3D01G445000;TraesCS2B01G348900;TraesCS7B01G101500;TraesCS3D01G172200;TraesCS1B01G324000;TraesCS4A01G323500;TraesCS4D01G352700;TraesCS5A01G477300;TraesCS6B01G423100;TraesCS1A01G047000;TraesCS6A01G277600;TraesCS4B01G377000;TraesCS6B01G381300;TraesCS2B01G035300;TraesCS4B01G035800;TraesCS3B01G462500;TraesCS7D01G488800;TraesCS3D01G219900;TraesCS1D01G076200;TraesCS7B01G250400;TraesCS5B01G208300;TraesCS2A01G577800;TraesCS4B01G367200;TraesCS6B01G152700;TraesCS2D01G084400;TraesCS7A01G321600;TraesCS1B01G269800;TraesCS7D01G264300;TraesCS2D01G543000;TraesCS1A01G416100;TraesCS5B01G404000;TraesCS6A01G383800;TraesCS2D01G589200;TraesCS6B01G059800;TraesCS4D01G089300;TraesCS7D01G527600;TraesCS5D01G069700;TraesCS4D01G104100;TraesCS2A01G112300;TraesCS5B01G520600;TraesCS3A01G512900;TraesCS5D01G514500;TraesCS2D01G173900;TraesCS6A01G306800;TraesCS6D01G294800;TraesCSU01G116600;TraesCS1D01G239700;TraesCS2D01G276900;TraesCS1D01G082200;TraesCS1D01G032600;TraesCS4B01G033600;TraesCS5B01G078500;TraesCS2D01G564300;TraesCS3D01G244500;TraesCS7D01G175900;TraesCS4A01G384500;TraesCS5B01G225200;TraesCS1D01G125800;TraesCS6A01G375800;TraesCS2D01G528200;TraesCS2B01G241900;TraesCS2D01G464800;TraesCS4B01G132000;TraesCS7A01G271500;TraesCS6D01G328800;TraesCS4B01G216700;TraesCS1D01G293200;TraesCS3D01G499700;TraesCS5B01G056700;TraesCS1A01G073300;TraesCS4D01G347300;TraesCS1B01G251700;TraesCS7A01G131300;TraesCS3A01G439200;TraesCS7A01G412400;TraesCS4D01G224900;TraesCS2B01G539200;TraesCS6B01G335400;TraesCS6A01G258500;TraesCS7A01G423900;TraesCS3D01G315700;TraesCS4A01G071800;TraesCS1B01G157700;TraesCS1D01G259300;TraesCS5A01G397800;TraesCS7B01G277900;TraesCS7D01G054000;TraesCS2D01G098200;TraesCS5D01G082700;TraesCS6B01G149900;TraesCS2A01G150600;TraesCS7B01G170500;TraesCS3A01G082900;TraesCS4A01G009400;TraesCS4A01G171500;TraesCS5A01G048600;TraesCS3D01G262300;TraesCS5D01G212900;TraesCSU01G137500;TraesCS5B01G325800;TraesCS5B01G403100;TraesCS1A01G424100;TraesCS5D01G158100;TraesCS4D01G264500;TraesCS3D01G408900;TraesCS5D01G335100;TraesCS7D01G167900;TraesCS2A01G023900;TraesCS2B01G177300;TraesCS3D01G230300;TraesCS4B01G052300;TraesCS7D01G314200;TraesCS5A01G463100;TraesCS5A01G185500;TraesCS3A01G419600;TraesCS6D01G050900;TraesCS3B01G410000;TraesCS4A01G431500;TraesCS3B01G179500;TraesCS3D01G337900;TraesCS1A01G077700;TraesCS1D01G073100;TraesCS7A01G059500;TraesCS1D01G333500;TraesCS2D01G509500;TraesCS3B01G295500;TraesCS7D01G130600;TraesCS2A01G033700;TraesCS3D01G183700;TraesCS4D01G220500;TraesCS1A01G215100;TraesCS5B01G437300;TraesCS7D01G203800;TraesCS7D01G364900;TraesCS7D01G341800;TraesCS3A01G123000;TraesCS4D01G325500;TraesCS2D01G543400;TraesCS4B01G377400;TraesCS2D01G206400;TraesCS2A01G008300;TraesCS7D01G048600;TraesCS5D01G408500;TraesCS7A01G091200;TraesCS7A01G317500;TraesCS7D01G128300;TraesCS1A01G429800;TraesCS2A01G053300;TraesCS2B01G595300;TraesCS6A01G211400;TraesCS6D01G236900;TraesCS2B01G262800;TraesCS3D01G532300;TraesCS1B01G095600;TraesCS2A01G030200;TraesCS7A01G189900;TraesCS3B01G280000;TraesCS1D01G295800;TraesCS1D01G270500;TraesCS3D01G535700;TraesCS7B01G325900;TraesCS7B01G440900;TraesCS3A01G493100;TraesCS2B01G197000;TraesCS6D01G161200;TraesCS6B01G305600;TraesCS2A01G167300;TraesCS7A01G127100;TraesCS3D01G250800;TraesCS5B01G231600;TraesCS5A01G152400;TraesCS3D01G405200;TraesCS6B01G406300;TraesCS7A01G381300;TraesCS4A01G101600;TraesCS5A01G280700;TraesCS1D01G106100;TraesCS5B01G082500;TraesCS3A01G255600;TraesCS4B01G335100;TraesCS7A01G450400;TraesCS5D01G031500;TraesCS6A01G225300;MORE</t>
  </si>
  <si>
    <t>TraesCS2D01G538400;TraesCS3B01G490000;TraesCS5D01G359000;TraesCS6A01G419200;TraesCS6D01G358600;TraesCS7D01G092900;TraesCS1B01G454000;TraesCS3B01G295000;TraesCS7B01G473700;TraesCS1B01G375100;TraesCS7A01G188600;TraesCS4D01G207500;TraesCS6A01G124500;TraesCS7A01G163300;TraesCS6B01G052400;TraesCS2B01G236800;TraesCS4D01G210900;TraesCS3D01G072000;TraesCS6B01G222200;TraesCS7D01G318600;TraesCS2D01G079200;TraesCS2A01G190200;TraesCS7A01G476700;TraesCS3A01G276200;TraesCS3D01G049000;TraesCS3A01G033000;TraesCS4B01G088700;TraesCS6D01G360900;TraesCS3A01G342000;TraesCS2D01G219800;TraesCS5B01G182000;TraesCS6B01G225700;TraesCS4D01G366100;TraesCS5D01G204700;TraesCS5B01G526200;TraesCS6A01G052100;TraesCS4B01G376800;TraesCS1A01G206200;TraesCS5A01G350800;TraesCS2A01G170600;TraesCS2D01G255700;TraesCS2D01G297300;TraesCS1A01G367200;TraesCS5B01G101200;TraesCS2A01G182800;TraesCS2A01G216700;TraesCS6B01G398500;TraesCS2A01G537900;TraesCS1A01G045300;TraesCS7D01G444700;TraesCS2B01G477600;TraesCS7B01G047300;TraesCS4B01G210100;TraesCS3D01G270300;TraesCS3A01G274000;TraesCS5B01G371800;TraesCS2B01G151100;TraesCS3D01G316400;TraesCS6D01G198600;TraesCS1D01G100900;TraesCS1A01G184500;TraesCS3A01G344400;TraesCS3A01G048700;TraesCS1B01G385100;TraesCS4A01G089700;TraesCS1D01G363500;TraesCS3A01G034300;TraesCS4B01G238700;TraesCS6A01G078700;TraesCS4A01G050000;TraesCS2D01G000300;TraesCS2D01G537100;TraesCS5D01G387900;TraesCS5D01G232100;TraesCS5A01G216000;TraesCS2D01G449900;TraesCS5B01G146100;TraesCS2D01G426600;TraesCS7B01G356500;TraesCS5D01G524800;TraesCS3B01G049700;TraesCS3B01G196900;TraesCS5A01G197200;TraesCS7D01G334900;TraesCS4A01G062000;TraesCS7B01G415400;TraesCS2B01G180500;TraesCS6A01G377700;TraesCS1D01G186100;TraesCS6A01G000500;TraesCS2D01G529500;TraesCS2B01G437300;TraesCS4B01G106000;TraesCS5B01G526000;TraesCS7D01G087100;TraesCS3D01G030600;TraesCS4D01G035300;TraesCS4B01G047100;TraesCS1A01G367000;TraesCS1D01G046000;TraesCS5A01G322300;TraesCS2A01G216500;TraesCS7D01G165300;TraesCS3A01G045200;TraesCS2A01G323000;TraesCS7B01G129500;TraesCS2D01G415700;TraesCS5D01G181500;TraesCS6A01G225400;TraesCS2A01G418300;TraesCS7B01G194100;TraesCS7A01G455800;TraesCS7B01G299200;TraesCS1D01G146900;TraesCS5B01G184600;TraesCS6D01G211900;TraesCS1D01G218200;TraesCS2D01G097700;TraesCS7D01G392800;TraesCS7A01G435300;TraesCS2B01G537800;TraesCS2D01G223000;TraesCS3A01G272900;TraesCS3B01G289400;TraesCS6D01G157900;TraesCS2B01G053300;TraesCS3B01G394600;TraesCS2D01G232400;TraesCS2D01G364400;TraesCS3A01G152200;TraesCS7A01G194900;TraesCS2D01G216700;TraesCS3D01G104100;TraesCS2D01G409400;TraesCS6A01G273100;TraesCS2D01G317400;TraesCS1D01G209500;TraesCS1B01G384900;TraesCS2A01G525300;TraesCS2D01G445500;TraesCS3B01G307700;TraesCS1B01G091900;TraesCS6B01G051700;TraesCS2D01G537700;TraesCS7D01G495700;TraesCS4A01G414700;TraesCS3A01G256200;TraesCS5A01G401400;TraesCS5B01G492700;TraesCS5D01G365300;TraesCS5B01G501300;TraesCS2B01G242200;TraesCS6A01G262200;TraesCS7D01G324900;TraesCS3D01G256400;TraesCS2B01G001400;TraesCS6B01G163100;TraesCS6B01G421400;TraesCS1A01G080500;TraesCS1A01G330500;TraesCS3A01G290300;TraesCS7B01G309900;TraesCS2B01G536500;TraesCS6D01G122100;TraesCS7A01G264400;TraesCS1D01G372600;TraesCS5A01G294600;TraesCSU01G111800;TraesCS5D01G063800;TraesCS6B01G204600;TraesCS2B01G096000;TraesCS5B01G538800;TraesCS2A01G479500;TraesCS6B01G412500;TraesCS7D01G248200;TraesCS2B01G229000;TraesCS2B01G124100;TraesCS1A01G304200;TraesCS6A01G312600;TraesCS5B01G117200;TraesCS7B01G069100;TraesCS2A01G493800;TraesCS6A01G155200;TraesCS3A01G309800;TraesCS5A01G297900;TraesCS3D01G290100;TraesCS3B01G153800;TraesCS3A01G261800;TraesCS4A01G029800;TraesCS7B01G395000;TraesCSU01G238700;TraesCS3A01G224400;TraesCS1B01G376000;TraesCS7A01G242800;TraesCS2D01G491600;TraesCS3B01G291900;TraesCS4D01G059300;TraesCS4D01G229900;TraesCS6A01G226100;TraesCS2A01G211200;TraesCS1D01G140300;TraesCS4B01G315400;TraesCS2A01G431100;TraesCS5A01G426500;TraesCS2A01G040900;TraesCS6A01G199000;TraesCS4B01G201600;TraesCS5A01G205500;TraesCS3D01G261800;TraesCS5B01G204900;TraesCS7D01G146400;TraesCS3A01G362200;TraesCS1D01G372400;TraesCS6A01G264800;TraesCS6B01G256200;TraesCS2D01G117200;TraesCS3B01G473100;TraesCS5B01G215900;TraesCS5B01G538600;TraesCS2B01G394700;TraesCS1A01G377900;TraesCS7D01G086900;TraesCS2B01G208900;TraesCS2A01G343100;TraesCS7D01G449500;TraesCS6A01G241000;TraesCS2B01G363000;TraesCS2D01G582800;TraesCS2D01G144500;TraesCS6B01G471400;TraesCS1B01G167700;TraesCS3B01G600300;TraesCS1D01G082600;TraesCS2A01G538200;TraesCS5D01G475900;TraesCS7A01G249400;TraesCS7D01G356200;TraesCS7D01G085800;TraesCS6A01G336600;TraesCS6B01G415700;TraesCS6A01G378000;TraesCS2D01G222300;TraesCS4D01G340500;TraesCS2A01G199700;TraesCS7B01G100600;TraesCS7A01G001900;TraesCS1A01G016100;TraesCS1D01G364000;TraesCS5D01G358600;TraesCS4B01G162700;TraesCS1D01G381800;TraesCS6B01G412400;TraesCS2A01G320200;TraesCS1A01G077500;TraesCS2D01G509300;TraesCS4A01G010000;TraesCS4A01G255400;TraesCS4D01G238900;TraesCS6D01G407400;TraesCS4D01G293200;TraesCS2D01G463100;TraesCS5A01G078400;TraesCS7D01G024200;TraesCS2A01G509900;TraesCS1B01G119600;TraesCS2B01G324900;TraesCS1A01G273600;TraesCS7A01G213000;TraesCS6A01G258900;TraesCS6B01G413500;TraesCS6D01G359100;TraesCS2A01G371600;TraesCS3D01G435400;TraesCS7A01G282200;TraesCS6D01G180400;TraesCS3A01G477300;TraesCS3D01G049700;TraesCS5D01G519800;TraesCS6B01G300500;TraesCS3D01G335700;TraesCS4B01G287300;TraesCS5A01G429000;TraesCS7A01G091400;TraesCS5A01G027000;TraesCS1B01G198000;TraesCS3B01G119600;TraesCS7D01G189700;TraesCS1A01G300000;TraesCS2A01G106500;TraesCS1A01G079700;TraesCS2D01G485300;TraesCS1D01G299400;TraesCS6D01G056600;TraesCS4B01G345400;TraesCS5A01G376700;TraesCS1A01G342600;TraesCS5B01G214500;TraesCS6B01G255500;TraesCS1B01G347100;TraesCS6D01G210100;TraesCS3B01G325100;TraesCS5B01G428400;TraesCS7D01G303700;TraesCS5D01G059300;TraesCS4A01G396700;TraesCS7B01G372400;TraesCS7D01G085600;TraesCS2D01G107100;TraesCSU01G016900;TraesCS1D01G372900;TraesCS2D01G455900;TraesCS2D01G577000;TraesCS3A01G064400;TraesCS4D01G126900;TraesCS3B01G166600;TraesCS3B01G288100;TraesCS5D01G188600;TraesCS7A01G365600;TraesCS2D01G296700;TraesCS3B01G156800;TraesCS1A01G048100;TraesCS7A01G223000;TraesCS3A01G122300;TraesCS6A01G190700;TraesCS3D01G172200;TraesCSU01G047400;TraesCS7D01G265400;TraesCS4A01G323500;TraesCS4D01G352700;TraesCS1D01G384900;TraesCS3D01G345700;TraesCS1A01G080700;TraesCS6A01G277600;TraesCS2B01G035300;TraesCS5B01G026200;TraesCS6B01G291800;TraesCS1D01G076200;TraesCS5B01G208300;TraesCS6B01G289500;TraesCS6B01G152700;TraesCS7A01G321600;TraesCS7D01G451300;TraesCS6A01G301300;TraesCS6B01G059800;TraesCS6D01G158300;TraesCS4D01G089300;TraesCS5B01G373000;TraesCS5B01G520600;TraesCS5B01G474500;TraesCS1A01G296300;TraesCS2B01G240800;TraesCS1D01G239700;TraesCS6A01G327500;TraesCS1D01G082200;TraesCS5A01G198800;TraesCS7D01G201600;TraesCS7D01G463300;TraesCS1D01G032600;TraesCS5B01G078500;TraesCS2D01G222700;TraesCS2D01G564300;TraesCS5A01G152800;TraesCS7A01G306800;TraesCS4A01G384500;TraesCS7D01G224700;TraesCS6A01G375800;TraesCS3D01G272300;TraesCS2D01G528200;TraesCS1B01G109400;TraesCS7B01G249200;TraesCS2B01G241900;TraesCS4B01G132000;TraesCS6D01G328800;TraesCS4B01G216700;TraesCS6D01G335300;TraesCS7D01G357100;TraesCS5B01G056700;TraesCS1A01G073300;TraesCS1B01G385200;TraesCS7B01G008400;TraesCS5A01G398900;TraesCS4B01G055600;TraesCS1B01G251700;TraesCS7A01G131300;TraesCS3A01G439200;TraesCS1B01G375400;TraesCS3B01G352300;TraesCS2B01G539200;TraesCS4D01G312400;TraesCS6D01G243000;TraesCS2B01G315100;TraesCS7A01G423900;TraesCS2A01G182400;TraesCS2A01G339900;TraesCS4A01G071800;TraesCS4B01G228700;TraesCS1B01G157700;TraesCS3D01G542300;TraesCS2D01G098200;TraesCS6B01G069800;TraesCS5A01G138500;TraesCS5A01G222300;TraesCS2A01G150600;TraesCS4A01G171500;TraesCS5A01G048600;TraesCS4A01G211600;TraesCS3D01G262300;TraesCS5D01G212900;TraesCS7A01G384500;TraesCS6D01G362500;TraesCS7A01G267200;TraesCS6D01G316600;TraesCS3D01G273200;TraesCS2A01G117800;TraesCS2D01G190200;TraesCS5D01G158100;TraesCS5D01G223800;TraesCS1B01G398700;TraesCS1D01G199000;TraesCS2A01G209900;TraesCS5A01G173300;TraesCS5A01G152600;TraesCS7D01G444400;TraesCS2A01G023900;TraesCS4D01G229100;TraesCS7D01G037700;TraesCS5A01G463100;TraesCS1D01G229700;TraesCS6D01G050900;TraesCS5A01G514500;TraesCS3B01G376300;TraesCS5A01G210300;TraesCS6D01G047500;TraesCS3D01G182600;TraesCS3D01G337900;TraesCS1D01G073100;TraesCS6D01G381200;TraesCS3B01G253900;TraesCS2D01G509500;TraesCS3B01G295500;TraesCS7D01G130600;TraesCS3A01G009400;TraesCS3B01G053800;TraesCS6A01G374700;TraesCS7D01G213600;TraesCS3B01G377600;TraesCS3A01G034600;TraesCS6D01G115200;TraesCS1A01G215100;TraesCS2D01G178100;TraesCS5B01G437300;TraesCS4D01G325500;TraesCS4D01G254500;TraesCS7D01G048600;TraesCS7A01G091200;TraesCS7D01G128300;TraesCS3B01G374100;TraesCS1B01G095600;TraesCS3D01G238000;TraesCS2A01G428500;TraesCS1D01G295800;TraesCS3D01G535700;TraesCS7B01G325900;TraesCS3A01G493100;TraesCS5B01G482400;TraesCS7B01G105600;TraesCS2B01G197000;TraesCS6B01G305600;TraesCS7A01G127100;TraesCS5A01G217000;TraesCS5B01G082500;TraesCS3A01G255600;TraesCS7D01G136700;TraesCS2A01G418200;TraesCS2B01G198100;TraesCS6A01G225300;TraesCS2A01G455600;TraesCS5B01G151600;TraesCS2B01G243000;TraesCS6D01G240100;TraesCS3D01G339600;TraesCS6B01G420600;TraesCS5B01G358900;TraesCS2D01G217500;TraesCS5D01G478700;TraesCS1A01G358600;TraesCS5B01G138600;TraesCS1A01G228100;TraesCS5D01G374300;TraesCS2A01G503800;TraesCS1A01G424200;TraesCS7B01G093500;TraesCS2B01G449200;TraesCS2B01G489700;TraesCS5A01G062600;TraesCS2B01G236900;TraesCS6B01G006600;TraesCSU01G008300;TraesCS3B01G206500;TraesCS2D01G321400;TraesCS1B01G157300;TraesCS2D01G504300;TraesCS2B01G271700;TraesCS2D01G275400;TraesCS7B01G255500;TraesCS1D01G118300;TraesCS2A01G384100;TraesCS2D01G197600;TraesCS1D01G259700;TraesCS7B01G356400;TraesCS3A01G096500;TraesCS2D01G219900;TraesCS5B01G381500;TraesCS6B01G225800;TraesCS7B01G287100;TraesCS2B01G365900;TraesCS3D01G472000;TraesCS2B01G437200;TraesCS4D01G215200;TraesCS3D01G500800;TraesCS3D01G036000;TraesCS5A01G085900;TraesCS1A01G367100;TraesCS2D01G214200;TraesCS5B01G380400;TraesCS1D01G303700;TraesCS2B01G339600;TraesCS2A01G346000;TraesCS5A01G356400;TraesCS2D01G415600;TraesCS5D01G211300;TraesCS7D01G356800;TraesCS7D01G316100;TraesCS1D01G037200;TraesCS6B01G197000;TraesCS2D01G428900;TraesCS3D01G316700;TraesCS5A01G369500;TraesCS3B01G158300;TraesCS2B01G430800;TraesCS4A01G110100;TraesCS5A01G451400;TraesCS4B01G214600;TraesCS1B01G089100;TraesCS3D01G178300;TraesCS5B01G138400;TraesCS2A01G324200;TraesCS5A01G390300;TraesCS1B01G385000;TraesCS3D01G048000;TraesCS3B01G591000;TraesCS3D01G136700;TraesCS1B01G217500;TraesCS3D01G527900;TraesCS1D01G273800;TraesCS1B01G058600;TraesCS6A01G204600;TraesCS2D01G344700;TraesCS6A01G135100;TraesCSU01G021700;TraesCS6D01G360800;TraesCS7D01G124900;TraesCS3A01G256300;TraesCS3D01G046000;TraesCS6A01G132400;TraesCS3B01G306500;TraesCS3D01G256500;TraesCS1A01G141300;TraesCS6D01G367600;TraesCS2D01G572600;TraesCS2A01G446500;TraesCS4D01G096400;TraesCS5D01G225100;TraesCS1A01G080600;TraesCS2B01G532000;TraesCS2B01G536600;TraesCS2D01G315100;TraesCS1D01G372700;TraesCS6D01G145100;TraesCS1A01G259900;TraesCS5D01G434500;TraesCS3B01G240000;TraesCS2D01G493700;TraesCS4A01G100900;TraesCS7B01G031900;TraesCS3D01G212100;TraesCS4A01G207800;TraesCS5D01G482800;TraesCS7A01G470400;TraesCS5D01G216400;TraesCS3B01G409400;TraesCS5D01G357800;TraesCS2B01G114000;TraesCS7D01G028400;TraesCS2A01G255300;TraesCS3B01G304300;TraesCS6A01G124800;TraesCS2A01G155500;TraesCS3A01G345800;TraesCS5D01G089900;TraesCS6D01G363200;TraesCS3B01G141500;TraesCS7D01G243700;TraesCS5A01G076600;TraesCS2A01G141100;TraesCS5D01G157900;TraesCS7B01G333700;TraesCS7D01G380900;TraesCS3A01G050300;TraesCS3D01G104000;TraesCS7B01G356800;TraesCS2A01G211300;TraesCS1D01G130400;TraesCS6D01G039300;TraesCS5A01G206700;TraesCS7D01G261300;TraesCS5B01G197400;TraesCS4A01G226300;TraesCS7D01G041400;TraesCS3D01G355900;TraesCS1A01G070600;TraesCS1B01G314700;TraesCS1B01G310100;TraesCS2B01G175800;TraesCS6D01G122200;TraesCS7D01G417600;TraesCS5D01G329100;TraesCS3A01G049500;TraesCS1D01G372500;TraesCS2A01G081400;TraesCS3B01G038900;TraesCS6B01G256300;TraesCS4A01G102900;TraesCS5B01G188700;TraesCS7D01G248100;TraesCS3A01G101800;TraesCS3D01G359000;TraesCS3D01G048400;TraesCS6B01G238900;TraesCS6B01G385500;TraesCS6D01G191500;TraesCS3A01G261700;TraesCS3B01G289500;TraesCS7B01G261800;TraesCS4B01G203900;TraesCS2A01G233100;TraesCS4A01G094300;TraesCS6D01G307100;TraesCS2B01G452400;TraesCS1A01G215900;TraesCS2B01G511300;TraesCSU01G129000;TraesCS7A01G053400;TraesCS5D01G281200;TraesCS7B01G228900;TraesCS4D01G202300;TraesCS5D01G210800;TraesCS4B01G059700;TraesCS4B01G254700;TraesCS4D01G316500;TraesCS5D01G493200;TraesCS2A01G217200;TraesCS3A01G101700;TraesCS2D01G509400;TraesCS2A01G211900;TraesCS2A01G412200;TraesCS6D01G167300;TraesCS4B01G215100;TraesCS6D01G191400;TraesCS7B01G030400;TraesCS7B01G326200;TraesCS5A01G469800;TraesCS6B01G136100;TraesCS6B01G152800;TraesCS2D01G141100;TraesCS5B01G262900;TraesCS2B01G220900;TraesCS2B01G266900;TraesCS7A01G091500;TraesCS4A01G391100;TraesCS1D01G081400;TraesCS3A01G021600;TraesCS5A01G147500;TraesCS4A01G498700;TraesCS3D01G432000;TraesCS2B01G250100;TraesCS2D01G066900;TraesCS2A01G276400;TraesCS4B01G100100;TraesCS1D01G082500;TraesCS3A01G110400;TraesCS3A01G135700;TraesCS7A01G364200;TraesCS2A01G371700;TraesCS5A01G320600;TraesCS6B01G358800;TraesCS5D01G097900;TraesCS6D01G258200;TraesCS5A01G463000;TraesCS7B01G301100;TraesCS5D01G461600;TraesCS2D01G419700;TraesCS4A01G221700;TraesCS3B01G110500;TraesCS6D01G192500;TraesCS2A01G462700;TraesCS3B01G310000;TraesCS1A01G048000;TraesCS2D01G509200;TraesCS5A01G235300;TraesCS7B01G029200;TraesCS6A01G119900;TraesCS1B01G062200;TraesCS5A01G204800;TraesCS1A01G202300;TraesCS1B01G119700;TraesCS1A01G103900;TraesCS2D01G201700;TraesCS6B01G257800;TraesCS3A01G351500;TraesCS2A01G201900;TraesCS2D01G534400;TraesCS6A01G168900;TraesCS1D01G344700;TraesCS5B01G202900;TraesCS3D01G045400;TraesCS6B01G266500;TraesCS7A01G400900;TraesCS4B01G228200;TraesCS7A01G434300;TraesCS5D01G343000;TraesCS4A01G216100;TraesCS1D01G330300;TraesCS2B01G100300;TraesCS5B01G208200;TraesCS2A01G308400;TraesCS6B01G152600;TraesCS5A01G183600;TraesCS7A01G344600;TraesCS2B01G220700;TraesCS2B01G323700;TraesCS6D01G158400;TraesCS3B01G119500;TraesCS7A01G328100;TraesCS2B01G067000;TraesCS2D01G485200;TraesCS5D01G073900;TraesCS7D01G394800;TraesCS1D01G079600;TraesCS7D01G001600;TraesCS5A01G351300;TraesCS1D01G101100;TraesCS3D01G256600;TraesCS5A01G479600;TraesCS5D01G152300;TraesCS5D01G177800;TraesCS7D01G345200;TraesCS2D01G511300;TraesCS3B01G151200;TraesCS5D01G475800;TraesCS2A01G098700;TraesCS3A01G209200;TraesCS1D01G372800;TraesCS1D01G206900;TraesCS4D01G126800;TraesCS5A01G377900;TraesCS7A01G212000;TraesCS4D01G194900;TraesCS1A01G203400;TraesCS7D01G053900;TraesCS4B01G216000;TraesCS2B01G557100;TraesCS2D01G273700;TraesCS1A01G333800;TraesCS5A01G237700;TraesCS4A01G267300;TraesCS3D01G276200;TraesCS6B01G183300;TraesCS5D01G145100;TraesCS2A01G217600;TraesCS2B01G166100;TraesCS1B01G385300;TraesCS2B01G216800;TraesCS1B01G456700;TraesCS5D01G369200;TraesCS1A01G149700;TraesCS2B01G114900;TraesCS4D01G172700;TraesCS4D01G312300;TraesCS1B01G283400;TraesCS3A01G530200;TraesCS1B01G120100;TraesCS2A01G214100;TraesCS5B01G460200;TraesCS3B01G384000;TraesCS6D01G032300;TraesCS5A01G138600;TraesCS3A01G463400;TraesCS5D01G304700;TraesCS7A01G110500;TraesCS5D01G373700;TraesCS2B01G562100;TraesCS1A01G031200;TraesCS5B01G236200;TraesCS7B01G222500;TraesCS2A01G347400;TraesCS3A01G262200;TraesCS2A01G368700;TraesCS5D01G386800;TraesCS5D01G034700;TraesCS1B01G270300;TraesCS2B01G521800;TraesCS7A01G096800;TraesCS6A01G209000;TraesCS5B01G069900;TraesCS2A01G532600;TraesCS6D01G210200;TraesCS7D01G236600;TraesCS1D01G367800;TraesCS2D01G343000;TraesCS5D01G093700;TraesCS4D01G046900;TraesCS6A01G116000;TraesCS7A01G154900;TraesCS4A01G186700;TraesCS2B01G241800;TraesCS7B01G207100;TraesCS2B01G467400;TraesCS6B01G367100;TraesCS1B01G097700;TraesCS3D01G182300;TraesCS2B01G504000;TraesCS6D01G253100;TraesCS2D01G284200;TraesCS5B01G056800;TraesCS2D01G380800;TraesCS2D01G207400;TraesCS4D01G087200;TraesCS3A01G521300;TraesCS3A01G034700;TraesCS4B01G041300;TraesCS6A01G363900;TraesCS2B01G366600;TraesCS3D01G097000;TraesCS2D01G392800;TraesCS7D01G268600;TraesCS7B01G141900;TraesCS5B01G366400;TraesCS4B01G214200;TraesCS6D01G280700;TraesCS2B01G101800;TraesCS3D01G262200;TraesCS4B01G294300;TraesCS3D01G046900;TraesCS3A01G323200;TraesCS7A01G129300;TraesCS2D01G574000;TraesCS2D01G062100;TraesCS4D01G217000;TraesCS5D01G158000;TraesCS7D01G129500;TraesCS2B01G594100;TraesCS3D01G124200;TraesCS2B01G364400;TraesCS7D01G444500;TraesCS6A01G223500;TraesCS1B01G305200;TraesCS6A01G352800;TraesCS7D01G457800;TraesCS6A01G375900;TraesCS4B01G132100;TraesCS5B01G064400;TraesCS1A01G016000;TraesCS5B01G087500;TraesCS2A01G485600;TraesCS1A01G295300;TraesCS2A01G298600;TraesCS1A01G182700;TraesCS7B01G220500</t>
  </si>
  <si>
    <t>TraesCS2D01G538400;TraesCS3B01G490000;TraesCS5B01G358800;TraesCS5D01G359000;TraesCS5D01G363500;TraesCS6A01G419200;TraesCS6D01G358600;TraesCS7D01G092900;TraesCS1A01G413400;TraesCS1B01G454000;TraesCS3B01G295000;TraesCS4A01G259300;TraesCS4A01G295400;TraesCS7B01G473700;TraesCS1D01G199200;TraesCS7A01G188600;TraesCS6A01G124500;TraesCS7A01G163300;TraesCS6B01G052400;TraesCS3A01G400000;TraesCS2D01G541800;TraesCS5A01G253200;TraesCS2B01G236800;TraesCS3D01G072000;TraesCS6B01G222200;TraesCS4B01G314300;TraesCS4B01G318900;TraesCS2B01G167700;TraesCS7D01G318600;TraesCS2D01G079200;TraesCS2A01G190200;TraesCS4B01G157800;TraesCS3B01G485900;TraesCS4B01G235400;TraesCS7A01G476700;TraesCS2B01G350500;TraesCS5B01G209800;TraesCS3A01G276200;TraesCS7B01G274100;TraesCS3D01G049000;TraesCS5D01G170800;TraesCS6B01G422900;TraesCS3D01G278000;TraesCS5D01G488400;TraesCS3A01G033000;TraesCS6D01G360900;TraesCS2D01G554900;TraesCS3A01G342000;TraesCS2D01G219800;TraesCS6B01G225700;TraesCS7A01G332000;TraesCS1A01G071400;TraesCS5D01G204700;TraesCS5B01G526200;TraesCS5D01G476400;TraesCS6A01G052100;TraesCS4B01G376800;TraesCS5A01G350800;TraesCS2A01G170600;TraesCS2D01G255700;TraesCS2D01G297300;TraesCS3D01G120200;TraesCS6B01G201500;TraesCS1A01G367200;TraesCS2A01G182800;TraesCS2A01G216700;TraesCS2A01G537900;TraesCS7B01G102000;TraesCS7D01G444700;TraesCS3B01G126400;TraesCS2B01G477600;TraesCS7B01G047300;TraesCS5A01G222700;TraesCS2D01G038900;TraesCS3D01G270300;TraesCS3A01G274000;TraesCS6D01G244600;TraesCS3D01G326200;TraesCS7A01G235700;TraesCS5B01G371800;TraesCS2B01G151100;TraesCS3D01G316400;TraesCS6D01G198600;TraesCS1D01G100900;TraesCS2B01G132600;TraesCS1A01G184500;TraesCS3A01G344400;TraesCS3A01G048700;TraesCS3A01G107600;TraesCS7A01G189500;TraesCS1B01G385100;TraesCS3B01G304000;TraesCS1B01G089000;TraesCS4A01G089700;TraesCSU01G005100;TraesCS5A01G132700;TraesCS5A01G394800;TraesCS4B01G059100;TraesCS6A01G018000;TraesCS1A01G195400;TraesCS3A01G034300;TraesCS4B01G238700;TraesCS6A01G078700;TraesCS2D01G169200;TraesCS2B01G454500;TraesCS2B01G189300;TraesCS3B01G023700;TraesCS6A01G311900;TraesCS6A01G361100;TraesCS4B01G222100;TraesCS7B01G104200;TraesCS2D01G537100;TraesCS5D01G387900;TraesCS3B01G275600;TraesCS4D01G291700;TraesCS5D01G232100;TraesCS2A01G040300;TraesCS2A01G302300;TraesCS4B01G226700;TraesCS5A01G463500;TraesCS1D01G089600;TraesCS5A01G216000;TraesCS4A01G276900;TraesCS2D01G449900;TraesCS4D01G118600;TraesCS5B01G146100;TraesCS2D01G055200;TraesCS7B01G356500;TraesCS1A01G106600;TraesCS5D01G524800;TraesCS3B01G049700;TraesCS3B01G196900;TraesCS7A01G441400;TraesCS5A01G197200;TraesCS4A01G062000;TraesCS7B01G415400;TraesCS2B01G180500;TraesCS5D01G476200;TraesCS6A01G377700;TraesCS2B01G109800;TraesCS3D01G246000;TraesCS6A01G000500;TraesCS2D01G529500;TraesCS6B01G207000;TraesCS2B01G437300;TraesCS4B01G106000;TraesCS5B01G526000;TraesCS7A01G427100;TraesCS7D01G087100;TraesCS3D01G030600;TraesCS2A01G463300;TraesCS4B01G047100;TraesCS6B01G406200;TraesCS1A01G367000;TraesCS1D01G046000;TraesCS5A01G322300;TraesCS2A01G216500;TraesCS7D01G165300;TraesCS3A01G045200;TraesCS6A01G298400;TraesCS2A01G323000;TraesCS5A01G356300;TraesCS2D01G415700;TraesCS5D01G181500;TraesCS6D01G166600;TraesCS6A01G225400;TraesCS2A01G418300;TraesCS7B01G194100;TraesCS7A01G455800;TraesCS5A01G304900;TraesCS4D01G227300;TraesCS6A01G270400;TraesCS1D01G146900;TraesCS4B01G086100;TraesCS5B01G184600;TraesCS2D01G382500;TraesCS3A01G448400;TraesCS6D01G211900;TraesCS3A01G245500;TraesCS5D01G342400;TraesCS1D01G218200;TraesCS2D01G097700;TraesCS6D01G127800;TraesCS7A01G435300;TraesCS2D01G093100;TraesCS2B01G537800;TraesCS2D01G223000;TraesCS3A01G272900;TraesCS4B01G059300;TraesCS5D01G311900;TraesCS7B01G340100;TraesCS3B01G289400;TraesCS3A01G118300;TraesCS6D01G157900;TraesCS2B01G053300;TraesCS3D01G378700;TraesCS3D01G258800;TraesCS6D01G344600;TraesCS2D01G364400;TraesCS4A01G323800;TraesCS4A01G413600;TraesCS3A01G152200;TraesCS7A01G194900;TraesCS2D01G216700;TraesCS3D01G104100;TraesCS5A01G393900;TraesCS2D01G409400;TraesCS6A01G273100;TraesCS6D01G128900;TraesCS3B01G141600;TraesCS3A01G385600;TraesCS1B01G384900;TraesCS2A01G525300;TraesCS2D01G445500;TraesCS3B01G307700;TraesCS7A01G216100;TraesCS1B01G091900;TraesCS3A01G413700;TraesCS6B01G051700;TraesCS2D01G537700;TraesCS7D01G495700;TraesCS2D01G069000;TraesCS4A01G414700;TraesCS5D01G424600;TraesCS1D01G350200;TraesCS3A01G256200;TraesCS5A01G401400;TraesCS3B01G144900;TraesCS6A01G331300;TraesCS2D01G372000;TraesCS5B01G155700;TraesCS5B01G501300;TraesCS2B01G242200;TraesCS3A01G332600;TraesCS6A01G262200;TraesCS7D01G180700;TraesCS1B01G241100;TraesCS7D01G324900;TraesCS1B01G411900;TraesCS4A01G094000;TraesCS3D01G256400;TraesCS2B01G001400;TraesCS6B01G163100;TraesCS6B01G421400;TraesCS7B01G133800;TraesCS5A01G433200;TraesCS1A01G347200;TraesCS7A01G167300;TraesCS1A01G080500;TraesCS1A01G330500;TraesCS5D01G104900;TraesCS2D01G407200;TraesCS3A01G290300;TraesCS7B01G309900;TraesCS2B01G536500;TraesCS6D01G122100;TraesCS7A01G264400;TraesCS1D01G372600;TraesCS5A01G294600;TraesCSU01G111800;TraesCS7D01G430700;TraesCS5A01G375000;TraesCS4D01G034000;TraesCS3A01G411500;TraesCS5D01G063800;TraesCS6B01G105200;TraesCS6B01G204600;TraesCS2B01G096000;TraesCS5B01G538800;TraesCS2A01G479500;TraesCS6B01G412500;TraesCS7D01G248200;TraesCS3A01G094600;TraesCS2B01G124100;TraesCS1A01G304200;TraesCS6A01G312600;TraesCS6D01G203000;TraesCS5B01G117200;TraesCS7B01G069100;TraesCS2A01G433500;TraesCS2D01G374400;TraesCS2A01G493800;TraesCS6A01G155200;TraesCS5A01G297900;TraesCS3D01G290100;TraesCS4A01G203300;TraesCS3B01G153800;TraesCS4D01G132500;TraesCS3A01G261800;TraesCS4A01G029800;TraesCS3A01G466200;TraesCS7B01G395000;TraesCS4D01G180800;TraesCSU01G238700;TraesCS3A01G224400;TraesCS1B01G376000;TraesCS6B01G280300;TraesCS7A01G242800;TraesCS2D01G491600;TraesCS3B01G291900;TraesCS2D01G145900;TraesCS1A01G385500;TraesCS4D01G059300;TraesCS4D01G229900;TraesCS5A01G206600;TraesCS7D01G412000;TraesCS4D01G236400;TraesCS6A01G226100;TraesCS7D01G170700;TraesCS2A01G211200;TraesCS6D01G226300;TraesCS1D01G140300;TraesCS4B01G315400;TraesCS2A01G431100;TraesCS5A01G426500;TraesCS6B01G173100;TraesCS6D01G018500;TraesCS2A01G040900;TraesCS7A01G427500;TraesCS6D01G241700;TraesCS4A01G495900;TraesCS4B01G201600;TraesCS5A01G205500;TraesCS3A01G097900;TraesCS2B01G068600;TraesCS3D01G261800;TraesCS5B01G204900;TraesCS7D01G146400;TraesCS1D01G372400;TraesCS6B01G256200;TraesCS2D01G117200;TraesCS3B01G473100;TraesCS5B01G215900;TraesCS1D01G142700;TraesCS3D01G408000;TraesCS5B01G538600;TraesCS2B01G394700;TraesCS1A01G377900;TraesCS7D01G086900;TraesCS5B01G291100;TraesCS2B01G208900;TraesCS2A01G343100;TraesCS2D01G301100;TraesCS6A01G177700;TraesCS1B01G383400;TraesCS6B01G347800;TraesCS7D01G449500;TraesCS6A01G241000;TraesCS2D01G582800;TraesCS7B01G327400;TraesCS6B01G471400;TraesCS1B01G167700;TraesCS3B01G600300;TraesCS4B01G263300;TraesCS1D01G082600;TraesCS7B01G225500;TraesCS2A01G538200;TraesCS5D01G475900;TraesCS7A01G249400;TraesCS7D01G356200;TraesCS7D01G085800;TraesCS6A01G336600;TraesCS6B01G415700;TraesCS6A01G378000;TraesCS2A01G291700;TraesCS7A01G419200;TraesCS2D01G222300;TraesCS4D01G340500;TraesCS2A01G199700;TraesCS7B01G100600;TraesCS7A01G001900;TraesCS3A01G054400;TraesCS4D01G055700;TraesCS1A01G016100;TraesCS1D01G364000;TraesCS2D01G250900;TraesCS5D01G358600;TraesCS3A01G111400;TraesCS4B01G162700;TraesCS6D01G248500;TraesCS1B01G097400;TraesCS1D01G381800;TraesCS1D01G216200;TraesCS6B01G412400;TraesCS2D01G509300;TraesCS4A01G010000;TraesCS4A01G255400;TraesCS3B01G442700;TraesCS4D01G238900;TraesCS6D01G407400;TraesCS1A01G361100;TraesCS4D01G293200;TraesCS2D01G463100;TraesCS4D01G272500;TraesCS5A01G078400;TraesCS3D01G279800;TraesCS5A01G010800;TraesCS2A01G509900;TraesCS3B01G448000;TraesCS1B01G119600;TraesCS2B01G324900;TraesCS1A01G273600;TraesCS7A01G213000;TraesCS6A01G258900;TraesCS7D01G335500;TraesCS6B01G413500;TraesCS6D01G359100;TraesCS2A01G371600;TraesCS6A01G015500;TraesCS2B01G606400;TraesCS3D01G435400;TraesCS6D01G180400;TraesCS2B01G127700;TraesCS3A01G477300;TraesCS3D01G049700;TraesCS5D01G519800;TraesCS6B01G300500;TraesCS1B01G210500;TraesCS3D01G335700;TraesCS4B01G287300;TraesCS5A01G429000;TraesCS6B01G342100;TraesCS7A01G091400;TraesCS7D01G235800;TraesCS1A01G257300;TraesCS5A01G065500;TraesCS3B01G119600;TraesCS3B01G144800;TraesCS6A01G039500;TraesCS7D01G189700;TraesCS1A01G300000;TraesCS2A01G106500;TraesCS1A01G079700;TraesCS2D01G485300;TraesCS5B01G132200;TraesCS7D01G449700;TraesCS1D01G299400;TraesCS6D01G056600;TraesCS4B01G345400;TraesCS5A01G433300;TraesCS5A01G376700;TraesCS1A01G342600;TraesCS3D01G441900;TraesCS5B01G214500;TraesCS7D01G263200;TraesCS1B01G347100;TraesCS6D01G210100;TraesCS3B01G325100;TraesCS5B01G428400;TraesCS7D01G303700;TraesCS5D01G059300;TraesCS7A01G406100;TraesCS4A01G396700;TraesCS5D01G261000;TraesCS7B01G372400;TraesCS7D01G085600;TraesCS2D01G107100;TraesCS6A01G139000;TraesCSU01G016900;TraesCS2D01G490900;TraesCS1D01G372900;TraesCS2B01G308200;TraesCS2D01G581500;TraesCS2D01G455900;TraesCS2D01G577000;TraesCS3A01G064400;TraesCS3B01G013100;TraesCS4D01G126900;TraesCS3B01G166600;TraesCS3B01G288100;TraesCS2D01G296700;TraesCS5A01G304000;TraesCS6A01G102100;TraesCS7D01G405900;TraesCS5A01G340500;TraesCS1A01G048100;TraesCS2D01G431500;TraesCS3A01G122300;TraesCS6A01G190700;TraesCS1A01G186100;TraesCS4B01G055400;TraesCS3D01G172200;TraesCS3B01G300300;TraesCSU01G047400;TraesCS7D01G265400;TraesCS3A01G443500;TraesCS2D01G339900;TraesCS4A01G323500;TraesCS4D01G352700;TraesCS1D01G191100;TraesCS1D01G384900;TraesCS1B01G210300;TraesCS1D01G244700;TraesCS3D01G345700;TraesCS1A01G080700;TraesCS6A01G277600;TraesCS6B01G381300;TraesCS2B01G035300;TraesCS3B01G598200;TraesCS4B01G035800;TraesCS1D01G034600;TraesCS1D01G076200;TraesCS5B01G208300;TraesCS6B01G289500;TraesCS6D01G090700;TraesCS5B01G133500;TraesCS4A01G246500;TraesCS6B01G152700;TraesCS7A01G321600;TraesCS7D01G451300;TraesCS6D01G291300;TraesCS6A01G301300;TraesCS7B01G193800;TraesCS7D01G029700;TraesCS1D01G081100;TraesCS2A01G187900;TraesCS6B01G059800;TraesCS5D01G501000;TraesCS6D01G158300;TraesCS4D01G089300;TraesCS2B01G428800;TraesCS5D01G069700;TraesCS4B01G273500;TraesCS7B01G369200;TraesCS4A01G068400;TraesCS4D01G104100;TraesCS7B01G134200;TraesCS5B01G520600;TraesCS5A01G433900;TraesCS5B01G474500;TraesCS3D01G502500;TraesCS1A01G296300;TraesCS2B01G240800;TraesCS2B01G200100;TraesCS1D01G239700;TraesCS6A01G327500;TraesCS2D01G276900;TraesCS1D01G082200;TraesCS5A01G198800;TraesCS7D01G201600;TraesCS7D01G463300;TraesCS1D01G032600;TraesCS1A01G072200;TraesCS2D01G222700;TraesCS2D01G564300;TraesCS5A01G152800;TraesCS6D01G334000;TraesCS5B01G303800;TraesCS7A01G306800;TraesCS3D01G324400;TraesCS4A01G384500;TraesCS7D01G350500;TraesCS5B01G225200;TraesCS3D01G383600;TraesCS6A01G375800;TraesCS5B01G471000;TraesCS3D01G272300;TraesCS2D01G528200;TraesCS4D01G242100;TraesCS7B01G123300;TraesCS1B01G109400;TraesCS2A01G420800;TraesCS3D01G113600;TraesCS4B01G235000;TraesCS2B01G241900;TraesCS2D01G428700;TraesCS4B01G132000;TraesCS1D01G190000;TraesCS6D01G328800;TraesCS4B01G216700;TraesCS6D01G335300;TraesCS2A01G324400;TraesCS7D01G357100;TraesCS5B01G056700;TraesCS1A01G073300;TraesCS1B01G385200;TraesCS4B01G137700;TraesCS6B01G022500;TraesCS4B01G055600;TraesCS1B01G251700;TraesCS7A01G131300;TraesCS3A01G439200;TraesCS7D01G372500;TraesCS1B01G375400;TraesCS3B01G352300;TraesCS2B01G539200;TraesCS2A01G054200;TraesCS4D01G312400;TraesCS6D01G243000;TraesCS2B01G315100;TraesCS2A01G182400;TraesCS3D01G315700;TraesCS5D01G139800;TraesCS4B01G228700;TraesCS1B01G157700;TraesCS3D01G542300;TraesCS6D01G094700;TraesCS5A01G461100;TraesCS2D01G417800;TraesCS2A01G302400;TraesCS2D01G098200;TraesCS3B01G477100;TraesCS3D01G031100;TraesCS6B01G069800;TraesCS1B01G292200;TraesCS1D01G282300;TraesCS5A01G222300;TraesCS6D01G133900;TraesCS2A01G150600;TraesCS3A01G272100;TraesCS2A01G386000;TraesCS5A01G067100;TraesCS4A01G171500;TraesCS5A01G048600;TraesCS7B01G312100;TraesCS4A01G211600;TraesCS3D01G262300;TraesCS5D01G212900;TraesCS7A01G384500;TraesCS6D01G362500;TraesCS7A01G225800;TraesCS7B01G025800;TraesCS2A01G041100;TraesCS7A01G267200;TraesCS4A01G442400;TraesCS1D01G228600;TraesCS6D01G316600;TraesCS2D01G378200;TraesCS2B01G271500;TraesCS3D01G273200;TraesCS2B01G439900;TraesCS5B01G065400;TraesCS2A01G117800;TraesCS2D01G190200;TraesCS5D01G158100;TraesCS5D01G223800;TraesCS6A01G266100;TraesCS1B01G398700;TraesCS4D01G264500;TraesCS2A01G209900;TraesCS5A01G173300;TraesCS7D01G167900;TraesCS7D01G444400;TraesCS2A01G023900;TraesCS4D01G229100;TraesCS7D01G037700;TraesCS5D01G297200;TraesCS5A01G463100;TraesCS3B01G143300;TraesCS4D01G055500;TraesCS6D01G050900;TraesCS5A01G514500;TraesCS7A01G374700;TraesCS3B01G376300;TraesCS5A01G210300;TraesCS6D01G047500;TraesCS3D01G182600;TraesCS3D01G337900;TraesCS1D01G073100;TraesCS7B01G243500;TraesCS6D01G381200;TraesCS3B01G253900;TraesCS6D01G232300;TraesCS1D01G333500;TraesCS2D01G509500;TraesCS3B01G295500;TraesCS7D01G130600;TraesCS3D01G360900;TraesCS2B01G290000;TraesCS3B01G050300;TraesCS3B01G053800;TraesCS6A01G374700;TraesCS7D01G213600;TraesCS3B01G377600;TraesCS2B01G187300;TraesCS3A01G034600;TraesCS6D01G115200;TraesCS1A01G215100;TraesCS2D01G178100;TraesCS5B01G437300;TraesCS7B01G221700;TraesCS6B01G098300;TraesCS4D01G325500;TraesCS5D01G299400;TraesCS7D01G352700;TraesCS3D01G354000;TraesCS7D01G048600;TraesCS7A01G091200;TraesCS2D01G359900;TraesCS7D01G128300;TraesCS3B01G374100;TraesCS1D01G089900;TraesCS2B01G132400;TraesCS6B01G292200;TraesCS1D01G295800;TraesCS1D01G270500;TraesCS3D01G535700;TraesCS7B01G325900;TraesCS3A01G493100;TraesCS7B01G105600;TraesCS2B01G197000;TraesCS2B01G109700;TraesCS6B01G305600;TraesCS7A01G127100;TraesCS5D01G076400;TraesCS7D01G236300;TraesCS5A01G217000;TraesCS7A01G198300;TraesCS6B01G167400;TraesCS3B01G415900;TraesCS5A01G058100;TraesCS2B01G440400;TraesCS3A01G255600;TraesCS7D01G136700;TraesCS3D01G267000;TraesCS5A01G337700;TraesCS2A01G418200;TraesCS2B01G198100;TraesCS6A01G225300;TraesCS2A01G455600;TraesCS5B01G151600;TraesCS2D01G549400;TraesCS2B01G243000;TraesCS6D01G240100;TraesCS7A01G235800;TraesCS3D01G339600;TraesCS6B01G420600;TraesCS3D01G404100;TraesCS2B01G132500;TraesCS2D01G217500;TraesCS2B01G428500;TraesCS5D01G478700;TraesCS5A01G394700;TraesCS3A01G279800;TraesCS4A01G295500;TraesCS5D01G374300;TraesCS2A01G503800;TraesCS7A01G450200;TraesCS1A01G424200;TraesCS7B01G093500;TraesCS2B01G489700;TraesCS5A01G062600;TraesCS1D01G199300;TraesCS2B01G236900;TraesCS6B01G006600;TraesCS6B01G293500;TraesCS7D01G419400;TraesCSU01G008300;TraesCS3A01G125100;TraesCS3B01G206500;TraesCS2D01G321400;TraesCS1B01G157300;TraesCS3B01G311900;TraesCS2D01G504300;TraesCS5B01G288700;TraesCS1A01G227000;TraesCS2B01G271700;TraesCS2D01G275400;TraesCS7A01G344100;TraesCS3D01G501900;TraesCS7B01G255500;TraesCS1D01G118300;TraesCS2D01G197600;TraesCS1D01G259700;TraesCS1A01G033200;TraesCS7B01G356400;TraesCS4B01G124800;TraesCS3A01G096500;TraesCS3B01G137400;TraesCS3D01G406300;TraesCS7B01G392700;TraesCS2D01G219900;TraesCS4B01G225500;TraesCS1D01G346200;TraesCS5B01G381500;TraesCS6B01G225800;TraesCS7B01G287100;TraesCS2B01G365900;TraesCS3D01G472000;TraesCS2B01G437200;TraesCS4D01G215200;TraesCS3D01G500800;TraesCS7D01G480500;TraesCS3D01G036000;TraesCS5A01G085900;TraesCS5B01G252100;TraesCS1D01G420900;TraesCS1A01G367100;TraesCS6B01G167600;TraesCS5B01G380400;TraesCS1D01G303700;TraesCS2B01G339600;TraesCS2A01G346000;TraesCS3A01G022200;TraesCS2D01G415600;TraesCS3D01G435900;TraesCS1D01G074600;TraesCS7D01G352200;TraesCS5B01G240100;TraesCS7D01G228700;TraesCS7D01G316100;TraesCS1D01G037200;TraesCS1D01G123700;TraesCS7D01G476000;TraesCS6B01G197000;TraesCS6A01G320500;TraesCS2B01G132700;TraesCS2D01G428900;TraesCS3D01G316700;TraesCS5A01G369500;TraesCS3B01G158300;TraesCS2B01G430800;TraesCS5A01G451400;TraesCS4B01G214600;TraesCS1B01G089100;TraesCS5D01G554300;TraesCS3D01G178300;TraesCS5B01G138400;TraesCS2A01G324200;TraesCS1B01G385000;TraesCS2B01G428700;TraesCS6D01G127700;TraesCS3D01G042700;TraesCS3D01G048000;TraesCS3B01G591000;TraesCS3A01G258700;TraesCS3D01G136700;TraesCS1B01G217500;TraesCS2B01G585100;TraesCS3D01G432600;TraesCS6D01G299600;TraesCS3D01G527900;TraesCS3D01G192800;TraesCS3A01G439800;TraesCS2A01G354500;TraesCS2A01G570600;TraesCS1D01G199500;TraesCS1D01G273800;TraesCS1A01G344000;TraesCS1B01G058600;TraesCS6A01G204600;TraesCS5B01G307300;TraesCS2D01G344700;TraesCS6B01G249400;TraesCS7A01G370400;TraesCS7A01G158900;TraesCS6A01G135100;TraesCS4D01G311500;TraesCSU01G021700;TraesCS7D01G340200;TraesCS6D01G360800;TraesCS7D01G124900;TraesCS1D01G350100;TraesCS3A01G256300;TraesCS3D01G046000;TraesCS1D01G256600;TraesCS6B01G362000;TraesCS6A01G132400;TraesCS5A01G131300;TraesCS6B01G130500;TraesCS3B01G306500;TraesCS3D01G256500;TraesCS1A01G141300;TraesCS6D01G367600;TraesCS2D01G572600;TraesCS2A01G446500;TraesCS5D01G225100;TraesCS5B01G305300;TraesCS1A01G080600;TraesCS7D01G190600;TraesCS2B01G532000;TraesCS2B01G536600;TraesCS5A01G186000;TraesCS5B01G191900;TraesCS1D01G372700;TraesCS6D01G145100;TraesCS1A01G259900;TraesCS5D01G434500;TraesCS2D01G493700;TraesCS4A01G100900;TraesCS2B01G233800;TraesCS7D01G439400;TraesCS7B01G031900;TraesCS2D01G555000;TraesCS4A01G207800;TraesCS1D01G394500;TraesCS5D01G499000;TraesCS7A01G470400;TraesCS5D01G216400;TraesCS3B01G409400;TraesCS3D01G023100;TraesCS6B01G175200;TraesCS2D01G527800;TraesCS2A01G028500;TraesCS3A01G494800;TraesCS1A01G122800;TraesCS5D01G357800;TraesCS2B01G114000;TraesCS7D01G028400;TraesCS2A01G255300;TraesCS3B01G304300;TraesCS4A01G042700;TraesCS4A01G413700;TraesCS6A01G124800;TraesCS2A01G073500;TraesCS2A01G155500;TraesCS3A01G345800;TraesCS6D01G363200;TraesCS2B01G452200;TraesCS6D01G353400;TraesCS3A01G100900;TraesCS3B01G141500;TraesCS7D01G243700;TraesCS7D01G321500;TraesCS3A01G119500;TraesCS1A01G211500;TraesCS5D01G157900;TraesCS7B01G333700;TraesCS7D01G380900;TraesCS3A01G050300;TraesCS6B01G206900;TraesCS6D01G104800;TraesCS3D01G104000;TraesCS7B01G356800;TraesCS4A01G043800;TraesCS4B01G120600;TraesCS6A01G167300;TraesCS6B01G351300;TraesCS2A01G211300;TraesCS5D01G344500;TraesCS2A01G414700;TraesCS1D01G130400;TraesCS6D01G310500;TraesCS5A01G206700;TraesCS5A01G166200;TraesCS2A01G362500;TraesCS6B01G257400;TraesCS7D01G261300;TraesCS5B01G197400;TraesCS2D01G421200;TraesCS7D01G041400;TraesCS2A01G094700;TraesCS1A01G070600;TraesCS1B01G314700;TraesCS2B01G112000;TraesCS7A01G461500;TraesCS2A01G421400;TraesCS7A01G427600;TraesCS1B01G310100;TraesCS2B01G175800;TraesCS5B01G204800;TraesCS6D01G122200;TraesCS5A01G100300;TraesCS5D01G329100;TraesCS3A01G049500;TraesCS5D01G310500;TraesCS1D01G372500;TraesCS2A01G081400;TraesCS3B01G038900;TraesCS6A01G073300;TraesCS6A01G320100;TraesCS6B01G256300;TraesCS1B01G267800;TraesCS3D01G408100;TraesCS5B01G475000;TraesCS7B01G350000;TraesCS3B01G362900;TraesCS4A01G102900;TraesCS4D01G016500;TraesCS5B01G184100;TraesCS5B01G188700;TraesCS5D01G342300;TraesCS6B01G080100;TraesCS6B01G328300;TraesCS7D01G248100;TraesCS3A01G101800;TraesCS5A01G313900;TraesCS3D01G048400;TraesCS7A01G376100;TraesCS4A01G259400;TraesCS2A01G548300;TraesCS6B01G238900;TraesCS6B01G385500;TraesCS2B01G428300;TraesCS2B01G485300;TraesCS6D01G191500;TraesCS7B01G135900;TraesCS3A01G261700;TraesCS3B01G289500;TraesCS4B01G203900;TraesCS3B01G422800;TraesCS6D01G307100;TraesCS2A01G132600;TraesCS2B01G452400;TraesCS1A01G215900;TraesCS2B01G511300;TraesCS3B01G090400;TraesCS1B01G210700;TraesCS4A01G003100;TraesCS3A01G413600;TraesCS3D01G121600;TraesCS2D01G164500;TraesCS7A01G053400;TraesCS5D01G281200;TraesCS7B01G228900;TraesCS4D01G202300;TraesCS7B01G094400;TraesCS5D01G199800;TraesCS5D01G210800;TraesCS4B01G059700;TraesCS4D01G316500;TraesCS3A01G285700;TraesCS2A01G217200;TraesCS5D01G422000;TraesCS5D01G067000;TraesCS3A01G101700;TraesCS2D01G509400;TraesCS3D01G434200;TraesCS1D01G094700;TraesCS2A01G211900;TraesCS2A01G412200;TraesCS6D01G167300;TraesCS2D01G095000;TraesCS4B01G215100;TraesCS2D01G534600;TraesCS2A01G094500;TraesCS6D01G191400;TraesCS4B01G068300;TraesCS2D01G270400;TraesCS1A01G406200;TraesCS3D01G102200;TraesCS7B01G030400;TraesCS5D01G440900;TraesCS3B01G556500;TraesCS6B01G136100;TraesCS6B01G152800;TraesCS4B01G264500;TraesCS7D01G348700;TraesCS2D01G141100;TraesCS5B01G262900;TraesCS2B01G220900;TraesCS4A01G059400;TraesCS2B01G266900;TraesCS7A01G091500;TraesCS4A01G391100;TraesCS4D01G315400;TraesCS1D01G081400;TraesCS6A01G144900;TraesCS7A01G424700;TraesCS2B01G367700;TraesCS3A01G021600;TraesCS5A01G147500;TraesCS6A01G419900;TraesCS4A01G498700;TraesCS3D01G432000;TraesCS3A01G124800;TraesCS7A01G195800;TraesCS2A01G410000;TraesCS2A01G056100;TraesCS2D01G066900;TraesCS2A01G276400;TraesCS1D01G082500;TraesCS3A01G110400;TraesCS3A01G135700;TraesCS7A01G364200;TraesCS2A01G371700;TraesCS5A01G320600;TraesCS7B01G225600;TraesCS6B01G358800;TraesCS5D01G097900;TraesCS6D01G258200;TraesCS7B01G301100;TraesCS2A01G525000;TraesCS5D01G461600;TraesCS2D01G419700;TraesCS4D01G055600;TraesCS4A01G221700;TraesCS3B01G110500;TraesCS2B01G318100;TraesCS1A01G213400;TraesCS6D01G192500;TraesCS2A01G462700;TraesCS3B01G310000;TraesCS1A01G048000;TraesCS2D01G509200;TraesCS5A01G235300;TraesCS6B01G022400;TraesCS7B01G029200;TraesCS7D01G416900;TraesCS1B01G062200;TraesCS6B01G288300;TraesCS7B01G325300;TraesCS3A01G189300;TraesCS1A01G088300;TraesCS1B01G119700;TraesCS6D01G296900;TraesCS1A01G103900;TraesCS2D01G201700;TraesCS2D01G039500;TraesCS3B01G448100;TraesCS6B01G257800;TraesCS3A01G351500;TraesCS2D01G534400;TraesCS6A01G168900;TraesCS3D01G279700;TraesCS1D01G344700;TraesCS5B01G202900;TraesCS3D01G045400;TraesCS2A01G096500;TraesCS1D01G414600;TraesCS6B01G266500;TraesCS7A01G400900;TraesCS2D01G407300;TraesCS4B01G228200;TraesCS5B01G399700;TraesCS7A01G434300;TraesCS5D01G343000;TraesCS1D01G330300;TraesCS2B01G100300;TraesCS5B01G208200;TraesCS2A01G308400;TraesCS6B01G152600;TraesCS5D01G027600;TraesCS2B01G220700;TraesCS2B01G323700;TraesCS3A01G411600;TraesCS3D01G094800;TraesCS6D01G158400;TraesCS3B01G119500;TraesCS7A01G328100;TraesCS2B01G067000;TraesCS2D01G485200;TraesCS5D01G073900;TraesCS7D01G394800;TraesCS2D01G093000;TraesCS4D01G236800;TraesCS2D01G418400;TraesCS7D01G001600;TraesCS2A01G553500;TraesCS5A01G351300;TraesCS2A01G532800;TraesCS6A01G223900;TraesCS1D01G101100;TraesCS7A01G318300;TraesCS3D01G256600;TraesCS5D01G152300;TraesCS5D01G177800;TraesCS2D01G511300;TraesCS3B01G151200;TraesCS2D01G054900;TraesCS2A01G098700;TraesCS4A01G277100;TraesCS1B01G361500;TraesCS1D01G372800;TraesCS3D01G001400;TraesCS1D01G206900;TraesCS4D01G126800;TraesCS3D01G024500;TraesCS3B01G013200;TraesCS7B01G252700;TraesCS5A01G377900;TraesCS7A01G212000;TraesCS1A01G203400;TraesCS7D01G053900;TraesCS7A01G112700;TraesCS2D01G464500;TraesCS4B01G216000;TraesCS2B01G557100;TraesCS1A01G333800;TraesCS3D01G440900;TraesCS5A01G237700;TraesCS4A01G267300;TraesCS3D01G276200;TraesCS6B01G183300;TraesCS3B01G146500;TraesCS5D01G145100;TraesCS2A01G217600;TraesCS4A01G070600;TraesCS1B01G385300;TraesCS7A01G489600;TraesCS2B01G216800;TraesCS1B01G456700;TraesCS1A01G149700;TraesCS1D01G361000;TraesCS2B01G114900;TraesCS5D01G078300;TraesCS7A01G002700;TraesCS1B01G134500;TraesCS3B01G417800;TraesCS4D01G172700;TraesCS4D01G312300;TraesCS1B01G283400;TraesCS3A01G530200;TraesCS3B01G361100;TraesCS1B01G120100;TraesCS2A01G214100;TraesCS5B01G460200;TraesCS4B01G018300;TraesCS7B01G254900;TraesCS3B01G384000;TraesCS3D01G247000;TraesCS6D01G032300;TraesCS2B01G132100;TraesCS5A01G138600;TraesCS3A01G463400;TraesCS3D01G461200;TraesCS4A01G059800;TraesCS5D01G304700;TraesCS3A01G010300;TraesCS4D01G296400;TraesCS5D01G373700;TraesCS2A01G277900;TraesCS2B01G562100;TraesCS1A01G031200;TraesCS3A01G220800;TraesCS4D01G263500;TraesCS5B01G236200;TraesCS3A01G266800;TraesCS3B01G158500;TraesCS7B01G222500;TraesCS4A01G125300;TraesCS2A01G097400;TraesCS2A01G347400;TraesCS7D01G200600;TraesCS3A01G262200;TraesCS6A01G173600;TraesCS6D01G224600;TraesCS2A01G368700;TraesCS5D01G386800;TraesCS2A01G158200;TraesCS1B01G270300;TraesCS2B01G521800;TraesCS7A01G096800;TraesCS1B01G373100;TraesCS6A01G209000;TraesCS7B01G362900;TraesCS3B01G138900;TraesCS5B01G069900;TraesCS6D01G162700;TraesCS2A01G532600;TraesCS5B01G474600;TraesCS6B01G350900;TraesCS6D01G210200;TraesCS2D01G517200;TraesCS1B01G377700;TraesCS6B01G297600;TraesCS6D01G021200;TraesCS1D01G367800;TraesCS4D01G222600;TraesCS2A01G407900;TraesCS5D01G093700;TraesCS2A01G113500;TraesCS4D01G046900;TraesCS6A01G116000;TraesCS3A01G125500;TraesCS7A01G154900;TraesCS4A01G186700;TraesCS5B01G074000;TraesCS1B01G225300;TraesCS2B01G241800;TraesCS7B01G207100;TraesCS2B01G467400;TraesCS3B01G110100;TraesCS6B01G367100;TraesCS1B01G097700;TraesCS5B01G387300;TraesCS3D01G182300;TraesCS1D01G073000;TraesCS2B01G504000;TraesCS6D01G253100;TraesCS2D01G284200;TraesCS5B01G056800;TraesCS2D01G380800;TraesCS5B01G436300;TraesCS5D01G210600;TraesCS3D01G140900;TraesCS7D01G003400;TraesCS2D01G207400;TraesCS7D01G090000;TraesCS7B01G253600;TraesCS5A01G092600;TraesCS2B01G554900;TraesCS3A01G521300;TraesCS3A01G034700;TraesCS2B01G244000;TraesCS4B01G041300;TraesCS5A01G139500;TraesCS1B01G226800;TraesCS2B01G366600;TraesCS3B01G021900;TraesCS3D01G097000;TraesCS6A01G260900;TraesCS6D01G330800;TraesCS7B01G141900;TraesCS1D01G423100;TraesCS7A01G320800;TraesCS5B01G366400;TraesCS4A01G081700;TraesCS2A01G057800;TraesCS7A01G537300;TraesCS7D01G235700;TraesCS3B01G144300;TraesCS6D01G280700;TraesCS3D01G262200;TraesCS1A01G325800;TraesCS4B01G294300;TraesCS5D01G212800;TraesCS6B01G347700;TraesCS7D01G317600;TraesCS3D01G046900;TraesCS3A01G323200;TraesCS7A01G129300;TraesCS2D01G574000;TraesCS2D01G062100;TraesCS4D01G217000;TraesCS5D01G158000;TraesCS7D01G129500;TraesCS4A01G417300;TraesCS6D01G159100;TraesCS2B01G594100;TraesCS3A01G313400;TraesCS3D01G124200;TraesCS5A01G454500;TraesCS2B01G364400;TraesCS7D01G444500;TraesCS6A01G223500;TraesCS6A01G317600;TraesCS1B01G305200;TraesCS6A01G352800;TraesCS7D01G457800;TraesCS6A01G375900;TraesCS6A01G265100;TraesCS3D01G333200;TraesCS4B01G132100;TraesCS5B01G064400;TraesCS1A01G016000;TraesCS5B01G087500;TraesCS6D01G211500;TraesCS6A01G232200;TraesCS2A01G485600;TraesCS7A01G325000;TraesCS2A01G298600;TraesCS5D01G432700;TraesCS7B01G220500</t>
  </si>
  <si>
    <t>TraesCS3D01G228900;TraesCS1B01G368500;TraesCS1D01G356900;TraesCS4B01G091100</t>
  </si>
  <si>
    <t>TraesCS3B01G112900;TraesCS1D01G396300;TraesCS3A01G097200;TraesCS1A01G388400</t>
  </si>
  <si>
    <t>postreplication repair</t>
  </si>
  <si>
    <t>TraesCS1A01G281700;TraesCS1B01G290800;TraesCS2D01G520000;TraesCS1D01G280900</t>
  </si>
  <si>
    <t>pyrimidine nucleoside monophosphate metabolic process</t>
  </si>
  <si>
    <t>TraesCS3D01G495100;TraesCS4A01G110800;TraesCS4D01G194300;TraesCS2D01G246100;TraesCS2A01G022000;TraesCS2D01G022800;TraesCS3A01G334800;TraesCS5A01G324200;TraesCS2B01G428100;TraesCS1D01G086600;TraesCS2D01G238600;TraesCS1B01G377800;TraesCS2A01G409700;TraesCS5A01G192000;TraesCS2A01G239200;TraesCS2B01G257300;TraesCS6B01G161800;TraesCS2D01G407000;TraesCS4B01G131800;TraesCS4B01G354600;TraesCS4B01G069200;TraesCS3D01G228800;TraesCS3D01G083400;TraesCS5B01G324800;TraesCS6D01G163700;TraesCS3A01G082700;TraesCS3D01G328100;TraesCS5B01G387600;TraesCS4D01G208900;TraesCS3A01G224800;TraesCS4A01G355100;TraesCS5B01G517400</t>
  </si>
  <si>
    <t>aromatic compound catabolic process</t>
  </si>
  <si>
    <t>TraesCS6D01G149800;TraesCS6B01G189000</t>
  </si>
  <si>
    <t>Swr1 complex</t>
  </si>
  <si>
    <t>glycerol catabolic process</t>
  </si>
  <si>
    <t>alditol catabolic process</t>
  </si>
  <si>
    <t>TraesCS5A01G548800;TraesCS4D01G359000</t>
  </si>
  <si>
    <t>ATP-dependent RNA helicase activity</t>
  </si>
  <si>
    <t>RNA-dependent ATPase activity</t>
  </si>
  <si>
    <t>TraesCS6B01G253900;TraesCS4A01G138800</t>
  </si>
  <si>
    <t>long-day photoperiodism</t>
  </si>
  <si>
    <t>TraesCS4A01G110800;TraesCS4D01G194300</t>
  </si>
  <si>
    <t>5'-3' exodeoxyribonuclease activity</t>
  </si>
  <si>
    <t>exodeoxyribonuclease activity, producing 5'-phosphomonoesters</t>
  </si>
  <si>
    <t>exodeoxyribonuclease activity</t>
  </si>
  <si>
    <t>TraesCS5B01G476900;TraesCS3D01G289600</t>
  </si>
  <si>
    <t>regulation of alcohol biosynthetic process</t>
  </si>
  <si>
    <t>TraesCS4B01G191300;TraesCS2D01G397800</t>
  </si>
  <si>
    <t>negative regulation of organ growth</t>
  </si>
  <si>
    <t>negative regulation of developmental growth</t>
  </si>
  <si>
    <t>regulation of organ growth</t>
  </si>
  <si>
    <t>regulation of tetrapyrrole biosynthetic process</t>
  </si>
  <si>
    <t>TraesCS1D01G229400;TraesCS2A01G097900</t>
  </si>
  <si>
    <t>DNA replication, synthesis of RNA primer</t>
  </si>
  <si>
    <t>DNA primase activity</t>
  </si>
  <si>
    <t>TraesCS4D01G175600;TraesCS1D01G211600</t>
  </si>
  <si>
    <t>regulation of cell shape</t>
  </si>
  <si>
    <t>lipopolysaccharide biosynthetic process</t>
  </si>
  <si>
    <t>lipopolysaccharide metabolic process</t>
  </si>
  <si>
    <t>TraesCS2B01G222600;TraesCS3A01G232700;TraesCS3D01G220400;TraesCS2D01G202900;TraesCS6B01G115200</t>
  </si>
  <si>
    <t>solute:cation symporter activity</t>
  </si>
  <si>
    <t>TraesCS6A01G268900;TraesCS2A01G233300;TraesCS2D01G232300;TraesCS2D01G438800;TraesCS2B01G250000</t>
  </si>
  <si>
    <t>positive regulation of transferase activity</t>
  </si>
  <si>
    <t>TraesCS1A01G092700;TraesCS1D01G101200;TraesCS6A01G070600;TraesCS4A01G246100;TraesCS4D01G068100;TraesCS2A01G187700</t>
  </si>
  <si>
    <t>folic acid-containing compound metabolic process</t>
  </si>
  <si>
    <t>TraesCS5A01G411500;TraesCS5D01G420300;TraesCS5B01G415100</t>
  </si>
  <si>
    <t>fatty acid derivative biosynthetic process</t>
  </si>
  <si>
    <t>fatty acid derivative metabolic process</t>
  </si>
  <si>
    <t>TraesCS3A01G417000;TraesCS3D01G412500;TraesCS7D01G409000</t>
  </si>
  <si>
    <t>dolichyl-diphosphooligosaccharide-protein glycotransferase activity</t>
  </si>
  <si>
    <t>TraesCS3A01G232700;TraesCS3D01G220400;TraesCS6B01G115200</t>
  </si>
  <si>
    <t>anion:cation symporter activity</t>
  </si>
  <si>
    <t>TraesCS2D01G154100;TraesCS7D01G169500;TraesCS3A01G181600</t>
  </si>
  <si>
    <t>thiazole biosynthetic process</t>
  </si>
  <si>
    <t>thiazole metabolic process</t>
  </si>
  <si>
    <t>oxazole or thiazole biosynthetic process</t>
  </si>
  <si>
    <t>oxazole or thiazole metabolic process</t>
  </si>
  <si>
    <t>methylammonium transmembrane transport</t>
  </si>
  <si>
    <t>methylammonium transport</t>
  </si>
  <si>
    <t>amine transport</t>
  </si>
  <si>
    <t>anisotropic cell growth</t>
  </si>
  <si>
    <t>intein-mediated protein splicing</t>
  </si>
  <si>
    <t>protein splicing</t>
  </si>
  <si>
    <t>maturation of 5S rRNA</t>
  </si>
  <si>
    <t>N-methylnicotinate transport</t>
  </si>
  <si>
    <t>quaternary ammonium group transport</t>
  </si>
  <si>
    <t>nicotinate transport</t>
  </si>
  <si>
    <t>N-methylnicotinate transmembrane transporter activity</t>
  </si>
  <si>
    <t>quaternary ammonium group transmembrane transporter activity</t>
  </si>
  <si>
    <t>nicotinate transmembrane transporter activity</t>
  </si>
  <si>
    <t>indeterminate inflorescence morphogenesis</t>
  </si>
  <si>
    <t>phytoene synthase activity</t>
  </si>
  <si>
    <t>photosystem I stabilization</t>
  </si>
  <si>
    <t>photosynthetic NADP+ reduction</t>
  </si>
  <si>
    <t>NADPH regeneration</t>
  </si>
  <si>
    <t>hypotonic response</t>
  </si>
  <si>
    <t>root hair cell tip growth</t>
  </si>
  <si>
    <t>response to cation stress</t>
  </si>
  <si>
    <t>cellulose synthase complex</t>
  </si>
  <si>
    <t>endoplasmic reticulum exit site</t>
  </si>
  <si>
    <t>ribulose-1,5-bisphosphate carboxylase/oxygenase activator activity</t>
  </si>
  <si>
    <t>2-carboxy-D-arabinitol-1-phosphatase activity</t>
  </si>
  <si>
    <t>phosphoglucomutase activity</t>
  </si>
  <si>
    <t>fructose 1,6-bisphosphate metabolic process</t>
  </si>
  <si>
    <t>histidine catabolic process to glutamate and formamide</t>
  </si>
  <si>
    <t>formamide metabolic process</t>
  </si>
  <si>
    <t>histidine catabolic process</t>
  </si>
  <si>
    <t>imidazole-containing compound catabolic process</t>
  </si>
  <si>
    <t>positive regulation of red or far-red light signaling pathway</t>
  </si>
  <si>
    <t>regulation of red or far-red light signaling pathway</t>
  </si>
  <si>
    <t>stromal side of plastid thylakoid membrane</t>
  </si>
  <si>
    <t>endosperm cellularization</t>
  </si>
  <si>
    <t>FACT complex</t>
  </si>
  <si>
    <t>large ribosomal subunit rRNA binding</t>
  </si>
  <si>
    <t>xanthophyll binding</t>
  </si>
  <si>
    <t>proteoglycan binding</t>
  </si>
  <si>
    <t>chloroplast proton-transporting ATP synthase complex assembly</t>
  </si>
  <si>
    <t>dol-P-Man:Man(6)GlcNAc(2)-PP-Dol alpha-1,2-mannosyltransferase activity</t>
  </si>
  <si>
    <t>dol-P-Man:Man(8)GlcNAc(2)-PP-Dol alpha-1,2-mannosyltransferase activity</t>
  </si>
  <si>
    <t>NADH pyrophosphatase activity</t>
  </si>
  <si>
    <t>peptidyl-threonine dephosphorylation</t>
  </si>
  <si>
    <t>nuclear replisome</t>
  </si>
  <si>
    <t>nuclear replication fork</t>
  </si>
  <si>
    <t>regulation of cell aging</t>
  </si>
  <si>
    <t>protein deneddylation</t>
  </si>
  <si>
    <t>magnesium chelatase complex</t>
  </si>
  <si>
    <t>histone H3-K14 acetylation</t>
  </si>
  <si>
    <t>histone H3-K23 acetylation</t>
  </si>
  <si>
    <t>histone H3-K18 acetylation</t>
  </si>
  <si>
    <t>histone H3 acetylation</t>
  </si>
  <si>
    <t>formation of animal organ boundary</t>
  </si>
  <si>
    <t>cholesterol transport</t>
  </si>
  <si>
    <t>sterol transport</t>
  </si>
  <si>
    <t>pyruvate dehydrogenase (acetyl-transferring) kinase activity</t>
  </si>
  <si>
    <t>histidine phosphotransfer kinase activity</t>
  </si>
  <si>
    <t>regulation of phosphate transmembrane transport</t>
  </si>
  <si>
    <t>regulation of inorganic anion transmembrane transport</t>
  </si>
  <si>
    <t>regulation of phosphate transport</t>
  </si>
  <si>
    <t>homogentisate solanesyltransferase activity</t>
  </si>
  <si>
    <t>homogentisate geranylgeranyltransferase activity</t>
  </si>
  <si>
    <t>homogentisate farnesyltransferase activity</t>
  </si>
  <si>
    <t>U2 snRNA binding</t>
  </si>
  <si>
    <t>TraesCS5D01G551200;TraesCS1D01G440900;TraesCS7D01G292000;TraesCS7B01G184800;TraesCSU01G036900;TraesCS4A01G315700;TraesCS1A01G431600;TraesCS5B01G563800;TraesCS7D01G447100;TraesCS4A01G157100;TraesCS2D01G496200;TraesCS7B01G117600;TraesCS2A01G239000;TraesCS4A01G151200</t>
  </si>
  <si>
    <t>transcription factor activity, protein binding</t>
  </si>
  <si>
    <t>TraesCS7A01G466600;TraesCS3A01G134100;TraesCS5A01G020800;TraesCS7B01G124100;TraesCS4B01G152900;TraesCS1D01G226500;TraesCS3B01G185300;TraesCS3D01G150400;TraesCS4A01G164900;TraesCS7D01G454200</t>
  </si>
  <si>
    <t>proteasomal protein catabolic process</t>
  </si>
  <si>
    <t>TraesCS2A01G261000;TraesCS5A01G020800;TraesCS2D01G262900;TraesCS1D01G226500;TraesCS5B01G339200</t>
  </si>
  <si>
    <t>regulation of unidimensional cell growth</t>
  </si>
  <si>
    <t>TraesCS1D01G396300;TraesCS6B01G236600;TraesCS6A01G208200;TraesCS6D01G191600;TraesCS1A01G388400</t>
  </si>
  <si>
    <t>phosphate ion transport</t>
  </si>
  <si>
    <t>TraesCS4A01G262900;TraesCS5D01G166000;TraesCS5A01G131600;TraesCS5B01G158500;TraesCS2D01G079600;TraesCS5B01G155200;TraesCS5D01G140200;TraesCS4B01G050200;TraesCS6B01G253900;TraesCS7D01G148200;TraesCS3B01G423600;TraesCS5A01G161200;TraesCS7B01G049000;TraesCS7B01G049200;TraesCS2B01G592500;TraesCS2D01G308000;TraesCS5A01G157000;TraesCS5D01G162400;TraesCS5B01G132900;TraesCS2B01G326800;TraesCS4B01G178900;TraesCS7D01G000100;TraesCS7A01G146700</t>
  </si>
  <si>
    <t>TraesCS7B01G363600;TraesCS1A01G224700;TraesCS1D01G226100;TraesCS5D01G026000;TraesCS7D01G450700;TraesCS1D01G367600</t>
  </si>
  <si>
    <t>TraesCS2D01G362700;TraesCS7A01G250500;TraesCS5D01G429200;TraesCS3D01G273800;TraesCS7D01G000100;TraesCS2A01G387000;TraesCS7B01G176200;TraesCS4A01G120000</t>
  </si>
  <si>
    <t>seed germination</t>
  </si>
  <si>
    <t>TraesCS2D01G154100;TraesCS7B01G455500;TraesCS4D01G129300;TraesCS3A01G367000;TraesCS2B01G309400;TraesCS3A01G084400;TraesCS5A01G182300;TraesCS3A01G202700;TraesCS4A01G111000;TraesCS3D01G359900;TraesCS3D01G084300;TraesCS3B01G398300;TraesCS1D01G265200;TraesCS5A01G150700;TraesCS2A01G348500;TraesCS2B01G366900;TraesCS6A01G147900;TraesCS1A01G265000;TraesCS3A01G100000;TraesCSU01G068800;TraesCS7D01G169500;TraesCS2D01G346900;TraesCS3A01G181600;TraesCS2D01G092500;TraesCS4D01G195400;TraesCS4D01G212000;TraesCS2B01G234500;TraesCS3D01G379000;TraesCS5D01G144600;TraesCS2B01G108200;TraesCS3B01G347000;TraesCS5D01G180100;TraesCS2A01G093700;TraesCS5B01G121500;TraesCS5B01G180300;TraesCS3D01G312200;TraesCS4A01G093100;TraesCS3B01G410400;TraesCS5B01G146700;TraesCS5D01G155800</t>
  </si>
  <si>
    <t>TraesCS4D01G244000;TraesCS2A01G521400;TraesCS3B01G154900;TraesCS2A01G392900;TraesCS2A01G585800;TraesCS4A01G078900;TraesCS4B01G245400;TraesCS5A01G472100;TraesCS5B01G171400;TraesCS7D01G326000</t>
  </si>
  <si>
    <t>regionalization</t>
  </si>
  <si>
    <t>TraesCS1B01G261700;TraesCS7B01G097000;TraesCS5D01G230300;TraesCS7A01G192000;TraesCS4A01G110800;TraesCS4B01G383000;TraesCS1A01G358800;TraesCS4B01G244400;TraesCS6B01G348700;TraesCS4A01G078900;TraesCS4B01G245400;TraesCS4D01G194300;TraesCS3D01G289600;TraesCS7D01G107600;TraesCS1B01G375300;TraesCS5D01G157300;TraesCS4D01G244000;TraesCS1D01G250700;TraesCS7D01G193000</t>
  </si>
  <si>
    <t>cell wall polysaccharide metabolic process</t>
  </si>
  <si>
    <t>TraesCS7A01G250500;TraesCS5A01G123700;TraesCS5A01G020800;TraesCS4A01G062200;TraesCS1D01G226500;TraesCS4A01G120000;TraesCS1D01G316200;TraesCS2D01G362700;TraesCS4B01G321500;TraesCS5A01G324200;TraesCS5B01G324800;TraesCS5D01G429200;TraesCS5D01G459800;TraesCS3D01G273800;TraesCS2D01G148200;TraesCS5A01G490500;TraesCS4B01G238900;TraesCS4D01G318200</t>
  </si>
  <si>
    <t>multicellular organism reproduction</t>
  </si>
  <si>
    <t>TraesCS4A01G262900;TraesCS3A01G402500;TraesCS6D01G149800;TraesCS3D01G231200;TraesCS6B01G213100;TraesCS2A01G233300;TraesCS2B01G250000;TraesCS5B01G378700;TraesCS5A01G467500;TraesCS7D01G447100;TraesCS3B01G435900;TraesCS3D01G114000;TraesCS4D01G160000;TraesCS6D01G237400;TraesCS6B01G151900;TraesCSU01G072700;TraesCS4B01G150300;TraesCS6B01G189000;TraesCS2B01G098800;TraesCS2D01G496200;TraesCS2D01G232300;TraesCS1B01G377800;TraesCS2A01G239000;TraesCS1D01G325500</t>
  </si>
  <si>
    <t>nucleoplasm</t>
  </si>
  <si>
    <t>TraesCS1D01G433300;TraesCS2D01G399800;TraesCS4A01G334700;TraesCS5A01G472100;TraesCS5B01G171400;TraesCS1A01G095200;TraesCS2B01G375700;TraesCS5A01G059900</t>
  </si>
  <si>
    <t>positive regulation of cytoskeleton organization</t>
  </si>
  <si>
    <t>TraesCS2D01G133500;TraesCS6D01G213800;TraesCS6A01G221400;TraesCS5B01G339200</t>
  </si>
  <si>
    <t>positive regulation of GTPase activity</t>
  </si>
  <si>
    <t>TraesCS2B01G264100;TraesCS4A01G015800;TraesCS4B01G288200;TraesCS5A01G424400</t>
  </si>
  <si>
    <t>positive regulation of innate immune response</t>
  </si>
  <si>
    <t>positive regulation of immune response</t>
  </si>
  <si>
    <t>positive regulation of immune system process</t>
  </si>
  <si>
    <t>TraesCS2A01G585800;TraesCS5D01G372500;TraesCS7D01G326000;TraesCS7D01G339600</t>
  </si>
  <si>
    <t>pyrimidine nucleoside monophosphate biosynthetic process</t>
  </si>
  <si>
    <t>TraesCS1A01G281700;TraesCS1B01G290800;TraesCS1D01G280900;TraesCS3D01G237100;TraesCS5A01G092400;TraesCS1B01G478800</t>
  </si>
  <si>
    <t>pyrimidine ribonucleoside metabolic process</t>
  </si>
  <si>
    <t>pyrimidine nucleoside metabolic process</t>
  </si>
  <si>
    <t>TraesCS1D01G151800;TraesCS3A01G530000;TraesCS1B01G171600;TraesCS3B01G250800;TraesCS2B01G410600</t>
  </si>
  <si>
    <t>TraesCS3D01G264800;TraesCS6B01G159200;TraesCS3A01G264700;TraesCS5B01G270200;TraesCS2A01G216100;TraesCS2A01G234200;TraesCS4B01G220400;TraesCS2D01G136100;TraesCS2D01G242100;TraesCS2B01G325100;TraesCS4D01G003100;TraesCS6B01G089500;TraesCS2A01G193800;TraesCS2D01G118000;TraesCS2D01G233900;TraesCS3A01G191700;TraesCS3B01G219700;TraesCS2D01G148200;TraesCS3D01G514100;TraesCS2B01G157600;TraesCS4D01G220700;TraesCS7A01G448800;TraesCS2D01G194000</t>
  </si>
  <si>
    <t>organelle inner membrane</t>
  </si>
  <si>
    <t>TraesCS2A01G233300;TraesCS2D01G232300;TraesCS2B01G250000</t>
  </si>
  <si>
    <t>regulation of mitotic spindle organization</t>
  </si>
  <si>
    <t>regulation of spindle organization</t>
  </si>
  <si>
    <t>TraesCS1A01G100600;TraesCS1D01G092200;TraesCS1B01G110400</t>
  </si>
  <si>
    <t>photosystem II repair</t>
  </si>
  <si>
    <t>TraesCS3D01G264800;TraesCS3A01G264700;TraesCS5D01G013100;TraesCS4B01G170400;TraesCS7B01G052900;TraesCS1B01G171600;TraesCS2A01G521400;TraesCS2D01G242100;TraesCS3B01G291000;TraesCS3D01G285100;TraesCS2B01G454000;TraesCS4D01G079200;TraesCS1D01G151800;TraesCS2D01G523100;TraesCS6D01G283300;TraesCS4A01G134800;TraesCS7D01G377200;TraesCS3B01G607600;TraesCS3B01G161900;TraesCS7A01G239700;TraesCS2D01G229600;TraesCS6A01G303800;TraesCS2B01G273900;TraesCS7A01G149200;TraesCS4A01G005000;TraesCS4D01G292300;TraesCS2A01G223600</t>
  </si>
  <si>
    <t>TraesCS3A01G393400;TraesCS1A01G315900;TraesCS2A01G171900;TraesCS5D01G141200;TraesCS1D01G226500;TraesCS1D01G316200;TraesCS1B01G049300</t>
  </si>
  <si>
    <t>chromosome organization involved in meiotic cell cycle</t>
  </si>
  <si>
    <t>TraesCS1A01G281700;TraesCS6B01G257900;TraesCS6D01G212000;TraesCS1B01G290800;TraesCS1D01G280900;TraesCS3D01G237100;TraesCS5A01G092400;TraesCS1B01G478800</t>
  </si>
  <si>
    <t>ribonucleoside biosynthetic process</t>
  </si>
  <si>
    <t>nucleoside biosynthetic process</t>
  </si>
  <si>
    <t>TraesCS4B01G069200;TraesCS3A01G334800;TraesCS5A01G192000;TraesCS2A01G239200;TraesCS2B01G257300;TraesCS6B01G161800;TraesCS3D01G328100;TraesCS5B01G387600;TraesCS2D01G246100;TraesCS1B01G377800;TraesCS4A01G355100;TraesCS5B01G517400</t>
  </si>
  <si>
    <t>TraesCS3D01G264800;TraesCS3A01G264700;TraesCS5D01G013100;TraesCS4B01G170400;TraesCS7B01G052900;TraesCS1B01G171600;TraesCS7A01G342800;TraesCS2A01G521400;TraesCS2D01G242100;TraesCS3B01G291000;TraesCS3D01G285100;TraesCS2B01G454000;TraesCS4D01G079200;TraesCS1D01G151800;TraesCS2D01G523100;TraesCS6D01G283300;TraesCS4A01G134800;TraesCS7B01G240200;TraesCS7D01G377200;TraesCS3B01G607600;TraesCS3B01G161900;TraesCS7A01G239700;TraesCS2D01G229600;TraesCS6A01G303800;TraesCS2B01G273900;TraesCS7A01G149200;TraesCS4A01G005000;TraesCS4D01G292300;TraesCS7B01G042600;TraesCS2A01G223600</t>
  </si>
  <si>
    <t>TraesCS3D01G228800;TraesCS3D01G083400;TraesCS5A01G324200;TraesCS5B01G502700;TraesCS5B01G324800;TraesCS6D01G163700;TraesCS3A01G082700;TraesCS1D01G086600;TraesCS2D01G238600;TraesCS3A01G224800</t>
  </si>
  <si>
    <t>TraesCS1B01G402600;TraesCS2D01G094400;TraesCS5A01G495100;TraesCS2A01G344600;TraesCS2B01G342200;TraesCS2D01G322900;TraesCS5D01G127300;TraesCS1D01G058300;TraesCS6B01G284600;TraesCS3A01G014800;TraesCS5A01G113200;TraesCS5B01G120100;TraesCS4B01G323000;TraesCS4D01G319400</t>
  </si>
  <si>
    <t>TraesCS2B01G325100;TraesCS5A01G251000;TraesCS5D01G258900;TraesCS7B01G240200;TraesCS3A01G075700;TraesCS2A01G216100;TraesCS3D01G341200;TraesCS7A01G342800;TraesCS5B01G249000;TraesCS1B01G447500;TraesCS1A01G165700</t>
  </si>
  <si>
    <t>protein transmembrane transport</t>
  </si>
  <si>
    <t>TraesCS3D01G426300;TraesCS1D01G155100;TraesCS7D01G250100;TraesCS5D01G166000;TraesCS6A01G113000;TraesCS3A01G367000;TraesCS7D01G449900;TraesCS2A01G521400;TraesCS7D01G283600;TraesCS5A01G092400;TraesCS4B01G204500;TraesCS2B01G592500;TraesCS3D01G162700;TraesCS6D01G283300;TraesCS2D01G238600;TraesCS7B01G242800;TraesCS7D01G349600;TraesCS5B01G036800;TraesCS5B01G158500;TraesCS7D01G339300;TraesCS5A01G161200;TraesCS4D01G135000;TraesCS6A01G303800;TraesCS6A01G267300;TraesCS7D01G000100;TraesCS2D01G162900;TraesCS7A01G252000</t>
  </si>
  <si>
    <t>TraesCS6B01G455100;TraesCS6D01G238800</t>
  </si>
  <si>
    <t>extracellular polysaccharide biosynthetic process</t>
  </si>
  <si>
    <t>extracellular polysaccharide metabolic process</t>
  </si>
  <si>
    <t>dTDP-4-dehydrorhamnose reductase activity</t>
  </si>
  <si>
    <t>TraesCS4A01G138800;TraesCS4B01G158000</t>
  </si>
  <si>
    <t>nuclear cap binding complex</t>
  </si>
  <si>
    <t>TraesCS4A01G015800;TraesCS4B01G288200</t>
  </si>
  <si>
    <t>defense response signaling pathway, resistance gene-dependent</t>
  </si>
  <si>
    <t>'de novo' AMP biosynthetic process</t>
  </si>
  <si>
    <t>TraesCS2A01G239200;TraesCS2B01G257300</t>
  </si>
  <si>
    <t>xanthophyll biosynthetic process</t>
  </si>
  <si>
    <t>TraesCS2B01G150400;TraesCS2A01G128300</t>
  </si>
  <si>
    <t>sialylation</t>
  </si>
  <si>
    <t>TraesCS2A01G095300;TraesCS2D01G093700</t>
  </si>
  <si>
    <t>embryo sac cellularization</t>
  </si>
  <si>
    <t>TraesCS1D01G229400;TraesCS3A01G097200</t>
  </si>
  <si>
    <t>replisome</t>
  </si>
  <si>
    <t>TraesCS3D01G414600;TraesCS1B01G352700</t>
  </si>
  <si>
    <t>regulation of response to osmotic stress</t>
  </si>
  <si>
    <t>TraesCS1D01G219700;TraesCS1A01G218000</t>
  </si>
  <si>
    <t>palmitoyl-(protein) hydrolase activity</t>
  </si>
  <si>
    <t>protein depalmitoylation</t>
  </si>
  <si>
    <t>macromolecule depalmitoylation</t>
  </si>
  <si>
    <t>lipoprotein catabolic process</t>
  </si>
  <si>
    <t>TraesCS4A01G111000;TraesCS1A01G110900</t>
  </si>
  <si>
    <t>fructose 2,6-bisphosphate metabolic process</t>
  </si>
  <si>
    <t>6-phosphofructo-2-kinase activity</t>
  </si>
  <si>
    <t>TraesCS7A01G466600;TraesCS3D01G426300;TraesCS3A01G457400;TraesCS1D01G226500;TraesCS1D01G401900;TraesCS3A01G334800;TraesCS3A01G250200;TraesCS3D01G229800;TraesCS4A01G163000;TraesCS2B01G334800;TraesCS5A01G272400;TraesCS5D01G099800;TraesCS3D01G391900;TraesCS1B01G377800;TraesCS2A01G058700;TraesCS2A01G409700;TraesCS5A01G192000;TraesCS6D01G122800;TraesCS2D01G394900;TraesCS4B01G152900;TraesCS3B01G185300;TraesCS3D01G150400;TraesCS7A01G190700;TraesCS4B01G354600;TraesCS6B01G342400;TraesCS2A01G280500;TraesCS5B01G324800;TraesCS6A01G133100;TraesCS2D01G233900;TraesCS3A01G134100;TraesCS7D01G549100;TraesCS5B01G146700;TraesCS3A01G151100;TraesCS3A01G478800;TraesCS3D01G495100;TraesCS2A01G022000;TraesCS2A01G193800;TraesCS2B01G428100;TraesCS7D01G454200;TraesCS3B01G566600;TraesCS3A01G393400;TraesCS2B01G257300;TraesCS2B01G070700;TraesCS5A01G093200;TraesCS1B01G344300;TraesCS2B01G297800;TraesCS5D01G144600;TraesCS3D01G228800;TraesCS7A01G560200;TraesCS3A01G398000;TraesCS5B01G284100;TraesCS5D01G459800;TraesCS3D01G328100;TraesCS4A01G355100;TraesCS4A01G248200;TraesCS6D01G179700;TraesCS6A01G312200;TraesCS1D01G396300;TraesCS4D01G194300;TraesCS2A01G123800;TraesCS3D01G250600;TraesCS2D01G194000;TraesCS1D01G086600;TraesCS3A01G223700;TraesCS1B01G422200;TraesCS1D01G003700;TraesCS3D01G341200;TraesCS2B01G602100;TraesCS4B01G069200;TraesCS6D01G291600;TraesCS3D01G083400;TraesCS6D01G163700;TraesCS2D01G279300;TraesCS3A01G503200;TraesCS5B01G387600;TraesCS4D01G208900;TraesCS2D01G057900;TraesCS3A01G224800;TraesCS2D01G126600;TraesCS6A01G192600;TraesCS4A01G110800;TraesCS5D01G105500;TraesCS2D01G246100;TraesCS4A01G164900;TraesCS2B01G145700;TraesCS2D01G022800;TraesCS1A01G254400;TraesCS1A01G195500;TraesCS4D01G165800;TraesCS3B01G430000;TraesCS5A01G324200;TraesCS2D01G467900;TraesCS7B01G124100;TraesCSU01G047800;TraesCS1D01G199100;TraesCS2A01G467900;TraesCS2D01G238600;TraesCS2B01G154700;TraesCS5D01G280400;TraesCS3B01G279700;TraesCS6D01G147700;TraesCS2A01G132200;TraesCS2A01G239200;TraesCS6B01G161800;TraesCS2D01G407000;TraesCS5A01G020800;TraesCS3A01G028600;TraesCS3B01G497300;TraesCS4D01G065600;TraesCS4B01G131800;TraesCS3A01G082700;TraesCS4D01G110500;TraesCS6A01G163500;TraesCS5B01G517400</t>
  </si>
  <si>
    <t>TraesCS2B01G264100;TraesCS5D01G230300;TraesCS1B01G375300;TraesCS1A01G358800;TraesCS5A01G424400</t>
  </si>
  <si>
    <t>reactive oxygen species biosynthetic process</t>
  </si>
  <si>
    <t>TraesCS1D01G264100;TraesCS2A01G095300;TraesCS1A01G264000;TraesCS1B01G274600;TraesCS2D01G093700;TraesCS7D01G000100;TraesCS2A01G239000</t>
  </si>
  <si>
    <t>regulation of cell proliferation</t>
  </si>
  <si>
    <t>TraesCS4A01G077600;TraesCS3A01G192400;TraesCS3B01G221400;TraesCS3A01G530000;TraesCS3B01G221200;TraesCS5B01G239200;TraesCS6B01G039900;TraesCS5A01G106900;TraesCS4B01G373400;TraesCS4D01G234800;TraesCS5D01G247600</t>
  </si>
  <si>
    <t>TraesCS1D01G134300;TraesCS1B01G254000;TraesCS1D01G242500;TraesCS4A01G091100;TraesCS4A01G065400;TraesCS4D01G214300;TraesCS4D01G242400;TraesCS6D01G390000;TraesCS4B01G213600;TraesCS6B01G450500;TraesCS4B01G242800</t>
  </si>
  <si>
    <t>large ribosomal subunit</t>
  </si>
  <si>
    <t>TraesCS3D01G264800;TraesCS3A01G264700;TraesCS5D01G013100;TraesCS4B01G170400;TraesCS7B01G052900;TraesCS1B01G171600;TraesCS2A01G521400;TraesCS2D01G242100;TraesCS3B01G291000;TraesCS3D01G285100;TraesCS2B01G454000;TraesCS4D01G079200;TraesCS1D01G151800;TraesCS2D01G523100;TraesCS6D01G283300;TraesCS4A01G134800;TraesCS4D01G172400;TraesCS7D01G377200;TraesCS3B01G607600;TraesCS3B01G161900;TraesCS7A01G239700;TraesCS2D01G229600;TraesCS6A01G303800;TraesCS2B01G273900;TraesCS7A01G149200;TraesCS4A01G005000;TraesCS4D01G292300;TraesCS2A01G223600</t>
  </si>
  <si>
    <t>TraesCS2A01G492300;TraesCS2D01G492600;TraesCS3D01G273800;TraesCS2A01G521400;TraesCS2B01G520500</t>
  </si>
  <si>
    <t>vernalization response</t>
  </si>
  <si>
    <t>TraesCS6A01G143300;TraesCS1D01G315700;TraesCS5B01G509100;TraesCS6D01G132500;TraesCS6B01G171600</t>
  </si>
  <si>
    <t>long-chain fatty acid metabolic process</t>
  </si>
  <si>
    <t>TraesCS2A01G203100;TraesCS5A01G489100;TraesCS2A01G557600</t>
  </si>
  <si>
    <t>early endosome</t>
  </si>
  <si>
    <t>TraesCS2B01G286100;TraesCS5B01G159600;TraesCS6A01G110000;TraesCS5D01G166800</t>
  </si>
  <si>
    <t>anchored component of plasma membrane</t>
  </si>
  <si>
    <t>pyrimidine ribonucleoside biosynthetic process</t>
  </si>
  <si>
    <t>pyrimidine nucleoside biosynthetic process</t>
  </si>
  <si>
    <t>TraesCS3D01G426300;TraesCS5B01G036800;TraesCS3A01G367000;TraesCS4A01G015800;TraesCS7D01G283600;TraesCS3D01G414600;TraesCS5A01G424400;TraesCS4B01G204500;TraesCS4D01G135000;TraesCS6A01G303800;TraesCS2B01G264100;TraesCS6A01G267300;TraesCS6D01G283300;TraesCS3A01G310200;TraesCS2D01G238600;TraesCS4B01G288200;TraesCS1B01G352700;TraesCS7D01G349600</t>
  </si>
  <si>
    <t>TraesCS5D01G044900;TraesCS2A01G234200;TraesCS2B01G259100;TraesCS5B01G155200;TraesCS2D01G175900;TraesCS5A01G424400;TraesCS5A01G157000;TraesCS2B01G264100;TraesCS5D01G162400;TraesCS5B01G038400;TraesCS5D01G432900;TraesCS6B01G464800;TraesCS2A01G168400</t>
  </si>
  <si>
    <t>TraesCS2A01G095300;TraesCS3B01G252200;TraesCS5A01G020800;TraesCS2D01G093700;TraesCS1D01G226500;TraesCS3A01G097200;TraesCS5B01G171400</t>
  </si>
  <si>
    <t>cell cycle DNA replication</t>
  </si>
  <si>
    <t>TraesCS1D01G401900;TraesCS1B01G422200;TraesCS6A01G158800;TraesCS4B01G397700;TraesCS2A01G247300;TraesCS5A01G489100;TraesCS5A01G114600;TraesCS4A01G095300;TraesCS4A01G129200;TraesCS2D01G248400;TraesCS6B01G192500</t>
  </si>
  <si>
    <t>outer membrane</t>
  </si>
  <si>
    <t>TraesCS2A01G430500;TraesCS5D01G067600;TraesCS2B01G451100;TraesCS5B01G290300;TraesCS5D01G298700</t>
  </si>
  <si>
    <t>TraesCS3D01G426300;TraesCS5B01G036800;TraesCS3A01G367000;TraesCS4A01G015800;TraesCS7D01G283600;TraesCS5A01G424400;TraesCS4B01G204500;TraesCS4D01G135000;TraesCS6A01G303800;TraesCS2B01G264100;TraesCS6A01G267300;TraesCS6D01G283300;TraesCS3A01G310200;TraesCS2D01G238600;TraesCS4B01G288200;TraesCS7D01G349600</t>
  </si>
  <si>
    <t>TraesCS4B01G285000;TraesCS2A01G343600;TraesCS5B01G290300;TraesCS6D01G238800;TraesCS2A01G343500;TraesCS4D01G283800;TraesCS5D01G298700</t>
  </si>
  <si>
    <t>homologous chromosome segregation</t>
  </si>
  <si>
    <t>TraesCS3D01G228800;TraesCS4D01G153900;TraesCS3D01G083400;TraesCS5A01G324200;TraesCS5B01G324800;TraesCS3A01G082700;TraesCS1D01G086600;TraesCS2D01G238600;TraesCS3A01G224800;TraesCS1D01G316200</t>
  </si>
  <si>
    <t>cellular hormone metabolic process</t>
  </si>
  <si>
    <t>TraesCS3A01G393400;TraesCS6A01G143300;TraesCS1B01G422200;TraesCS1D01G003700;TraesCS6B01G171600;TraesCS2B01G602100;TraesCS1D01G401900;TraesCS1D01G315700;TraesCS6D01G163700;TraesCS5B01G509100;TraesCS5D01G099800;TraesCS6D01G132500;TraesCS1D01G367600</t>
  </si>
  <si>
    <t>cellular ketone metabolic process</t>
  </si>
  <si>
    <t>TraesCS1A01G099400;TraesCS1D01G265200;TraesCS1D01G107300</t>
  </si>
  <si>
    <t>TraesCS1D01G433300;TraesCS4A01G334700;TraesCS4D01G175600;TraesCS2A01G521400;TraesCS5A01G472100;TraesCS5B01G171400;TraesCS2A01G467900;TraesCS5D01G504600;TraesCS2B01G385300;TraesCS5B01G339200</t>
  </si>
  <si>
    <t>regulation of cellular component size</t>
  </si>
  <si>
    <t>regulation of anatomical structure size</t>
  </si>
  <si>
    <t>TraesCS6A01G123800;TraesCS1A01G112800;TraesCS3A01G402500;TraesCS1D01G440900;TraesCS7B01G085700;TraesCS7B01G411000;TraesCS2D01G524500;TraesCS1A01G431600;TraesCS3B01G435900;TraesCS1D01G229400;TraesCS4A01G185400;TraesCS6D01G113900;TraesCS4B01G133200;TraesCS6B01G151900;TraesCS2A01G097900;TraesCS4A01G119800;TraesCS2D01G328100;TraesCS6D01G062500</t>
  </si>
  <si>
    <t>5'-3' RNA polymerase activity</t>
  </si>
  <si>
    <t>TraesCS4D01G189600;TraesCS4B01G226100;TraesCS1D01G094400;TraesCS4A01G116000;TraesCS3D01G434800</t>
  </si>
  <si>
    <t>lysine metabolic process</t>
  </si>
  <si>
    <t>TraesCS4D01G147100;TraesCS5A01G104800;TraesCS6D01G193000;TraesCS6D01G337500;TraesCS4A01G194100;TraesCS6B01G246600;TraesCS5A01G093200;TraesCS5D01G105500;TraesCS2B01G404600;TraesCS4A01G120000;TraesCS6A01G209800;TraesCS5B01G099300;TraesCS6A01G355300;TraesCS5B01G509500;TraesCS7D01G288700;TraesCS4A01G080100;TraesCS2D01G383800;TraesCS5D01G099800;TraesCS6B01G238600;TraesCS2A01G387000;TraesCS6B01G388100</t>
  </si>
  <si>
    <t>ribonucleoside-diphosphate reductase complex</t>
  </si>
  <si>
    <t>TraesCS6B01G342300;TraesCS6A01G312100</t>
  </si>
  <si>
    <t>cytoplasmic stress granule</t>
  </si>
  <si>
    <t>TraesCS5B01G141000;TraesCS5D01G149900</t>
  </si>
  <si>
    <t>threonine biosynthetic process</t>
  </si>
  <si>
    <t>TraesCS4D01G003100;TraesCS5D01G372500</t>
  </si>
  <si>
    <t>long-day photoperiodism, flowering</t>
  </si>
  <si>
    <t>DNA catabolic process, exonucleolytic</t>
  </si>
  <si>
    <t>TraesCS2B01G315300;TraesCS2D01G296800</t>
  </si>
  <si>
    <t>ethanolamine-containing compound metabolic process</t>
  </si>
  <si>
    <t>TraesCS2A01G247300;TraesCS2D01G248400</t>
  </si>
  <si>
    <t>cell envelope</t>
  </si>
  <si>
    <t>negative regulation of lipid biosynthetic process</t>
  </si>
  <si>
    <t>negative regulation of lipid metabolic process</t>
  </si>
  <si>
    <t>regulation of carbohydrate biosynthetic process</t>
  </si>
  <si>
    <t>regulation of chlorophyll biosynthetic process</t>
  </si>
  <si>
    <t>TraesCS1D01G433300;TraesCS5A01G472100</t>
  </si>
  <si>
    <t>SCAR complex</t>
  </si>
  <si>
    <t>TraesCS1D01G244400;TraesCS1B01G255900</t>
  </si>
  <si>
    <t>beta-mannosidase activity</t>
  </si>
  <si>
    <t>TraesCS1D01G124400;TraesCS1A01G133500</t>
  </si>
  <si>
    <t>negative regulation of cellular catabolic process</t>
  </si>
  <si>
    <t>negative regulation of catabolic process</t>
  </si>
  <si>
    <t>TraesCS6A01G360600;TraesCS2D01G179600;TraesCS7D01G292000;TraesCS1B01G049300;TraesCS3D01G273800;TraesCS5D01G303200;TraesCS4A01G289400;TraesCS2D01G014800;TraesCS6B01G159200;TraesCS5D01G171100;TraesCS4D01G147100;TraesCS3A01G360000;TraesCS1A01G324800;TraesCS5A01G467500;TraesCS4A01G298800;TraesCS4B01G321500;TraesCS6A01G133100;TraesCS6B01G124800;TraesCS5A01G166800;TraesCS1D01G280300;TraesCS5A01G344100;TraesCS7A01G323200;TraesCS5A01G491500;TraesCS5A01G549700;TraesCS7D01G549100;TraesCS2B01G209200;TraesCS2A01G563500;TraesCS1B01G255100;TraesCS6D01G087400;TraesCS1A01G157500;TraesCS6B01G112700;TraesCS6A01G379000;TraesCS1A01G027200;TraesCS2D01G565200;TraesCS5A01G149000;TraesCS5A01G336500;TraesCS3D01G289600;TraesCS2A01G193800;TraesCS3D01G296900;TraesCSU01G019200;TraesCS5B01G112100;TraesCS3A01G513500;TraesCS2B01G257300;TraesCS2B01G070700;TraesCS1D01G412600;TraesCS4A01G298100;TraesCS7D01G339300;TraesCS6D01G357600;TraesCS3B01G298400;TraesCS5B01G139800;TraesCS6B01G190300;TraesCS4B01G109700;TraesCS2B01G021100;TraesCS2D01G093700;TraesCS3A01G310200;TraesCS2A01G239000;TraesCS1B01G462200;TraesCS7B01G352800;TraesCS6A01G113000;TraesCS1D01G409700;TraesCS5D01G472300;TraesCS5B01G562200;TraesCS5D01G143800;TraesCS5B01G171400;TraesCS7D01G283600;TraesCS2B01G382000;TraesCS2B01G365100;TraesCS3B01G423600;TraesCS3D01G065800;TraesCS2D01G362700;TraesCS4B01G320500;TraesCS1B01G274600;TraesCS2D01G496200;TraesCS5D01G332000;TraesCS5D01G118200;TraesCS4A01G138800;TraesCS1D01G325500;TraesCS5D01G068800;TraesCS1A01G246800;TraesCS6B01G218700;TraesCS1B01G270800;TraesCS4D01G223400;TraesCS6B01G393500;TraesCS7A01G252000;TraesCS7A01G246000;TraesCS2A01G095300;TraesCS5D01G044700;TraesCS4A01G110800;TraesCS3D01G327600;TraesCS2D01G009100;TraesCS3A01G200400;TraesCS6A01G268900;TraesCS1A01G195500;TraesCS6D01G132500;TraesCS1A01G313300;TraesCS6D01G344100;TraesCS5A01G490500;TraesCS5B01G214400;TraesCS7B01G242800;TraesCS2B01G154700;TraesCS5B01G036800;TraesCS2A01G132200;TraesCS2B01G312600;TraesCS4B01G041900;TraesCS2D01G208300;TraesCS2D01G438800;TraesCS1D01G298400;TraesCS1A01G431600;TraesCS1A01G133500;TraesCS5B01G094300;TraesCS3A01G082700;TraesCS3A01G295400;TraesCS6B01G124700;TraesCS1A01G299500;TraesCS5A01G457600;TraesCS1D01G264100;TraesCS3D01G426300;TraesCS1D01G155100;TraesCS3A01G212600;TraesCS3D01G231200;TraesCS4D01G022600;TraesCS7D01G449900;TraesCS4B01G015600;TraesCS4B01G114800;TraesCS1D01G226500;TraesCS7B01G363100;TraesCS6A01G373400;TraesCS7A01G260600;TraesCSU01G072700;TraesCS7A01G461700;TraesCS2A01G058700;TraesCS5A01G215900;TraesCS6A01G143300;TraesCS6D01G122800;TraesCS5A01G119300;TraesCS6A01G130900;TraesCS4A01G052600;TraesCS6B01G253900;TraesCS4D01G013900;TraesCS5B01G378700;TraesCS1D01G316200;TraesCS2A01G280500;TraesCS2B01G004000;TraesCS2D01G361800;TraesCS7D01G300000;TraesCS2A01G149600;TraesCS2A01G200500;TraesCS3A01G151100;TraesCS2B01G401900;TraesCS2B01G340300;TraesCS7D01G250100;TraesCS1A01G264000;TraesCS1A01G180200;TraesCS5B01G335500;TraesCS7A01G307000;TraesCS1D01G331000;TraesCS5B01G396700;TraesCS4B01G204500;TraesCS4A01G157100;TraesCS5B01G476900;TraesCS2D01G232300;TraesCS2B01G227800;TraesCS3A01G112300;TraesCS4A01G283000;TraesCS1D01G178000;TraesCS7D01G349600;TraesCS6D01G149800;TraesCS3B01G252200;TraesCS5A01G104800;TraesCS1D01G219200;TraesCS3B01G088300;TraesCS2A01G233300;TraesCS2B01G297800;TraesCS7A01G560200;TraesCS7B01G230100;TraesCS1A01G198400;TraesCS3D01G203400;TraesCS5D01G459800;TraesCS3A01G191700;TraesCS2B01G247100;TraesCS2A01G149500;TraesCS7D01G403900;TraesCS1B01G200300;TraesCS1D01G211600;TraesCS5D01G094000;TraesCS2D01G105300;TraesCS2B01G174600;TraesCS6D01G087500;TraesCS1D01G440900;TraesCS3A01G126400;TraesCS3A01G367000;TraesCS2A01G114400;TraesCS4D01G194300;TraesCS2B01G250000;TraesCS2B01G363200;TraesCS2B01G592500;TraesCS6A01G290600;TraesCS1D01G124400;TraesCS3D01G162700;TraesCS2A01G387000;TraesCS3A01G097200;TraesCS2D01G194000;TraesCS5B01G344200;TraesCS2B01G133500;TraesCS4D01G318200;TraesCS4A01G262900;TraesCS5D01G551200;TraesCS1D01G030500;TraesCS3A01G530000;TraesCS1D01G404400;TraesCS2A01G342600;TraesCS4B01G115800;TraesCS7A01G381900;TraesCS3A01G251200;TraesCS4A01G315700;TraesCS7D01G442100;TraesCS5B01G563800;TraesCS6B01G067600;TraesCS7B01G310100;TraesCS2D01G059400;TraesCS3D01G083400;TraesCS2D01G279300;TraesCS4B01G025500;TraesCS6A01G267300;TraesCS6A01G259000;TraesCS3A01G304900;TraesCS5B01G037500;TraesCS2D01G057900;TraesCS2A01G296400;TraesCS5B01G295200;TraesCS2B01G174700;TraesCS7B01G184800;TraesCS1D01G260200;TraesCS3D01G304800;TraesCSU01G036900;TraesCS5A01G036600;TraesCS1B01G213300;TraesCS7D01G378400;TraesCS5A01G057500;TraesCS2B01G122500;TraesCS7D01G447100;TraesCS5B01G510500;TraesCS1B01G293500;TraesCS5D01G223700;TraesCS1D01G199100;TraesCS5B01G147600;TraesCS3D01G514100;TraesCS1B01G337800;TraesCS2A01G239200;TraesCS5D01G341200;TraesCS5A01G020800;TraesCS7A01G329600;TraesCS1A01G284300;TraesCS6B01G171600;TraesCS1B01G434400;TraesCS4B01G073200;TraesCS6A01G319100;TraesCS7A01G452800;TraesCS5A01G460600;TraesCS1A01G309200;TraesCS6A01G161200;TraesCS6B01G189000;TraesCS4A01G093100;TraesCS7B01G207300</t>
  </si>
  <si>
    <t>TraesCS1D01G433300;TraesCS1D01G103000;TraesCS1B01G122300;TraesCS3D01G150600;TraesCS5A01G103100;TraesCS1A01G094200;TraesCS4B01G152700;TraesCS5B01G171400;TraesCS2A01G434600;TraesCS4A01G334700;TraesCS5D01G484800;TraesCS5B01G484800;TraesCS5A01G472100;TraesCS5B01G107400</t>
  </si>
  <si>
    <t>actin cytoskeleton organization</t>
  </si>
  <si>
    <t>TraesCS6A01G123800;TraesCS1A01G112800;TraesCS3A01G402500;TraesCS1D01G440900;TraesCS7B01G085700;TraesCS7B01G411000;TraesCS2D01G524500;TraesCS1A01G431600;TraesCS3B01G435900;TraesCS1D01G229400;TraesCS4A01G185400;TraesCS6D01G113900;TraesCS4B01G133200;TraesCS6B01G151900;TraesCS2A01G097900;TraesCS6D01G062500</t>
  </si>
  <si>
    <t>DNA-directed 5'-3' RNA polymerase activity</t>
  </si>
  <si>
    <t>intracellular protein transmembrane transport</t>
  </si>
  <si>
    <t>TraesCS4D01G175600;TraesCS4A01G067400;TraesCS4A01G131100;TraesCS4B01G173500;TraesCS4D01G225300;TraesCS5B01G339200;TraesCS4B01G224700</t>
  </si>
  <si>
    <t>guanyl-nucleotide exchange factor activity</t>
  </si>
  <si>
    <t>synapsis</t>
  </si>
  <si>
    <t>TraesCS2A01G095300;TraesCS2B01G174700;TraesCS3B01G252200;TraesCS2D01G093700;TraesCS2A01G149600</t>
  </si>
  <si>
    <t>histone phosphorylation</t>
  </si>
  <si>
    <t>lysine biosynthetic process via diaminopimelate</t>
  </si>
  <si>
    <t>diaminopimelate metabolic process</t>
  </si>
  <si>
    <t>lysine biosynthetic process</t>
  </si>
  <si>
    <t>TraesCS2B01G315300;TraesCS2A01G261600;TraesCS5A01G365100;TraesCS6A01G018600;TraesCS6B01G026900;TraesCS5A01G059300;TraesCS4D01G068100;TraesCS3A01G366400;TraesCS5D01G070800;TraesCS2D01G262400;TraesCS4B01G069300;TraesCS4D01G189600;TraesCS5A01G395200;TraesCS5B01G366700;TraesCS6B01G393600;TraesCS6D01G344200;TraesCS5D01G077600;TraesCS4A01G116000;TraesCS4A01G246100;TraesCS5D01G138500;TraesCS2D01G296800;TraesCS3B01G398000;TraesCS5D01G374000;TraesCS2B01G280600</t>
  </si>
  <si>
    <t>TraesCS5A01G157000;TraesCS5D01G162400;TraesCS5B01G155200</t>
  </si>
  <si>
    <t>regulation of ion transmembrane transporter activity</t>
  </si>
  <si>
    <t>regulation of transmembrane transporter activity</t>
  </si>
  <si>
    <t>regulation of transporter activity</t>
  </si>
  <si>
    <t>TraesCS4A01G091100;TraesCS4D01G214300;TraesCS4B01G213600</t>
  </si>
  <si>
    <t>single-stranded RNA binding</t>
  </si>
  <si>
    <t>TraesCS3A01G295400;TraesCS3D01G091000;TraesCS3A01G091100</t>
  </si>
  <si>
    <t>viral process</t>
  </si>
  <si>
    <t>TraesCS3A01G212600;TraesCS2D01G565200;TraesCS1D01G178000</t>
  </si>
  <si>
    <t>TraesCS1D01G423500;TraesCS1A01G416000;TraesCS4D01G120900</t>
  </si>
  <si>
    <t>pentacyclic triterpenoid biosynthetic process</t>
  </si>
  <si>
    <t>pentacyclic triterpenoid metabolic process</t>
  </si>
  <si>
    <t>triterpenoid biosynthetic process</t>
  </si>
  <si>
    <t>triterpenoid metabolic process</t>
  </si>
  <si>
    <t>TraesCS1A01G315900;TraesCS2A01G171900;TraesCS1D01G316200</t>
  </si>
  <si>
    <t>condensed nuclear chromosome</t>
  </si>
  <si>
    <t>UMP salvage</t>
  </si>
  <si>
    <t>pyrimidine nucleoside salvage</t>
  </si>
  <si>
    <t>pyrimidine ribonucleotide salvage</t>
  </si>
  <si>
    <t>pyrimidine nucleotide salvage</t>
  </si>
  <si>
    <t>TraesCS4A01G262900;TraesCS6A01G231900;TraesCS5D01G258900;TraesCS6B01G249700;TraesCS6A01G319700;TraesCS5B01G155200;TraesCS5B01G171400;TraesCS2A01G150000;TraesCS2B01G385300;TraesCS5A01G157000;TraesCS5D01G162400;TraesCS5A01G114600;TraesCS2D01G148200</t>
  </si>
  <si>
    <t>identical protein binding</t>
  </si>
  <si>
    <t>TraesCS5D01G418000;TraesCS4D01G153900;TraesCS1D01G277100;TraesCS1A01G278000;TraesCS2A01G234200;TraesCS4D01G021400;TraesCS2B01G259100;TraesCS4A01G158400;TraesCS4B01G162900;TraesCS5A01G408100;TraesCS4A01G290400</t>
  </si>
  <si>
    <t>TraesCS4A01G262900;TraesCS6A01G203300;TraesCS5A01G157000;TraesCS5D01G162400;TraesCS5B01G155200</t>
  </si>
  <si>
    <t>photoreceptor activity</t>
  </si>
  <si>
    <t>TraesCS5D01G336000;TraesCS3D01G426300;TraesCS1D01G155100;TraesCS5D01G166000;TraesCS2A01G404700;TraesCS6A01G113000;TraesCS3A01G367000;TraesCS7D01G449900;TraesCS2A01G521400;TraesCS5B01G155200;TraesCS7D01G283600;TraesCS5A01G092400;TraesCS3B01G423600;TraesCS2B01G592500;TraesCS2D01G362700;TraesCS4A01G163400;TraesCS5D01G162400;TraesCS1D01G119400;TraesCS3D01G273800;TraesCS3D01G162700;TraesCS6A01G070700;TraesCS4B01G173500;TraesCS4B01G288200;TraesCS7A01G146700;TraesCS4A01G262900;TraesCS2A01G455200;TraesCS3A01G228000;TraesCS1A01G382900;TraesCS5A01G131600;TraesCS2B01G477300;TraesCS2D01G079600;TraesCS4B01G050200;TraesCS6B01G253900;TraesCS7D01G148200;TraesCS6B01G216800;TraesCS5A01G161200;TraesCS1B01G212500;TraesCS4D01G135000;TraesCS5B01G132900;TraesCS5D01G429200;TraesCS6A01G267300;TraesCS4A01G131100;TraesCS2D01G162900;TraesCS2D01G401600;TraesCS7A01G252000;TraesCS2D01G133500;TraesCS3A01G151100;TraesCS6A01G203300;TraesCS7B01G054900;TraesCS7D01G250100;TraesCS4D01G175600;TraesCS4A01G238100;TraesCS2A01G150000;TraesCS5A01G424400;TraesCS4B01G204500;TraesCS1A01G086500;TraesCS5B01G476900;TraesCS2B01G326800;TraesCS1B01G408600;TraesCS6D01G283300;TraesCS2B01G246200;TraesCS3D01G298000;TraesCS2D01G238600;TraesCS7B01G242800;TraesCS7D01G349600;TraesCS2D01G300400;TraesCS5B01G036800;TraesCS3A01G303800;TraesCS5B01G082400;TraesCS4A01G015800;TraesCS5B01G158500;TraesCS5D01G140200;TraesCS7D01G339300;TraesCS3B01G332500;TraesCS4A01G120000;TraesCS7B01G049000;TraesCS7B01G049200;TraesCS2D01G308000;TraesCS5A01G157000;TraesCS6A01G303800;TraesCS2B01G264100;TraesCS3B01G140800;TraesCS4B01G178900;TraesCS7D01G000100;TraesCS3D01G123500;TraesCS5D01G396300;TraesCS2B01G153800</t>
  </si>
  <si>
    <t>TraesCS7A01G304400;TraesCS2B01G346500;TraesCS6D01G182200;TraesCS5A01G189600;TraesCS2D01G362700;TraesCS2D01G417300;TraesCS6D01G244900;TraesCS3D01G380100;TraesCS6B01G342300;TraesCS7A01G368900;TraesCS3B01G222400;TraesCS5D01G201300;TraesCS2D01G327400;TraesCS4A01G432400;TraesCS4D01G150700;TraesCS4A01G138800;TraesCS4A01G150500;TraesCS4B01G158000</t>
  </si>
  <si>
    <t>RNA splicing, via transesterification reactions with bulged adenosine as nucleophile</t>
  </si>
  <si>
    <t>RNA splicing, via transesterification reactions</t>
  </si>
  <si>
    <t>TraesCS3A01G289900;TraesCS7D01G294300;TraesCS5B01G111700;TraesCS7B01G093800;TraesCS3A01G202000;TraesCS5A01G490800;TraesCS7D01G303100;TraesCS3B01G398000;TraesCS4A01G283700;TraesCS4D01G088200;TraesCS7D01G188300;TraesCS5D01G148100;TraesCS1A01G116200;TraesCSU01G142500;TraesCS3D01G150400;TraesCS1D01G376900;TraesCS6D01G181200;TraesCS5D01G056900;TraesCS3B01G324500;TraesCS5D01G517200;TraesCS3A01G134100;TraesCS2B01G491700;TraesCS5B01G255700;TraesCS1D01G341100;TraesCS7A01G120300;TraesCS4A01G355000;TraesCS1B01G368500;TraesCS5B01G142900;TraesCS7D01G313600;TraesCS2A01G102600;TraesCS2B01G309500;TraesCS1A01G094000;TraesCS3D01G289600;TraesCS2A01G201200;TraesCS7D01G508100;TraesCS1A01G340400;TraesCS1B01G167200;TraesCS7A01G555700;TraesCS5D01G230300;TraesCS6A01G420100;TraesCS1A01G339300;TraesCS5A01G143800;TraesCS2A01G460000;TraesCS2A01G468800;TraesCS7B01G241500;TraesCS7D01G554900;TraesCS3B01G308200;TraesCS5D01G470400;TraesCS7A01G139800;TraesCS2A01G123800;TraesCS3B01G105200;TraesCS7B01G320800;TraesCS2A01G293400;TraesCS2D01G102100;TraesCS6B01G182300;TraesCS7A01G293200;TraesCS1B01G352700;TraesCS1D01G342400;TraesCS4D01G317900;TraesCS7A01G192000;TraesCS3B01G229700;TraesCS2D01G356700;TraesCS3A01G292700;TraesCS6D01G405600;TraesCS7D01G117800;TraesCS4B01G091100;TraesCS4B01G321300;TraesCS1D01G146600;TraesCS2B01G119700;TraesCS5A01G107800;TraesCS5A01G046600;TraesCS7A01G518200;TraesCS5B01G517500;TraesCS7D01G193000;TraesCS2D01G126600;TraesCS6B01G166400;TraesCS7A01G189000;TraesCS4A01G446700;TraesCS1D01G356900;TraesCS2B01G145700;TraesCS5A01G395200;TraesCS1D01G117400;TraesCS6B01G104600;TraesCS7B01G097000;TraesCS4B01G383000;TraesCS3A01G417000;TraesCS3D01G412500;TraesCS3A01G366400;TraesCS7D01G409000;TraesCS5A01G221800;TraesCS6A01G077800;TraesCS3A01G274600;TraesCS3A01G488100;TraesCS5A01G222500;TraesCS6A01G154400;TraesCS5B01G320100;TraesCS4B01G029400;TraesCS1A01G064000;TraesCS7B01G092500</t>
  </si>
  <si>
    <t>TraesCS7A01G466600;TraesCS2A01G215100;TraesCS1D01G396300;TraesCS1D01G092200;TraesCS3A01G457400;TraesCS1D01G226500;TraesCS4D01G194300;TraesCS2A01G123800;TraesCS3A01G334800;TraesCS3D01G229800;TraesCS4A01G163000;TraesCS5A01G272400;TraesCS3D01G391900;TraesCS3A01G223700;TraesCS1A01G218000;TraesCS1B01G377800;TraesCS2A01G058700;TraesCS1D01G219700;TraesCS5A01G192000;TraesCS2D01G394900;TraesCS4B01G152900;TraesCS3B01G185300;TraesCS3D01G150400;TraesCS2B01G031800;TraesCS4B01G069200;TraesCS2D01G233900;TraesCS3A01G134100;TraesCS5B01G387600;TraesCS2D01G057900;TraesCS7D01G549100;TraesCS5B01G146700;TraesCS2D01G126600;TraesCS1B01G368500;TraesCS3A01G159900;TraesCS6A01G192600;TraesCS4A01G110800;TraesCS2D01G246100;TraesCS1D01G356900;TraesCS4A01G164900;TraesCS2A01G022000;TraesCS2B01G145700;TraesCS2D01G022800;TraesCS4D01G165800;TraesCS3B01G430000;TraesCS7B01G124100;TraesCS7D01G454200;TraesCS2B01G240100;TraesCS5D01G280400;TraesCS5B01G036800;TraesCS2A01G239200;TraesCS2B01G257300;TraesCS2B01G070700;TraesCS6B01G161800;TraesCS5A01G020800;TraesCS3A01G028600;TraesCS3B01G497300;TraesCS4D01G065600;TraesCS1B01G344300;TraesCS2D01G023900;TraesCS5D01G144600;TraesCS1A01G100600;TraesCS4A01G307900;TraesCS7A01G560200;TraesCS3A01G398000;TraesCS5B01G284100;TraesCS3D01G328100;TraesCS1B01G110400;TraesCS4A01G355100;TraesCS5B01G517400;TraesCS4A01G248200;TraesCS6D01G179700</t>
  </si>
  <si>
    <t>macromolecule catabolic process</t>
  </si>
  <si>
    <t>TraesCS6A01G268900;TraesCS6B01G159200;TraesCS5D01G424400;TraesCS5A01G104800;TraesCS3B01G083400;TraesCS3A01G069900;TraesCS1D01G409700;TraesCS7D01G000100;TraesCS5A01G103100;TraesCS2D01G438800;TraesCS5B01G107400;TraesCS3D01G068900</t>
  </si>
  <si>
    <t>TraesCS4A01G062100;TraesCS5A01G489100;TraesCS2A01G246600;TraesCS1B01G171600;TraesCS1B01G383200;TraesCS6D01G165800;TraesCS4D01G108900;TraesCS4D01G234800;TraesCS6A01G373200;TraesCS3D01G311800;TraesCS1A01G365600;TraesCS2A01G358000;TraesCS4A01G077600;TraesCS1D01G101200;TraesCS6A01G082800;TraesCS3B01G250800;TraesCS5B01G239200;TraesCS5A01G106900;TraesCS2B01G410600;TraesCS2A01G448600;TraesCS2B01G469400;TraesCS3D01G341200;TraesCS3A01G530000;TraesCS7D01G083900;TraesCS4B01G152900;TraesCS2D01G447800;TraesCS1A01G092700;TraesCS2B01G159600;TraesCS5B01G387600;TraesCS2A01G200500;TraesCS4D01G175600;TraesCS2B01G273700;TraesCS6A01G119800;TraesCS3A01G189400;TraesCS1D01G151800;TraesCS3A01G192400;TraesCS2B01G227800;TraesCS2D01G208300;TraesCS4B01G373400;TraesCS6D01G204700;TraesCS7D01G409000;TraesCS2D01G280900;TraesCS2D01G138200;TraesCS6B01G363500;TraesCS3B01G221400;TraesCS3B01G221200;TraesCS2A01G424700;TraesCS2B01G377300;TraesCS5D01G247600</t>
  </si>
  <si>
    <t>TraesCS2A01G521400;TraesCS2A01G467900;TraesCS5D01G504600;TraesCS5B01G339200</t>
  </si>
  <si>
    <t>regulation of cell size</t>
  </si>
  <si>
    <t>TraesCS6B01G089500;TraesCS5A01G114600;TraesCS6B01G470900;TraesCS1D01G211600</t>
  </si>
  <si>
    <t>plastid fission</t>
  </si>
  <si>
    <t>DNA endoreduplication</t>
  </si>
  <si>
    <t>TraesCS4B01G109700;TraesCS2B01G174700;TraesCS5D01G459800;TraesCS6A01G379000;TraesCS2B01G247100;TraesCS2A01G149600;TraesCS1B01G365600</t>
  </si>
  <si>
    <t>petal development</t>
  </si>
  <si>
    <t>corolla development</t>
  </si>
  <si>
    <t>TraesCS3A01G158500;TraesCS4D01G175600;TraesCS4A01G067400;TraesCS7D01G000100;TraesCS7B01G117700;TraesCS4A01G131100;TraesCS4B01G173500;TraesCS6B01G039900;TraesCS3B01G185300;TraesCS4D01G225300;TraesCS5B01G339200;TraesCS4B01G224700</t>
  </si>
  <si>
    <t>GTPase binding</t>
  </si>
  <si>
    <t>TraesCS1D01G185600;TraesCS1A01G182400;TraesCS2A01G517500;TraesCS1D01G396300;TraesCS4B01G244400;TraesCS6A01G208200;TraesCS3A01G472400;TraesCS2D01G508800;TraesCS1B01G198500;TraesCS3D01G359500;TraesCS6B01G236600;TraesCS5D01G170900;TraesCS4B01G399200;TraesCS6D01G191600;TraesCS5B01G163700;TraesCS1A01G388400</t>
  </si>
  <si>
    <t>wax biosynthetic process</t>
  </si>
  <si>
    <t>wax metabolic process</t>
  </si>
  <si>
    <t>fructose catabolic process</t>
  </si>
  <si>
    <t>TraesCS3D01G264800;TraesCS3A01G264700;TraesCS2D01G242100</t>
  </si>
  <si>
    <t>mitochondrial proton-transporting ATP synthase complex, catalytic core F(1)</t>
  </si>
  <si>
    <t>TraesCS3D01G256700;TraesCS2B01G004000;TraesCS2D01G014800</t>
  </si>
  <si>
    <t>chloroplast nucleoid</t>
  </si>
  <si>
    <t>TraesCS4A01G364400;TraesCS5B01G509100;TraesCS2A01G187700</t>
  </si>
  <si>
    <t>cyclo-ligase activity</t>
  </si>
  <si>
    <t>TraesCS1B01G368500;TraesCS7A01G120300;TraesCS1D01G356900</t>
  </si>
  <si>
    <t>starch synthase activity</t>
  </si>
  <si>
    <t>TraesCS1A01G246800;TraesCS2A01G239200;TraesCS2B01G257300</t>
  </si>
  <si>
    <t>chloroplast RNA processing</t>
  </si>
  <si>
    <t>TraesCS6D01G149800;TraesCS3B01G083400;TraesCS6B01G189000;TraesCS2A01G027000;TraesCS7A01G242000;TraesCS3D01G065800</t>
  </si>
  <si>
    <t>ATPase complex</t>
  </si>
  <si>
    <t>TraesCS7D01G386100;TraesCS7A01G390400</t>
  </si>
  <si>
    <t>ADP-ribose diphosphatase activity</t>
  </si>
  <si>
    <t>NAD+ diphosphatase activity</t>
  </si>
  <si>
    <t>TraesCSU01G072700;TraesCS5B01G378700</t>
  </si>
  <si>
    <t>nuclear transcriptional repressor complex</t>
  </si>
  <si>
    <t>TraesCS5D01G366500;TraesCS5A01G357400</t>
  </si>
  <si>
    <t>inner mitochondrial membrane organization</t>
  </si>
  <si>
    <t>TraesCS4D01G309500;TraesCS5A01G429300</t>
  </si>
  <si>
    <t>negative gravitropism</t>
  </si>
  <si>
    <t>TraesCS6B01G218700;TraesCS3D01G289600</t>
  </si>
  <si>
    <t>positive regulation of lipid biosynthetic process</t>
  </si>
  <si>
    <t>positive regulation of isoprenoid metabolic process</t>
  </si>
  <si>
    <t>positive regulation of lipid metabolic process</t>
  </si>
  <si>
    <t>regulation of abscisic acid biosynthetic process</t>
  </si>
  <si>
    <t>TraesCS4A01G005000;TraesCS3A01G530000</t>
  </si>
  <si>
    <t>regulation of intracellular pH</t>
  </si>
  <si>
    <t>regulation of cellular pH</t>
  </si>
  <si>
    <t>TraesCS3A01G134100;TraesCS3D01G150400</t>
  </si>
  <si>
    <t>alpha-1,2-mannosyltransferase activity</t>
  </si>
  <si>
    <t>TraesCS2B01G264100;TraesCS5A01G424400</t>
  </si>
  <si>
    <t>oxidative photosynthetic carbon pathway</t>
  </si>
  <si>
    <t>TraesCS2B01G222600;TraesCS2D01G202900</t>
  </si>
  <si>
    <t>sialic acid transport</t>
  </si>
  <si>
    <t>sialic acid transmembrane transporter activity</t>
  </si>
  <si>
    <t>TraesCS2B01G004000;TraesCS2D01G014800</t>
  </si>
  <si>
    <t>etioplast organization</t>
  </si>
  <si>
    <t>TraesCS2A01G585800;TraesCS7D01G326000</t>
  </si>
  <si>
    <t>neurotransmitter transporter activity</t>
  </si>
  <si>
    <t>phloem development</t>
  </si>
  <si>
    <t>terpene biosynthetic process</t>
  </si>
  <si>
    <t>peptidoglycan biosynthetic process</t>
  </si>
  <si>
    <t>peptidoglycan-based cell wall biogenesis</t>
  </si>
  <si>
    <t>peptidoglycan metabolic process</t>
  </si>
  <si>
    <t>TraesCS1D01G396300;TraesCS1A01G388400</t>
  </si>
  <si>
    <t>anion homeostasis</t>
  </si>
  <si>
    <t>mRNA stabilization</t>
  </si>
  <si>
    <t>negative regulation of mRNA catabolic process</t>
  </si>
  <si>
    <t>negative regulation of mRNA metabolic process</t>
  </si>
  <si>
    <t>RNA stabilization</t>
  </si>
  <si>
    <t>negative regulation of RNA catabolic process</t>
  </si>
  <si>
    <t>regulation of mRNA stability</t>
  </si>
  <si>
    <t>regulation of mRNA catabolic process</t>
  </si>
  <si>
    <t>regulation of RNA stability</t>
  </si>
  <si>
    <t>TraesCS6B01G065300;TraesCS1A01G007500</t>
  </si>
  <si>
    <t>NAD(P)H dehydrogenase complex assembly</t>
  </si>
  <si>
    <t>TraesCS1B01G165500;TraesCS7A01G231700;TraesCS7D01G232000;TraesCS7A01G190500</t>
  </si>
  <si>
    <t>D-ribose metabolic process</t>
  </si>
  <si>
    <t>ribokinase activity</t>
  </si>
  <si>
    <t>TraesCS3D01G114000;TraesCS5D01G366500;TraesCS5A01G357400;TraesCS1A01G076000</t>
  </si>
  <si>
    <t>polar nucleus fusion</t>
  </si>
  <si>
    <t>embryo sac central cell differentiation</t>
  </si>
  <si>
    <t>TraesCS2A01G239200;TraesCS2B01G257300;TraesCS4A01G110800;TraesCS4D01G194300;TraesCS2D01G246100</t>
  </si>
  <si>
    <t>TraesCS1D01G433300;TraesCS2D01G399800;TraesCS4D01G175600;TraesCS2A01G233300;TraesCS3A01G389100;TraesCS4A01G110800;TraesCS4D01G194300;TraesCS5B01G171400;TraesCS1A01G095200;TraesCS2B01G250000;TraesCS1D01G316200;TraesCS5A01G059900;TraesCS2A01G226000;TraesCS4A01G334700;TraesCS2D01G232300;TraesCS5A01G472100;TraesCS2B01G375700</t>
  </si>
  <si>
    <t>regulation of organelle organization</t>
  </si>
  <si>
    <t>TraesCS4B01G109700;TraesCS2B01G174700;TraesCS6A01G379000;TraesCS2B01G247100;TraesCS2A01G149600;TraesCS1B01G365600</t>
  </si>
  <si>
    <t>sepal development</t>
  </si>
  <si>
    <t>flower calyx development</t>
  </si>
  <si>
    <t>TraesCS2D01G477200;TraesCS5D01G193000;TraesCS5D01G366700;TraesCS2A01G382000;TraesCS2A01G478000;TraesCS4D01G278500;TraesCS5B01G360200;TraesCS3A01G336100;TraesCS5A01G357600;TraesCS5B01G185700;TraesCS4A01G023500;TraesCS2B01G501300</t>
  </si>
  <si>
    <t>TraesCS1D01G433300;TraesCS5B01G201700;TraesCS1B01G422200;TraesCS2B01G150400;TraesCS4B01G193400;TraesCS5A01G489100;TraesCS5A01G123700;TraesCS2A01G521400;TraesCS5B01G171400;TraesCS5B01G339200;TraesCS1D01G401900;TraesCSU01G132400;TraesCS5D01G459800;TraesCS3A01G097200;TraesCS5A01G472100;TraesCS2A01G128300</t>
  </si>
  <si>
    <t>cell development</t>
  </si>
  <si>
    <t>TraesCS6D01G016900;TraesCS6B01G454500;TraesCS5A01G200800;TraesCS6B01G191500;TraesCS7A01G175300;TraesCS3D01G273800;TraesCS3B01G206600;TraesCS4D01G153900;TraesCS3B01G193200;TraesCS5B01G412400;TraesCS3A01G228000;TraesCS4B01G169900;TraesCS6B01G411900;TraesCS7A01G541200;TraesCS4B01G050200;TraesCS5D01G444700;TraesCS7A01G190700;TraesCS2B01G234500;TraesCS4D01G135000;TraesCS5D01G056900;TraesCS5D01G429200;TraesCS5A01G166800;TraesCS6D01G142900;TraesCS2B01G220100;TraesCS2B01G448000;TraesCS3A01G394600;TraesCS3A01G178900;TraesCS4D01G292900;TraesCS3A01G216100;TraesCS2B01G233400;TraesCS3A01G344300;TraesCS5D01G376600;TraesCS1B01G469400;TraesCS3A01G091100;TraesCS3A01G393400;TraesCS6B01G270400;TraesCSU01G068800;TraesCS2D01G092500;TraesCS6A01G319700;TraesCS4A01G120000;TraesCS4A01G361100;TraesCS6B01G190300;TraesCS7A01G415500;TraesCS7D01G224400;TraesCS4B01G109700;TraesCS2D01G093700;TraesCS1A01G125000;TraesCS3B01G376200;TraesCS7B01G241500;TraesCS5A01G229300;TraesCS6A01G245000;TraesCS7B01G103100;TraesCS1D01G396300;TraesCS4D01G278500;TraesCS6D01G161000;TraesCS5B01G171400;TraesCS7D01G283600;TraesCS1D01G315700;TraesCS1B01G375300;TraesCS1B01G274600;TraesCS6A01G321600;TraesCS7A01G222800;TraesCS3D01G369100;TraesCS4A01G191500;TraesCS1A01G275400;TraesCS1A01G403800;TraesCS3D01G407300;TraesCS4D01G132900;TraesCS4D01G172000;TraesCS2D01G356700;TraesCS7A01G327600;TraesCS6A01G125400;TraesCS6B01G166400;TraesCS2D01G213100;TraesCS5D01G044700;TraesCS6B01G296700;TraesCS6D01G358500;TraesCS5A01G229400;TraesCS7A01G510900;TraesCS5D01G161800;TraesCS1A01G025900;TraesCS1A01G254400;TraesCS4D01G165800;TraesCS2D01G597600;TraesCS3D01G336200;TraesCS6D01G344100;TraesCS7D01G291200;TraesCS4B01G089500;TraesCS5B01G185700;TraesCS4A01G193700;TraesCS2A01G159900;TraesCS5B01G036800;TraesCS2B01G477400;TraesCS3B01G103500;TraesCS6D01G189700;TraesCS6B01G099900;TraesCS1A01G299500;TraesCS1D01G264100;TraesCS2D01G477200;TraesCS7D01G227300;TraesCS5A01G229500;TraesCS1B01G343100;TraesCS7A01G390300;TraesCS3A01G342300;TraesCS1D01G275000;TraesCS4A01G163000;TraesCSU01G158800;TraesCS1A01G218000;TraesCS5B01G539900;TraesCS7A01G276400;TraesCS1D01G265200;TraesCS6D01G227300;TraesCS6A01G143300;TraesCS6A01G147900;TraesCS4B01G138100;TraesCS5A01G119300;TraesCS3D01G217700;TraesCS5A01G123800;TraesCS6B01G174100;TraesCS7A01G419600;TraesCS1B01G348800;TraesCS5A01G050100;TraesCS5B01G322900;TraesCS5B01G154600;TraesCS6B01G199500;TraesCS6D01G007800;TraesCS2A01G093700;TraesCS2A01G187200;TraesCS3A01G151100;TraesCS3D01G241900;TraesCS2B01G401900;TraesCS7A01G277700;TraesCS1A01G264000;TraesCS6D01G186000;TraesCS2A01G309600;TraesCS5A01G054700;TraesCS3D01G282800;TraesCS3A01G282800;TraesCS5D01G261300;TraesCS7A01G220600;TraesCS3A01G412600;TraesCS2D01G362200;TraesCS3B01G254500;TraesCS3B01G252200;TraesCS5A01G104800;TraesCS1D01G219200;TraesCS7B01G129300;TraesCS3D01G376500;TraesCS1B01G344300;TraesCS5D01G144600;TraesCS5D01G238300;TraesCS7D01G407700;TraesCS3D01G203400;TraesCS7B01G241900;TraesCS2A01G128300;TraesCS6D01G179700;TraesCS7D01G332300;TraesCS5A01G367700;TraesCS3D01G109700;TraesCS2D01G320900;TraesCS7A01G139800;TraesCS7B01G176200;TraesCS1B01G301500;TraesCS3B01G316500;TraesCS2D01G397800;TraesCS3B01G093800;TraesCS2B01G592500;TraesCS3A01G060300;TraesCS4A01G111600;TraesCS5A01G156400;TraesCS4D01G318200;TraesCS4A01G262900;TraesCS6B01G352400;TraesCS2B01G150400;TraesCS7D01G450700;TraesCS2A01G342600;TraesCS5D01G402300;TraesCS2D01G059400;TraesCS4D01G107000;TraesCS2D01G231000;TraesCS5B01G037500;TraesCS2A01G202600;TraesCS7D01G011800;TraesCS6A01G146500;TraesCS2B01G174700;TraesCS6A01G192600;TraesCS6B01G223200;TraesCS2A01G150000;TraesCS6D01G293100;TraesCS2B01G185800;TraesCS5D01G005300;TraesCS6D01G283300;TraesCS7D01G123400;TraesCS1A01G265000;TraesCS2A01G455300;TraesCS3A01G538300;TraesCS5A01G020800;TraesCS3D01G091000;TraesCS3A01G028600;TraesCS3D01G412500;TraesCS5D01G329200;TraesCS7B01G236400;TraesCS2B01G604300;TraesCS6B01G117100;TraesCS7A01G452800;TraesCS3B01G269900;TraesCS2A01G382000;TraesCSU01G132400;TraesCS3A01G488100;TraesCS7B01G446500;TraesCS7D01G386000;TraesCS5D01G525000;TraesCS6A01G360600;TraesCS1D01G411300;TraesCS6A01G184000;TraesCS1B01G049300;TraesCS5D01G162400;TraesCS7A01G238400;TraesCS7D01G150200;TraesCS2B01G229600;TraesCS7A01G148600;TraesCS1D01G219700;TraesCS5B01G227900;TraesCS5D01G171100;TraesCS5D01G528400;TraesCS1A01G292100;TraesCS7D01G276300;TraesCS7A01G350000;TraesCS6A01G153600;TraesCS6B01G226000;TraesCS6D01G180500;TraesCS7A01G286700;TraesCS3B01G408800;TraesCS4B01G321500;TraesCS6D01G236400;TraesCS2A01G206200;TraesCS3D01G169000;TraesCS5B01G146700;TraesCS2A01G563500;TraesCS5D01G193000;TraesCS7B01G153100;TraesCS7D01G313600;TraesCS6A01G379000;TraesCS6A01G201800;TraesCS2A01G299200;TraesCS1A01G340400;TraesCS6B01G039900;TraesCS4B01G171300;TraesCS6B01G056200;TraesCS2D01G291200;TraesCS5A01G454300;TraesCS3D01G345500;TraesCS5D01G230300;TraesCS1A01G007500;TraesCS7B01G363600;TraesCS6A01G303800;TraesCS2A01G330000;TraesCS6B01G231400;TraesCS6D01G135800;TraesCS5A01G491400;TraesCS7B01G052200;TraesCS2D01G237600;TraesCS2B01G501300;TraesCS5D01G206500;TraesCS7B01G352800;TraesCS7A01G491200;TraesCS7B01G199200;TraesCS3B01G555600;TraesCS2D01G362700;TraesCS3A01G336100;TraesCS7A01G293200;TraesCS1B01G352700;TraesCS1D01G342400;TraesCS5A01G150700;TraesCS4D01G212600;TraesCS3D01G341200;TraesCS1D01G443100;TraesCS3B01G374400;TraesCS6D01G270400;TraesCS6B01G393500;TraesCS2A01G095300;TraesCS7B01G455500;TraesCS2D01G114900;TraesCS2D01G301200;TraesCS3A01G200400;TraesCS3A01G202700;TraesCS5B01G199400;TraesCS1D01G151800;TraesCS5D01G399200;TraesCS6D01G132500;TraesCS5A01G490500;TraesCS5D01G357600;TraesCS3A01G376300;TraesCS3D01G388400;TraesCS4B01G211800;TraesCS2D01G238600;TraesCS2A01G478000;TraesCS3D01G217600;TraesCS3A01G417000;TraesCS5B01G397300;TraesCS1D01G298400;TraesCS7D01G409000;TraesCS4D01G086400;TraesCS4D01G298800;TraesCS6B01G173500;TraesCS3A01G274600;TraesCS5B01G075800;TraesCS2D01G200700;TraesCS2D01G239700;TraesCS3A01G241700;TraesCS5D01G155800;TraesCS3D01G426300;TraesCS1D01G226500;TraesCS1D01G426400;TraesCS5D01G081700;TraesCS2B01G133300;TraesCS4A01G226900;TraesCS3A01G313300;TraesCS2A01G392900;TraesCS4A01G023500;TraesCS1A01G388400;TraesCS4A01G092500;TraesCS6A01G269400;TraesCS1A01G418700;TraesCS2A01G302500;TraesCS5B01G378700;TraesCS1A01G060100;TraesCS3A01G134100;TraesCS2A01G149600;TraesCS2B01G415500;TraesCS3D01G182400;TraesCS6B01G181300;TraesCS6D01G301300;TraesCS4B01G191300;TraesCS7B01G182300;TraesCS2B01G340300;TraesCS1A01G180200;TraesCS6A01G171300;TraesCS7D01G174700;TraesCS1D01G331000;TraesCS4B01G204500;TraesCS5B01G263800;TraesCS1A01G086500;TraesCS7B01G393400;TraesCS4B01G341300;TraesCS6D01G172500;TraesCS7D01G218000;TraesCS4D01G193500;TraesCS6A01G200200;TraesCS5A01G157000;TraesCS5B01G529300;TraesCS2B01G411000;TraesCS2B01G247100;TraesCS2A01G460000;TraesCS5D01G417400;TraesCS1B01G200300;TraesCS7D01G476500;TraesCS1B01G317500;TraesCS3A01G367000;TraesCS3B01G308200;TraesCS5B01G155200;TraesCS3A01G161800;TraesCS2A01G226000;TraesCS6D01G245600;TraesCS2D01G167300;TraesCS3A01G097200;TraesCS5A01G328900;TraesCS3A01G100000;TraesCS6D01G174700;TraesCS6D01G315500;TraesCS7D01G442100;TraesCS1A01G263400;TraesCS6A01G078200;TraesCS7D01G457900;TraesCS5B01G511800;TraesCS7B01G421800;TraesCS6A01G267300;TraesCS6A01G408400;TraesCS6B01G344100;TraesCS5A01G046600;TraesCS2B01G318400;TraesCS6D01G299200;TraesCS6D01G152700;TraesCS1A01G358800;TraesCS5A01G036600;TraesCS4A01G164900;TraesCS3A01G107900;TraesCS5D01G512300;TraesCS1B01G293500;TraesCS2B01G051500;TraesCS7B01G124100;TraesCS6D01G245500;TraesCS5D01G060900;TraesCS2D01G300400;TraesCS1A01G284300;TraesCS6B01G171600;TraesCS5B01G110000;TraesCS3B01G426600;TraesCS2B01G108200;TraesCS2B01G352300;TraesCS6A01G161200;TraesCS2B01G191800</t>
  </si>
  <si>
    <t>TraesCS3B01G430000;TraesCS3A01G398000;TraesCS3D01G391900;TraesCS3D01G181400</t>
  </si>
  <si>
    <t>TraesCS4B01G355100;TraesCS5A01G524400;TraesCS2B01G385300;TraesCS4D01G348600</t>
  </si>
  <si>
    <t>TraesCS3D01G264800;TraesCS3A01G264700;TraesCS5D01G013100;TraesCS4B01G170400;TraesCS2D01G242100;TraesCS7A01G239700;TraesCS2D01G229600;TraesCS6A01G303800;TraesCS2B01G273900;TraesCS2B01G454000;TraesCS4D01G079200;TraesCS4A01G005000;TraesCS4D01G292300;TraesCS6D01G283300;TraesCS2A01G223600;TraesCS4A01G134800</t>
  </si>
  <si>
    <t>TraesCS5B01G201700;TraesCS1B01G422200;TraesCS2B01G150400;TraesCS4B01G193400;TraesCS5A01G489100;TraesCS2A01G521400;TraesCS7D01G409000;TraesCS5B01G339200;TraesCS1D01G401900;TraesCSU01G132400;TraesCS5D01G459800;TraesCS5A01G472100;TraesCS2A01G128300</t>
  </si>
  <si>
    <t>developmental growth</t>
  </si>
  <si>
    <t>TraesCS3B01G441000;TraesCS3D01G426300;TraesCS5B01G036800;TraesCS5D01G420300;TraesCS3A01G367000;TraesCS5B01G415100;TraesCS3B01G185300;TraesCS7D01G283600;TraesCS4B01G180100;TraesCS3D01G289600;TraesCS4B01G204500;TraesCS4D01G135000;TraesCS5A01G411500;TraesCS6A01G303800;TraesCS3B01G324500;TraesCS6A01G267300;TraesCS2D01G205900;TraesCS6D01G283300;TraesCS2D01G238600;TraesCS7D01G349600</t>
  </si>
  <si>
    <t>TraesCSU01G072700;TraesCS4A01G076800;TraesCS5B01G378700</t>
  </si>
  <si>
    <t>transcriptional repressor complex</t>
  </si>
  <si>
    <t>TraesCS5B01G476900;TraesCS7D01G300000;TraesCS3D01G289600</t>
  </si>
  <si>
    <t>regulation of secondary metabolic process</t>
  </si>
  <si>
    <t>TraesCS2D01G477200;TraesCS5D01G193000;TraesCS5D01G366700;TraesCS2A01G478000;TraesCS5A01G229500;TraesCS4D01G278500;TraesCS5A01G357600;TraesCS2A01G382000;TraesCS3D01G258900;TraesCS1A01G369600;TraesCS5B01G360200;TraesCS3A01G336100;TraesCS5B01G185700;TraesCS4A01G023500;TraesCS2B01G501300</t>
  </si>
  <si>
    <t>TraesCS1D01G433300;TraesCS5B01G201700;TraesCS1D01G103000;TraesCS1B01G122300;TraesCS3D01G150600;TraesCS5A01G103100;TraesCS1A01G094200;TraesCS4B01G152700;TraesCS5B01G171400;TraesCS2A01G434600;TraesCS4A01G334700;TraesCS5D01G484800;TraesCS5B01G484800;TraesCS5A01G472100;TraesCS5D01G396300;TraesCS5B01G107400</t>
  </si>
  <si>
    <t>actin filament-based process</t>
  </si>
  <si>
    <t>TraesCS6A01G360600;TraesCS2D01G179600;TraesCS7D01G292000;TraesCS1B01G049300;TraesCS2A01G247300;TraesCS3D01G273800;TraesCS5D01G303200;TraesCS4A01G289400;TraesCS2D01G014800;TraesCS6B01G159200;TraesCS5D01G171100;TraesCS4D01G147100;TraesCS3A01G360000;TraesCS1A01G324800;TraesCS5A01G467500;TraesCS4A01G298800;TraesCS4D01G135000;TraesCS4B01G321500;TraesCS6B01G124800;TraesCS5A01G166800;TraesCS1D01G280300;TraesCS3B01G219700;TraesCS5A01G344100;TraesCS7A01G323200;TraesCS5A01G491500;TraesCS5A01G549700;TraesCS7D01G549100;TraesCS2B01G209200;TraesCS2A01G563500;TraesCS1B01G255100;TraesCS6D01G087400;TraesCS1A01G157500;TraesCS6B01G112700;TraesCS6A01G379000;TraesCS1A01G027200;TraesCS2D01G565200;TraesCS5A01G149000;TraesCS5A01G336500;TraesCS3D01G289600;TraesCS2A01G193800;TraesCS3D01G296900;TraesCSU01G019200;TraesCS5B01G112100;TraesCS3A01G513500;TraesCS2B01G257300;TraesCS2B01G070700;TraesCS1D01G412600;TraesCS4A01G298100;TraesCS7D01G339300;TraesCS6D01G357600;TraesCS3B01G298400;TraesCS5B01G139800;TraesCS6B01G190300;TraesCS6A01G303800;TraesCS4B01G109700;TraesCS2B01G021100;TraesCS2D01G093700;TraesCS2A01G239000;TraesCS1B01G462200;TraesCS7B01G352800;TraesCS6A01G113000;TraesCS1D01G409700;TraesCS5D01G472300;TraesCS5B01G562200;TraesCS5D01G143800;TraesCS5B01G171400;TraesCS7D01G283600;TraesCS2B01G382000;TraesCS2B01G365100;TraesCS3B01G423600;TraesCS3D01G065800;TraesCS2D01G362700;TraesCS4B01G320500;TraesCS1B01G274600;TraesCS2D01G496200;TraesCS5D01G332000;TraesCS5D01G118200;TraesCS4A01G138800;TraesCS1D01G325500;TraesCS5D01G068800;TraesCS1A01G246800;TraesCS6B01G218700;TraesCS1B01G270800;TraesCS4D01G223400;TraesCS6B01G393500;TraesCS7A01G252000;TraesCS7A01G246000;TraesCS2A01G095300;TraesCS5D01G044700;TraesCS4A01G110800;TraesCS3D01G327600;TraesCS2D01G248400;TraesCS2D01G009100;TraesCS3A01G200400;TraesCS6A01G268900;TraesCS1A01G195500;TraesCS6D01G132500;TraesCS1A01G313300;TraesCS6D01G344100;TraesCS2D01G148200;TraesCS5A01G490500;TraesCS5B01G214400;TraesCS2D01G238600;TraesCS7B01G242800;TraesCS2B01G154700;TraesCS5B01G036800;TraesCS2A01G132200;TraesCS2B01G312600;TraesCS4B01G041900;TraesCS2D01G208300;TraesCS2D01G438800;TraesCS1D01G298400;TraesCS1A01G431600;TraesCS1A01G133500;TraesCS5B01G094300;TraesCS3A01G082700;TraesCS3A01G295400;TraesCS6B01G124700;TraesCS1A01G299500;TraesCS5A01G457600;TraesCS1D01G264100;TraesCS3D01G426300;TraesCS1D01G155100;TraesCS3A01G212600;TraesCS3D01G231200;TraesCS4D01G022600;TraesCS7D01G449900;TraesCS4B01G015600;TraesCS4B01G114800;TraesCS1D01G226500;TraesCS7B01G363100;TraesCS6A01G373400;TraesCS7A01G260600;TraesCSU01G072700;TraesCS7A01G461700;TraesCS2A01G058700;TraesCS5A01G215900;TraesCS6A01G143300;TraesCS5A01G119300;TraesCS6A01G130900;TraesCS4A01G052600;TraesCS6B01G253900;TraesCS4D01G013900;TraesCS5B01G378700;TraesCS1D01G316200;TraesCS2A01G280500;TraesCS2B01G004000;TraesCS2D01G361800;TraesCS7D01G300000;TraesCS2A01G149600;TraesCS2A01G200500;TraesCS3A01G151100;TraesCS2B01G401900;TraesCS2B01G340300;TraesCS7D01G250100;TraesCS1A01G264000;TraesCS1A01G180200;TraesCS5B01G335500;TraesCS7A01G307000;TraesCS1D01G331000;TraesCS5B01G396700;TraesCS4B01G204500;TraesCS4A01G157100;TraesCS5B01G476900;TraesCS2D01G232300;TraesCS2B01G227800;TraesCS3A01G112300;TraesCS4A01G283000;TraesCS1D01G178000;TraesCS7D01G349600;TraesCS6D01G149800;TraesCS3B01G252200;TraesCS5A01G104800;TraesCS1D01G219200;TraesCS3B01G088300;TraesCS2A01G233300;TraesCS2B01G297800;TraesCS7A01G560200;TraesCS7B01G230100;TraesCS1A01G198400;TraesCS3D01G203400;TraesCS5D01G459800;TraesCS3A01G191700;TraesCS2B01G247100;TraesCS2A01G149500;TraesCS7D01G403900;TraesCS1B01G200300;TraesCS1D01G211600;TraesCS5D01G094000;TraesCS2D01G105300;TraesCS2B01G174600;TraesCS6D01G087500;TraesCS1D01G440900;TraesCS3A01G126400;TraesCS3A01G367000;TraesCS2A01G114400;TraesCS4D01G194300;TraesCS2B01G250000;TraesCS2B01G363200;TraesCS2B01G592500;TraesCS1D01G124400;TraesCS3D01G162700;TraesCS2A01G387000;TraesCS3A01G097200;TraesCS2D01G194000;TraesCS5B01G344200;TraesCS2B01G133500;TraesCS4D01G318200;TraesCS4A01G262900;TraesCS5D01G551200;TraesCS1D01G030500;TraesCS3A01G530000;TraesCS1D01G404400;TraesCS2A01G342600;TraesCS4B01G115800;TraesCS7A01G381900;TraesCS3A01G251200;TraesCS4A01G315700;TraesCS7D01G442100;TraesCS5B01G563800;TraesCS6B01G067600;TraesCS7B01G310100;TraesCS2D01G059400;TraesCS3D01G083400;TraesCS2D01G279300;TraesCS4B01G025500;TraesCS6A01G267300;TraesCS3B01G370200;TraesCS6A01G259000;TraesCS3A01G304900;TraesCS5B01G037500;TraesCS2D01G057900;TraesCS2A01G296400;TraesCS5B01G295200;TraesCS2B01G174700;TraesCS7B01G184800;TraesCS1D01G260200;TraesCS3D01G304800;TraesCSU01G036900;TraesCS5A01G036600;TraesCS1B01G213300;TraesCS7D01G378400;TraesCS5A01G057500;TraesCS2B01G122500;TraesCS7D01G447100;TraesCS5B01G510500;TraesCS1B01G293500;TraesCS5D01G223700;TraesCS1D01G199100;TraesCS5B01G147600;TraesCS6D01G283300;TraesCS3D01G514100;TraesCS5B01G256400;TraesCS1B01G337800;TraesCS2A01G239200;TraesCS5D01G341200;TraesCS5A01G020800;TraesCS7A01G329600;TraesCS1A01G284300;TraesCS6B01G171600;TraesCS1B01G434400;TraesCS4B01G073200;TraesCS2B01G270300;TraesCS6A01G319100;TraesCS7A01G452800;TraesCS5A01G460600;TraesCS1A01G309200;TraesCS6A01G161200;TraesCS6B01G189000;TraesCS4A01G093100;TraesCS7B01G207300</t>
  </si>
  <si>
    <t>TraesCS5A01G251000;TraesCS5D01G258900;TraesCS7B01G240200;TraesCS3A01G075700;TraesCS5A01G489100;TraesCS2A01G216100;TraesCS3D01G341200;TraesCS7A01G342800;TraesCS4D01G292900;TraesCS5B01G249000;TraesCS3B01G222700;TraesCS4A01G216200;TraesCS3D01G196700;TraesCS2B01G325100;TraesCS5B01G104800;TraesCS4B01G397700;TraesCS4D01G096200;TraesCS1B01G447500;TraesCS4B01G288200;TraesCS1A01G165700</t>
  </si>
  <si>
    <t>TraesCS1B01G255100;TraesCS5D01G067600;TraesCS4D01G021400;TraesCS4D01G348500;TraesCS7D01G373100;TraesCS5B01G132600;TraesCS6A01G269700;TraesCS5A01G056400;TraesCS4A01G290400;TraesCS7B01G278200;TraesCS4B01G023800;TraesCS5A01G132300;TraesCS7A01G376800</t>
  </si>
  <si>
    <t>SWI/SNF superfamily-type complex</t>
  </si>
  <si>
    <t>TraesCS6B01G159200;TraesCS5B01G036800;TraesCS5A01G104800;TraesCS1D01G219200;TraesCS6A01G130900</t>
  </si>
  <si>
    <t>positive regulation of translation</t>
  </si>
  <si>
    <t>positive regulation of cellular amide metabolic process</t>
  </si>
  <si>
    <t>hydrogen peroxide biosynthetic process</t>
  </si>
  <si>
    <t>TraesCS2B01G528300;TraesCS2B01G340300;TraesCS5A01G324200;TraesCS3D01G274900;TraesCS5B01G324800;TraesCS1A01G071100;TraesCS2A01G342600;TraesCS3A01G275000;TraesCS3B01G308700;TraesCS7D01G339600;TraesCS4A01G247300</t>
  </si>
  <si>
    <t>TraesCS5A01G157000;TraesCS5D01G162400;TraesCS7D01G000100;TraesCS5B01G155200</t>
  </si>
  <si>
    <t>cytoplasmic side of membrane</t>
  </si>
  <si>
    <t>TraesCS2A01G404700;TraesCS3A01G232700;TraesCS3D01G220400;TraesCS6B01G115200</t>
  </si>
  <si>
    <t>organic hydroxy compound transport</t>
  </si>
  <si>
    <t>chloroplast fission</t>
  </si>
  <si>
    <t>TraesCS2B01G401900;TraesCS1B01G422200;TraesCS4B01G138200;TraesCS5D01G341200;TraesCS5B01G335500;TraesCS5A01G336500;TraesCS5B01G378700;TraesCS1B01G049300;TraesCS5B01G501200;TraesCS1D01G401900;TraesCS4B01G109700;TraesCSU01G072700;TraesCS7A01G323200;TraesCS3A01G097200;TraesCS4D01G132900</t>
  </si>
  <si>
    <t>pollen development</t>
  </si>
  <si>
    <t>TraesCS3D01G241800;TraesCS7A01G200100;TraesCS3B01G498200;TraesCS2A01G444600;TraesCS3D01G294000;TraesCS2B01G454000;TraesCS4D01G079200;TraesCS5B01G197300;TraesCS3A01G294200;TraesCS2A01G557600;TraesCS5A01G087700;TraesCS1D01G048200;TraesCS1A01G047200;TraesCS2D01G422000;TraesCS3A01G232700;TraesCS4D01G025300;TraesCS6B01G115200;TraesCS3A01G458000;TraesCS7D01G203100;TraesCS6B01G192600;TraesCS2D01G266600;TraesCS7A01G239700;TraesCS3B01G328800;TraesCS4D01G292300;TraesCS1A01G102300;TraesCS3D01G220400;TraesCS3A01G241600;TraesCS5D01G098400;TraesCS2A01G424200</t>
  </si>
  <si>
    <t>TraesCS1B01G165500;TraesCS2D01G097800;TraesCS4D01G127100;TraesCS7A01G231700;TraesCS7D01G232000;TraesCS2A01G098400;TraesCS7A01G190500</t>
  </si>
  <si>
    <t>petal formation</t>
  </si>
  <si>
    <t>TraesCS2B01G592500;TraesCS2D01G208300;TraesCS2A01G392900;TraesCS2B01G227800;TraesCS2A01G200500;TraesCS1B01G049300</t>
  </si>
  <si>
    <t>specification of symmetry</t>
  </si>
  <si>
    <t>TraesCS7D01G332300;TraesCS7B01G103100;TraesCS7D01G313600;TraesCS3B01G308200;TraesCS7A01G139800;TraesCS1B01G049300;TraesCS1A01G340400;TraesCS7A01G293200;TraesCS1B01G352700;TraesCS1D01G342400;TraesCS2B01G150400;TraesCS3D01G341200;TraesCS2D01G356700;TraesCS3A01G417000;TraesCS3D01G412500;TraesCS7D01G409000;TraesCS7A01G415500;TraesCS5D01G056900;TraesCSU01G132400;TraesCS3A01G274600;TraesCS3A01G488100;TraesCS3A01G134100;TraesCS5A01G046600;TraesCS2A01G128300;TraesCS7B01G241500;TraesCS6B01G166400</t>
  </si>
  <si>
    <t>TraesCS6A01G123800;TraesCS1D01G155100;TraesCS7D01G292000;TraesCS7D01G449900;TraesCS4B01G015600;TraesCS7A01G260600;TraesCS4B01G133200;TraesCS2A01G058700;TraesCS2D01G014800;TraesCS5A01G215900;TraesCS1A01G112800;TraesCS4D01G147100;TraesCS5A01G119300;TraesCS4A01G065400;TraesCS6B01G253900;TraesCS4D01G013900;TraesCS5B01G378700;TraesCS5A01G467500;TraesCS2B01G457300;TraesCS2B01G004000;TraesCS7A01G323200;TraesCS7D01G549100;TraesCS1B01G255100;TraesCS7D01G250100;TraesCS5B01G335500;TraesCS6B01G112700;TraesCS6D01G362000;TraesCS5A01G149000;TraesCS7B01G411000;TraesCS5A01G336500;TraesCS5B01G396700;TraesCS6D01G113900;TraesCS4A01G157100;TraesCS6D01G237400;TraesCS4A01G283000;TraesCS1B01G254000;TraesCS2B01G070700;TraesCS1D01G412600;TraesCS4A01G298100;TraesCS7D01G339300;TraesCS2D01G111300;TraesCS3B01G435900;TraesCS7A01G560200;TraesCS7B01G230100;TraesCS1A01G198400;TraesCS5D01G459800;TraesCS6B01G242800;TraesCS1D01G211600;TraesCS6D01G047400;TraesCS1B01G462200;TraesCS2D01G105300;TraesCS6D01G062500;TraesCS6B01G414800;TraesCS1D01G440900;TraesCS6A01G113000;TraesCS4D01G194300;TraesCS5D01G143800;TraesCS7B01G085700;TraesCS7D01G283600;TraesCS3B01G423600;TraesCS2B01G363200;TraesCS2D01G362700;TraesCS4B01G150300;TraesCS3D01G162700;TraesCS2A01G387000;TraesCS5D01G332000;TraesCS5B01G344200;TraesCS5D01G118200;TraesCS6A01G212200;TraesCS4A01G262900;TraesCS1A01G246800;TraesCS3A01G402500;TraesCS3B01G149800;TraesCS5D01G551200;TraesCS7A01G381900;TraesCS7D01G148200;TraesCS4A01G315700;TraesCS5B01G563800;TraesCS1A01G263400;TraesCS4A01G185400;TraesCS6A01G259000;TraesCS2D01G057900;TraesCS7A01G252000;TraesCS2A01G110700;TraesCS7B01G184800;TraesCS4A01G110800;TraesCS3D01G304800;TraesCS1B01G213300;TraesCS3D01G327600;TraesCS7D01G378400;TraesCS2B01G122500;TraesCS5D01G164800;TraesCS7D01G447100;TraesCS5B01G510500;TraesCS5D01G223700;TraesCS6B01G151900;TraesCS5B01G147600;TraesCS5B01G214400;TraesCS7B01G242800;TraesCS6D01G195400;TraesCS5B01G036800;TraesCS5D01G341200;TraesCS4B01G041900;TraesCS7A01G329600;TraesCS1B01G434400;TraesCS2D01G524500;TraesCS4B01G073200;TraesCS1A01G431600;TraesCS6A01G319100;TraesCS1A01G133500;TraesCS4D01G160000;TraesCS5B01G534400;TraesCS1A01G309200</t>
  </si>
  <si>
    <t>TraesCS2B01G592500;TraesCS2A01G239200;TraesCS2B01G257300;TraesCS5B01G476900;TraesCS3D01G289600</t>
  </si>
  <si>
    <t>regulation of cellular ketone metabolic process</t>
  </si>
  <si>
    <t>TraesCS6D01G149800;TraesCS6B01G189000;TraesCS2A01G027000;TraesCS7A01G242000;TraesCS3D01G065800</t>
  </si>
  <si>
    <t>INO80-type complex</t>
  </si>
  <si>
    <t>TraesCS6D01G122800;TraesCS7B01G186500;TraesCS4A01G167000;TraesCS3D01G289600;TraesCS5A01G424400;TraesCS3A01G189400;TraesCS5B01G534400;TraesCS2B01G264100;TraesCS4B01G285000;TraesCS3B01G324500;TraesCS5A01G395200;TraesCS6A01G133100;TraesCS4B01G164800;TraesCS4A01G093100;TraesCS7A01G294200;TraesCS7D01G349600</t>
  </si>
  <si>
    <t>TraesCS1D01G401900;TraesCS4B01G355100;TraesCS6B01G089500;TraesCS1B01G422200;TraesCS5A01G524400;TraesCS2B01G385300;TraesCS4D01G348600</t>
  </si>
  <si>
    <t>integral component of organelle membrane</t>
  </si>
  <si>
    <t>intrinsic component of organelle membrane</t>
  </si>
  <si>
    <t>regulation of anion channel activity</t>
  </si>
  <si>
    <t>cell surface</t>
  </si>
  <si>
    <t>oligosaccharyltransferase complex</t>
  </si>
  <si>
    <t>secondary active monocarboxylate transmembrane transporter activity</t>
  </si>
  <si>
    <t>TraesCS2A01G095300;TraesCS5D01G366500;TraesCS2B01G070700;TraesCS4A01G062200;TraesCS5A01G357400;TraesCS1A01G076000;TraesCS3D01G114000;TraesCS4B01G321500;TraesCS2D01G093700;TraesCS5A01G490500;TraesCS2D01G057900;TraesCS4B01G238900;TraesCS4D01G318200;TraesCS2A01G058700</t>
  </si>
  <si>
    <t>megagametogenesis</t>
  </si>
  <si>
    <t>chromatin silencing complex</t>
  </si>
  <si>
    <t>cristae formation</t>
  </si>
  <si>
    <t>ethanolamine metabolic process</t>
  </si>
  <si>
    <t>primary amino compound metabolic process</t>
  </si>
  <si>
    <t>neurotransmitter transport</t>
  </si>
  <si>
    <t>carotene biosynthetic process</t>
  </si>
  <si>
    <t>regulation of isopentenyl diphosphate biosynthetic process, methylerythritol 4-phosphate pathway</t>
  </si>
  <si>
    <t>regulation of phospholipid biosynthetic process</t>
  </si>
  <si>
    <t>regulation of phospholipid metabolic process</t>
  </si>
  <si>
    <t>TraesCS2B01G174700;TraesCS2A01G149600</t>
  </si>
  <si>
    <t>histone kinase activity</t>
  </si>
  <si>
    <t>phosphate ion homeostasis</t>
  </si>
  <si>
    <t>trivalent inorganic anion homeostasis</t>
  </si>
  <si>
    <t>divalent inorganic anion homeostasis</t>
  </si>
  <si>
    <t>monovalent inorganic anion homeostasis</t>
  </si>
  <si>
    <t>cytoplasmic side of plasma membrane</t>
  </si>
  <si>
    <t>activation of innate immune response</t>
  </si>
  <si>
    <t>activation of immune response</t>
  </si>
  <si>
    <t>TraesCS1B01G255100;TraesCS7B01G278200;TraesCS4B01G023800;TraesCS5A01G132300;TraesCS5D01G067600;TraesCS4D01G021400;TraesCS7A01G376800;TraesCS4D01G348500;TraesCS7D01G373100;TraesCS5B01G132600;TraesCS5A01G056400;TraesCS4A01G290400</t>
  </si>
  <si>
    <t>water-soluble vitamin metabolic process</t>
  </si>
  <si>
    <t>sepal formation</t>
  </si>
  <si>
    <t>sepal morphogenesis</t>
  </si>
  <si>
    <t>TraesCS4A01G236700;TraesCS5B01G112100;TraesCS5D01G121100;TraesCS6A01G314900;TraesCS4D01G153900;TraesCS4B01G379300;TraesCS2A01G233300;TraesCS4B01G115800;TraesCSU01G129600;TraesCS2A01G245100;TraesCS2B01G250000;TraesCS5A01G545600;TraesCS2D01G232300;TraesCS4D01G076900</t>
  </si>
  <si>
    <t>regulation of kinase activity</t>
  </si>
  <si>
    <t>TraesCS1D01G265200;TraesCS6B01G352400;TraesCS1B01G396800;TraesCS5B01G171400;TraesCS5D01G532100;TraesCS4B01G180100;TraesCS1A01G376400;TraesCS2B01G122500;TraesCS2A01G492300;TraesCS5D01G429200;TraesCS4D01G275500;TraesCS1D01G125500;TraesCS2D01G492600;TraesCS6A01G321600;TraesCS7D01G000100;TraesCS1D01G383500;TraesCS2D01G238700;TraesCS4A01G138800;TraesCS2D01G105300;TraesCS2B01G520500;TraesCS6D01G301300;TraesCS7D01G349600</t>
  </si>
  <si>
    <t>TraesCS4D01G244000;TraesCS3B01G154900;TraesCS2A01G392900;TraesCS2A01G585800;TraesCS4A01G078900;TraesCS4B01G245400;TraesCS7D01G326000</t>
  </si>
  <si>
    <t>xylem and phloem pattern formation</t>
  </si>
  <si>
    <t>TraesCS1B01G255100;TraesCS2A01G098500;TraesCS6A01G143300;TraesCS1A01G224700;TraesCS7D01G450700;TraesCS6B01G171600;TraesCS7A01G130000;TraesCS7A01G190700;TraesCS7B01G363600;TraesCS1B01G379800;TraesCS1D01G226100;TraesCS5D01G026000;TraesCS6D01G132500;TraesCS1A01G362700;TraesCS1A01G420900;TraesCS1D01G367600</t>
  </si>
  <si>
    <t>TraesCS6A01G123800;TraesCS1D01G155100;TraesCS7D01G292000;TraesCS7D01G449900;TraesCS4B01G015600;TraesCS7A01G260600;TraesCS4B01G133200;TraesCS4A01G119800;TraesCS2A01G058700;TraesCS2D01G014800;TraesCS5A01G215900;TraesCS1A01G112800;TraesCS4D01G147100;TraesCS5A01G119300;TraesCS4A01G065400;TraesCS6B01G253900;TraesCS4D01G013900;TraesCS5B01G378700;TraesCS5A01G467500;TraesCS2B01G457300;TraesCS2B01G004000;TraesCS7A01G323200;TraesCS7D01G549100;TraesCS1B01G255100;TraesCS7D01G250100;TraesCS5B01G335500;TraesCS6B01G112700;TraesCS6D01G362000;TraesCS5A01G149000;TraesCS7B01G411000;TraesCS5A01G336500;TraesCS5B01G396700;TraesCS6D01G113900;TraesCS4A01G157100;TraesCS6D01G237400;TraesCS4A01G283000;TraesCS1B01G254000;TraesCS2B01G070700;TraesCS1D01G412600;TraesCS4A01G298100;TraesCS7D01G339300;TraesCS2D01G111300;TraesCS3B01G435900;TraesCS7A01G560200;TraesCS7B01G230100;TraesCS1A01G198400;TraesCS5D01G459800;TraesCS6B01G242800;TraesCS1D01G211600;TraesCS6D01G047400;TraesCS1B01G462200;TraesCS2D01G105300;TraesCS6D01G062500;TraesCS6B01G414800;TraesCS1D01G440900;TraesCS6A01G113000;TraesCS4D01G194300;TraesCS5D01G143800;TraesCS7B01G085700;TraesCS7D01G283600;TraesCS3B01G423600;TraesCS2B01G363200;TraesCS2D01G362700;TraesCS4B01G150300;TraesCS3D01G162700;TraesCS2A01G387000;TraesCS5D01G332000;TraesCS5B01G344200;TraesCS5D01G118200;TraesCS2D01G328100;TraesCS6A01G212200;TraesCS4A01G262900;TraesCS1A01G246800;TraesCS3A01G402500;TraesCS3B01G149800;TraesCS5D01G551200;TraesCS7A01G381900;TraesCS7D01G148200;TraesCS4A01G315700;TraesCS5B01G563800;TraesCS1A01G263400;TraesCS4A01G185400;TraesCS6A01G259000;TraesCS2D01G057900;TraesCS7A01G252000;TraesCS2A01G110700;TraesCS7B01G184800;TraesCS4A01G110800;TraesCS3D01G304800;TraesCS1B01G213300;TraesCS3D01G327600;TraesCS7D01G378400;TraesCS2B01G122500;TraesCS5D01G164800;TraesCS7D01G447100;TraesCS5B01G510500;TraesCS5D01G223700;TraesCS6B01G151900;TraesCS5B01G147600;TraesCS5B01G214400;TraesCS7B01G242800;TraesCS6D01G195400;TraesCS5B01G036800;TraesCS5D01G341200;TraesCS4B01G041900;TraesCS7A01G329600;TraesCS1B01G434400;TraesCS2D01G524500;TraesCS4B01G073200;TraesCS1A01G431600;TraesCS6A01G319100;TraesCS1A01G133500;TraesCS4D01G160000;TraesCS5B01G534400;TraesCS1A01G309200</t>
  </si>
  <si>
    <t>TraesCS3A01G393400;TraesCS1A01G315900;TraesCS4D01G153900;TraesCS2A01G171900;TraesCS4A01G110800;TraesCS5D01G141200;TraesCS5D01G359800;TraesCS1D01G226500;TraesCS4D01G194300;TraesCS5A01G472100;TraesCS1D01G316200;TraesCS1B01G049300</t>
  </si>
  <si>
    <t>meiosis I</t>
  </si>
  <si>
    <t>TraesCS4D01G135000;TraesCS3D01G426300;TraesCS6A01G303800;TraesCS5B01G036800;TraesCS6A01G267300;TraesCS3A01G367000;TraesCS6D01G283300;TraesCS3A01G310200;TraesCS7D01G283600;TraesCS2D01G238600;TraesCS4B01G204500</t>
  </si>
  <si>
    <t>determination of bilateral symmetry</t>
  </si>
  <si>
    <t>TraesCS3A01G393400;TraesCS4D01G153900;TraesCS4A01G110800;TraesCS5D01G141200;TraesCS1D01G226500;TraesCS4D01G194300;TraesCS1D01G316200;TraesCS1B01G049300;TraesCS6B01G399000;TraesCS1A01G315900;TraesCS6D01G348000;TraesCS2A01G171900;TraesCS5D01G359800;TraesCS5A01G472100;TraesCS6A01G364300</t>
  </si>
  <si>
    <t>TraesCS2A01G261000;TraesCS4D01G175600;TraesCS5A01G020800;TraesCS2D01G262900;TraesCS1D01G226500;TraesCS1D01G211600;TraesCS5B01G339200</t>
  </si>
  <si>
    <t>regulation of anatomical structure morphogenesis</t>
  </si>
  <si>
    <t>TraesCS2B01G592500;TraesCS2D01G208300;TraesCS2A01G392900;TraesCS2B01G227800;TraesCS5A01G472100;TraesCS2A01G200500;TraesCS1B01G049300</t>
  </si>
  <si>
    <t>meristem initiation</t>
  </si>
  <si>
    <t>TraesCS1D01G264100;TraesCS5D01G420300;TraesCS1A01G264000;TraesCS5A01G489100;TraesCS5B01G415100;TraesCS2A01G521400;TraesCS3B01G423600;TraesCS5B01G339200;TraesCS5A01G411500;TraesCS1B01G274600;TraesCS5A01G472100;TraesCS2A01G467900;TraesCS5D01G504600</t>
  </si>
  <si>
    <t>root morphogenesis</t>
  </si>
  <si>
    <t>TraesCS1B01G156600;TraesCS3D01G373300;TraesCS2D01G565200;TraesCS4A01G110800;TraesCS4D01G194300;TraesCS1A01G130700;TraesCS7A01G285800;TraesCS2D01G246100;TraesCS3D01G323700;TraesCS3D01G411200;TraesCS2D01G362700;TraesCS3A01G330200;TraesCS3A01G334800;TraesCS3A01G380100;TraesCS4A01G220100;TraesCS6D01G350000;TraesCS7B01G177700;TraesCS7D01G284200;TraesCS1B01G377800;TraesCS1D01G178000;TraesCS6B01G402300;TraesCS4D01G094700;TraesCS2A01G239200;TraesCS2B01G257300;TraesCS1B01G155600;TraesCS1A01G137000;TraesCS1A01G152800;TraesCS2D01G528800;TraesCS6D01G244900;TraesCS2D01G229600;TraesCS1A01G144300;TraesCS3A01G205900;TraesCS4D01G085900;TraesCS3D01G328100;TraesCS4B01G088400;TraesCS3D01G482500;TraesCS4A01G227500;TraesCS2D01G516300;TraesCS3B01G412600</t>
  </si>
  <si>
    <t>TraesCS4D01G094700;TraesCS2A01G239200;TraesCS2B01G257300;TraesCS1B01G155600;TraesCS1B01G156600;TraesCS3D01G373300;TraesCS4A01G110800;TraesCS1A01G137000;TraesCS4D01G194300;TraesCS1A01G130700;TraesCS2D01G246100;TraesCS2D01G528800;TraesCS2D01G229600;TraesCS4D01G085900;TraesCS3A01G380100;TraesCS4A01G220100;TraesCS4B01G088400;TraesCS4A01G227500;TraesCS3B01G412600;TraesCS1B01G377800</t>
  </si>
  <si>
    <t>exonuclease activity</t>
  </si>
  <si>
    <t>TraesCS6D01G147700;TraesCS2B01G528300;TraesCS3D01G426300;TraesCS7D01G000100;TraesCS6A01G163500</t>
  </si>
  <si>
    <t>response to glucose</t>
  </si>
  <si>
    <t>Ino80 complex</t>
  </si>
  <si>
    <t>DNA helicase complex</t>
  </si>
  <si>
    <t>TraesCS4A01G062100;TraesCS3D01G341200;TraesCS3A01G530000;TraesCS1B01G171600;TraesCS4B01G152900;TraesCS2B01G273700;TraesCS6D01G204700;TraesCS7D01G409000;TraesCS3A01G189400;TraesCS3D01G311800;TraesCS1D01G151800;TraesCS2A01G358000;TraesCS1A01G092700;TraesCS1D01G101200;TraesCS2B01G159600;TraesCS2D01G138200;TraesCS6B01G363500;TraesCS5B01G239200;TraesCS2A01G424700;TraesCS5A01G106900;TraesCS2B01G377300;TraesCS5D01G247600</t>
  </si>
  <si>
    <t>TraesCS1D01G433300;TraesCS5B01G201700;TraesCS1B01G422200;TraesCS2B01G150400;TraesCS4B01G193400;TraesCS5A01G489100;TraesCS1B01G171600;TraesCS2A01G521400;TraesCS5B01G171400;TraesCS7D01G409000;TraesCS5B01G339200;TraesCS5B01G501200;TraesCS1D01G401900;TraesCSU01G132400;TraesCS1D01G151800;TraesCS5D01G459800;TraesCS3A01G097200;TraesCS5A01G472100;TraesCS2A01G128300</t>
  </si>
  <si>
    <t>cellular component morphogenesis</t>
  </si>
  <si>
    <t>cutin biosynthetic process</t>
  </si>
  <si>
    <t>bile acid and bile salt transport</t>
  </si>
  <si>
    <t>bile acid:sodium symporter activity</t>
  </si>
  <si>
    <t>bile acid transmembrane transporter activity</t>
  </si>
  <si>
    <t>organic acid:sodium symporter activity</t>
  </si>
  <si>
    <t>solute:sodium symporter activity</t>
  </si>
  <si>
    <t>TraesCS6A01G386600;TraesCS2B01G315300;TraesCS2D01G296800</t>
  </si>
  <si>
    <t>primary alcohol metabolic process</t>
  </si>
  <si>
    <t>TraesCS1A01G180200;TraesCS1D01G178400;TraesCS1B01G200300</t>
  </si>
  <si>
    <t>post-chaperonin tubulin folding pathway</t>
  </si>
  <si>
    <t>TraesCS6B01G173500;TraesCS4B01G193400;TraesCS5B01G476900;TraesCS4D01G025700;TraesCS4A01G286700;TraesCS4B01G028100</t>
  </si>
  <si>
    <t>sesquiterpenoid metabolic process</t>
  </si>
  <si>
    <t>TraesCS3D01G114000;TraesCS6D01G149800;TraesCS3B01G083400;TraesCS6B01G189000;TraesCS2A01G027000;TraesCS7A01G242000;TraesCS3D01G065800</t>
  </si>
  <si>
    <t>nuclear chromatin</t>
  </si>
  <si>
    <t>TraesCS2D01G477200;TraesCS5D01G193000;TraesCS5D01G366700;TraesCS2A01G478000;TraesCS5A01G229500;TraesCS4D01G278500;TraesCS5A01G357600;TraesCS2A01G382000;TraesCS5B01G360200;TraesCS3A01G336100;TraesCS5B01G185700;TraesCS4A01G023500;TraesCS2B01G501300</t>
  </si>
  <si>
    <t>TraesCS4A01G236700;TraesCS5B01G112100;TraesCS5D01G121100;TraesCS6A01G314900;TraesCS5A01G119300;TraesCS3A01G158500;TraesCS4D01G175600;TraesCS4A01G067400;TraesCS4B01G152900;TraesCS3A01G457400;TraesCS3B01G497300;TraesCS4B01G115800;TraesCS1A01G007500;TraesCS3B01G185300;TraesCS5B01G339200;TraesCS4B01G224700;TraesCS7D01G000100;TraesCS7B01G117700;TraesCS4A01G131100;TraesCS4B01G173500;TraesCS4D01G076900;TraesCS6B01G039900;TraesCS4D01G225300</t>
  </si>
  <si>
    <t>enzyme binding</t>
  </si>
  <si>
    <t>TraesCS4A01G077600;TraesCS3A01G192400;TraesCS3B01G221400;TraesCS3A01G530000;TraesCS3B01G221200;TraesCS5B01G239200;TraesCS5A01G106900;TraesCS4B01G373400;TraesCS4D01G234800;TraesCS5D01G247600</t>
  </si>
  <si>
    <t>TraesCS4A01G077600;TraesCS3A01G192400;TraesCS3B01G221400;TraesCS3B01G221200;TraesCS5B01G239200;TraesCS5A01G106900;TraesCS4B01G373400;TraesCS4D01G234800;TraesCS5D01G247600</t>
  </si>
  <si>
    <t>TraesCS3D01G228800;TraesCS3D01G083400;TraesCS5A01G324200;TraesCS5B01G502700;TraesCS5B01G324800;TraesCS3A01G082700;TraesCS1D01G086600;TraesCS2D01G238600;TraesCS3A01G224800</t>
  </si>
  <si>
    <t>regulation of protein kinase activity</t>
  </si>
  <si>
    <t>TraesCS1D01G401900;TraesCS5B01G201700;TraesCS1B01G422200;TraesCS2B01G150400;TraesCS4B01G193400;TraesCSU01G132400;TraesCS5A01G489100;TraesCS5D01G459800;TraesCS2A01G521400;TraesCS2A01G128300;TraesCS7D01G409000;TraesCS5B01G339200</t>
  </si>
  <si>
    <t>developmental growth involved in morphogenesis</t>
  </si>
  <si>
    <t>regulation of cell morphogenesis</t>
  </si>
  <si>
    <t>TraesCS2D01G133500;TraesCS6B01G259800;TraesCS1A01G180200;TraesCS6D01G213800;TraesCS1D01G178400;TraesCS6A01G221400;TraesCS1B01G200300</t>
  </si>
  <si>
    <t>GTPase activator activity</t>
  </si>
  <si>
    <t>TraesCS2D01G477200;TraesCS5D01G193000;TraesCS5D01G366700;TraesCS2A01G478000;TraesCS5A01G229500;TraesCS4D01G278500;TraesCS7B01G176200;TraesCS5A01G357600;TraesCS2A01G382000;TraesCS1D01G315700;TraesCS5B01G360200;TraesCS3A01G336100;TraesCS5B01G185700;TraesCS4A01G023500;TraesCS2B01G501300</t>
  </si>
  <si>
    <t>TraesCS5B01G381600;TraesCS7B01G240200;TraesCS7D01G000100;TraesCS5A01G378000;TraesCS7A01G342800;TraesCS5D01G388000</t>
  </si>
  <si>
    <t>TraesCS4A01G262900;TraesCS5A01G157000;TraesCS5D01G162400;TraesCS5B01G155200</t>
  </si>
  <si>
    <t>phototropism</t>
  </si>
  <si>
    <t>TraesCS7A01G466600;TraesCS3D01G426300;TraesCS6A01G312200;TraesCS1D01G396300;TraesCS1D01G092200;TraesCS3A01G457400;TraesCS1D01G226500;TraesCS3D01G250600;TraesCS3A01G250200;TraesCS3D01G229800;TraesCS4A01G163000;TraesCS2B01G334800;TraesCS5A01G272400;TraesCS2D01G194000;TraesCS1D01G086600;TraesCS3A01G223700;TraesCS1A01G218000;TraesCS2A01G058700;TraesCS1D01G219700;TraesCS2A01G409700;TraesCS6D01G122800;TraesCS2D01G394900;TraesCS4B01G152900;TraesCS3B01G185300;TraesCS3D01G150400;TraesCS4B01G354600;TraesCS2B01G031800;TraesCS6D01G291600;TraesCS3D01G083400;TraesCS6B01G342400;TraesCS2A01G280500;TraesCS5B01G324800;TraesCS6A01G133100;TraesCS6D01G163700;TraesCS2D01G279300;TraesCS2D01G233900;TraesCS3A01G134100;TraesCS2D01G057900;TraesCS3A01G224800;TraesCS7D01G549100;TraesCS3A01G151100;TraesCS6A01G192600;TraesCS3D01G495100;TraesCS4A01G164900;TraesCS1A01G195500;TraesCS4D01G165800;TraesCS2A01G193800;TraesCS5A01G324200;TraesCS2D01G467900;TraesCS7B01G124100;TraesCSU01G047800;TraesCS1D01G199100;TraesCS2B01G428100;TraesCS2A01G467900;TraesCS2D01G238600;TraesCS7D01G454200;TraesCS5D01G280400;TraesCS3B01G279700;TraesCS6D01G147700;TraesCS2B01G070700;TraesCS2D01G407000;TraesCS5A01G020800;TraesCS3A01G028600;TraesCS3B01G497300;TraesCS1B01G344300;TraesCS2B01G297800;TraesCS4B01G131800;TraesCS2D01G023900;TraesCS1A01G100600;TraesCS3D01G228800;TraesCS7A01G560200;TraesCS3A01G082700;TraesCS5B01G284100;TraesCS6A01G163500;TraesCS1B01G110400;TraesCS6D01G179700</t>
  </si>
  <si>
    <t>TraesCS4A01G236700;TraesCS5B01G112100;TraesCS5D01G121100;TraesCS6A01G314900;TraesCS4D01G153900;TraesCS4B01G379300;TraesCS2A01G233300;TraesCS4B01G115800;TraesCSU01G129600;TraesCS2D01G438800;TraesCS2A01G245100;TraesCS2B01G250000;TraesCS6A01G268900;TraesCS5A01G545600;TraesCS2D01G232300;TraesCS4D01G076900</t>
  </si>
  <si>
    <t>regulation of transferase activity</t>
  </si>
  <si>
    <t>TraesCS4D01G135000;TraesCS3D01G426300;TraesCS6A01G303800;TraesCS5B01G036800;TraesCS6A01G267300;TraesCS3A01G367000;TraesCS7D01G000100;TraesCS6D01G283300;TraesCS7D01G283600;TraesCS2D01G238600;TraesCS4B01G204500</t>
  </si>
  <si>
    <t>TraesCS7A01G466600;TraesCS7B01G054900;TraesCS6D01G337700;TraesCS5D01G258900;TraesCS7A01G143900;TraesCS1B01G255900;TraesCS5B01G155200;TraesCS5B01G249000;TraesCS3A01G103900;TraesCS1D01G113900;TraesCS1A01G361400;TraesCS5D01G162400;TraesCS1A01G086500;TraesCS2B01G248100;TraesCS3A01G412600;TraesCS2A01G222600;TraesCS7D01G454200;TraesCS3D01G407300;TraesCS1D01G244400;TraesCS5A01G251000;TraesCS5B01G036800;TraesCS5D01G148400;TraesCS4B01G152900;TraesCS3A01G417000;TraesCS3D01G232600;TraesCS7A01G327600;TraesCS3D01G412500;TraesCS4D01G309500;TraesCS7D01G409000;TraesCS7D01G339600;TraesCS5A01G157000;TraesCS3A01G220000;TraesCS1B01G378000;TraesCS5A01G264400;TraesCS6A01G158300;TraesCS2D01G233900;TraesCS6D01G215100;TraesCS1A01G102300</t>
  </si>
  <si>
    <t>TraesCS3A01G289900;TraesCS6B01G221000;TraesCS7D01G294300;TraesCS5B01G111700;TraesCS1B01G049300;TraesCS7B01G093800;TraesCS3A01G202000;TraesCS5A01G490800;TraesCS7D01G303100;TraesCS3B01G398000;TraesCS4A01G283700;TraesCS4D01G088200;TraesCS7D01G188300;TraesCS5A01G123800;TraesCS5D01G148100;TraesCS6B01G251600;TraesCS1A01G116200;TraesCSU01G142500;TraesCS3D01G150400;TraesCS6D01G204800;TraesCS1A01G076000;TraesCS1D01G376900;TraesCS5D01G517600;TraesCS6D01G181200;TraesCS5D01G056900;TraesCS3B01G324500;TraesCS5D01G517200;TraesCS3A01G134100;TraesCS2B01G491700;TraesCS5B01G255700;TraesCS1D01G341100;TraesCS7A01G120300;TraesCS4A01G355000;TraesCS1B01G368500;TraesCS5B01G142900;TraesCS7D01G313600;TraesCS6A01G196600;TraesCS2A01G102600;TraesCS2B01G309500;TraesCS1A01G094000;TraesCS3D01G289600;TraesCS2A01G201200;TraesCS7D01G508100;TraesCS1A01G340400;TraesCS1B01G167200;TraesCS7A01G555700;TraesCS5D01G230300;TraesCS6A01G420100;TraesCS3A01G030700;TraesCS1A01G339300;TraesCS5A01G143800;TraesCS2A01G460000;TraesCS2A01G128300;TraesCS6A01G230100;TraesCS2A01G468800;TraesCS7B01G241500;TraesCS7D01G554900;TraesCS3B01G308200;TraesCS5D01G470400;TraesCS3B01G167800;TraesCS7A01G139800;TraesCS1B01G290800;TraesCS1D01G280900;TraesCS4A01G354500;TraesCS2A01G123800;TraesCS3B01G105200;TraesCS7B01G320800;TraesCS2A01G293400;TraesCS2D01G102100;TraesCS6B01G182300;TraesCS7A01G293200;TraesCS1B01G352700;TraesCS1D01G342400;TraesCS2B01G150400;TraesCS4D01G317900;TraesCS7A01G192000;TraesCS3B01G229700;TraesCS2D01G356700;TraesCS3A01G292700;TraesCS6D01G405600;TraesCS7D01G117800;TraesCS4B01G091100;TraesCS4D01G327300;TraesCS4B01G321300;TraesCS1D01G146600;TraesCS2B01G119700;TraesCS5A01G107800;TraesCS5A01G046600;TraesCS5B01G517900;TraesCS7A01G518200;TraesCS5B01G517500;TraesCS7D01G193000;TraesCS2D01G126600;TraesCS6B01G166400;TraesCS5B01G310600;TraesCS7A01G189000;TraesCS4A01G446700;TraesCS1D01G356900;TraesCS2B01G145700;TraesCS5A01G395200;TraesCS1D01G117400;TraesCS6B01G104600;TraesCS7B01G097000;TraesCS4B01G383000;TraesCS3A01G417000;TraesCS3D01G412500;TraesCS3A01G366400;TraesCS7D01G409000;TraesCS5A01G221800;TraesCS1A01G281700;TraesCS6A01G077800;TraesCSU01G132400;TraesCS3A01G274600;TraesCS3A01G488100;TraesCS5A01G222500;TraesCS6A01G154400;TraesCS5B01G320100;TraesCS4B01G029400;TraesCS5D01G325800;TraesCS1A01G064000;TraesCS7B01G092500;TraesCS7D01G235600</t>
  </si>
  <si>
    <t>TraesCS4A01G262900;TraesCS6B01G159200;TraesCS5B01G036800;TraesCS5A01G104800;TraesCS1D01G219200;TraesCS1A01G180200;TraesCS1D01G409700;TraesCS2D01G208300;TraesCS6A01G130900;TraesCS5A01G149000;TraesCS3B01G298400;TraesCS1B01G049300;TraesCS2B01G592500;TraesCS2D01G362700;TraesCS4B01G109700;TraesCS3A01G295400;TraesCS5B01G147600;TraesCS2B01G227800;TraesCS1B01G200300;TraesCS2A01G200500;TraesCS4A01G138800</t>
  </si>
  <si>
    <t>regulation of translation</t>
  </si>
  <si>
    <t>regulation of cellular amide metabolic process</t>
  </si>
  <si>
    <t>TraesCS2A01G095300;TraesCS4B01G138200;TraesCS5D01G260600;TraesCS5D01G366500;TraesCS2B01G070700;TraesCS4A01G062200;TraesCS5A01G357400;TraesCS1D01G226500;TraesCS1A01G076000;TraesCS3D01G114000;TraesCS4B01G321500;TraesCS2D01G093700;TraesCS5A01G490500;TraesCS2D01G057900;TraesCS4B01G238900;TraesCS4D01G318200;TraesCS4D01G132900;TraesCS2A01G058700</t>
  </si>
  <si>
    <t>embryo sac development</t>
  </si>
  <si>
    <t>TraesCS5A01G157000;TraesCS5D01G162400;TraesCS3D01G256700;TraesCS7D01G000100;TraesCS5B01G155200</t>
  </si>
  <si>
    <t>side of membrane</t>
  </si>
  <si>
    <t>TraesCS5D01G201300;TraesCS1D01G331000;TraesCS4A01G432400;TraesCS6D01G182200;TraesCS5A01G189600</t>
  </si>
  <si>
    <t>TraesCS6A01G123800;TraesCS1D01G155100;TraesCS7D01G292000;TraesCS7D01G449900;TraesCS4B01G015600;TraesCS7A01G260600;TraesCS4B01G133200;TraesCS4A01G119800;TraesCS2A01G058700;TraesCS2D01G014800;TraesCS5A01G215900;TraesCS1A01G112800;TraesCS4D01G147100;TraesCS5A01G119300;TraesCS4A01G065400;TraesCS6B01G253900;TraesCS4D01G013900;TraesCS5B01G378700;TraesCS5A01G467500;TraesCS2B01G457300;TraesCS2B01G004000;TraesCS7A01G323200;TraesCS2A01G097900;TraesCS7D01G549100;TraesCS1B01G255100;TraesCS7D01G250100;TraesCS5B01G335500;TraesCS6B01G112700;TraesCS6D01G362000;TraesCS5A01G149000;TraesCS7B01G411000;TraesCS5A01G336500;TraesCS5B01G396700;TraesCS6D01G113900;TraesCS4A01G157100;TraesCS6D01G237400;TraesCS4A01G283000;TraesCS1B01G254000;TraesCS2B01G070700;TraesCS1D01G412600;TraesCS4A01G298100;TraesCS7D01G339300;TraesCS2D01G111300;TraesCS3B01G435900;TraesCS1D01G229400;TraesCS7A01G560200;TraesCS7B01G230100;TraesCS1A01G198400;TraesCS5D01G459800;TraesCS6B01G242800;TraesCS1D01G211600;TraesCS6D01G047400;TraesCS1B01G462200;TraesCS2D01G105300;TraesCS6D01G062500;TraesCS6B01G414800;TraesCS1D01G440900;TraesCS6A01G113000;TraesCS4D01G194300;TraesCS5D01G143800;TraesCS7B01G085700;TraesCS7D01G283600;TraesCS3B01G423600;TraesCS2B01G363200;TraesCS2D01G362700;TraesCS4B01G150300;TraesCS3D01G162700;TraesCS2A01G387000;TraesCS5D01G332000;TraesCS5B01G344200;TraesCS5D01G118200;TraesCS2D01G328100;TraesCS6A01G212200;TraesCS4A01G262900;TraesCS1A01G246800;TraesCS3A01G402500;TraesCS3B01G149800;TraesCS5D01G551200;TraesCS7A01G381900;TraesCS7D01G148200;TraesCS4A01G315700;TraesCS5B01G563800;TraesCS1A01G263400;TraesCS4A01G185400;TraesCS6A01G259000;TraesCS2D01G057900;TraesCS7A01G252000;TraesCS2A01G110700;TraesCS7B01G184800;TraesCS4A01G110800;TraesCS3D01G304800;TraesCS1B01G213300;TraesCS3D01G327600;TraesCS7D01G378400;TraesCS2B01G122500;TraesCS5D01G164800;TraesCS7D01G447100;TraesCS5B01G510500;TraesCS5D01G223700;TraesCS6B01G151900;TraesCS5B01G147600;TraesCS5B01G214400;TraesCS7B01G242800;TraesCS6D01G195400;TraesCS5B01G036800;TraesCS5D01G341200;TraesCS4B01G041900;TraesCS7A01G329600;TraesCS1B01G434400;TraesCS2D01G524500;TraesCS4B01G073200;TraesCS1A01G431600;TraesCS6A01G319100;TraesCS1A01G133500;TraesCS4D01G160000;TraesCS5B01G534400;TraesCS1A01G309200</t>
  </si>
  <si>
    <t>water-soluble vitamin biosynthetic process</t>
  </si>
  <si>
    <t>TraesCS7A01G307000;TraesCS3B01G154900;TraesCS7B01G207300</t>
  </si>
  <si>
    <t>chloroplast RNA modification</t>
  </si>
  <si>
    <t>TraesCS2D01G133500;TraesCS4D01G175600;TraesCS4A01G067400;TraesCS6D01G213800;TraesCS4B01G173500;TraesCS6A01G221400;TraesCS5B01G339200</t>
  </si>
  <si>
    <t>regulation of GTPase activity</t>
  </si>
  <si>
    <t>TraesCS3A01G232700;TraesCS3D01G220400;TraesCS5D01G372500;TraesCS6B01G115200</t>
  </si>
  <si>
    <t>monocarboxylic acid transmembrane transporter activity</t>
  </si>
  <si>
    <t>TraesCS3A01G393400;TraesCS1A01G315900;TraesCS6D01G348000;TraesCS2A01G171900;TraesCS4A01G110800;TraesCS5D01G141200;TraesCS1D01G226500;TraesCS4D01G194300;TraesCS1D01G316200;TraesCS1B01G049300;TraesCS6A01G364300;TraesCS6B01G399000</t>
  </si>
  <si>
    <t>TraesCS1D01G433300;TraesCS2D01G399800;TraesCS4A01G334700;TraesCS4D01G175600;TraesCS2A01G233300;TraesCS2D01G232300;TraesCS5A01G472100;TraesCS5B01G171400;TraesCS1A01G095200;TraesCS2B01G250000;TraesCS2B01G375700;TraesCS5A01G059900</t>
  </si>
  <si>
    <t>regulation of cytoskeleton organization</t>
  </si>
  <si>
    <t>TraesCS7B01G363600;TraesCS7D01G450700</t>
  </si>
  <si>
    <t>Rab-protein geranylgeranyltransferase complex</t>
  </si>
  <si>
    <t>TraesCS7A01G466600;TraesCS7D01G454200</t>
  </si>
  <si>
    <t>tubulin complex</t>
  </si>
  <si>
    <t>regulation of genetic imprinting</t>
  </si>
  <si>
    <t>glyceraldehyde-3-phosphate biosynthetic process</t>
  </si>
  <si>
    <t>triglyceride mobilization</t>
  </si>
  <si>
    <t>TraesCS5A01G222500;TraesCS5D01G230300</t>
  </si>
  <si>
    <t>rhamnogalacturonan I side chain metabolic process</t>
  </si>
  <si>
    <t>rhamnogalacturonan I metabolic process</t>
  </si>
  <si>
    <t>L-gulono-1,4-lactone dehydrogenase activity</t>
  </si>
  <si>
    <t>TraesCS5D01G067600;TraesCS5A01G056400</t>
  </si>
  <si>
    <t>L-galactose dehydrogenase activity</t>
  </si>
  <si>
    <t>TraesCS4D01G021400;TraesCS4A01G290400</t>
  </si>
  <si>
    <t>ADP-ribose pyrophosphohydrolase activity</t>
  </si>
  <si>
    <t>ADP-sugar diphosphatase activity</t>
  </si>
  <si>
    <t>DNA 5'-adenosine monophosphate hydrolase activity</t>
  </si>
  <si>
    <t>TraesCS3A01G381000;TraesCS4A01G226900</t>
  </si>
  <si>
    <t>PSII associated light-harvesting complex II</t>
  </si>
  <si>
    <t>thylakoid light-harvesting complex</t>
  </si>
  <si>
    <t>light-harvesting complex</t>
  </si>
  <si>
    <t>(S)-2-hydroxy-acid oxidase activity</t>
  </si>
  <si>
    <t>cell wall part</t>
  </si>
  <si>
    <t>galacturonokinase activity</t>
  </si>
  <si>
    <t>D-galacturonate metabolic process</t>
  </si>
  <si>
    <t>galacturonate metabolic process</t>
  </si>
  <si>
    <t>uronic acid metabolic process</t>
  </si>
  <si>
    <t>cell outer membrane</t>
  </si>
  <si>
    <t>histone H3-T3 phosphorylation</t>
  </si>
  <si>
    <t>histone kinase activity (H3-T3 specific)</t>
  </si>
  <si>
    <t>histone H3-T11 phosphorylation</t>
  </si>
  <si>
    <t>histone-threonine phosphorylation</t>
  </si>
  <si>
    <t>peptidyl-threonine phosphorylation</t>
  </si>
  <si>
    <t>peptidyl-threonine modification</t>
  </si>
  <si>
    <t>histone kinase activity (H3-T11 specific)</t>
  </si>
  <si>
    <t>histone threonine kinase activity</t>
  </si>
  <si>
    <t>regulation of glucan biosynthetic process</t>
  </si>
  <si>
    <t>regulation of polysaccharide biosynthetic process</t>
  </si>
  <si>
    <t>regulation of polysaccharide metabolic process</t>
  </si>
  <si>
    <t>TraesCS1D01G331000;TraesCS6D01G182200</t>
  </si>
  <si>
    <t>U1 snRNA binding</t>
  </si>
  <si>
    <t>CMP-keto-3-deoxy-D-manno-octulosonic acid biosynthetic process</t>
  </si>
  <si>
    <t>CMP-keto-3-deoxy-D-manno-octulosonic acid metabolic process</t>
  </si>
  <si>
    <t>mannosylglycoprotein endo-beta-mannosidase activity</t>
  </si>
  <si>
    <t>TraesCS1B01G253500;TraesCS1D01G241800</t>
  </si>
  <si>
    <t>UDPsulfoquinovose synthase activity</t>
  </si>
  <si>
    <t>hydrolase activity, acting on carbon-sulfur bonds</t>
  </si>
  <si>
    <t>TraesCS1D01G151800;TraesCS1B01G171600</t>
  </si>
  <si>
    <t>extracellular transport</t>
  </si>
  <si>
    <t>TraesCS1D01G423500;TraesCS1A01G416000</t>
  </si>
  <si>
    <t>delta14-sterol reductase activity</t>
  </si>
  <si>
    <t>TraesCS1D01G241000;TraesCS1A01G241000</t>
  </si>
  <si>
    <t>7-hydroxymethyl chlorophyll a reductase activity</t>
  </si>
  <si>
    <t>chlorophyll cycle</t>
  </si>
  <si>
    <t>sesquiterpenoid biosynthetic process</t>
  </si>
  <si>
    <t>TraesCS4D01G135000;TraesCS3D01G426300;TraesCS6A01G303800;TraesCS5B01G036800;TraesCS4B01G286700;TraesCS6A01G267300;TraesCS3A01G367000;TraesCS6D01G283300;TraesCS2D01G427900;TraesCS7D01G283600;TraesCS2D01G238600;TraesCS4B01G204500</t>
  </si>
  <si>
    <t>reciprocal meiotic recombination</t>
  </si>
  <si>
    <t>homologous recombination</t>
  </si>
  <si>
    <t>TraesCS6D01G172500;TraesCS5A01G123800;TraesCS1A01G060100;TraesCS6B01G223200;TraesCS6A01G201800;TraesCS7A01G327600;TraesCS7D01G174700;TraesCS2A01G460000;TraesCS3A01G412600;TraesCS6D01G186000;TraesCS4A01G193700;TraesCS3D01G407300</t>
  </si>
  <si>
    <t>TraesCS4D01G135000;TraesCS3D01G426300;TraesCS6A01G303800;TraesCS5B01G036800;TraesCS6A01G267300;TraesCS3A01G367000;TraesCS6D01G283300;TraesCS7D01G283600;TraesCS2D01G238600;TraesCS4B01G204500</t>
  </si>
  <si>
    <t>TraesCS2B01G528300;TraesCS2B01G340300;TraesCS5A01G324200;TraesCS3D01G274900;TraesCS5B01G324800;TraesCS2A01G342600;TraesCS3A01G275000;TraesCS3B01G308700;TraesCS7D01G339600;TraesCS4A01G247300</t>
  </si>
  <si>
    <t>TraesCS4A01G111000;TraesCS3D01G359900;TraesCS3A01G367000;TraesCS4A01G093100;TraesCS4D01G212000;TraesCS3B01G410400;TraesCS5B01G146700;TraesCS5D01G144600</t>
  </si>
  <si>
    <t>TraesCS1D01G239100;TraesCS4D01G175300;TraesCS2A01G215100;TraesCS4D01G127100;TraesCS6D01G364400;TraesCS7B01G103100;TraesCS1B01G251000;TraesCS5A01G143600;TraesCS4D01G253400;TraesCS3A01G476000;TraesCS3B01G483900;TraesCS6B01G418400;TraesCS1B01G288000;TraesCS6D01G098400;TraesCS2B01G051600;TraesCS3A01G248000;TraesCSU01G242100;TraesCS1B01G375300;TraesCS3D01G229800;TraesCS3A01G447800;TraesCS5A01G272400;TraesCS2D01G037400;TraesCS5B01G323300;TraesCS2A01G293400;TraesCS3D01G391900;TraesCS3A01G223700;TraesCS1D01G363700;TraesCS3B01G418400;TraesCS1D01G244400;TraesCS2A01G289800;TraesCS2A01G186900;TraesCS4A01G321500;TraesCS2A01G098400;TraesCS5A01G171900;TraesCS6A01G110000;TraesCS3B01G258600;TraesCS3B01G235100;TraesCS5B01G265500;TraesCS2B01G220300;TraesCS1D01G259600;TraesCS5A01G264400;TraesCS4A01G051000;TraesCS5A01G155600;TraesCS1A01G238900;TraesCS6A01G215900;TraesCS7D01G386900;TraesCS5D01G176700;TraesCS2D01G097800;TraesCS3A01G159900;TraesCS3B01G276700;TraesCS5B01G295000;TraesCS1A01G358800;TraesCS3A01G386300;TraesCS1B01G255900;TraesCS2B01G309500;TraesCS6D01G077600;TraesCS6A01G379800;TraesCS2D01G201000;TraesCS3B01G430000;TraesCS5D01G303100;TraesCS5B01G393900;TraesCS5B01G294900;TraesCS5A01G322700;TraesCS4B01G041200;TraesCS3A01G447500;TraesCS4B01G066700;TraesCS3D01G181400;TraesCS2A01G039400;TraesCS6D01G199600;TraesCS2B01G240100;TraesCS3A01G208600;TraesCS5D01G280400;TraesCS5D01G148400;TraesCS4B01G383000;TraesCS5D01G551900;TraesCS4D01G065600;TraesCS4B01G220500;TraesCS5B01G097100;TraesCS5B01G557300;TraesCS7D01G374900;TraesCS4A01G307900;TraesCS3B01G483500;TraesCS7A01G391400;TraesCS3A01G398000;TraesCS5D01G329600;TraesCS4D01G038600;TraesCS4A01G131400;TraesCS1A01G259800;TraesCS2A01G038400;TraesCS4A01G248200</t>
  </si>
  <si>
    <t>TraesCS2D01G399800;TraesCS7A01G260100;TraesCS2A01G233300;TraesCS2D01G232300;TraesCS1A01G095200;TraesCS2B01G250000;TraesCS2B01G375700;TraesCS5A01G059900;TraesCS5D01G208100</t>
  </si>
  <si>
    <t>TraesCS3D01G264800;TraesCS3A01G264700;TraesCS5D01G013100;TraesCS4A01G124000;TraesCS4A01G364400;TraesCS2A01G286500;TraesCS4A01G013500;TraesCS4A01G276300;TraesCS2D01G242100;TraesCS4B01G204500;TraesCS1D01G149900;TraesCS2D01G229600;TraesCS6A01G303800;TraesCS2B01G273900;TraesCS6B01G257900;TraesCS4A01G005000;TraesCS5B01G509100;TraesCS2B01G303300;TraesCS6D01G212000;TraesCS6D01G283300;TraesCS2A01G223600;TraesCS5A01G004200</t>
  </si>
  <si>
    <t>TraesCS6D01G357100;TraesCS7D01G130500;TraesCS1D01G241000;TraesCS1A01G241000</t>
  </si>
  <si>
    <t>oxidoreductase activity, acting on CH or CH2 groups</t>
  </si>
  <si>
    <t>TraesCS3D01G264800;TraesCS3A01G264700;TraesCS5D01G013100;TraesCS4A01G124000;TraesCS4A01G364400;TraesCS2A01G286500;TraesCS4A01G013500;TraesCS4A01G276300;TraesCS5A01G092400;TraesCS1B01G478800;TraesCS2D01G242100;TraesCS4B01G204500;TraesCS1D01G149900;TraesCS2D01G229600;TraesCS6A01G303800;TraesCS2B01G273900;TraesCS6B01G257900;TraesCS4A01G005000;TraesCS5B01G509100;TraesCS2B01G303300;TraesCS6D01G212000;TraesCS6D01G283300;TraesCS2A01G223600;TraesCS5A01G004200</t>
  </si>
  <si>
    <t>TraesCS6B01G174500;TraesCSU01G131300;TraesCS6A01G289200;TraesCS6D01G007800;TraesCS5A01G547300;TraesCS4A01G238100;TraesCS4B01G380800;TraesCS6B01G319000;TraesCS7A01G327600</t>
  </si>
  <si>
    <t>TraesCS1D01G433300;TraesCS5D01G341200;TraesCS5B01G335500;TraesCSU01G072700;TraesCS7A01G323200;TraesCS3A01G097200;TraesCS5A01G472100;TraesCS5B01G171400;TraesCS5A01G336500;TraesCS5B01G378700</t>
  </si>
  <si>
    <t>trichome differentiation</t>
  </si>
  <si>
    <t>TraesCS3D01G264800;TraesCS3A01G264700;TraesCS5D01G013100;TraesCS4A01G364400;TraesCS2A01G286500;TraesCS1D01G155800;TraesCS4A01G276300;TraesCS5A01G092400;TraesCS2D01G242100;TraesCS4B01G204500;TraesCS1D01G149900;TraesCS6B01G257900;TraesCS5B01G509100;TraesCS2B01G303300;TraesCS6D01G212000;TraesCS6D01G283300;TraesCS4A01G124000;TraesCS1A01G158500;TraesCS4A01G013500;TraesCS1B01G478800;TraesCS2D01G229600;TraesCS6A01G303800;TraesCS2B01G273900;TraesCS4A01G005000;TraesCS2A01G223600;TraesCS5A01G004200</t>
  </si>
  <si>
    <t>TraesCS2B01G401900;TraesCS5D01G341200;TraesCS5B01G335500;TraesCS3A01G097200;TraesCS5A01G336500;TraesCS1B01G049300</t>
  </si>
  <si>
    <t>somatic cell DNA recombination</t>
  </si>
  <si>
    <t>TraesCS4A01G091100;TraesCS2D01G324900;TraesCS5B01G409400;TraesCS4A01G167000;TraesCS4D01G341900;TraesCS7D01G439900;TraesCS5A01G468600;TraesCS6B01G282200;TraesCS6B01G450500;TraesCS3D01G325800;TraesCS4B01G242800;TraesCS3B01G268900;TraesCS3A01G332300;TraesCS4B01G263100;TraesCS5D01G481500;TraesCS6D01G094200;TraesCS5D01G099800;TraesCS5A01G513500;TraesCS5B01G531900;TraesCS4B01G213600;TraesCS4D01G339700;TraesCS2B01G343900;TraesCS5D01G530200;TraesCS1D01G003700;TraesCS1D01G242500;TraesCS4A01G042500;TraesCS4A01G065400;TraesCS6B01G134800;TraesCS2A01G338100;TraesCS3D01G271800;TraesCS4D01G214300;TraesCS7A01G450600;TraesCS3A01G272200;TraesCS7D01G025000;TraesCS4B01G164800;TraesCS4D01G263300;TraesCS4B01G344600;TraesCS7B01G350400;TraesCS3D01G428300;TraesCS5B01G503800;TraesCS6D01G224200;TraesCS3B01G257700;TraesCS3B01G362100;TraesCS6B01G219700;TraesCS3B01G306000;TraesCS3D01G268700;TraesCS4A01G144500;TraesCS4B01G347000;TraesCS5A01G515700;TraesCS6D01G390000;TraesCS5D01G504600;TraesCS6A01G105400;TraesCS6D01G174500;TraesCS4D01G039100;TraesCS3D01G240800;TraesCS6B01G331800;TraesCS4D01G151500;TraesCS1B01G254000;TraesCS3B01G470400;TraesCS4A01G342800;TraesCSU01G093800;TraesCS4B01G041900;TraesCS3A01G435700;TraesCS6D01G162200;TraesCS1A01G001800;TraesCS5B01G481100;TraesCS6A01G319100;TraesCS6D01G298300;TraesCS7B01G421100;TraesCS3A01G268600;TraesCS3B01G303000;TraesCS7D01G499800;TraesCS4D01G242400;TraesCS3D01G224800</t>
  </si>
  <si>
    <t>TraesCS3D01G114000;TraesCS6D01G149800;TraesCS2A01G157700;TraesCS3B01G083400;TraesCS6B01G189000;TraesCS3A01G097200;TraesCS1A01G130700;TraesCS2A01G027000;TraesCS2B01G348600;TraesCS7A01G242000;TraesCS3D01G065800</t>
  </si>
  <si>
    <t>nuclear chromosome part</t>
  </si>
  <si>
    <t>petal morphogenesis</t>
  </si>
  <si>
    <t>long-chain fatty acid-CoA ligase activity</t>
  </si>
  <si>
    <t>fatty acid ligase activity</t>
  </si>
  <si>
    <t>TraesCS5B01G476900;TraesCS6B01G218700;TraesCS3D01G289600</t>
  </si>
  <si>
    <t>regulation of isoprenoid metabolic process</t>
  </si>
  <si>
    <t>TraesCS2A01G455200;TraesCS2B01G477300;TraesCS2B01G246200</t>
  </si>
  <si>
    <t>G-protein coupled GABA receptor activity</t>
  </si>
  <si>
    <t>G-protein coupled neurotransmitter receptor activity</t>
  </si>
  <si>
    <t>GABA receptor activity</t>
  </si>
  <si>
    <t>TraesCS2A01G095300;TraesCS2D01G093700;TraesCS3D01G182400</t>
  </si>
  <si>
    <t>cellularization</t>
  </si>
  <si>
    <t>tubulin complex assembly</t>
  </si>
  <si>
    <t>TraesCS1D01G433300;TraesCS5B01G201700;TraesCS1B01G422200;TraesCS2B01G150400;TraesCS4B01G193400;TraesCS5A01G489100;TraesCS1B01G171600;TraesCS2A01G521400;TraesCS5B01G171400;TraesCS7D01G409000;TraesCS5B01G339200;TraesCS1D01G401900;TraesCSU01G132400;TraesCS1D01G151800;TraesCS5D01G459800;TraesCS3A01G097200;TraesCS5A01G472100;TraesCS2A01G128300</t>
  </si>
  <si>
    <t>cell morphogenesis</t>
  </si>
  <si>
    <t>TraesCS3A01G530000;TraesCS7D01G083900;TraesCS1B01G383200;TraesCS6D01G165800;TraesCS4B01G373400;TraesCS4D01G234800;TraesCS6A01G373200;TraesCS1A01G365600;TraesCS4A01G077600;TraesCS3A01G192400;TraesCS3B01G221400;TraesCS3B01G221200;TraesCS5B01G239200;TraesCS5A01G106900;TraesCS5D01G247600;TraesCS3D01G259000</t>
  </si>
  <si>
    <t>TraesCS2B01G401900;TraesCS5D01G341200;TraesCS5B01G335500;TraesCS6A01G343500;TraesCS5A01G336500</t>
  </si>
  <si>
    <t>regulation of meristem structural organization</t>
  </si>
  <si>
    <t>TraesCS6A01G268900;TraesCS6B01G159200;TraesCS5B01G036800;TraesCS5A01G104800;TraesCS1D01G219200;TraesCS2A01G233300;TraesCS6A01G130900;TraesCS2D01G232300;TraesCS2D01G438800;TraesCS2B01G250000</t>
  </si>
  <si>
    <t>positive regulation of protein metabolic process</t>
  </si>
  <si>
    <t>TraesCS1A01G281700;TraesCS4A01G354500;TraesCS5B01G517900;TraesCS1B01G290800;TraesCS1D01G280900;TraesCS5D01G517600</t>
  </si>
  <si>
    <t>TraesCS2D01G236100;TraesCS6D01G122800;TraesCS3A01G405300;TraesCS5D01G312400;TraesCS6A01G133100;TraesCS4A01G105500;TraesCS5A01G305400;TraesCS6A01G188100;TraesCS4D01G199300</t>
  </si>
  <si>
    <t>polyol biosynthetic process</t>
  </si>
  <si>
    <t>TraesCS4B01G397700;TraesCS5D01G366500;TraesCS5A01G489100;TraesCS5A01G357400</t>
  </si>
  <si>
    <t>mitochondrial membrane organization</t>
  </si>
  <si>
    <t>TraesCS1D01G264100;TraesCS1A01G264000;TraesCS1B01G274600;TraesCS3B01G423600</t>
  </si>
  <si>
    <t>regulation of root meristem growth</t>
  </si>
  <si>
    <t>TraesCS5B01G310600;TraesCS6B01G223200;TraesCS6A01G201800;TraesCS3D01G266200;TraesCS4A01G238100;TraesCS6D01G186000;TraesCS3D01G159100;TraesCS3B01G299400;TraesCS6B01G282200;TraesCS1D01G124600;TraesCS3A01G412600;TraesCS2B01G267700;TraesCS4A01G193700;TraesCS3D01G407300;TraesCS5A01G418200;TraesCS6D01G172500;TraesCS4D01G157900;TraesCS2D01G356700;TraesCS3A01G417000;TraesCS3D01G412500;TraesCS7D01G409000;TraesCS7A01G415500;TraesCS6D01G104100;TraesCS1A01G060100;TraesCS3A01G134100;TraesCS3A01G266100;TraesCS7D01G000100;TraesCS3D01G165500</t>
  </si>
  <si>
    <t>TraesCS3D01G264800;TraesCS3A01G264700;TraesCS5D01G013100;TraesCS4B01G170400;TraesCS3A01G232700;TraesCS6B01G115200;TraesCS2D01G242100;TraesCS7A01G239700;TraesCS2D01G229600;TraesCS6A01G303800;TraesCS2B01G273900;TraesCS2B01G454000;TraesCS4D01G079200;TraesCS4A01G005000;TraesCS4D01G292300;TraesCS6D01G283300;TraesCS3D01G220400;TraesCS2A01G223600;TraesCS4A01G134800</t>
  </si>
  <si>
    <t>TraesCS6B01G004400;TraesCS7B01G005700;TraesCS2A01G234200;TraesCS3D01G210300;TraesCS5A01G495100;TraesCS2B01G259100;TraesCS7A01G205200;TraesCS2A01G344600;TraesCS2B01G342200;TraesCS2D01G322900;TraesCS3A01G478100;TraesCS7A01G390400;TraesCS1B01G049300;TraesCS6B01G176600;TraesCS3B01G237200;TraesCS4B01G286700;TraesCS6D01G001700;TraesCS7D01G386100;TraesCS3A01G205100;TraesCS4B01G323000;TraesCS4D01G319400</t>
  </si>
  <si>
    <t>TraesCS4A01G262900;TraesCS2D01G300400;TraesCS5A01G251000;TraesCS5D01G258900;TraesCS2A01G521400;TraesCS5B01G249000;TraesCS4A01G120000;TraesCS4A01G164900;TraesCS2D01G362700;TraesCS6A01G290600;TraesCS5D01G429200;TraesCS7B01G124100;TraesCS3D01G273800</t>
  </si>
  <si>
    <t>photomorphogenesis</t>
  </si>
  <si>
    <t>TraesCS6D01G041700;TraesCS7B01G321700;TraesCS1D01G092200;TraesCS6B01G170600;TraesCS7A01G269900;TraesCS3D01G191100;TraesCS7D01G072100;TraesCSU01G001100;TraesCS7D01G121200;TraesCS7D01G270400;TraesCS1B01G472100;TraesCS4B01G165100;TraesCS1A01G322300;TraesCS7A01G173500;TraesCS5A01G263700;TraesCS6B01G319000;TraesCS1B01G434100;TraesCS2D01G273000;TraesCS2B01G159600;TraesCS7A01G076400;TraesCS3A01G310100;TraesCS1B01G202100;TraesCS4A01G139700;TraesCS7A01G510000;TraesCS7B01G054900;TraesCS3D01G346200;TraesCS5D01G044100;TraesCS7D01G174700;TraesCS1B01G213300;TraesCS1D01G445300;TraesCS4D01G167900;TraesCS3A01G187300;TraesCS3B01G216800;TraesCS4D01G184400;TraesCS6A01G289200;TraesCS7B01G420400;TraesCS3A01G099800;TraesCS7A01G421400;TraesCS2A01G398900;TraesCS1A01G437500;TraesCS7D01G413700;TraesCS4B01G154900;TraesCS4D01G157200;TraesCS6B01G062400;TraesCS1A01G100600;TraesCS1D01G202100;TraesCS1A01G198400;TraesCS2D01G138200;TraesCS7B01G419900;TraesCS4A01G374600;TraesCS1B01G110400</t>
  </si>
  <si>
    <t>TraesCS3D01G228800;TraesCS3D01G083400;TraesCS5A01G324200;TraesCS5B01G324800;TraesCS3A01G082700;TraesCS1D01G086600;TraesCS2D01G238600;TraesCS3A01G224800</t>
  </si>
  <si>
    <t>auxin metabolic process</t>
  </si>
  <si>
    <t>positive regulation of cellular protein metabolic process</t>
  </si>
  <si>
    <t>TraesCS4A01G262900;TraesCS7A01G246000;TraesCS2A01G123800;TraesCS2B01G145700;TraesCS5B01G146700;TraesCS2D01G126600;TraesCS5D01G144600</t>
  </si>
  <si>
    <t>circadian rhythm</t>
  </si>
  <si>
    <t>TraesCS1B01G261700;TraesCS5D01G044700;TraesCS5B01G205700;TraesCS4A01G110800;TraesCS1A01G358800;TraesCS4B01G244400;TraesCS4A01G078900;TraesCS4D01G194300;TraesCS5A01G036600;TraesCS3D01G289600;TraesCS2B01G107200;TraesCS1B01G375300;TraesCS5A01G272400;TraesCS2A01G392900;TraesCS2A01G092400;TraesCS1D01G250700;TraesCS5D01G280400;TraesCS7B01G097000;TraesCS5D01G230300;TraesCS7A01G192000;TraesCS4B01G383000;TraesCS6B01G348700;TraesCS4B01G245400;TraesCS7D01G107600;TraesCS5A01G222500;TraesCS5D01G157300;TraesCS4D01G244000;TraesCS5B01G037500;TraesCS5D01G396300;TraesCS7D01G193000</t>
  </si>
  <si>
    <t>TraesCS3D01G426300;TraesCS5B01G036800;TraesCS3A01G367000;TraesCS4A01G015800;TraesCS7D01G283600;TraesCS5A01G424400;TraesCS4B01G204500;TraesCS4D01G135000;TraesCS6A01G303800;TraesCS2B01G264100;TraesCS6A01G267300;TraesCS6D01G283300;TraesCS3A01G310200;TraesCS2D01G238600;TraesCS4B01G288200</t>
  </si>
  <si>
    <t>TraesCS1A01G281700;TraesCS6B01G257900;TraesCS6D01G212000;TraesCS1B01G290800;TraesCS1D01G280900</t>
  </si>
  <si>
    <t>TraesCS4D01G088200;TraesCS3A01G367000;TraesCS7D01G508100;TraesCS4A01G093100;TraesCS4A01G446700;TraesCS3B01G398300;TraesCS4B01G091100;TraesCS7A01G518200</t>
  </si>
  <si>
    <t>TraesCS4B01G250500;TraesCS4D01G175300;TraesCS4D01G127100;TraesCS1B01G251000;TraesCS4D01G253400;TraesCS6B01G418400;TraesCS1B01G288000;TraesCS4A01G054400;TraesCS3A01G248000;TraesCSU01G242100;TraesCS3D01G229800;TraesCS5A01G272400;TraesCS2D01G037400;TraesCS5B01G323300;TraesCS3D01G391900;TraesCS1D01G363700;TraesCS2A01G186900;TraesCS4A01G321500;TraesCS3B01G258600;TraesCS3B01G235100;TraesCS4D01G250400;TraesCS5B01G265500;TraesCS1D01G259600;TraesCS5A01G264400;TraesCS4A01G051000;TraesCS6A01G215900;TraesCS5D01G176700;TraesCS2D01G097800;TraesCS3A01G159900;TraesCS5B01G295000;TraesCS3A01G386300;TraesCS1B01G255900;TraesCS2B01G309500;TraesCS6D01G077600;TraesCS2A01G022000;TraesCS6A01G379800;TraesCS6D01G350300;TraesCS4B01G041200;TraesCS3A01G447500;TraesCS4B01G066700;TraesCS3A01G208600;TraesCS5D01G148400;TraesCS5D01G551900;TraesCS3B01G298400;TraesCS5B01G097100;TraesCS5B01G557300;TraesCS7D01G374900;TraesCS4A01G307900;TraesCS3B01G483500;TraesCS7A01G391400;TraesCS3A01G398000;TraesCS4D01G038600;TraesCS4A01G131400;TraesCS2A01G038400;TraesCS4A01G248200;TraesCS3B01G385400;TraesCS1D01G239100;TraesCS2A01G215100;TraesCS6D01G364400;TraesCS7B01G103100;TraesCS5A01G143600;TraesCS3A01G476000;TraesCS3B01G483900;TraesCS6D01G098400;TraesCS2B01G051600;TraesCS1B01G375300;TraesCS3A01G447800;TraesCS2A01G293400;TraesCS3A01G223700;TraesCS3B01G418400;TraesCS1D01G244400;TraesCS2A01G289800;TraesCS2A01G098400;TraesCS5A01G171900;TraesCS6A01G110000;TraesCS2B01G220300;TraesCS7B01G042700;TraesCS5A01G155600;TraesCS1A01G238900;TraesCS7D01G386900;TraesCS3B01G276700;TraesCS1A01G358800;TraesCS2D01G022800;TraesCS2D01G201000;TraesCS3B01G430000;TraesCS5D01G303100;TraesCS5B01G393900;TraesCS5B01G294900;TraesCS5A01G322700;TraesCS7D01G123400;TraesCS3D01G181400;TraesCS2A01G039400;TraesCS6D01G199600;TraesCS2B01G240100;TraesCS5D01G280400;TraesCS4B01G383000;TraesCS4D01G065600;TraesCS4B01G220500;TraesCS2D01G549100;TraesCS5D01G329600;TraesCS1A01G259800</t>
  </si>
  <si>
    <t>TraesCS1D01G433300;TraesCS2A01G261000;TraesCS2D01G399800;TraesCS5A01G104800;TraesCS4D01G175600;TraesCS5A01G020800;TraesCS2A01G233300;TraesCS3A01G389100;TraesCS4A01G110800;TraesCS2D01G262900;TraesCS1D01G226500;TraesCS4D01G194300;TraesCS5B01G171400;TraesCS1A01G095200;TraesCS2B01G250000;TraesCS1D01G316200;TraesCS5A01G059900;TraesCS5B01G339200;TraesCS2A01G226000;TraesCS4A01G334700;TraesCS2D01G232300;TraesCS5A01G472100;TraesCS1D01G211600;TraesCS2B01G375700</t>
  </si>
  <si>
    <t>regulation of cellular component organization</t>
  </si>
  <si>
    <t>TraesCS2D01G133500;TraesCS6B01G259800;TraesCS1A01G180200;TraesCS7D01G000100;TraesCS6D01G213800;TraesCS1D01G178400;TraesCS6A01G221400;TraesCS1D01G454500;TraesCS1A01G445800;TraesCS1B01G200300</t>
  </si>
  <si>
    <t>GTPase regulator activity</t>
  </si>
  <si>
    <t>TraesCS2D01G362700;TraesCS7A01G250500;TraesCS5D01G551200;TraesCS5D01G429200;TraesCS3D01G273800;TraesCS7D01G000100;TraesCS2A01G387000;TraesCS7B01G176200;TraesCS4A01G315700;TraesCS4A01G120000;TraesCS5B01G563800</t>
  </si>
  <si>
    <t>seedling development</t>
  </si>
  <si>
    <t>TraesCS6B01G393600;TraesCS6D01G344200;TraesCS6A01G018600;TraesCS6B01G026900</t>
  </si>
  <si>
    <t>L-aspartate:2-oxoglutarate aminotransferase activity</t>
  </si>
  <si>
    <t>TraesCS6A01G203300;TraesCS5A01G157000;TraesCS5D01G162400;TraesCS5B01G155200</t>
  </si>
  <si>
    <t>blue light photoreceptor activity</t>
  </si>
  <si>
    <t>TraesCS2A01G132200;TraesCS2A01G239200;TraesCS2B01G257300;TraesCS2B01G154700</t>
  </si>
  <si>
    <t>regulation of carbohydrate metabolic process</t>
  </si>
  <si>
    <t>positive regulation of microtubule nucleation</t>
  </si>
  <si>
    <t>regulation of microtubule nucleation</t>
  </si>
  <si>
    <t>negative regulation of transport</t>
  </si>
  <si>
    <t>chloroplast accumulation movement</t>
  </si>
  <si>
    <t>TraesCS6D01G244900;TraesCS3B01G014900;TraesCS5A01G429300</t>
  </si>
  <si>
    <t>photosystem I assembly</t>
  </si>
  <si>
    <t>modulation by virus of host morphology or physiology</t>
  </si>
  <si>
    <t>TraesCS7B01G240200;TraesCS3A01G075700;TraesCS7A01G342800</t>
  </si>
  <si>
    <t>protein import into chloroplast thylakoid membrane</t>
  </si>
  <si>
    <t>TraesCS2A01G226000;TraesCS3B01G252200;TraesCS6D01G348000;TraesCS6A01G117300;TraesCS6D01G106900;TraesCS5B01G397300;TraesCS2B01G348600;TraesCS6A01G364300;TraesCS6B01G399000</t>
  </si>
  <si>
    <t>TraesCS2B01G528300;TraesCS2A01G286500;TraesCS2A01G500400;TraesCS2B01G303300;TraesCS2D01G500600;TraesCS3D01G237100;TraesCS4D01G240700;TraesCS6D01G065600</t>
  </si>
  <si>
    <t>TraesCS2B01G174600;TraesCS3A01G200400;TraesCS3D01G114000;TraesCS2A01G095300;TraesCS5D01G366500;TraesCS3D01G203400;TraesCS2D01G093700;TraesCS2A01G149500;TraesCS5A01G357400;TraesCS1A01G076000</t>
  </si>
  <si>
    <t>nucleus organization</t>
  </si>
  <si>
    <t>TraesCS4A01G110800;TraesCS1D01G226500;TraesCS4D01G194300;TraesCS2A01G022000;TraesCS2D01G022800;TraesCS3D01G323700;TraesCS3D01G411200;TraesCS2D01G362700;TraesCS3A01G330200;TraesCS3A01G334800;TraesCS6D01G350000;TraesCS1B01G377800;TraesCS6B01G402300;TraesCS3A01G393400;TraesCS2A01G239200;TraesCS1A01G137000;TraesCS1A01G152800;TraesCS1D01G316200;TraesCS2D01G528800;TraesCS6D01G244900;TraesCS2D01G229600;TraesCS1A01G144300;TraesCS3A01G205900;TraesCS4D01G085900;TraesCS3D01G328100;TraesCS4B01G088400;TraesCS3D01G482500;TraesCS4A01G227500</t>
  </si>
  <si>
    <t>nucleic acid phosphodiester bond hydrolysis</t>
  </si>
  <si>
    <t>TraesCS4B01G193400;TraesCS5B01G310600;TraesCS4D01G175600;TraesCS6B01G223200;TraesCS6A01G201800;TraesCS3D01G266200;TraesCS4A01G238100;TraesCS6D01G186000;TraesCS3D01G159100;TraesCS3B01G299400;TraesCS6B01G282200;TraesCS1D01G124600;TraesCS3A01G412600;TraesCS2B01G267700;TraesCS4A01G193700;TraesCS3D01G407300;TraesCS5A01G418200;TraesCS6D01G172500;TraesCS4D01G157900;TraesCS2D01G356700;TraesCS3A01G417000;TraesCS3D01G412500;TraesCS7D01G409000;TraesCS7A01G415500;TraesCS6D01G104100;TraesCS1A01G060100;TraesCS3A01G134100;TraesCS3A01G266100;TraesCS7D01G000100;TraesCS3D01G165500</t>
  </si>
  <si>
    <t>TraesCS6A01G203300;TraesCS5A01G157000;TraesCS5D01G162400;TraesCS7D01G000100;TraesCS5B01G155200</t>
  </si>
  <si>
    <t>cellular response to blue light</t>
  </si>
  <si>
    <t>TraesCS3B01G430000;TraesCS3A01G398000;TraesCS3D01G391900;TraesCS4D01G065600;TraesCS4A01G248200</t>
  </si>
  <si>
    <t>TraesCS2A01G123800;TraesCS2B01G145700;TraesCS5B01G146700;TraesCS2D01G126600;TraesCS5D01G144600</t>
  </si>
  <si>
    <t>starch catabolic process</t>
  </si>
  <si>
    <t>TraesCS1D01G433300;TraesCS5B01G201700;TraesCS1B01G422200;TraesCS2B01G150400;TraesCS4B01G193400;TraesCS5A01G489100;TraesCS5B01G171400;TraesCS5B01G339200;TraesCS1D01G401900;TraesCSU01G132400;TraesCS5D01G459800;TraesCS3A01G097200;TraesCS5A01G472100;TraesCS2A01G128300</t>
  </si>
  <si>
    <t>cell morphogenesis involved in differentiation</t>
  </si>
  <si>
    <t>TraesCS7A01G341000;TraesCS7B01G242200;TraesCS1D01G013100;TraesCS2B01G070700;TraesCS6B01G218700;TraesCS1D01G030500;TraesCS2D01G380900;TraesCS5A01G115000;TraesCS2D01G057900;TraesCS7D01G338600;TraesCS2A01G058700</t>
  </si>
  <si>
    <t>TraesCS2B01G401900;TraesCS7B01G352800;TraesCS5D01G341200;TraesCS5B01G335500;TraesCS7A01G323200;TraesCS3A01G099300;TraesCS3A01G097200;TraesCS5A01G336500;TraesCS7D01G442100;TraesCS1B01G049300;TraesCS7A01G452800</t>
  </si>
  <si>
    <t>double-strand break repair via homologous recombination</t>
  </si>
  <si>
    <t>TraesCS3D01G264800;TraesCS3A01G264700;TraesCS5D01G013100;TraesCS4A01G364400;TraesCS2A01G286500;TraesCS4A01G276300;TraesCS1B01G290800;TraesCS1D01G280900;TraesCS2D01G242100;TraesCS4B01G204500;TraesCS1D01G149900;TraesCS6B01G257900;TraesCS5B01G509100;TraesCS2B01G303300;TraesCS6D01G212000;TraesCS6D01G283300;TraesCS4A01G124000;TraesCS4A01G013500;TraesCS1A01G281700;TraesCS2D01G229600;TraesCS6A01G303800;TraesCS2B01G273900;TraesCS4A01G005000;TraesCS2A01G223600;TraesCS5A01G004200</t>
  </si>
  <si>
    <t>TraesCS6D01G122800;TraesCS4B01G226100;TraesCS1D01G094400;TraesCS5B01G155100;TraesCS1D01G168700;TraesCS5B01G132600;TraesCS1B01G186300;TraesCS1D01G423500;TraesCS1A01G171000;TraesCS6A01G133100;TraesCS6B01G336300;TraesCS5A01G132300;TraesCS1A01G416000;TraesCS2B01G267100;TraesCS6A01G307700;TraesCS2B01G415600</t>
  </si>
  <si>
    <t>abscisic acid metabolic process</t>
  </si>
  <si>
    <t>tertiary alcohol metabolic process</t>
  </si>
  <si>
    <t>apocarotenoid metabolic process</t>
  </si>
  <si>
    <t>TraesCS1A01G180200;TraesCS3D01G091000;TraesCS4B01G276500;TraesCS2D01G208300;TraesCS1B01G049300;TraesCS2B01G592500;TraesCS2D01G362700;TraesCS4B01G109700;TraesCS5D01G429200;TraesCS3A01G295400;TraesCS2B01G227800;TraesCS1B01G200300;TraesCS2A01G200500;TraesCS3A01G091100</t>
  </si>
  <si>
    <t>interspecies interaction between organisms</t>
  </si>
  <si>
    <t>TraesCS7D01G298100;TraesCS6A01G360600;TraesCS2D01G179600;TraesCS7D01G292000;TraesCS1B01G049300;TraesCS3D01G273800;TraesCS5D01G303200;TraesCS5A01G114000;TraesCS4A01G289400;TraesCS2D01G014800;TraesCS6B01G159200;TraesCS5D01G171100;TraesCS4D01G147100;TraesCS3A01G360000;TraesCS3D01G173500;TraesCS1A01G324800;TraesCS5A01G467500;TraesCS4A01G298800;TraesCS2D01G417300;TraesCS4B01G321500;TraesCS6B01G124800;TraesCS5A01G166800;TraesCS1D01G280300;TraesCS5A01G344100;TraesCS7A01G323200;TraesCS5A01G491500;TraesCS5A01G549700;TraesCS7D01G549100;TraesCS2B01G209200;TraesCS3B01G198800;TraesCS2A01G563500;TraesCS1B01G255100;TraesCS6D01G087400;TraesCS1A01G157500;TraesCS6B01G112700;TraesCS6A01G379000;TraesCS1A01G027200;TraesCS2D01G565200;TraesCS5A01G149000;TraesCS5A01G336500;TraesCS2A01G193800;TraesCS3D01G296900;TraesCSU01G019200;TraesCS5B01G112100;TraesCS3A01G513500;TraesCS2B01G257300;TraesCS2B01G070700;TraesCS1D01G412600;TraesCS4A01G298100;TraesCS7D01G339300;TraesCS6D01G357600;TraesCS3B01G298400;TraesCS5B01G139800;TraesCS6B01G190300;TraesCS4B01G109700;TraesCS2B01G021100;TraesCS2D01G093700;TraesCS2A01G239000;TraesCS4A01G355100;TraesCS1B01G462200;TraesCS7B01G352800;TraesCS6A01G113000;TraesCS1D01G409700;TraesCS5D01G472300;TraesCS5B01G562200;TraesCS5D01G143800;TraesCS5B01G171400;TraesCS7D01G283600;TraesCS2B01G382000;TraesCS2B01G365100;TraesCS3B01G423600;TraesCS3D01G065800;TraesCS2D01G362700;TraesCS4B01G320500;TraesCS1B01G274600;TraesCS2D01G496200;TraesCS5D01G332000;TraesCS5D01G118200;TraesCS4A01G138800;TraesCS1D01G325500;TraesCS5D01G068800;TraesCS1A01G246800;TraesCS1B01G270800;TraesCS4B01G069200;TraesCS4D01G223400;TraesCS3A01G224000;TraesCS3A01G167400;TraesCS6B01G393500;TraesCS5B01G387600;TraesCS7A01G252000;TraesCS7A01G246000;TraesCS2A01G095300;TraesCS3B01G253500;TraesCS5D01G044700;TraesCS3B01G251200;TraesCS4A01G110800;TraesCS3D01G327600;TraesCS2D01G246100;TraesCS2D01G009100;TraesCS3A01G200400;TraesCS6A01G268900;TraesCS1A01G195500;TraesCS6D01G132500;TraesCS1A01G313300;TraesCS6D01G344100;TraesCS5A01G490500;TraesCS5B01G214400;TraesCS7B01G242800;TraesCS2B01G154700;TraesCS5B01G036800;TraesCS2A01G132200;TraesCS2B01G312600;TraesCS4B01G041900;TraesCS4B01G276500;TraesCS2D01G208300;TraesCS7D01G505300;TraesCS2D01G438800;TraesCS1D01G298400;TraesCS1A01G431600;TraesCS1A01G133500;TraesCS5B01G094300;TraesCS6B01G342300;TraesCS3A01G082700;TraesCS3A01G295400;TraesCS6B01G124700;TraesCS1A01G299500;TraesCS5B01G517400;TraesCS5A01G457600;TraesCS1D01G264100;TraesCS3D01G426300;TraesCS1D01G155100;TraesCS3A01G212600;TraesCS3D01G231200;TraesCS4D01G022600;TraesCS7D01G449900;TraesCS4B01G015600;TraesCS4B01G114800;TraesCS1D01G226500;TraesCS7B01G363100;TraesCS6A01G373400;TraesCS7A01G260600;TraesCSU01G072700;TraesCS7A01G461700;TraesCS2D01G253100;TraesCS2A01G058700;TraesCS5A01G215900;TraesCS1D01G265200;TraesCS6A01G143300;TraesCS5A01G192000;TraesCS5A01G119300;TraesCS6A01G130900;TraesCS4A01G052600;TraesCS6B01G253900;TraesCS4D01G013900;TraesCS5B01G378700;TraesCS1D01G316200;TraesCS2A01G280500;TraesCS2B01G004000;TraesCS2D01G361800;TraesCS7D01G300000;TraesCS2A01G149600;TraesCS2A01G200500;TraesCS3A01G151100;TraesCS2B01G401900;TraesCS2B01G340300;TraesCS7D01G250100;TraesCS1A01G264000;TraesCS1A01G180200;TraesCS5B01G335500;TraesCS7A01G307000;TraesCS1D01G331000;TraesCS6A01G312100;TraesCS5B01G396700;TraesCS4B01G204500;TraesCS4A01G157100;TraesCS2D01G232300;TraesCS2B01G227800;TraesCS3A01G112300;TraesCS4A01G283000;TraesCS1D01G178000;TraesCS7D01G349600;TraesCS6D01G149800;TraesCS3B01G252200;TraesCS5A01G104800;TraesCS1D01G219200;TraesCS3B01G088300;TraesCS5A01G123700;TraesCS2A01G233300;TraesCS4D01G116000;TraesCS2B01G297800;TraesCS7A01G560200;TraesCS7B01G230100;TraesCS1A01G198400;TraesCS3D01G203400;TraesCS5D01G459800;TraesCS5A01G115400;TraesCS7A01G514900;TraesCS2B01G247100;TraesCS2A01G149500;TraesCS7D01G403900;TraesCS1B01G200300;TraesCS1D01G211600;TraesCS5D01G094000;TraesCS2D01G105300;TraesCS2B01G174600;TraesCS6D01G087500;TraesCS1D01G440900;TraesCS3A01G126400;TraesCS3A01G367000;TraesCS2A01G114400;TraesCS4D01G194300;TraesCS2B01G250000;TraesCS2B01G363200;TraesCS2B01G592500;TraesCS1D01G124400;TraesCS3D01G162700;TraesCS2A01G387000;TraesCS3A01G097200;TraesCS2D01G194000;TraesCS5B01G344200;TraesCS2B01G133500;TraesCS4D01G318200;TraesCS4A01G262900;TraesCS5B01G162300;TraesCS5D01G551200;TraesCS1D01G030500;TraesCS3A01G530000;TraesCS1D01G404400;TraesCS2A01G342600;TraesCS4B01G115800;TraesCS7A01G381900;TraesCS3A01G251200;TraesCS4A01G315700;TraesCS7D01G442100;TraesCS5B01G563800;TraesCS6B01G067600;TraesCS7B01G310100;TraesCS2D01G059400;TraesCS3D01G083400;TraesCS2D01G279300;TraesCS4B01G025500;TraesCS6A01G267300;TraesCS6A01G259000;TraesCS2B01G098800;TraesCS3A01G304900;TraesCS5B01G037500;TraesCS2D01G057900;TraesCS2A01G296400;TraesCS5B01G295200;TraesCS2B01G174700;TraesCS5B01G115000;TraesCS7B01G184800;TraesCS1D01G260200;TraesCS3D01G304800;TraesCSU01G036900;TraesCS5A01G036600;TraesCS1B01G213300;TraesCS7D01G378400;TraesCS5A01G057500;TraesCS2B01G122500;TraesCS7D01G447100;TraesCS5B01G510500;TraesCS1B01G293500;TraesCS5D01G223700;TraesCS6B01G151900;TraesCS1D01G199100;TraesCS5B01G147600;TraesCS3D01G514100;TraesCS1B01G337800;TraesCS2A01G239200;TraesCS5D01G341200;TraesCS5A01G020800;TraesCS7A01G329600;TraesCS1A01G284300;TraesCS6B01G171600;TraesCS1B01G434400;TraesCS4B01G073200;TraesCS6A01G319100;TraesCS7A01G452800;TraesCS5A01G460600;TraesCS1A01G309200;TraesCS2A01G252400;TraesCS6A01G161200;TraesCS6B01G189000;TraesCS4A01G093100;TraesCS7B01G207300;TraesCS2A01G403100</t>
  </si>
  <si>
    <t>TraesCS5D01G219500;TraesCS7A01G466600;TraesCS6D01G121300;TraesCS7B01G124100;TraesCS2B01G248100;TraesCS3B01G185300;TraesCS5A01G212500;TraesCS6B01G159800;TraesCS2A01G222600;TraesCS4A01G164900;TraesCS7D01G454200</t>
  </si>
  <si>
    <t>TraesCS1D01G401900;TraesCS5B01G201700;TraesCS1B01G422200;TraesCS2B01G150400;TraesCS4B01G193400;TraesCSU01G132400;TraesCS5A01G489100;TraesCS5D01G459800;TraesCS2A01G521400;TraesCS2A01G128300;TraesCS5B01G339200</t>
  </si>
  <si>
    <t>developmental cell growth</t>
  </si>
  <si>
    <t>TraesCS3B01G441000;TraesCS3D01G426300;TraesCS5B01G036800;TraesCS5D01G420300;TraesCS3A01G367000;TraesCS5B01G415100;TraesCS7D01G283600;TraesCS4B01G180100;TraesCS3D01G289600;TraesCS4B01G204500;TraesCS4D01G135000;TraesCS5A01G411500;TraesCS6A01G303800;TraesCS3B01G324500;TraesCS6A01G267300;TraesCS2D01G205900;TraesCS6D01G283300;TraesCS2D01G238600;TraesCS7D01G349600</t>
  </si>
  <si>
    <t>TraesCS2B01G401900;TraesCS7B01G352800;TraesCS5D01G341200;TraesCS5B01G335500;TraesCS5D01G141200;TraesCS1D01G226500;TraesCS1B01G343100;TraesCS5A01G336500;TraesCS7D01G442100;TraesCS1D01G316200;TraesCS1B01G049300;TraesCS7A01G452800;TraesCS7A01G323200;TraesCS3A01G099300;TraesCS3A01G097200</t>
  </si>
  <si>
    <t>double-strand break repair</t>
  </si>
  <si>
    <t>L-phenylalanine:2-oxoglutarate aminotransferase activity</t>
  </si>
  <si>
    <t>L-phenylalanine aminotransferase activity</t>
  </si>
  <si>
    <t>TraesCS2A01G132200;TraesCS3A01G191700;TraesCS3B01G219700;TraesCS2B01G154700</t>
  </si>
  <si>
    <t>regulation of tetrapyrrole metabolic process</t>
  </si>
  <si>
    <t>TraesCS5B01G310600;TraesCS6B01G223200;TraesCS6A01G201800;TraesCS3D01G266200;TraesCS4A01G238100;TraesCS6D01G186000;TraesCS3D01G159100;TraesCS3B01G299400;TraesCS6B01G282200;TraesCS1D01G124600;TraesCS2B01G179800;TraesCS3A01G412600;TraesCS2B01G267700;TraesCS4A01G193700;TraesCS3D01G407300;TraesCS5A01G418200;TraesCS6D01G172500;TraesCS4D01G157900;TraesCS2D01G356700;TraesCS3A01G417000;TraesCS3D01G412500;TraesCS7D01G409000;TraesCS7A01G415500;TraesCS6D01G104100;TraesCS1A01G060100;TraesCS3A01G134100;TraesCS3A01G266100;TraesCS7D01G000100;TraesCS3D01G165500</t>
  </si>
  <si>
    <t>TraesCS5A01G395200;TraesCS5A01G107800;TraesCS5B01G111700;TraesCS3A01G366400;TraesCS3B01G398000</t>
  </si>
  <si>
    <t>TraesCS2D01G399800;TraesCS7A01G260100;TraesCS1A01G095200;TraesCS2B01G375700;TraesCS5A01G059900</t>
  </si>
  <si>
    <t>TraesCS1D01G149900;TraesCS2B01G279400;TraesCS2A01G286500;TraesCS2A01G262700;TraesCS3D01G341200;TraesCS2B01G303300;TraesCS5B01G084600;TraesCS6D01G091100;TraesCS1D01G390500;TraesCS2A01G041400;TraesCS2D01G261300;TraesCS6A01G102500</t>
  </si>
  <si>
    <t>TraesCS7B01G240200;TraesCS7A01G342800</t>
  </si>
  <si>
    <t>proton motive force dependent protein transmembrane transporter activity</t>
  </si>
  <si>
    <t>TraesCS6D01G299200;TraesCS6A01G319700</t>
  </si>
  <si>
    <t>photosystem I antenna complex</t>
  </si>
  <si>
    <t>TraesCS6A01G146500;TraesCS6D01G135800</t>
  </si>
  <si>
    <t>pentose-phosphate shunt, oxidative branch</t>
  </si>
  <si>
    <t>TraesCS6D01G122800;TraesCS6A01G133100</t>
  </si>
  <si>
    <t>2-alkenal reductase (NADP+) activity</t>
  </si>
  <si>
    <t>enone reductase activity</t>
  </si>
  <si>
    <t>cellular defense response</t>
  </si>
  <si>
    <t>TraesCS3A01G367000;TraesCS3B01G398300</t>
  </si>
  <si>
    <t>sedoheptulose-bisphosphatase activity</t>
  </si>
  <si>
    <t>TraesCS3A01G232700;TraesCS3D01G220400</t>
  </si>
  <si>
    <t>pyruvate transmembrane transporter activity</t>
  </si>
  <si>
    <t>plasma membrane pyruvate transport</t>
  </si>
  <si>
    <t>TraesCS2D01G238700;TraesCS5B01G256400</t>
  </si>
  <si>
    <t>chloroplast photosystem I</t>
  </si>
  <si>
    <t>TraesCS2D01G327400;TraesCS2B01G346500</t>
  </si>
  <si>
    <t>Group I intron splicing</t>
  </si>
  <si>
    <t>RNA splicing, via transesterification reactions with guanosine as nucleophile</t>
  </si>
  <si>
    <t>medium-chain-(S)-2-hydroxy-acid oxidase activity</t>
  </si>
  <si>
    <t>long-chain-(S)-2-hydroxy-long-chain-acid oxidase activity</t>
  </si>
  <si>
    <t>very-long-chain-(S)-2-hydroxy-acid oxidase activity</t>
  </si>
  <si>
    <t>sieve plate</t>
  </si>
  <si>
    <t>sieve element differentiation</t>
  </si>
  <si>
    <t>choline transport</t>
  </si>
  <si>
    <t>choline transmembrane transporter activity</t>
  </si>
  <si>
    <t>TraesCS2A01G404700;TraesCS2D01G401600</t>
  </si>
  <si>
    <t>hedgehog receptor activity</t>
  </si>
  <si>
    <t>negative regulation of isopentenyl diphosphate biosynthetic process, methylerythritol 4-phosphate pathway</t>
  </si>
  <si>
    <t>negative regulation of phospholipid biosynthetic process</t>
  </si>
  <si>
    <t>negative regulation of phospholipid metabolic process</t>
  </si>
  <si>
    <t>negative regulation of cellular carbohydrate metabolic process</t>
  </si>
  <si>
    <t>negative regulation of carbohydrate metabolic process</t>
  </si>
  <si>
    <t>TraesCS2A01G193800;TraesCS2D01G194000</t>
  </si>
  <si>
    <t>photoinhibition</t>
  </si>
  <si>
    <t>negative regulation of photosynthesis, light reaction</t>
  </si>
  <si>
    <t>regulation of starch biosynthetic process</t>
  </si>
  <si>
    <t>regulation of starch metabolic process</t>
  </si>
  <si>
    <t>TraesCS3D01G304800;TraesCS1B01G462200</t>
  </si>
  <si>
    <t>plastid-encoded plastid RNA polymerase complex</t>
  </si>
  <si>
    <t>TraesCS2D01G236100;TraesCS6D01G122800;TraesCS3A01G405300;TraesCS5D01G312400;TraesCS6A01G200600;TraesCS4A01G105500;TraesCS6A01G188100;TraesCS4D01G199300;TraesCS5A01G324200;TraesCS5B01G324800;TraesCS6A01G133100;TraesCS4A01G059500;TraesCS2A01G330200;TraesCS5A01G305400;TraesCS2B01G352000</t>
  </si>
  <si>
    <t>polyol metabolic process</t>
  </si>
  <si>
    <t>TraesCS3A01G151100;TraesCS3D01G426300;TraesCS5D01G420300;TraesCS5B01G415100;TraesCS5B01G155100;TraesCS7D01G283600;TraesCS6A01G209800;TraesCS4A01G165600;TraesCS1A01G195500;TraesCS3B01G046100;TraesCS6A01G290600;TraesCS2A01G193800;TraesCS1A01G206900;TraesCS3D01G041900;TraesCS1D01G231000;TraesCS5D01G026000;TraesCS6B01G238600;TraesCS7A01G314100;TraesCS1A01G036200;TraesCS1D01G199100;TraesCS4D01G159800;TraesCS1D01G210200;TraesCS2D01G194000;TraesCS1A01G231100;TraesCS2D01G238600;TraesCS1B01G220700;TraesCS5B01G036800;TraesCS6D01G122800;TraesCS3D01G341200;TraesCS4B01G150600;TraesCS4D01G157500;TraesCS5D01G108700;TraesCS2B01G297800;TraesCS5A01G411500;TraesCS1D01G198700;TraesCS3D01G083400;TraesCS2A01G280500;TraesCS6A01G133100;TraesCS2D01G279300;TraesCS3A01G082700;TraesCS5D01G459800;TraesCS3A01G191700;TraesCS5A01G096100;TraesCS7B01G113100;TraesCS3A01G484800;TraesCS5B01G102000</t>
  </si>
  <si>
    <t>TraesCS3B01G418400;TraesCS1B01G375300;TraesCS1A01G358800;TraesCS3A01G386300;TraesCS6A01G215900;TraesCS1D01G363700;TraesCS4B01G220500</t>
  </si>
  <si>
    <t>TraesCS4B01G252400;TraesCS3A01G023800;TraesCS4A01G494400;TraesCS5A01G357400;TraesCS2A01G246200;TraesCS1A01G111100;TraesCS5B01G136500;TraesCS1D01G058300;TraesCS2D01G248600;TraesCS4A01G051900;TraesCS3A01G275700;TraesCS3D01G275600;TraesCS7D01G265200;TraesCS6D01G210000;TraesCS2B01G263300;TraesCS6A01G225200;TraesCS5D01G366500;TraesCS7A01G004000;TraesCS2A01G262700;TraesCS3B01G309400;TraesCS6A01G336800;TraesCS7B01G162300;TraesCS7D01G004500;TraesCS4D01G252700;TraesCS7A01G264300;TraesCS4A01G254100;TraesCS6B01G256400;TraesCS2B01G304900;TraesCS2D01G249200;TraesCS5B01G102600;TraesCS4A01G078800</t>
  </si>
  <si>
    <t>catalytic activity, acting on a tRNA</t>
  </si>
  <si>
    <t>unidimensional cell growth</t>
  </si>
  <si>
    <t>TraesCS3B01G161900;TraesCS2D01G349600;TraesCS7B01G006600;TraesCS3A01G367000;TraesCS3A01G232700;TraesCS3D01G220400;TraesCS7B01G197000;TraesCS2B01G248100;TraesCS2A01G222600;TraesCS2B01G369600;TraesCS4B01G204500</t>
  </si>
  <si>
    <t>glucosinolate biosynthetic process</t>
  </si>
  <si>
    <t>glycosinolate biosynthetic process</t>
  </si>
  <si>
    <t>S-glycoside biosynthetic process</t>
  </si>
  <si>
    <t>TraesCS3A01G513500;TraesCS1A01G158500;TraesCS1D01G155800;TraesCS1D01G331000;TraesCS1B01G290800;TraesCS2D01G520000;TraesCS1D01G280900;TraesCS5A01G092400;TraesCS4A01G164900;TraesCS5A01G467500;TraesCS1B01G478800;TraesCS1A01G281700;TraesCS5B01G509100;TraesCS7B01G124100;TraesCS2B01G004000;TraesCS3D01G237100;TraesCS2B01G207000;TraesCS2D01G014800;TraesCS5A01G089900</t>
  </si>
  <si>
    <t>pyrimidine nucleotide metabolic process</t>
  </si>
  <si>
    <t>TraesCS4B01G355100;TraesCS5D01G258900;TraesCS5A01G489100;TraesCS7A01G143900;TraesCS5B01G249000;TraesCS4A01G129200;TraesCS4D01G234800;TraesCS1D01G113900;TraesCS1D01G401900;TraesCS1A01G361400;TraesCS4B01G397700;TraesCS4A01G077600;TraesCS3A01G192400;TraesCS5A01G114600;TraesCS5B01G239200;TraesCS6B01G039900;TraesCS3A01G412600;TraesCS5A01G106900;TraesCS3D01G407300;TraesCS1B01G422200;TraesCS5A01G251000;TraesCS5D01G148400;TraesCS3A01G530000;TraesCS4B01G152900;TraesCS3A01G417000;TraesCS7A01G327600;TraesCS3D01G412500;TraesCS4B01G373400;TraesCS4D01G309500;TraesCS7D01G409000;TraesCS2B01G385300;TraesCS7D01G339600;TraesCS4D01G348600;TraesCS6B01G192500;TraesCS6A01G158800;TraesCS1B01G378000;TraesCS5A01G264400;TraesCS6A01G158300;TraesCS2D01G233900;TraesCS3B01G221400;TraesCS6D01G215100;TraesCS3B01G221200;TraesCS1A01G102300;TraesCS5A01G524400;TraesCS1B01G447500;TraesCS5D01G247600</t>
  </si>
  <si>
    <t>TraesCS4D01G135000;TraesCS3D01G426300;TraesCS6A01G303800;TraesCS5B01G036800;TraesCS6A01G267300;TraesCS3A01G367000;TraesCS6D01G283300;TraesCS7D01G283600;TraesCS2D01G238600;TraesCS4B01G204500;TraesCS7D01G349600</t>
  </si>
  <si>
    <t>TraesCS3D01G426300;TraesCS5B01G036800;TraesCS5D01G366500;TraesCS3A01G367000;TraesCS5A01G357400;TraesCS7D01G283600;TraesCS4B01G204500;TraesCS4D01G135000;TraesCS6A01G303800;TraesCS6A01G267300;TraesCS6D01G283300;TraesCS3A01G310200;TraesCS2D01G238600</t>
  </si>
  <si>
    <t>TraesCS5A01G229500;TraesCS6B01G315800;TraesCS5B01G228300</t>
  </si>
  <si>
    <t>TraesCS3D01G210300;TraesCS3A01G205100;TraesCS6B01G176600</t>
  </si>
  <si>
    <t>glyoxylate reductase (NADP) activity</t>
  </si>
  <si>
    <t>maltose catabolic process</t>
  </si>
  <si>
    <t>blue light signaling pathway</t>
  </si>
  <si>
    <t>intracellular receptor signaling pathway</t>
  </si>
  <si>
    <t>TraesCS4A01G111000;TraesCS1A01G110900;TraesCS4A01G093100;TraesCS4D01G212000;TraesCS3B01G410400</t>
  </si>
  <si>
    <t>fructose metabolic process</t>
  </si>
  <si>
    <t>TraesCS3D01G228900;TraesCS1B01G304500;TraesCS1B01G368500;TraesCS1B01G253500;TraesCS1D01G356900;TraesCS4B01G091100;TraesCS1D01G241800</t>
  </si>
  <si>
    <t>galactolipid biosynthetic process</t>
  </si>
  <si>
    <t>galactolipid metabolic process</t>
  </si>
  <si>
    <t>abscisic acid biosynthetic process</t>
  </si>
  <si>
    <t>tertiary alcohol biosynthetic process</t>
  </si>
  <si>
    <t>apocarotenoid biosynthetic process</t>
  </si>
  <si>
    <t>TraesCS5D01G056900;TraesCS7D01G332300;TraesCS3D01G341200;TraesCS7B01G103100;TraesCS2D01G356700;TraesCS3A01G417000;TraesCS5A01G046600;TraesCS3D01G412500;TraesCS7D01G409000;TraesCS7A01G415500</t>
  </si>
  <si>
    <t>TraesCS2D01G236100;TraesCS6D01G122800;TraesCS3A01G405300;TraesCS5D01G312400;TraesCS6A01G133100;TraesCS4A01G059500;TraesCS4A01G105500;TraesCS5A01G305400;TraesCS6A01G188100;TraesCS4D01G199300</t>
  </si>
  <si>
    <t>TraesCS3D01G495100;TraesCS4A01G110800;TraesCS4D01G194300;TraesCS2D01G246100;TraesCS2A01G022000;TraesCS2D01G022800;TraesCS3A01G334800;TraesCS5A01G324200;TraesCS2B01G428100;TraesCS1D01G086600;TraesCS2D01G238600;TraesCS1B01G377800;TraesCS2A01G409700;TraesCS5A01G192000;TraesCS2A01G239200;TraesCS2B01G257300;TraesCS6B01G161800;TraesCS2D01G407000;TraesCS4B01G131800;TraesCS4B01G354600;TraesCS4B01G069200;TraesCS3D01G228800;TraesCS3D01G083400;TraesCS5B01G324800;TraesCS6D01G163700;TraesCS3A01G082700;TraesCS3D01G328100;TraesCS5B01G387600;TraesCS3A01G224800;TraesCS4A01G355100;TraesCS5B01G517400</t>
  </si>
  <si>
    <t>heterocycle catabolic process</t>
  </si>
  <si>
    <t>cellular nitrogen compound catabolic process</t>
  </si>
  <si>
    <t>TraesCS1A01G254400;TraesCS2B01G528300;TraesCS7B01G186500;TraesCS7D01G292000;TraesCS3A01G310200;TraesCS1D01G086600;TraesCS7A01G294200;TraesCS7D01G339600;TraesCS4A01G247300</t>
  </si>
  <si>
    <t>water transport</t>
  </si>
  <si>
    <t>fluid transport</t>
  </si>
  <si>
    <t>TraesCS3A01G151100;TraesCS2B01G528300;TraesCS4B01G193400;TraesCS7D01G227300;TraesCS5B01G155200;TraesCS3A01G212000;TraesCS7D01G280600;TraesCS4D01G135000;TraesCS5A01G157000;TraesCS5D01G162400;TraesCS2A01G193800;TraesCS4A01G226900;TraesCS2D01G194000</t>
  </si>
  <si>
    <t>TraesCS3D01G264800;TraesCS3A01G264700;TraesCS5D01G013100;TraesCS4A01G364400;TraesCS2A01G286500;TraesCS4A01G276300;TraesCS1B01G290800;TraesCS1D01G280900;TraesCS2D01G242100;TraesCS4B01G204500;TraesCS1D01G149900;TraesCS6B01G257900;TraesCS5B01G509100;TraesCS2B01G303300;TraesCS6D01G212000;TraesCS6D01G283300;TraesCS4A01G124000;TraesCS4A01G013500;TraesCS2D01G520000;TraesCS1A01G281700;TraesCS2D01G229600;TraesCS6A01G303800;TraesCS2B01G273900;TraesCS4A01G005000;TraesCS2A01G223600;TraesCS5A01G004200</t>
  </si>
  <si>
    <t>TraesCS5A01G132300;TraesCS5D01G067600;TraesCS5B01G132600;TraesCS5A01G056400</t>
  </si>
  <si>
    <t>L-ascorbic acid biosynthetic process</t>
  </si>
  <si>
    <t>L-ascorbic acid metabolic process</t>
  </si>
  <si>
    <t>TraesCS6B01G257900;TraesCS6D01G212000;TraesCS4A01G013500;TraesCS4A01G276300</t>
  </si>
  <si>
    <t>AMP biosynthetic process</t>
  </si>
  <si>
    <t>AMP metabolic process</t>
  </si>
  <si>
    <t>auxin biosynthetic process</t>
  </si>
  <si>
    <t>TraesCS3D01G426300;TraesCS5B01G036800;TraesCS5D01G366500;TraesCS3A01G367000;TraesCS5A01G357400;TraesCS7D01G283600;TraesCS6D01G057900;TraesCS4B01G204500;TraesCS4D01G135000;TraesCS6A01G303800;TraesCS6A01G267300;TraesCS6D01G283300;TraesCS3A01G310200;TraesCS2D01G238600</t>
  </si>
  <si>
    <t>TraesCS3D01G264800;TraesCS5D01G013100;TraesCS1A01G182400;TraesCS3D01G241800;TraesCS2A01G517500;TraesCS3A01G472400;TraesCS2A01G444600;TraesCS3D01G436100;TraesCS5A01G395300;TraesCS3D01G359500;TraesCS5D01G372500;TraesCS4A01G134800;TraesCS1A01G388400;TraesCS5B01G227900;TraesCS2A01G455200;TraesCS2B01G087600;TraesCS2B01G477300;TraesCS7D01G203100;TraesCS7A01G358000;TraesCS2D01G417300;TraesCS5B01G324800;TraesCS2A01G223600;TraesCS3A01G241600;TraesCS5B01G163700;TraesCS7A01G294200;TraesCS2A01G424200;TraesCS3A01G210000;TraesCS2B01G340300;TraesCS7B01G186500;TraesCS3A01G052700;TraesCS4A01G083100;TraesCS2D01G269700;TraesCS5A01G424400;TraesCS1B01G198500;TraesCS2D01G242100;TraesCS4B01G204500;TraesCS5B01G197300;TraesCS3A01G443700;TraesCS4B01G399200;TraesCS7D01G326000;TraesCS6D01G287300;TraesCS1D01G185600;TraesCS3A01G288400;TraesCS1A01G047200;TraesCS6A01G208200;TraesCS4D01G025300;TraesCS6D01G166400;TraesCS3A01G458000;TraesCS6B01G192600;TraesCS2A01G252600;TraesCS6A01G303800;TraesCS2B01G264100;TraesCS5A01G030400;TraesCS1A01G102300;TraesCS3D01G220400;TraesCS7B01G006600;TraesCS5B01G228900;TraesCS7A01G200100;TraesCS1D01G396300;TraesCS5D01G237400;TraesCS3B01G498200;TraesCS2A01G557600;TraesCS6D01G191600;TraesCS1D01G048200;TraesCS6A01G308100;TraesCS4D01G172400;TraesCS3D01G341200;TraesCS1D01G030500;TraesCS2D01G422000;TraesCS2A01G342600;TraesCS3A01G232700;TraesCS2A01G585800;TraesCS2B01G272300;TraesCS2D01G508800;TraesCS5D01G404600;TraesCS7D01G339600;TraesCS2D01G266600;TraesCS2D01G229600;TraesCS4D01G003100;TraesCS2B01G222600;TraesCS2B01G273900;TraesCS3A01G381200;TraesCS2D01G202900;TraesCS4B01G233300;TraesCS1A01G259700;TraesCS2A01G296400;TraesCS1D01G194000;TraesCS3A01G264700;TraesCS4B01G170400;TraesCS4B01G244400;TraesCS2A01G150000;TraesCS3D01G294000;TraesCS2B01G454000;TraesCS4D01G079200;TraesCS5A01G324200;TraesCS3A01G294200;TraesCS6B01G236600;TraesCS6D01G283300;TraesCS2B01G246200;TraesCS5A01G087700;TraesCS5B01G256400;TraesCS5A01G230400;TraesCS2B01G312600;TraesCS2A01G270600;TraesCS6B01G115200;TraesCS7A01G239700;TraesCS3B01G328800;TraesCS4A01G005000;TraesCS4D01G292300;TraesCS7B01G042600;TraesCS5D01G170900;TraesCS4A01G093100;TraesCS5D01G098400;TraesCS4D01G131700</t>
  </si>
  <si>
    <t>TraesCS1A01G158500;TraesCS1D01G155800;TraesCS1D01G331000;TraesCS1B01G290800;TraesCS1D01G280900;TraesCS5A01G092400;TraesCS4A01G164900;TraesCS5A01G467500;TraesCS1B01G478800;TraesCS1A01G281700;TraesCS5B01G509100;TraesCS7B01G124100;TraesCS2B01G004000;TraesCS3D01G237100;TraesCS2B01G207000;TraesCS2D01G014800</t>
  </si>
  <si>
    <t>pyrimidine ribonucleotide biosynthetic process</t>
  </si>
  <si>
    <t>pyrimidine ribonucleotide metabolic process</t>
  </si>
  <si>
    <t>TraesCS7D01G332300;TraesCS7B01G103100;TraesCS7D01G313600;TraesCS3B01G308200;TraesCS7A01G139800;TraesCS1B01G049300;TraesCS3A01G189400;TraesCS1A01G340400;TraesCS7A01G293200;TraesCS1B01G352700;TraesCS1D01G342400;TraesCS2B01G150400;TraesCS3D01G341200;TraesCS2D01G356700;TraesCS3A01G417000;TraesCS3D01G412500;TraesCS7D01G409000;TraesCS7A01G415500;TraesCS5D01G056900;TraesCSU01G132400;TraesCS3A01G274600;TraesCS3A01G488100;TraesCS3A01G134100;TraesCS5A01G046600;TraesCS2A01G128300;TraesCS7B01G241500;TraesCS6B01G166400</t>
  </si>
  <si>
    <t>TraesCS5D01G219500;TraesCS6B01G371500;TraesCS7B01G066000;TraesCS5A01G212500;TraesCS6D01G320800</t>
  </si>
  <si>
    <t>TraesCS1D01G219700;TraesCS6D01G172500;TraesCS5A01G123800;TraesCS6B01G223200;TraesCS6A01G201800;TraesCS7A01G327600;TraesCS7D01G174700;TraesCS6D01G186000;TraesCS1A01G060100;TraesCS2A01G460000;TraesCS3A01G412600;TraesCS1A01G218000;TraesCS4A01G193700;TraesCS3D01G407300</t>
  </si>
  <si>
    <t>TraesCS2D01G154100;TraesCS4B01G069300;TraesCS7D01G169500;TraesCS3A01G181600;TraesCS3B01G370200;TraesCS3D01G087300;TraesCS7A01G359800;TraesCS5A01G501800;TraesCS4A01G246100;TraesCS4D01G068100</t>
  </si>
  <si>
    <t>TraesCS4A01G077600;TraesCS3A01G192400;TraesCS3B01G221400;TraesCS3B01G221200;TraesCS4B01G373400;TraesCS4D01G234800</t>
  </si>
  <si>
    <t>TraesCS3B01G418400;TraesCS1B01G375300;TraesCS1A01G358800;TraesCS3A01G386300;TraesCS1D01G363700;TraesCS4B01G220500</t>
  </si>
  <si>
    <t>TraesCS1A01G246800;TraesCS1B01G368500;TraesCS7B01G093800;TraesCS5B01G484700;TraesCS7D01G117800;TraesCS1D01G356900</t>
  </si>
  <si>
    <t>amyloplast</t>
  </si>
  <si>
    <t>TraesCS4D01G086000;TraesCS4A01G226500;TraesCS1A01G130700;TraesCS4B01G090000;TraesCS1D01G352300;TraesCS7A01G313900</t>
  </si>
  <si>
    <t>TraesCS2D01G208300;TraesCS4A01G120000;TraesCS1B01G049300;TraesCS2B01G592500;TraesCS2D01G362700;TraesCS5D01G429200;TraesCS3D01G273800;TraesCS7A01G323200;TraesCS2A01G392900;TraesCS2B01G227800;TraesCS5A01G472100;TraesCS6A01G343500;TraesCS2A01G200500</t>
  </si>
  <si>
    <t>anatomical structure arrangement</t>
  </si>
  <si>
    <t>TraesCS1B01G261700;TraesCS5D01G230300;TraesCS4A01G110800;TraesCS1A01G358800;TraesCS4B01G244400;TraesCS4A01G078900;TraesCS4B01G245400;TraesCS4D01G194300;TraesCS3D01G289600;TraesCS7D01G107600;TraesCS1B01G375300;TraesCS5D01G157300;TraesCS4D01G244000;TraesCS1D01G250700</t>
  </si>
  <si>
    <t>xylan metabolic process</t>
  </si>
  <si>
    <t>TraesCS2B01G260800;TraesCS6A01G360600;TraesCS2D01G179600;TraesCS3B01G224600;TraesCS1B01G049300;TraesCS6B01G399000;TraesCS6D01G348000;TraesCS3D01G273800;TraesCS5D01G303200;TraesCS2B01G152100;TraesCS2D01G427900;TraesCS5D01G359800;TraesCS4A01G289400;TraesCS1B01G146200;TraesCS6A01G380200;TraesCS4B01G213600;TraesCS1D01G051300;TraesCS2B01G364900;TraesCS4B01G152900;TraesCS5B01G431500;TraesCS5D01G532100;TraesCS5A01G467500;TraesCS3B01G112900;TraesCS4D01G135000;TraesCS5B01G094600;TraesCS4D01G246300;TraesCS2B01G457300;TraesCS5D01G429200;TraesCS2A01G171900;TraesCS7A01G323200;TraesCS7D01G235900;TraesCS5D01G201300;TraesCSU01G054300;TraesCS5A01G549700;TraesCS2A01G563500;TraesCS5D01G193000;TraesCS1A01G157500;TraesCS6B01G112700;TraesCS1A01G027200;TraesCS6A01G354500;TraesCS1A01G130700;TraesCS5A01G336500;TraesCS7A01G242000;TraesCS6D01G237400;TraesCS1D01G252500;TraesCS6D01G168300;TraesCS1B01G254000;TraesCS4A01G015800;TraesCS7D01G339300;TraesCS6D01G357600;TraesCS2A01G027000;TraesCS7D01G153000;TraesCS2B01G021100;TraesCS3B01G309700;TraesCS6A01G343500;TraesCS7B01G117600;TraesCS2A01G239000;TraesCS6A01G364300;TraesCS2B01G501300;TraesCS4A01G091100;TraesCS7B01G352800;TraesCS6A01G113000;TraesCS4A01G167000;TraesCS4D01G278500;TraesCS5B01G562200;TraesCS2B01G309400;TraesCS5B01G171400;TraesCS1B01G326400;TraesCS2B01G382000;TraesCS1B01G196500;TraesCS3B01G423600;TraesCS2A01G437700;TraesCS3D01G065800;TraesCS2D01G362700;TraesCS1B01G274600;TraesCS6B01G238600;TraesCS2D01G496200;TraesCS3A01G336100;TraesCS7A01G316700;TraesCS5D01G118200;TraesCS4A01G138800;TraesCS1D01G325500;TraesCS1D01G242500;TraesCS2A01G157700;TraesCS5D01G505700;TraesCS5D01G100800;TraesCS2A01G235900;TraesCS7D01G148200;TraesCS7A01G490900;TraesCS4A01G030400;TraesCS4D01G223400;TraesCS4A01G185400;TraesCS6A01G158300;TraesCS6B01G393500;TraesCS2B01G520500;TraesCS7A01G252000;TraesCS5A01G088400;TraesCS4D01G175600;TraesCS4A01G110800;TraesCS1D01G392400;TraesCS3D01G327600;TraesCS3A01G200400;TraesCS3D01G114000;TraesCS2A01G492300;TraesCS6D01G344100;TraesCS5B01G185700;TraesCS5B01G214400;TraesCS7B01G242800;TraesCS1A01G049300;TraesCS7B01G217500;TraesCS5B01G504900;TraesCS2A01G478000;TraesCS5B01G397300;TraesCS1D01G298400;TraesCS7D01G409000;TraesCS3D01G379000;TraesCS4D01G160000;TraesCS5B01G534400;TraesCS1D01G314600;TraesCS5B01G094300;TraesCS1D01G125300;TraesCS3A01G295400;TraesCS1A01G299500;TraesCS3D01G482500;TraesCS1D01G264100;TraesCS2D01G477200;TraesCS4A01G236700;TraesCS1D01G155100;TraesCS3B01G423800;TraesCS3B01G442200;TraesCS3B01G083400;TraesCS3D01G231200;TraesCS4D01G022600;TraesCS5B01G205700;TraesCS6B01G213100;TraesCS7D01G449900;TraesCS4B01G114800;TraesCS1D01G226500;TraesCS1B01G343100;TraesCS7B01G363100;TraesCS5A01G092400;TraesCS6A01G373400;TraesCS2B01G376600;TraesCS7A01G260600;TraesCS2D01G492600;TraesCS4B01G133200;TraesCSU01G072700;TraesCS7A01G461700;TraesCS2A01G392900;TraesCS4B01G288200;TraesCS1B01G377800;TraesCS4A01G023500;TraesCS6D01G398100;TraesCS5A01G215900;TraesCS5A01G119300;TraesCS2D01G241800;TraesCS4D01G214300;TraesCS3B01G185300;TraesCS6B01G253900;TraesCS5B01G378700;TraesCS1D01G316200;TraesCS3B01G401100;TraesCS5A01G429500;TraesCS1A01G253000;TraesCS2D01G361800;TraesCS7D01G300000;TraesCS4D01G076900;TraesCS2A01G149600;TraesCS3B01G229100;TraesCS4D01G246700;TraesCS2B01G401900;TraesCS7D01G250100;TraesCS1A01G264000;TraesCS5A01G420600;TraesCS5B01G335500;TraesCS5D01G141200;TraesCS5A01G357600;TraesCS5B01G058200;TraesCS6A01G209800;TraesCS5B01G396700;TraesCS4B01G246900;TraesCS6D01G182200;TraesCS5D01G242900;TraesCS2D01G232300;TraesCS3A01G112300;TraesCS4A01G283000;TraesCS3B01G132000;TraesCS7D01G349600;TraesCS5D01G121100;TraesCS6B01G356900;TraesCS6D01G149800;TraesCS2D01G132100;TraesCS3B01G252200;TraesCS3B01G088300;TraesCS2A01G233300;TraesCS7A01G304400;TraesCS1B01G344300;TraesCS1A01G225100;TraesCS3B01G435900;TraesCS7B01G230100;TraesCS2A01G273400;TraesCS2B01G457600;TraesCS3D01G203400;TraesCS4D01G275500;TraesCS5D01G459800;TraesCS4B01G153500;TraesCS3D01G205700;TraesCS2D01G105300;TraesCS6A01G314900;TraesCS1B01G156600;TraesCS2A01G129900;TraesCS4D01G194300;TraesCS2B01G348600;TraesCS2B01G250000;TraesCS2B01G363200;TraesCS1A01G315900;TraesCS2A01G226000;TraesCS4B01G150300;TraesCS3D01G162700;TraesCS3B01G209400;TraesCS5D01G229900;TraesCS3A01G097200;TraesCS1B01G333100;TraesCS4A01G058000;TraesCS5B01G344200;TraesCS4A01G262900;TraesCS4A01G367700;TraesCS5D01G366700;TraesCS3A01G402500;TraesCS6A01G040200;TraesCS1A01G137000;TraesCS1D01G404400;TraesCS4B01G115800;TraesCS7A01G381900;TraesCS3A01G251200;TraesCS7D01G442100;TraesCS1A01G263400;TraesCS3D01G068900;TraesCS4B01G025500;TraesCS6A01G259000;TraesCS2B01G098800;TraesCS4B01G164800;TraesCS5B01G220900;TraesCS1D01G134300;TraesCS6D01G364900;TraesCS5B01G295200;TraesCS5A01G235800;TraesCS2B01G174700;TraesCS3A01G069900;TraesCS4D01G154300;TraesCS5B01G155100;TraesCS3D01G304800;TraesCS7D01G378400;TraesCS2B01G122500;TraesCS7D01G447100;TraesCS7A01G260100;TraesCS5B01G510500;TraesCS5D01G437600;TraesCS5D01G223700;TraesCS6B01G151900;TraesCS6D01G174500;TraesCS2D01G300400;TraesCS1B01G155600;TraesCS5D01G341200;TraesCS5A01G020800;TraesCS7A01G329600;TraesCS3A01G389100;TraesCS3A01G028600;TraesCS4A01G141000;TraesCS4B01G073200;TraesCS7A01G452800;TraesCS6B01G419000;TraesCS2A01G382000;TraesCS4A01G057600;TraesCS1A01G309200;TraesCS7D01G132000;TraesCS6B01G189000;TraesCS5B01G360200;TraesCS1B01G403000;TraesCS1A01G129400;TraesCS5B01G121000</t>
  </si>
  <si>
    <t>nucleus</t>
  </si>
  <si>
    <t>TraesCS3D01G426300;TraesCS1D01G155100;TraesCS5D01G166000;TraesCS6A01G113000;TraesCS3A01G367000;TraesCS7D01G449900;TraesCS2A01G521400;TraesCS5B01G171400;TraesCS7B01G363100;TraesCS7D01G283600;TraesCS5A01G092400;TraesCS3B01G423600;TraesCS4B01G168300;TraesCS2B01G592500;TraesCS2D01G492600;TraesCS5A01G513500;TraesCS6A01G321600;TraesCS3D01G162700;TraesCS7A01G461700;TraesCS2D01G238700;TraesCS4B01G288200;TraesCS4A01G138800;TraesCS4D01G339700;TraesCS1D01G265200;TraesCS6B01G352400;TraesCS2B01G528300;TraesCS1B01G396800;TraesCS6B01G348700;TraesCS1D01G404400;TraesCS3B01G185300;TraesCS5D01G532100;TraesCS1A01G376400;TraesCS5A01G161200;TraesCS4D01G135000;TraesCS5D01G429200;TraesCS6A01G267300;TraesCS1D01G383500;TraesCS2D01G162900;TraesCS2B01G520500;TraesCS6D01G301300;TraesCS7A01G252000;TraesCS3A01G151100;TraesCS3D01G428300;TraesCS7D01G250100;TraesCS7B01G186500;TraesCS2B01G122500;TraesCS4B01G204500;TraesCS2A01G492300;TraesCS6D01G283300;TraesCS2D01G238600;TraesCS7B01G242800;TraesCS7D01G349600;TraesCS2D01G300400;TraesCS5B01G036800;TraesCS4A01G015800;TraesCS5B01G158500;TraesCS7D01G339300;TraesCS4B01G180100;TraesCS6A01G303800;TraesCS4D01G275500;TraesCS5D01G459800;TraesCS1D01G125500;TraesCS7D01G000100;TraesCS4A01G093100;TraesCS4D01G181000;TraesCS2D01G105300</t>
  </si>
  <si>
    <t>TraesCS6D01G244900;TraesCS4A01G138800;TraesCS6D01G182200;TraesCS4B01G158000</t>
  </si>
  <si>
    <t>mRNA cis splicing, via spliceosome</t>
  </si>
  <si>
    <t>TraesCS7D01G386100;TraesCS3A01G103900;TraesCS7A01G390400;TraesCS2B01G602100</t>
  </si>
  <si>
    <t>nucleotide diphosphatase activity</t>
  </si>
  <si>
    <t>TraesCS3A01G151100;TraesCS4A01G262900;TraesCS2B01G528300;TraesCS4B01G193400;TraesCS7D01G227300;TraesCS5B01G155200;TraesCS3A01G212000;TraesCS7D01G280600;TraesCS4D01G135000;TraesCS5A01G157000;TraesCS5D01G162400;TraesCS2A01G193800;TraesCS3B01G370200;TraesCS4A01G226900;TraesCS7D01G000100;TraesCS2D01G194000</t>
  </si>
  <si>
    <t>TraesCS5D01G420300;TraesCS1D01G396300;TraesCS2D01G546500;TraesCS3B01G299400;TraesCS6B01G282200;TraesCS5B01G501200;TraesCS1D01G124600;TraesCS3B01G105200;TraesCS1B01G352700;TraesCS3D01G407300;TraesCS4D01G157900;TraesCS4B01G152900;TraesCS2D01G356700;TraesCS7A01G327600;TraesCS3D01G150400;TraesCS5A01G411500;TraesCS6D01G104100;TraesCS1A01G060100;TraesCS3A01G134100;TraesCS4B01G193400;TraesCS5B01G310600;TraesCS3D01G495100;TraesCS4D01G175600;TraesCS6B01G223200;TraesCS5B01G415100;TraesCS6A01G201800;TraesCS5A01G296200;TraesCS3D01G266200;TraesCS4A01G238100;TraesCS6D01G186000;TraesCS3D01G159100;TraesCS3A01G189400;TraesCS3A01G412600;TraesCS2B01G267700;TraesCS4A01G193700;TraesCS5A01G418200;TraesCS6D01G172500;TraesCS2D01G094400;TraesCS1D01G303800;TraesCS3A01G417000;TraesCS3D01G412500;TraesCS2A01G545600;TraesCS4B01G180100;TraesCS7D01G409000;TraesCS4D01G120900;TraesCS7A01G415500;TraesCS3A01G266100;TraesCS6D01G215100;TraesCS7D01G000100;TraesCS3D01G165500</t>
  </si>
  <si>
    <t>TraesCS6A01G146500;TraesCS2D01G070400;TraesCS4B01G226100;TraesCS5A01G495100;TraesCS1D01G094400;TraesCS5D01G181600;TraesCS2A01G344600;TraesCS2B01G342200;TraesCS2D01G322900;TraesCS2D01G520000;TraesCS5A01G142200;TraesCS5B01G174600;TraesCS1D01G058300;TraesCS5D01G149900;TraesCS6B01G174700;TraesCS4B01G178700;TraesCS5A01G348400;TraesCS5B01G349800;TraesCS6D01G135800;TraesCS4D01G180300;TraesCS4B01G323000;TraesCS5B01G141000;TraesCS2A01G071600;TraesCS4D01G319400</t>
  </si>
  <si>
    <t>TraesCS2A01G123800;TraesCS5B01G484700;TraesCS2B01G309500;TraesCS2A01G293400;TraesCS5B01G175800;TraesCS2B01G145700;TraesCS2D01G126600</t>
  </si>
  <si>
    <t>TraesCS2D01G399800;TraesCS2A01G233300;TraesCS2D01G232300;TraesCS1A01G095200;TraesCS2B01G250000;TraesCS2B01G375700;TraesCS5A01G059900</t>
  </si>
  <si>
    <t>regulation of microtubule cytoskeleton organization</t>
  </si>
  <si>
    <t>TraesCS7A01G151000;TraesCS2A01G391400;TraesCS7D01G152900;TraesCSU01G121900;TraesCS5D01G208100</t>
  </si>
  <si>
    <t>TraesCS3B01G242700;TraesCS3A01G212600;TraesCS4A01G178600;TraesCS2A01G103300;TraesCS6B01G304100;TraesCS2B01G321700;TraesCS2D01G303500;TraesCS4D01G133500;TraesCS4B01G138800</t>
  </si>
  <si>
    <t>TraesCS3D01G264800;TraesCS3A01G264700;TraesCS5D01G013100;TraesCS4A01G364400;TraesCS2A01G286500;TraesCS1D01G155800;TraesCS4A01G276300;TraesCS5A01G092400;TraesCS2D01G242100;TraesCS4B01G204500;TraesCS1D01G149900;TraesCS6B01G257900;TraesCS5B01G509100;TraesCS2B01G303300;TraesCS6D01G212000;TraesCS6D01G283300;TraesCS4A01G124000;TraesCS1A01G158500;TraesCS6B01G251600;TraesCS4A01G013500;TraesCS4B01G314600;TraesCS6D01G204800;TraesCS1B01G478800;TraesCS2D01G229600;TraesCS6A01G303800;TraesCS2B01G273900;TraesCS4A01G005000;TraesCS2A01G223600;TraesCS5A01G004200;TraesCS6A01G230100</t>
  </si>
  <si>
    <t>TraesCS2A01G095300;TraesCS2D01G059400;TraesCS4B01G321500;TraesCS6A01G379000;TraesCS2D01G093700;TraesCS3A01G295400;TraesCS2B01G247100;TraesCS5A01G490500;TraesCS1D01G331000;TraesCS4D01G318200</t>
  </si>
  <si>
    <t>chromatin silencing by small RNA</t>
  </si>
  <si>
    <t>TraesCS3A01G151100;TraesCS2B01G528300;TraesCS3D01G426300;TraesCS6A01G143300;TraesCS3A01G367000;TraesCS2A01G521400;TraesCS6B01G171600;TraesCS7D01G283600;TraesCS4A01G120000;TraesCS4B01G204500;TraesCS2D01G362700;TraesCS2A01G492300;TraesCS5A01G395200;TraesCS5D01G429200;TraesCS2D01G492600;TraesCS6D01G132500;TraesCS3D01G273800;TraesCS2D01G238600;TraesCS2A01G239000;TraesCS2B01G520500</t>
  </si>
  <si>
    <t>response to cold</t>
  </si>
  <si>
    <t>very long-chain fatty acid-CoA ligase activity</t>
  </si>
  <si>
    <t>chloroplast avoidance movement</t>
  </si>
  <si>
    <t>TraesCS5B01G094300;TraesCS2D01G105300;TraesCS2B01G122500</t>
  </si>
  <si>
    <t>regulation of seed maturation</t>
  </si>
  <si>
    <t>TraesCS3A01G151100;TraesCS3D01G426300;TraesCS4B01G193400;TraesCS3A01G367000;TraesCS7B01G111000;TraesCS7A01G204000;TraesCS2A01G521400;TraesCS7D01G283600;TraesCS4B01G204500;TraesCS2D01G362700;TraesCS6B01G174500;TraesCS2A01G492300;TraesCSU01G131300;TraesCS5A01G395200;TraesCS5B01G476900;TraesCS2D01G492600;TraesCS6D01G132500;TraesCS3D01G273800;TraesCS2D01G238600;TraesCS4A01G247300;TraesCS2B01G528300;TraesCS6A01G143300;TraesCS6B01G171600;TraesCS7D01G207100;TraesCS4A01G120000;TraesCS2B01G297800;TraesCS2A01G280500;TraesCS5D01G429200;TraesCS2D01G279300;TraesCS5A01G547300;TraesCS4B01G380800;TraesCS5A01G115000;TraesCS7B01G117600;TraesCS2A01G239000;TraesCS2B01G520500</t>
  </si>
  <si>
    <t>meristem structural organization</t>
  </si>
  <si>
    <t>TraesCS2A01G226000;TraesCS3B01G252200;TraesCS6D01G348000;TraesCS6A01G117300;TraesCS6D01G106900;TraesCS5B01G397300;TraesCS6A01G364300;TraesCS6B01G399000</t>
  </si>
  <si>
    <t>TraesCS2D01G586200;TraesCS1D01G107400;TraesCS2B01G313700;TraesCS3B01G251600;TraesCS3D01G231300;TraesCS3D01G516800;TraesCS6A01G220100;TraesCS2D01G225800;TraesCS5B01G111800;TraesCS6B01G301300;TraesCS5A01G110300;TraesCS3A01G418400;TraesCS7D01G150300;TraesCS2A01G220100;TraesCS2D01G295500;TraesCS3A01G143000;TraesCS1D01G067500;TraesCS2A01G297500;TraesCS2B01G154700;TraesCS4A01G247300;TraesCS5D01G118500;TraesCS7D01G121800;TraesCS7A01G278800;TraesCS1A01G099500;TraesCS2A01G132200;TraesCS7D01G278600;TraesCS2A01G575500;TraesCS2B01G245600;TraesCS7D01G051800;TraesCS6B01G261500;TraesCS6B01G197100;TraesCS6D01G215100;TraesCS7D01G051700;TraesCS1A01G427400;TraesCS1B01G462300</t>
  </si>
  <si>
    <t>TraesCS2B01G401900;TraesCS3A01G212600;TraesCS7B01G352800;TraesCS5D01G341200;TraesCS5B01G335500;TraesCS7A01G323200;TraesCS3A01G099300;TraesCS3A01G097200;TraesCS5A01G336500;TraesCS7D01G442100;TraesCS1B01G049300;TraesCS7A01G452800</t>
  </si>
  <si>
    <t>recombinational repair</t>
  </si>
  <si>
    <t>pyrimidine nucleotide biosynthetic process</t>
  </si>
  <si>
    <t>TraesCS3D01G228800;TraesCS3D01G083400;TraesCS5A01G324200;TraesCS5B01G324800;TraesCS6D01G163700;TraesCS3A01G082700;TraesCS1D01G086600;TraesCS2D01G238600;TraesCS3A01G224800</t>
  </si>
  <si>
    <t>cellular biogenic amine catabolic process</t>
  </si>
  <si>
    <t>amine catabolic process</t>
  </si>
  <si>
    <t>TraesCS2A01G239200;TraesCS2B01G257300;TraesCS5B01G476900;TraesCS6B01G218700;TraesCS3D01G289600</t>
  </si>
  <si>
    <t>regulation of lipid biosynthetic process</t>
  </si>
  <si>
    <t>indoleacetic acid metabolic process</t>
  </si>
  <si>
    <t>TraesCS2D01G477200;TraesCS3B01G423800;TraesCS3B01G425900;TraesCS3B01G083400;TraesCS3A01G184800;TraesCS7B01G111000;TraesCS5B01G562200;TraesCS5D01G143800;TraesCS2B01G348600;TraesCS5B01G171400;TraesCS1B01G326400;TraesCS6B01G399000;TraesCS3D01G065800;TraesCS3D01G384700;TraesCS1A01G315900;TraesCS2A01G226000;TraesCS6D01G348000;TraesCS3B01G214600;TraesCS3D01G256700;TraesCS3A01G336100;TraesCS3A01G097200;TraesCS2D01G238700;TraesCS2A01G157700;TraesCS6A01G311200;TraesCS2B01G364900;TraesCS6A01G040400;TraesCS6A01G040200;TraesCS7D01G207100;TraesCS1D01G316200;TraesCS5A01G467500;TraesCS7A01G490900;TraesCS4A01G030400;TraesCS2A01G171900;TraesCS5B01G479200;TraesCS5D01G193000;TraesCS6A01G117300;TraesCS2D01G380900;TraesCS7A01G204000;TraesCS3D01G304800;TraesCS5A01G149000;TraesCS1A01G130700;TraesCS5B01G058200;TraesCS7A01G242000;TraesCS7A01G321900;TraesCS3D01G114000;TraesCS6B01G341400;TraesCS5B01G147600;TraesCS3A01G391800;TraesCS5B01G185700;TraesCS6D01G149800;TraesCS3B01G252200;TraesCS5B01G397300;TraesCS2A01G027000;TraesCS1D01G229400;TraesCS2A01G382000;TraesCS1D01G314600;TraesCS1A01G314100;TraesCS5D01G480300;TraesCS7B01G119300;TraesCS6B01G189000;TraesCS3D01G205300;TraesCS6D01G106900;TraesCS1B01G462200;TraesCS3D01G188800;TraesCS6A01G364300;TraesCS2B01G501300</t>
  </si>
  <si>
    <t>chromosome</t>
  </si>
  <si>
    <t>TraesCS3B01G441000;TraesCS2A01G387800;TraesCS2B01G405600;TraesCS5D01G237400</t>
  </si>
  <si>
    <t>NADH dehydrogenase complex assembly</t>
  </si>
  <si>
    <t>regulation of cellular carbohydrate metabolic process</t>
  </si>
  <si>
    <t>TraesCS5A01G104800;TraesCS6D01G193000;TraesCS4A01G194100;TraesCS5A01G093200;TraesCS5D01G105500;TraesCS2B01G404600;TraesCS6A01G209800;TraesCS5B01G099300;TraesCS5B01G509500;TraesCS2D01G383800;TraesCS5D01G099800;TraesCS6B01G238600;TraesCS2A01G387000</t>
  </si>
  <si>
    <t>TraesCS2D01G133500;TraesCS6A01G231900;TraesCS6B01G249700;TraesCS1A01G180200;TraesCS6A01G221400;TraesCS6B01G259800;TraesCS7D01G000100;TraesCS6D01G213800;TraesCS7D01G216000;TraesCS1D01G178400;TraesCS1D01G454500;TraesCS1A01G445800;TraesCS1B01G200300</t>
  </si>
  <si>
    <t>TraesCS3B01G418400;TraesCS5D01G148400;TraesCS6D01G215100;TraesCS3A01G417000;TraesCS4D01G009100;TraesCS2A01G585800;TraesCS3D01G412500;TraesCS4D01G301300;TraesCS7D01G326000;TraesCS7D01G409000;TraesCS7D01G339600</t>
  </si>
  <si>
    <t>plant-type cell wall</t>
  </si>
  <si>
    <t>TraesCS1D01G401900;TraesCS5B01G201700;TraesCS1B01G422200;TraesCS2B01G150400;TraesCS4B01G193400;TraesCSU01G132400;TraesCS5D01G459800;TraesCS2A01G128300;TraesCS5B01G339200</t>
  </si>
  <si>
    <t>pollen tube growth</t>
  </si>
  <si>
    <t>TraesCS5D01G065600;TraesCS5D01G387100;TraesCS5B01G380700;TraesCS1D01G103000;TraesCS1B01G122300;TraesCS3D01G150600;TraesCS5A01G103100;TraesCS1A01G094200;TraesCS4B01G152700;TraesCS2A01G434600;TraesCS1D01G113900;TraesCS5D01G058900;TraesCS4A01G029000;TraesCS4D01G275400;TraesCS5A01G377100;TraesCS5B01G062100;TraesCS5D01G396300;TraesCS5B01G107400;TraesCS5A01G048500</t>
  </si>
  <si>
    <t>TraesCS6B01G112700;TraesCS6A01G314100;TraesCS3A01G103900;TraesCS2B01G346500;TraesCS6D01G182200;TraesCS5A01G189600;TraesCS2B01G592500;TraesCS2D01G362700;TraesCS3A01G189400;TraesCS3D01G380100;TraesCS2A01G492300;TraesCS3D01G527700;TraesCS2D01G492600;TraesCS7A01G368900;TraesCS3B01G222400;TraesCS4A01G432400;TraesCS4B01G288200;TraesCS3A01G521600;TraesCS4A01G138800;TraesCS4B01G158000;TraesCS2D01G094400;TraesCS7A01G304400;TraesCS4D01G120900;TraesCS2D01G417300;TraesCS6D01G244900;TraesCS5D01G429200;TraesCS6B01G342300;TraesCS6B01G344100;TraesCS5D01G201300;TraesCS2D01G327400;TraesCS4D01G150700;TraesCS4A01G150500;TraesCS2B01G520500</t>
  </si>
  <si>
    <t>RNA splicing</t>
  </si>
  <si>
    <t>TraesCS5A01G390200;TraesCS6D01G095800;TraesCS2A01G066800;TraesCS4B01G168300;TraesCS3A01G330200;TraesCS5A01G108000;TraesCS5A01G165700;TraesCS4D01G170800;TraesCS5B01G162800;TraesCS3B01G254400;TraesCS5A01G014400;TraesCS5B01G502700;TraesCS2A01G067200;TraesCS4D01G021400;TraesCS5D01G169900;TraesCS4D01G107400;TraesCS5A01G165400;TraesCS5D01G400000;TraesCS3B01G275200;TraesCS2B01G079500;TraesCS4B01G287200;TraesCS2D01G065600;TraesCS3B01G370200;TraesCS2D01G065200;TraesCS5D01G465300;TraesCS4A01G227500;TraesCS3A01G224800;TraesCS5D01G138500;TraesCS2B01G501400;TraesCS2B01G079100;TraesCS6A01G203300;TraesCS2B01G315300;TraesCS2D01G477300;TraesCS7A01G359800;TraesCS2A01G022000;TraesCS2A01G066700;TraesCS2D01G022800;TraesCS4A01G290400;TraesCS7B01G258800;TraesCS4D01G080700;TraesCS5D01G326500;TraesCSU01G047800;TraesCS2A01G425500;TraesCS2D01G148200;TraesCS2D01G423400;TraesCS5A01G454900;TraesCS6A01G107900;TraesCS6D01G197700;TraesCS5A01G320400;TraesCS4A01G124000;TraesCS5A01G014500;TraesCS4A01G206400;TraesCS7A01G205200;TraesCS7D01G352500;TraesCS5D01G169600;TraesCS4B01G109900;TraesCS3D01G228800;TraesCS4D01G085900;TraesCS5B01G316400;TraesCS7A01G369700;TraesCS2D01G549100;TraesCS3D01G087300;TraesCS2D01G065300;TraesCS4B01G088400;TraesCS2D01G065100;TraesCS2B01G079400;TraesCS2B01G079200;TraesCS2D01G296800;TraesCS6A01G215400</t>
  </si>
  <si>
    <t>TraesCS1D01G265200;TraesCS6B01G352400;TraesCS1B01G396800;TraesCS5D01G532100;TraesCS4B01G180100;TraesCS1A01G376400;TraesCS2B01G122500;TraesCS2A01G492300;TraesCS5D01G429200;TraesCS4D01G275500;TraesCS1D01G125500;TraesCS2D01G492600;TraesCS6A01G321600;TraesCS7D01G000100;TraesCS1D01G383500;TraesCS2D01G238700;TraesCS4A01G138800;TraesCS2D01G105300;TraesCS2B01G520500;TraesCS6D01G301300;TraesCS7D01G349600</t>
  </si>
  <si>
    <t>TraesCS4A01G262900;TraesCS3A01G303800;TraesCS4D01G175600;TraesCS3A01G389100;TraesCS1A01G221100;TraesCS2A01G521400;TraesCS3D01G298000;TraesCS4B01G078900;TraesCS4D01G309500;TraesCS5A01G429300;TraesCS1D01G222700</t>
  </si>
  <si>
    <t>response to gravity</t>
  </si>
  <si>
    <t>TraesCS1A01G180200;TraesCS1D01G409700;TraesCS4B01G276500;TraesCS2D01G208300;TraesCS1B01G049300;TraesCS2B01G592500;TraesCS2D01G362700;TraesCS4B01G109700;TraesCS5D01G429200;TraesCS3A01G295400;TraesCS2B01G227800;TraesCS1B01G200300;TraesCS2A01G200500</t>
  </si>
  <si>
    <t>immune effector process</t>
  </si>
  <si>
    <t>myo-inositol hexakisphosphate biosynthetic process</t>
  </si>
  <si>
    <t>myo-inositol hexakisphosphate metabolic process</t>
  </si>
  <si>
    <t>inositol phosphate biosynthetic process</t>
  </si>
  <si>
    <t>gravitropism</t>
  </si>
  <si>
    <t>TraesCS1B01G368500;TraesCS6D01G172500;TraesCS5A01G123800;TraesCS6A01G203700;TraesCS6B01G223200;TraesCS6A01G201800;TraesCS1B01G253500;TraesCS6D01G186000;TraesCS1D01G356900;TraesCS4B01G091100;TraesCS1D01G241800;TraesCS5A01G221800;TraesCS3D01G228900;TraesCS1B01G304500;TraesCS1A01G060100;TraesCS2A01G460000;TraesCS3A01G412600;TraesCS4A01G193700;TraesCS3D01G407300</t>
  </si>
  <si>
    <t>TraesCS3D01G264800;TraesCS5D01G013100;TraesCS3D01G241800;TraesCS7B01G006600;TraesCS5B01G228900;TraesCS7A01G200100;TraesCS5D01G237400;TraesCS3B01G498200;TraesCS2A01G444600;TraesCS3D01G436100;TraesCS2A01G557600;TraesCS5D01G372500;TraesCS4A01G134800;TraesCS1D01G048200;TraesCS6A01G308100;TraesCS5B01G227900;TraesCS2B01G087600;TraesCS3D01G341200;TraesCS1D01G030500;TraesCS2D01G422000;TraesCS2A01G342600;TraesCS3A01G232700;TraesCS2A01G585800;TraesCS2B01G272300;TraesCS7D01G203100;TraesCS7A01G358000;TraesCS7D01G339600;TraesCS2D01G266600;TraesCS2D01G417300;TraesCS2D01G229600;TraesCS2B01G222600;TraesCS2B01G273900;TraesCS3A01G381200;TraesCS5B01G324800;TraesCS2D01G202900;TraesCS2A01G223600;TraesCS4B01G233300;TraesCS1A01G259700;TraesCS3A01G241600;TraesCS7A01G294200;TraesCS2A01G296400;TraesCS2A01G424200;TraesCS3A01G210000;TraesCS3A01G264700;TraesCS2B01G340300;TraesCS4B01G170400;TraesCS7B01G186500;TraesCS3A01G052700;TraesCS4B01G244400;TraesCS2A01G150000;TraesCS2D01G269700;TraesCS5A01G424400;TraesCS2D01G242100;TraesCS4B01G204500;TraesCS3D01G294000;TraesCS2B01G454000;TraesCS4D01G079200;TraesCS5A01G324200;TraesCS5B01G197300;TraesCS3A01G294200;TraesCS3A01G443700;TraesCS6D01G283300;TraesCS5A01G087700;TraesCS5B01G256400;TraesCS7D01G326000;TraesCS6D01G287300;TraesCS5A01G230400;TraesCS3A01G288400;TraesCS1A01G047200;TraesCS2B01G312600;TraesCS2A01G270600;TraesCS4D01G025300;TraesCS6B01G115200;TraesCS3A01G458000;TraesCS6B01G192600;TraesCS7A01G239700;TraesCS2A01G252600;TraesCS6A01G303800;TraesCS2B01G264100;TraesCS3B01G328800;TraesCS5A01G030400;TraesCS4A01G005000;TraesCS4D01G292300;TraesCS7B01G042600;TraesCS1A01G102300;TraesCS3D01G220400;TraesCS4A01G093100;TraesCS5D01G098400;TraesCS4D01G131700</t>
  </si>
  <si>
    <t>TraesCS7A01G151100;TraesCS7D01G153000;TraesCS3B01G401100;TraesCS7B01G055100</t>
  </si>
  <si>
    <t>TraesCS6B01G352400;TraesCS2D01G231000;TraesCS2B01G448000;TraesCS6D01G301300</t>
  </si>
  <si>
    <t>protein initiator methionine removal</t>
  </si>
  <si>
    <t>metalloaminopeptidase activity</t>
  </si>
  <si>
    <t>NADH dehydrogenase complex (plastoquinone) assembly</t>
  </si>
  <si>
    <t>TraesCS5A01G119300;TraesCS1A01G180200;TraesCS1D01G178400;TraesCS1B01G200300</t>
  </si>
  <si>
    <t>beta-tubulin binding</t>
  </si>
  <si>
    <t>indoleacetic acid biosynthetic process</t>
  </si>
  <si>
    <t>TraesCS2B01G592500;TraesCS2D01G362700;TraesCS4B01G109700;TraesCS1A01G180200;TraesCS1D01G409700;TraesCS3A01G295400;TraesCS2D01G208300;TraesCS2B01G227800;TraesCS1B01G200300;TraesCS2A01G200500;TraesCS4A01G138800;TraesCS1B01G049300</t>
  </si>
  <si>
    <t>gene silencing by miRNA</t>
  </si>
  <si>
    <t>TraesCS3D01G359900;TraesCS3A01G367000;TraesCS4A01G093100;TraesCS4D01G212000;TraesCS3B01G410400</t>
  </si>
  <si>
    <t>TraesCS3A01G151100;TraesCS3B01G441000;TraesCS3D01G426300;TraesCS6A01G143300;TraesCS5B01G036800;TraesCS3A01G367000;TraesCS6B01G171600;TraesCS7D01G283600;TraesCS4B01G204500;TraesCS4D01G135000;TraesCS6A01G303800;TraesCS4B01G286700;TraesCS6A01G267300;TraesCS2D01G205900;TraesCS6D01G132500;TraesCS6D01G283300;TraesCS2D01G427900;TraesCS2D01G238600</t>
  </si>
  <si>
    <t>TraesCS3D01G228800;TraesCS6A01G143300;TraesCS5D01G424400;TraesCS4D01G147100;TraesCS6D01G132500;TraesCS5A01G416700;TraesCS6B01G171600;TraesCS3A01G224800;TraesCS4B01G131800;TraesCS4B01G168300;TraesCS1D01G058300</t>
  </si>
  <si>
    <t>heme metabolic process</t>
  </si>
  <si>
    <t>TraesCS2B01G592500;TraesCS2D01G362700;TraesCS4B01G109700;TraesCS1A01G180200;TraesCS1D01G409700;TraesCS3A01G295400;TraesCS2D01G208300;TraesCS2B01G227800;TraesCS1B01G200300;TraesCS2A01G200500;TraesCS1B01G049300</t>
  </si>
  <si>
    <t>production of ta-siRNAs involved in RNA interference</t>
  </si>
  <si>
    <t>TraesCS1D01G264100;TraesCS3A01G212600;TraesCS5D01G420300;TraesCS1A01G264000;TraesCS5A01G489100;TraesCS5B01G415100;TraesCS6B01G348700;TraesCS2A01G521400;TraesCS4B01G114800;TraesCS2A01G585800;TraesCS3B01G423600;TraesCS5B01G339200;TraesCS4A01G375000;TraesCS5A01G411500;TraesCS7D01G072300;TraesCS5A01G324200;TraesCS5B01G324800;TraesCS7A01G076600;TraesCS1B01G274600;TraesCS5A01G472100;TraesCS2A01G467900;TraesCS5D01G504600;TraesCS7D01G326000</t>
  </si>
  <si>
    <t>root development</t>
  </si>
  <si>
    <t>root system development</t>
  </si>
  <si>
    <t>TraesCS6A01G234000;TraesCS6B01G262800;TraesCS6D01G216300</t>
  </si>
  <si>
    <t>plasmodesma organization</t>
  </si>
  <si>
    <t>cell-cell junction organization</t>
  </si>
  <si>
    <t>cell junction organization</t>
  </si>
  <si>
    <t>negative regulation of anion channel activity by blue light</t>
  </si>
  <si>
    <t>regulation of anion channel activity by blue light</t>
  </si>
  <si>
    <t>negative regulation of anion channel activity</t>
  </si>
  <si>
    <t>negative regulation of ion transmembrane transporter activity</t>
  </si>
  <si>
    <t>negative regulation of transporter activity</t>
  </si>
  <si>
    <t>poly(U) RNA binding</t>
  </si>
  <si>
    <t>poly-pyrimidine tract binding</t>
  </si>
  <si>
    <t>germ cell nucleus</t>
  </si>
  <si>
    <t>TraesCS1B01G255100;TraesCS3A01G023800;TraesCS1A01G358800;TraesCS2B01G271300;TraesCS6A01G188100;TraesCS2D01G362700;TraesCS3D01G114000;TraesCS3D01G275600;TraesCS2D01G251000;TraesCS1B01G375300;TraesCS4D01G080700;TraesCS3D01G273800;TraesCS6D01G210000;TraesCS2A01G387000;TraesCS4A01G138800;TraesCS3A01G513500;TraesCS6A01G225200;TraesCS2A01G480200;TraesCS5D01G230300;TraesCS6B01G253900;TraesCS4A01G120000;TraesCS7A01G115400;TraesCS6B01G256400;TraesCS5D01G429200;TraesCS5B01G387600;TraesCS5D01G285200</t>
  </si>
  <si>
    <t>vegetative to reproductive phase transition of meristem</t>
  </si>
  <si>
    <t>xylan biosynthetic process</t>
  </si>
  <si>
    <t>TraesCS6B01G161800;TraesCS6B01G342300;TraesCS5A01G548800;TraesCS4B01G276500;TraesCS4D01G359000;TraesCS6A01G312100</t>
  </si>
  <si>
    <t>RNA helicase activity</t>
  </si>
  <si>
    <t>TraesCS3A01G393400;TraesCS5D01G341200;TraesCS5B01G335500;TraesCSU01G072700;TraesCS5A01G336500;TraesCS5B01G378700</t>
  </si>
  <si>
    <t>positive regulation of cell cycle</t>
  </si>
  <si>
    <t>TraesCS2A01G193800;TraesCS2A01G247300;TraesCS2D01G194000;TraesCS2D01G248400;TraesCS5B01G256400;TraesCS2B01G270300</t>
  </si>
  <si>
    <t>TraesCS1A01G092700;TraesCS1D01G101200;TraesCS5D01G067600;TraesCS6A01G070600;TraesCS2D01G520000;TraesCS5A01G056400</t>
  </si>
  <si>
    <t>TraesCS5D01G044100;TraesCS7B01G321700;TraesCS1D01G092200;TraesCS1B01G213300;TraesCS6B01G170600;TraesCS7A01G269900;TraesCS3D01G191100;TraesCS7D01G072100;TraesCS1D01G445300;TraesCS4D01G167900;TraesCS3A01G187300;TraesCS3B01G216800;TraesCS4D01G184400;TraesCS6A01G289200;TraesCSU01G001100;TraesCS7D01G270400;TraesCS7A01G421400;TraesCS1B01G472100;TraesCS2A01G398900;TraesCS4B01G165100;TraesCS1A01G322300;TraesCS1A01G437500;TraesCS7D01G413700;TraesCS6B01G319000;TraesCS4B01G154900;TraesCS4D01G157200;TraesCS6B01G062400;TraesCS1B01G434100;TraesCS1A01G100600;TraesCS1D01G202100;TraesCS1A01G198400;TraesCS2B01G159600;TraesCS2D01G138200;TraesCS7A01G076400;TraesCS4A01G374600;TraesCS1B01G110400;TraesCS4A01G139700</t>
  </si>
  <si>
    <t>TraesCS6D01G334400;TraesCS4B01G170400;TraesCS4D01G172400;TraesCS2A01G404700;TraesCS3A01G232700;TraesCS3D01G220400;TraesCS6B01G115200;TraesCS4A01G134800;TraesCS6B01G384900;TraesCS2D01G401600</t>
  </si>
  <si>
    <t>TraesCS3D01G228800;TraesCS6A01G143300;TraesCS5D01G424400;TraesCS4D01G147100;TraesCS6D01G132500;TraesCS5A01G416700;TraesCS6B01G171600;TraesCS3A01G224800;TraesCS4B01G168300;TraesCS1D01G058300</t>
  </si>
  <si>
    <t>cell tip growth</t>
  </si>
  <si>
    <t>TraesCS2D01G349600;TraesCS7B01G006600;TraesCS3A01G367000;TraesCS3A01G232700;TraesCS7B01G197000;TraesCS1B01G290800;TraesCS1D01G280900;TraesCS5A01G092400;TraesCS1B01G478800;TraesCS2B01G369600;TraesCS4B01G204500;TraesCS1A01G281700;TraesCS3B01G161900;TraesCS6B01G257900;TraesCS6D01G212000;TraesCS3D01G220400;TraesCS2B01G248100;TraesCS2A01G222600;TraesCS3D01G237100</t>
  </si>
  <si>
    <t>glycosyl compound biosynthetic process</t>
  </si>
  <si>
    <t>TraesCS2D01G191000;TraesCS6A01G253400;TraesCS2A01G455300;TraesCS3A01G438700;TraesCS5D01G375800;TraesCS7B01G174700;TraesCS2B01G477400;TraesCS7A01G277000;TraesCS7D01G277000;TraesCS3D01G431100;TraesCS2A01G183200;TraesCS6D01G234900</t>
  </si>
  <si>
    <t>S-acyltransferase activity</t>
  </si>
  <si>
    <t>production of miRNAs involved in gene silencing by miRNA</t>
  </si>
  <si>
    <t>TraesCS3A01G103100;TraesCS3B01G324500;TraesCS5A01G222500;TraesCS5D01G230300;TraesCS3A01G251200;TraesCS4B01G180100;TraesCS3D01G289600</t>
  </si>
  <si>
    <t>plant-type secondary cell wall biogenesis</t>
  </si>
  <si>
    <t>TraesCS1B01G255100;TraesCS7B01G278200;TraesCS4B01G023800;TraesCS4D01G021400;TraesCS7A01G376800;TraesCS7D01G373100;TraesCS4A01G290400</t>
  </si>
  <si>
    <t>TraesCS2A01G095300;TraesCS2B01G401900;TraesCS5D01G260600;TraesCS5B01G335500;TraesCS4A01G062200;TraesCS5A01G357400;TraesCS1D01G226500;TraesCS5A01G336500;TraesCS1B01G049300;TraesCS5B01G501200;TraesCS1D01G401900;TraesCS3D01G114000;TraesCSU01G072700;TraesCS5A01G490500;TraesCS3A01G097200;TraesCS4B01G238900;TraesCS4D01G318200;TraesCS4D01G132900;TraesCS2A01G058700;TraesCS1B01G422200;TraesCS4B01G138200;TraesCS5D01G366500;TraesCS2B01G070700;TraesCS5D01G341200;TraesCS5B01G378700;TraesCS1A01G076000;TraesCS4B01G109700;TraesCS4B01G321500;TraesCS2D01G093700;TraesCS7A01G323200;TraesCS2D01G057900</t>
  </si>
  <si>
    <t>gametophyte development</t>
  </si>
  <si>
    <t>TraesCS2D01G133500;TraesCS2A01G132200;TraesCS1A01G180200;TraesCS6A01G221400;TraesCS4D01G135000;TraesCS6B01G259800;TraesCS6D01G213800;TraesCS7D01G216000;TraesCS1D01G178400;TraesCS1B01G200300;TraesCS2B01G154700;TraesCS4A01G355100;TraesCS5B01G517400</t>
  </si>
  <si>
    <t>enzyme activator activity</t>
  </si>
  <si>
    <t>TraesCS5D01G336000;TraesCS7D01G292000;TraesCS1D01G119400;TraesCS2A01G247300;TraesCS3D01G273800;TraesCS5D01G303200;TraesCS2D01G014800;TraesCS4D01G147100;TraesCS3A01G228000;TraesCS1A01G324800;TraesCS4B01G050200;TraesCS4A01G298800;TraesCS4D01G135000;TraesCS5D01G429200;TraesCS6B01G124800;TraesCS5A01G166800;TraesCS1D01G280300;TraesCS3B01G219700;TraesCS5A01G344100;TraesCS7A01G323200;TraesCS2B01G209200;TraesCS6A01G203300;TraesCS1D01G107400;TraesCS6B01G112700;TraesCS5A01G149000;TraesCS5A01G336500;TraesCS2A01G193800;TraesCS3D01G296900;TraesCSU01G019200;TraesCS3A01G393400;TraesCS5B01G112100;TraesCS2B01G257300;TraesCS3A01G303800;TraesCS5B01G082400;TraesCS7D01G339300;TraesCS6D01G357600;TraesCS3B01G298400;TraesCS4A01G120000;TraesCS5B01G139800;TraesCS6B01G190300;TraesCS4B01G109700;TraesCS2D01G093700;TraesCS3B01G140800;TraesCS3A01G310200;TraesCS5A01G472100;TraesCS5D01G396300;TraesCS5D01G166000;TraesCS1D01G409700;TraesCS5B01G562200;TraesCS5B01G171400;TraesCS7D01G283600;TraesCS2B01G382000;TraesCS3B01G423600;TraesCS3D01G065800;TraesCS1B01G274600;TraesCS5D01G118200;TraesCS4A01G138800;TraesCS1D01G325500;TraesCS5D01G068800;TraesCS1A01G246800;TraesCS5A01G131600;TraesCS7A01G327600;TraesCS2B01G375700;TraesCS7A01G252000;TraesCS5D01G044700;TraesCS4D01G175600;TraesCS5A01G357400;TraesCS3D01G327600;TraesCS2D01G009100;TraesCS1A01G195500;TraesCS6D01G344100;TraesCS2D01G148200;TraesCS7B01G242800;TraesCS2B01G154700;TraesCS5B01G036800;TraesCS2A01G132200;TraesCS4B01G041900;TraesCS2D01G438800;TraesCS5B01G094300;TraesCS6B01G261500;TraesCS3A01G082700;TraesCS6B01G124700;TraesCS3D01G123500;TraesCS1A01G299500;TraesCS1D01G264100;TraesCS2B01G313700;TraesCS4B01G015600;TraesCS7B01G363100;TraesCS5B01G339200;TraesCS4A01G375000;TraesCSU01G072700;TraesCS2A01G220100;TraesCS7A01G461700;TraesCS4B01G288200;TraesCS7A01G146700;TraesCS1D01G265200;TraesCS6A01G143300;TraesCS7A01G278800;TraesCS2A01G455200;TraesCS5A01G119300;TraesCS5D01G366500;TraesCS4A01G052600;TraesCS1D01G316200;TraesCS5B01G132900;TraesCS2A01G280500;TraesCS7A01G076600;TraesCS4D01G076900;TraesCS2A01G200500;TraesCS3A01G151100;TraesCS7B01G054900;TraesCS2B01G401900;TraesCS7D01G250100;TraesCS1A01G264000;TraesCS3A01G075700;TraesCS7A01G307000;TraesCS5A01G424400;TraesCS5B01G396700;TraesCS2B01G326800;TraesCS1B01G408600;TraesCS2D01G232300;TraesCS3D01G298000;TraesCS5D01G121100;TraesCS6D01G149800;TraesCS3B01G252200;TraesCS5A01G104800;TraesCS1D01G219200;TraesCS3B01G088300;TraesCS2A01G233300;TraesCS7B01G049200;TraesCS2B01G245600;TraesCS2B01G264100;TraesCS1A01G198400;TraesCS3D01G203400;TraesCS4A01G334700;TraesCS5D01G459800;TraesCS6B01G197100;TraesCS3A01G191700;TraesCS6D01G215100;TraesCS4B01G178900;TraesCS1D01G211600;TraesCS5D01G094000;TraesCS2D01G105300;TraesCS2B01G153800;TraesCS2B01G174600;TraesCS6A01G314900;TraesCS6D01G087500;TraesCS3D01G109700;TraesCS2B01G250000;TraesCS2B01G592500;TraesCS2D01G194000;TraesCS4D01G318200;TraesCS4A01G262900;TraesCS5D01G551200;TraesCS2A01G342600;TraesCS7A01G381900;TraesCS6B01G216800;TraesCS5B01G563800;TraesCS2D01G059400;TraesCS3D01G083400;TraesCS2D01G279300;TraesCS4B01G025500;TraesCS3B01G370200;TraesCS6A01G259000;TraesCS4A01G131100;TraesCS5B01G037500;TraesCS4D01G225300;TraesCS2D01G401600;TraesCS2B01G174700;TraesCS7D01G378400;TraesCS2A01G150000;TraesCS7D01G447100;TraesCS5A01G110300;TraesCS6D01G283300;TraesCS3D01G514100;TraesCS5B01G256400;TraesCS1B01G337800;TraesCS4A01G247300;TraesCS5D01G341200;TraesCS5A01G020800;TraesCS6A01G319100;TraesCS4B01G224700;TraesCS7A01G452800;TraesCS5A01G460600;TraesCS4A01G093100;TraesCS6A01G360600;TraesCS2D01G179600;TraesCS2A01G404700;TraesCS1B01G049300;TraesCS4A01G163400;TraesCS5D01G162400;TraesCS4B01G173500;TraesCS4A01G289400;TraesCS6B01G159200;TraesCS5D01G171100;TraesCS1A01G099500;TraesCS7D01G278600;TraesCS3A01G360000;TraesCS5A01G467500;TraesCS6D01G057900;TraesCS4B01G321500;TraesCS5A01G491500;TraesCS5A01G549700;TraesCS7D01G549100;TraesCS1B01G462300;TraesCS2A01G563500;TraesCS2D01G399800;TraesCS1B01G255100;TraesCS6D01G087400;TraesCS1A01G157500;TraesCS6A01G379000;TraesCS1A01G027200;TraesCS2D01G565200;TraesCS2D01G225800;TraesCS5B01G111800;TraesCS3D01G289600;TraesCS7D01G150300;TraesCS3A01G513500;TraesCS2B01G070700;TraesCS1D01G412600;TraesCS2D01G262900;TraesCS4A01G015800;TraesCS4A01G298100;TraesCS6A01G303800;TraesCS7D01G051800;TraesCS2B01G021100;TraesCS2A01G239000;TraesCS1B01G462200;TraesCS7B01G352800;TraesCS6A01G113000;TraesCS5D01G472300;TraesCS5D01G143800;TraesCS2B01G365100;TraesCS2D01G362700;TraesCS4B01G320500;TraesCS2D01G295500;TraesCS2D01G496200;TraesCS5D01G332000;TraesCS1D01G433300;TraesCS6B01G218700;TraesCS7D01G148200;TraesCS1B01G270800;TraesCS1B01G212500;TraesCS4D01G223400;TraesCS7D01G072300;TraesCS7D01G051700;TraesCS6B01G393500;TraesCS5B01G387600;TraesCS2D01G133500;TraesCS7A01G246000;TraesCS2A01G095300;TraesCS3D01G516800;TraesCS4A01G110800;TraesCS4A01G238100;TraesCS2D01G248400;TraesCS3A01G200400;TraesCS6A01G268900;TraesCS6D01G132500;TraesCS1A01G313300;TraesCS5A01G490500;TraesCS3A01G143000;TraesCS5B01G214400;TraesCS1D01G067500;TraesCS2D01G238600;TraesCS2B01G312600;TraesCS2D01G208300;TraesCS5D01G140200;TraesCS1D01G298400;TraesCS1A01G431600;TraesCS7B01G049000;TraesCS1A01G133500;TraesCS2A01G575500;TraesCS3A01G295400;TraesCS5A01G457600;TraesCS2D01G586200;TraesCS3D01G426300;TraesCS4A01G236700;TraesCS1D01G155100;TraesCS3A01G212600;TraesCS3D01G231200;TraesCS4D01G022600;TraesCS7D01G449900;TraesCS4B01G114800;TraesCS1D01G226500;TraesCS5A01G092400;TraesCS6A01G373400;TraesCS7A01G260600;TraesCS2A01G058700;TraesCS5A01G215900;TraesCS1B01G159900;TraesCS6A01G130900;TraesCS2B01G477300;TraesCS2D01G079600;TraesCS6B01G253900;TraesCS4D01G013900;TraesCS5B01G378700;TraesCS2B01G004000;TraesCS2D01G361800;TraesCS7D01G300000;TraesCS1A01G427400;TraesCS2A01G149600;TraesCS2D01G162900;TraesCS2B01G340300;TraesCS1A01G180200;TraesCS3D01G495100;TraesCS5B01G335500;TraesCS3D01G231300;TraesCS1D01G331000;TraesCS6B01G301300;TraesCS4B01G204500;TraesCS4A01G157100;TraesCS1A01G086500;TraesCS5B01G476900;TraesCS2B01G227800;TraesCS3A01G112300;TraesCS4A01G283000;TraesCS1D01G178000;TraesCS5D01G118500;TraesCS7D01G349600;TraesCS1A01G095200;TraesCS2B01G297800;TraesCS5A01G157000;TraesCS7A01G560200;TraesCS7B01G230100;TraesCS2B01G247100;TraesCS2A01G149500;TraesCS7D01G403900;TraesCS1B01G200300;TraesCS2A01G261000;TraesCS1D01G440900;TraesCS3A01G126400;TraesCS3A01G367000;TraesCS6A01G220100;TraesCS2A01G114400;TraesCS2A01G521400;TraesCS5B01G155200;TraesCS4D01G194300;TraesCS5A01G059900;TraesCS2B01G363200;TraesCS6A01G290600;TraesCS2A01G226000;TraesCS3A01G418400;TraesCS1D01G124400;TraesCS3D01G162700;TraesCS6A01G070700;TraesCS2A01G387000;TraesCS3A01G097200;TraesCS5B01G344200;TraesCS2B01G133500;TraesCS7D01G121800;TraesCS1D01G030500;TraesCS1A01G382900;TraesCS3A01G530000;TraesCS1D01G404400;TraesCS4B01G115800;TraesCS3A01G251200;TraesCS4A01G315700;TraesCS7D01G442100;TraesCS5A01G161200;TraesCS6B01G067600;TraesCS7B01G310100;TraesCS6A01G267300;TraesCS3A01G304900;TraesCS2D01G057900;TraesCS2A01G296400;TraesCS5B01G295200;TraesCS7B01G184800;TraesCS3B01G251600;TraesCS1D01G260200;TraesCS3D01G304800;TraesCSU01G036900;TraesCS5A01G036600;TraesCS1B01G213300;TraesCS5A01G057500;TraesCS2B01G122500;TraesCS3A01G107900;TraesCS5B01G510500;TraesCS1B01G293500;TraesCS5D01G223700;TraesCS1D01G199100;TraesCS5B01G147600;TraesCS2B01G246200;TraesCS2A01G297500;TraesCS2D01G300400;TraesCS2A01G239200;TraesCS7A01G329600;TraesCS3A01G389100;TraesCS4A01G067400;TraesCS1A01G284300;TraesCS5B01G158500;TraesCS3B01G332500;TraesCS6B01G171600;TraesCS1B01G434400;TraesCS4B01G073200;TraesCS2B01G270300;TraesCS2D01G308000;TraesCS1A01G309200;TraesCS6A01G161200;TraesCS6B01G189000;TraesCS7D01G000100;TraesCS7B01G207300</t>
  </si>
  <si>
    <t>TraesCS4B01G355100;TraesCS5A01G114600;TraesCS5A01G524400;TraesCS2B01G385300;TraesCS4D01G348600</t>
  </si>
  <si>
    <t>TraesCS7A01G560200;TraesCS2B01G070700;TraesCS2D01G057900;TraesCS7D01G549100;TraesCS2A01G058700</t>
  </si>
  <si>
    <t>PSII associated light-harvesting complex II catabolic process</t>
  </si>
  <si>
    <t>TraesCS3A01G151100;TraesCS3D01G426300;TraesCS6A01G312200;TraesCS5D01G105500;TraesCS1A01G254400;TraesCS1A01G195500;TraesCS3D01G250600;TraesCS2A01G193800;TraesCS3A01G250200;TraesCS5A01G324200;TraesCS2D01G467900;TraesCS3D01G229800;TraesCS5A01G272400;TraesCS1D01G199100;TraesCS2D01G194000;TraesCS2A01G467900;TraesCS2D01G238600;TraesCS3A01G223700;TraesCS2B01G154700;TraesCS3B01G566600;TraesCS5D01G280400;TraesCS3B01G279700;TraesCS6D01G147700;TraesCS6D01G122800;TraesCS2A01G132200;TraesCS5A01G093200;TraesCS2B01G297800;TraesCS6D01G291600;TraesCS7A01G560200;TraesCS3D01G083400;TraesCS6B01G342400;TraesCS2A01G280500;TraesCS5B01G324800;TraesCS6A01G133100;TraesCS2D01G279300;TraesCS3A01G082700;TraesCS3A01G503200;TraesCS6A01G163500;TraesCS7D01G549100</t>
  </si>
  <si>
    <t>TraesCS3A01G212600;TraesCS1D01G409700;TraesCS5D01G472300;TraesCS1B01G049300;TraesCS2B01G592500;TraesCS2D01G362700;TraesCS2A01G226000;TraesCS1D01G124400;TraesCS2D01G194000;TraesCS4A01G138800;TraesCS4D01G318200;TraesCS1D01G325500;TraesCS4A01G262900;TraesCS6D01G057900;TraesCS2D01G059400;TraesCS4B01G321500;TraesCS5B01G037500;TraesCS2A01G200500;TraesCS2A01G095300;TraesCS5D01G044700;TraesCS1A01G180200;TraesCS6A01G379000;TraesCS2D01G565200;TraesCS1D01G331000;TraesCS5A01G036600;TraesCS2B01G122500;TraesCS3A01G200400;TraesCS2A01G193800;TraesCS5A01G490500;TraesCS2B01G227800;TraesCS1D01G178000;TraesCS2A01G239200;TraesCS2B01G257300;TraesCS3B01G252200;TraesCS3B01G088300;TraesCS3A01G389100;TraesCS2D01G208300;TraesCS3B01G298400;TraesCS6B01G190300;TraesCS1A01G133500;TraesCS5A01G460600;TraesCS4B01G109700;TraesCS3D01G203400;TraesCS2D01G093700;TraesCS3A01G295400;TraesCS6A01G161200;TraesCS7D01G000100;TraesCS2B01G247100;TraesCS1B01G200300;TraesCS2D01G105300</t>
  </si>
  <si>
    <t>negative regulation of cellular process</t>
  </si>
  <si>
    <t>TraesCS1D01G264100;TraesCS1D01G423500;TraesCS4B01G154100;TraesCS1A01G264000;TraesCS2A01G290900;TraesCS1A01G416000;TraesCS1B01G274600;TraesCS1D01G303800;TraesCS4D01G160200;TraesCS2B01G307300;TraesCS2D01G288800</t>
  </si>
  <si>
    <t>acyl-CoA metabolic process</t>
  </si>
  <si>
    <t>thioester metabolic process</t>
  </si>
  <si>
    <t>TraesCS2B01G174600;TraesCS3A01G200400;TraesCS2A01G095300;TraesCS3D01G203400;TraesCS2D01G093700;TraesCS2A01G149500</t>
  </si>
  <si>
    <t>nucleolus organization</t>
  </si>
  <si>
    <t>TraesCS5B01G201700;TraesCS1B01G422200;TraesCS2B01G150400;TraesCS4B01G193400;TraesCS4B01G138200;TraesCS1A01G076000;TraesCS5B01G339200;TraesCS1D01G401900;TraesCS1A01G206600;TraesCSU01G132400;TraesCS5D01G459800;TraesCS2A01G128300;TraesCS4D01G132900</t>
  </si>
  <si>
    <t>pollen tube development</t>
  </si>
  <si>
    <t>organic cation transmembrane transporter activity</t>
  </si>
  <si>
    <t>TraesCS7D01G161000;TraesCS2B01G313700;TraesCS2D01G295500;TraesCS2A01G297500</t>
  </si>
  <si>
    <t>TraesCS6D01G149800;TraesCS2A01G157700;TraesCS2B01G364900;TraesCS3B01G083400;TraesCS1A01G130700;TraesCS2A01G027000;TraesCS2B01G348600;TraesCS1D01G316200;TraesCS7A01G242000;TraesCS3D01G065800;TraesCS3D01G114000;TraesCS1A01G315900;TraesCS2A01G171900;TraesCS6B01G189000;TraesCS3A01G097200</t>
  </si>
  <si>
    <t>nuclear chromosome</t>
  </si>
  <si>
    <t>TraesCS2D01G300400;TraesCS3D01G426300;TraesCS5B01G036800;TraesCS3A01G367000;TraesCS3B01G185300;TraesCS7D01G283600;TraesCS4B01G204500;TraesCS4D01G135000;TraesCS6A01G303800;TraesCS5D01G459800;TraesCS6A01G267300;TraesCS6D01G283300;TraesCS2D01G238600;TraesCS7D01G349600</t>
  </si>
  <si>
    <t>TraesCS3A01G178600;TraesCS6A01G146500;TraesCS1A01G155200;TraesCS3D01G210300;TraesCS7B01G197000;TraesCS3A01G478100;TraesCS5A01G407700;TraesCS5B01G132600;TraesCS5A01G424400;TraesCS4D01G343400;TraesCS7D01G283900;TraesCS5D01G149900;TraesCS3B01G237200;TraesCS6B01G174700;TraesCS1D01G153900;TraesCS1D01G231000;TraesCS4B01G286700;TraesCS5B01G476900;TraesCSU01G135100;TraesCS4D01G180300;TraesCS5B01G141000;TraesCS1A01G231100;TraesCS6A01G386600;TraesCS6B01G004400;TraesCS7B01G005700;TraesCS3D01G236200;TraesCS4D01G157900;TraesCS6B01G455100;TraesCS7A01G205200;TraesCS5D01G181600;TraesCS5A01G142200;TraesCS5B01G412500;TraesCS4A01G147500;TraesCS6B01G176600;TraesCS2D01G543700;TraesCS7A01G509200;TraesCS2B01G264100;TraesCS4B01G178700;TraesCS5A01G132300;TraesCS6D01G001700;TraesCS6D01G135800;TraesCS3D01G182100;TraesCS5D01G417600;TraesCS6D01G238800;TraesCS3A01G205100;TraesCS3B01G206100;TraesCS3B01G265000;TraesCS1B01G443200</t>
  </si>
  <si>
    <t>tryptophan catabolic process</t>
  </si>
  <si>
    <t>indolalkylamine catabolic process</t>
  </si>
  <si>
    <t>indole-containing compound catabolic process</t>
  </si>
  <si>
    <t>TraesCS1D01G124600;TraesCS6D01G172500;TraesCS1A01G060100;TraesCS3A01G266100;TraesCS3D01G266200;TraesCS3A01G412600;TraesCS3B01G299400;TraesCS4A01G193700;TraesCS3D01G407300</t>
  </si>
  <si>
    <t>TraesCS7A01G151000;TraesCS2A01G095300;TraesCS2B01G174700;TraesCS3B01G252200;TraesCS1A01G180200;TraesCS2A01G391400;TraesCS2D01G093700;TraesCS7D01G152900;TraesCS2A01G149600;TraesCS1B01G200300;TraesCSU01G121900;TraesCS5D01G208100</t>
  </si>
  <si>
    <t>organelle assembly</t>
  </si>
  <si>
    <t>TraesCS7D01G298100;TraesCS6A01G360600;TraesCS2D01G179600;TraesCS7D01G292000;TraesCS1B01G049300;TraesCS2A01G247300;TraesCS3D01G273800;TraesCS5D01G303200;TraesCS5A01G114000;TraesCS4A01G289400;TraesCS2D01G014800;TraesCS6B01G159200;TraesCS5D01G171100;TraesCS4D01G147100;TraesCS3A01G360000;TraesCS3D01G173500;TraesCS1A01G324800;TraesCS5A01G467500;TraesCS4A01G298800;TraesCS2D01G417300;TraesCS4D01G135000;TraesCS4B01G321500;TraesCS6A01G133100;TraesCS6B01G124800;TraesCS5A01G166800;TraesCS1D01G280300;TraesCS3B01G219700;TraesCS5A01G344100;TraesCS7A01G323200;TraesCS5A01G491500;TraesCS5A01G549700;TraesCS7D01G549100;TraesCS2B01G209200;TraesCS3B01G198800;TraesCS2A01G563500;TraesCS1B01G255100;TraesCS6D01G087400;TraesCS1A01G157500;TraesCS6B01G112700;TraesCS6A01G379000;TraesCS1A01G027200;TraesCS2D01G565200;TraesCS5A01G149000;TraesCS5A01G336500;TraesCS3D01G289600;TraesCS2A01G193800;TraesCS3D01G296900;TraesCSU01G019200;TraesCS5B01G112100;TraesCS3A01G513500;TraesCS2B01G257300;TraesCS2B01G070700;TraesCS1D01G412600;TraesCS4A01G298100;TraesCS7D01G339300;TraesCS6D01G357600;TraesCS3B01G298400;TraesCS5B01G139800;TraesCS6B01G190300;TraesCS6A01G303800;TraesCS4B01G109700;TraesCS2B01G021100;TraesCS2D01G093700;TraesCS3A01G310200;TraesCS2A01G239000;TraesCS4A01G355100;TraesCS1B01G462200;TraesCS7B01G352800;TraesCS6A01G113000;TraesCS1D01G409700;TraesCS5D01G472300;TraesCS5B01G562200;TraesCS5D01G143800;TraesCS5B01G171400;TraesCS7D01G283600;TraesCS2B01G382000;TraesCS2B01G365100;TraesCS3B01G423600;TraesCS3D01G065800;TraesCS2D01G362700;TraesCS4B01G320500;TraesCS1B01G274600;TraesCS2D01G496200;TraesCS5D01G332000;TraesCS5D01G118200;TraesCS4A01G138800;TraesCS1D01G325500;TraesCS5D01G068800;TraesCS1A01G246800;TraesCS6B01G218700;TraesCS1B01G270800;TraesCS4B01G069200;TraesCS4D01G223400;TraesCS3A01G224000;TraesCS3A01G167400;TraesCS6B01G393500;TraesCS5B01G387600;TraesCS7A01G252000;TraesCS7A01G246000;TraesCS2A01G095300;TraesCS3B01G253500;TraesCS5D01G044700;TraesCS3B01G251200;TraesCS4A01G110800;TraesCS3D01G327600;TraesCS2D01G246100;TraesCS2D01G248400;TraesCS2D01G009100;TraesCS3A01G200400;TraesCS6A01G268900;TraesCS1A01G195500;TraesCS6D01G132500;TraesCS1A01G313300;TraesCS6D01G344100;TraesCS2D01G148200;TraesCS5A01G490500;TraesCS5B01G214400;TraesCS2D01G238600;TraesCS7B01G242800;TraesCS2B01G154700;TraesCS5B01G036800;TraesCS2A01G132200;TraesCS2B01G312600;TraesCS4B01G041900;TraesCS4B01G276500;TraesCS2D01G208300;TraesCS7D01G505300;TraesCS2D01G438800;TraesCS1D01G298400;TraesCS1A01G431600;TraesCS1A01G133500;TraesCS5B01G094300;TraesCS6B01G342300;TraesCS3A01G082700;TraesCS3A01G295400;TraesCS6B01G124700;TraesCS1A01G299500;TraesCS5B01G517400;TraesCS5A01G457600;TraesCS1D01G264100;TraesCS3D01G426300;TraesCS1D01G155100;TraesCS3A01G212600;TraesCS3D01G231200;TraesCS4D01G022600;TraesCS7D01G449900;TraesCS4B01G015600;TraesCS4B01G114800;TraesCS1D01G226500;TraesCS7B01G363100;TraesCS6A01G373400;TraesCS7A01G260600;TraesCSU01G072700;TraesCS7A01G461700;TraesCS2D01G253100;TraesCS2A01G058700;TraesCS5A01G215900;TraesCS1D01G265200;TraesCS6A01G143300;TraesCS5A01G192000;TraesCS6D01G122800;TraesCS5A01G119300;TraesCS6A01G130900;TraesCS4A01G052600;TraesCS6B01G253900;TraesCS4D01G013900;TraesCS5B01G378700;TraesCS1D01G316200;TraesCS2A01G280500;TraesCS2B01G004000;TraesCS2D01G361800;TraesCS7D01G300000;TraesCS2A01G149600;TraesCS2A01G200500;TraesCS3A01G151100;TraesCS2B01G401900;TraesCS2B01G340300;TraesCS7D01G250100;TraesCS1A01G264000;TraesCS1A01G180200;TraesCS5B01G335500;TraesCS7A01G307000;TraesCS1D01G331000;TraesCS6A01G312100;TraesCS5B01G396700;TraesCS4B01G204500;TraesCS4A01G157100;TraesCS5B01G476900;TraesCS2D01G232300;TraesCS2B01G227800;TraesCS3A01G112300;TraesCS4A01G283000;TraesCS1D01G178000;TraesCS7D01G349600;TraesCS6D01G149800;TraesCS3B01G252200;TraesCS5A01G104800;TraesCS1D01G219200;TraesCS3B01G088300;TraesCS5A01G123700;TraesCS2A01G233300;TraesCS4D01G116000;TraesCS2B01G297800;TraesCS7A01G560200;TraesCS7B01G230100;TraesCS1A01G198400;TraesCS3D01G203400;TraesCS5D01G459800;TraesCS3A01G191700;TraesCS5A01G115400;TraesCS7A01G514900;TraesCS2B01G247100;TraesCS2A01G149500;TraesCS7D01G403900;TraesCS1B01G200300;TraesCS1D01G211600;TraesCS5D01G094000;TraesCS2D01G105300;TraesCS2B01G174600;TraesCS6D01G087500;TraesCS1D01G440900;TraesCS3A01G126400;TraesCS3A01G367000;TraesCS2A01G114400;TraesCS4D01G194300;TraesCS2B01G250000;TraesCS2B01G363200;TraesCS2B01G592500;TraesCS6A01G290600;TraesCS1D01G124400;TraesCS3D01G162700;TraesCS2A01G387000;TraesCS3A01G097200;TraesCS2D01G194000;TraesCS5B01G344200;TraesCS2B01G133500;TraesCS4D01G318200;TraesCS4A01G262900;TraesCS5B01G162300;TraesCS5D01G551200;TraesCS1D01G030500;TraesCS3A01G530000;TraesCS1D01G404400;TraesCS2A01G342600;TraesCS4B01G115800;TraesCS7A01G381900;TraesCS3A01G251200;TraesCS4A01G315700;TraesCS7D01G442100;TraesCS5B01G563800;TraesCS6B01G067600;TraesCS7B01G310100;TraesCS2D01G059400;TraesCS3D01G083400;TraesCS2D01G279300;TraesCS4B01G025500;TraesCS6A01G267300;TraesCS3B01G370200;TraesCS6A01G259000;TraesCS2B01G098800;TraesCS3A01G304900;TraesCS5B01G037500;TraesCS2D01G057900;TraesCS2A01G296400;TraesCS5B01G295200;TraesCS2B01G174700;TraesCS5B01G115000;TraesCS7B01G184800;TraesCS1D01G260200;TraesCS3D01G304800;TraesCSU01G036900;TraesCS5A01G036600;TraesCS1B01G213300;TraesCS7D01G378400;TraesCS5A01G057500;TraesCS2B01G122500;TraesCS7D01G447100;TraesCS5B01G510500;TraesCS1B01G293500;TraesCS5D01G223700;TraesCS6B01G151900;TraesCS1D01G199100;TraesCS5B01G147600;TraesCS6D01G283300;TraesCS3D01G514100;TraesCS5B01G256400;TraesCS1B01G337800;TraesCS2A01G239200;TraesCS5D01G341200;TraesCS5A01G020800;TraesCS7A01G329600;TraesCS1A01G284300;TraesCS6B01G171600;TraesCS1B01G434400;TraesCS4B01G073200;TraesCS2B01G270300;TraesCS6A01G319100;TraesCS7A01G452800;TraesCS5A01G460600;TraesCS1A01G309200;TraesCS2A01G252400;TraesCS6A01G161200;TraesCS6B01G189000;TraesCS4A01G093100;TraesCS7B01G207300;TraesCS2A01G403100</t>
  </si>
  <si>
    <t>modification of morphology or physiology of other organism</t>
  </si>
  <si>
    <t>TraesCS6A01G123800;TraesCS4B01G252400;TraesCS3A01G023800;TraesCS1D01G440900;TraesCS4A01G494400;TraesCS2A01G246200;TraesCS7B01G085700;TraesCS3D01G411200;TraesCS2D01G362700;TraesCS3A01G275700;TraesCS3A01G334800;TraesCS5A01G548800;TraesCS4B01G133200;TraesCS2B01G263600;TraesCS4A01G119800;TraesCS2D01G328100;TraesCS1A01G112800;TraesCS3A01G402500;TraesCS5D01G366500;TraesCS2A01G262700;TraesCS3B01G309400;TraesCS6A01G336800;TraesCS7B01G162300;TraesCS4D01G252700;TraesCS7A01G264300;TraesCS4A01G254100;TraesCS4A01G185400;TraesCS2D01G249200;TraesCS5B01G102600;TraesCS2A01G097900;TraesCS2A01G246700;TraesCS5A01G357400;TraesCS7A01G285800;TraesCS7B01G411000;TraesCS1A01G111100;TraesCS2D01G246100;TraesCS6A01G312100;TraesCS5B01G136500;TraesCS1D01G058300;TraesCS2D01G248600;TraesCS4A01G051900;TraesCS3D01G275600;TraesCS6D01G113900;TraesCS6B01G151900;TraesCS7B01G177700;TraesCS7D01G265200;TraesCS6D01G210000;TraesCS7D01G284200;TraesCS2B01G263300;TraesCS6A01G225200;TraesCS2A01G239200;TraesCS2B01G257300;TraesCS7A01G004000;TraesCS3A01G530100;TraesCS6B01G161800;TraesCS4B01G276500;TraesCS4D01G359000;TraesCS7D01G004500;TraesCS2D01G524500;TraesCS3B01G298400;TraesCS1A01G152800;TraesCS1A01G431600;TraesCS3B01G435900;TraesCS6B01G256400;TraesCS1D01G229400;TraesCS1A01G144300;TraesCS2B01G304900;TraesCS6B01G342300;TraesCS4A01G078800;TraesCS3D01G328100;TraesCS3D01G423300;TraesCS6D01G062500</t>
  </si>
  <si>
    <t>catalytic activity, acting on RNA</t>
  </si>
  <si>
    <t>TraesCS2B01G528300;TraesCS3D01G236200;TraesCS4B01G226100;TraesCS1A01G155200;TraesCS3D01G495100;TraesCS1D01G094400;TraesCS7B01G197000;TraesCS5A01G407700;TraesCS3D01G434800;TraesCS5B01G412500;TraesCS7D01G283900;TraesCS1D01G153900;TraesCS4D01G189600;TraesCSU01G135100;TraesCS4A01G116000;TraesCS5D01G417600;TraesCS3B01G265000;TraesCS1B01G443200</t>
  </si>
  <si>
    <t>TraesCS3A01G151100;TraesCS3D01G426300;TraesCS6A01G143300;TraesCS5B01G036800;TraesCS3A01G367000;TraesCS6B01G171600;TraesCS7D01G283600;TraesCS4B01G204500;TraesCS4D01G135000;TraesCS6A01G303800;TraesCS6D01G163700;TraesCS6A01G267300;TraesCS6D01G132500;TraesCS6D01G283300;TraesCS7D01G121200;TraesCS2D01G238600</t>
  </si>
  <si>
    <t>TraesCS1D01G265200;TraesCS5A01G157000;TraesCS6A01G290600;TraesCS5D01G162400;TraesCS1B01G159900;TraesCS7D01G000100;TraesCS5B01G155200</t>
  </si>
  <si>
    <t>regulation of stomatal movement</t>
  </si>
  <si>
    <t>TraesCS6D01G364900;TraesCS2D01G477200;TraesCS5D01G193000;TraesCS2B01G260800;TraesCS5A01G229500;TraesCS4D01G278500;TraesCS7B01G176200;TraesCS5A01G357600;TraesCS5B01G228300;TraesCS2A01G400900;TraesCS3D01G258900;TraesCS1A01G369600;TraesCS3A01G336100;TraesCS5B01G185700;TraesCS6A01G380200;TraesCS4A01G023500;TraesCS5D01G366700;TraesCS2A01G478000;TraesCS2D01G241800;TraesCS2A01G235900;TraesCS6A01G269700;TraesCS2D01G398400;TraesCS4A01G254100;TraesCS6B01G419000;TraesCS2A01G382000;TraesCS5B01G360200;TraesCS6B01G315800;TraesCS2B01G501300</t>
  </si>
  <si>
    <t>TraesCS3D01G264800;TraesCS3A01G264700;TraesCS5D01G013100;TraesCS4A01G364400;TraesCS2A01G286500;TraesCS1D01G155800;TraesCS4A01G276300;TraesCS1D01G331000;TraesCS1B01G290800;TraesCS1D01G280900;TraesCS5A01G092400;TraesCS4A01G164900;TraesCS2D01G242100;TraesCS4B01G204500;TraesCS1D01G149900;TraesCS6B01G257900;TraesCS5B01G509100;TraesCS2B01G303300;TraesCS6D01G212000;TraesCS7B01G124100;TraesCS6D01G283300;TraesCS3D01G237100;TraesCS2D01G014800;TraesCS4A01G124000;TraesCS1A01G158500;TraesCS4A01G013500;TraesCS5A01G467500;TraesCS1B01G478800;TraesCS1A01G281700;TraesCS2D01G229600;TraesCS6A01G303800;TraesCS2B01G273900;TraesCS4A01G005000;TraesCS2B01G004000;TraesCS2A01G223600;TraesCS2B01G207000;TraesCS5A01G004200</t>
  </si>
  <si>
    <t>TraesCS3A01G151100;TraesCS3D01G426300;TraesCS6A01G312200;TraesCS3D01G495100;TraesCS1A01G195500;TraesCS3D01G250600;TraesCS2A01G193800;TraesCS3A01G250200;TraesCS5A01G324200;TraesCS2D01G467900;TraesCSU01G047800;TraesCS1D01G199100;TraesCS2D01G194000;TraesCS1D01G086600;TraesCS2A01G467900;TraesCS2D01G238600;TraesCS3B01G279700;TraesCS6D01G147700;TraesCS6D01G122800;TraesCS3D01G341200;TraesCS2B01G297800;TraesCS6D01G291600;TraesCS3D01G228800;TraesCS3D01G083400;TraesCS6B01G342400;TraesCS2A01G280500;TraesCS5B01G324800;TraesCS6A01G133100;TraesCS6D01G163700;TraesCS2D01G279300;TraesCS3A01G082700;TraesCS5D01G459800;TraesCS6A01G163500;TraesCS3A01G224800</t>
  </si>
  <si>
    <t>TraesCS4D01G135000;TraesCS3D01G426300;TraesCS6A01G303800;TraesCS5B01G036800;TraesCS1A01G086500;TraesCS6A01G267300;TraesCS3A01G228000;TraesCS3A01G367000;TraesCS6D01G283300;TraesCS7D01G283600;TraesCS2D01G238600;TraesCS4B01G204500</t>
  </si>
  <si>
    <t>TraesCS2D01G477200;TraesCS2B01G260800;TraesCS5A01G229500;TraesCS2B01G418400;TraesCS4D01G278500;TraesCS3B01G427600;TraesCS6D01G297600;TraesCS7B01G176200;TraesCS1B01G213600;TraesCS5B01G228300;TraesCS3D01G464300;TraesCS1D01G315700;TraesCS2B01G133300;TraesCS6A01G021300;TraesCS2A01G400900;TraesCS1A01G369600;TraesCS2B01G263600;TraesCS5D01G248300;TraesCS3A01G336100;TraesCS2A01G400300;TraesCS6A01G380200;TraesCS4A01G023500;TraesCS5D01G366700;TraesCS7D01G490800;TraesCS2D01G241800;TraesCS5B01G057300;TraesCS6B01G348700;TraesCS1A01G154400;TraesCS2A01G235900;TraesCS2D01G520000;TraesCS4A01G254100;TraesCS6A01G293400;TraesCS1B01G250100;TraesCS2D01G279100;TraesCS3D01G356400;TraesCS3A01G406100;TraesCS6B01G315800;TraesCS3B01G439800;TraesCS6D01G364900;TraesCS5D01G193000;TraesCS5B01G413400;TraesCS6D01G274300;TraesCS2D01G114900;TraesCS2A01G246700;TraesCS1D01G245200;TraesCS6B01G135900;TraesCS5A01G241800;TraesCS1D01G337900;TraesCS6A01G318400;TraesCS5A01G357600;TraesCS2D01G467900;TraesCS1B01G170600;TraesCS3D01G258900;TraesCS5B01G185700;TraesCS2A01G467900;TraesCS3B01G249200;TraesCS3A01G395800;TraesCS3A01G530100;TraesCS2A01G478000;TraesCS3D01G540200;TraesCS2B01G297600;TraesCS6A01G269700;TraesCS2D01G398400;TraesCS3A01G362600;TraesCS4A01G298700;TraesCS4D01G120900;TraesCS6B01G323800;TraesCS6B01G419000;TraesCS2A01G382000;TraesCS1A01G198600;TraesCS5B01G360200;TraesCS3D01G389400;TraesCS3D01G423300;TraesCS2B01G501300</t>
  </si>
  <si>
    <t>TraesCS3D01G426300;TraesCS1D01G155100;TraesCS7D01G250100;TraesCS5D01G166000;TraesCS1A01G180200;TraesCS6A01G113000;TraesCS1D01G409700;TraesCS3A01G367000;TraesCS7D01G449900;TraesCS2A01G521400;TraesCS7D01G283600;TraesCS5A01G092400;TraesCS1B01G049300;TraesCS4B01G204500;TraesCS2B01G592500;TraesCS2D01G362700;TraesCS5B01G476900;TraesCS6B01G151900;TraesCS3D01G273800;TraesCS3D01G162700;TraesCS6D01G283300;TraesCS2B01G227800;TraesCS2D01G238600;TraesCS7B01G242800;TraesCS4A01G138800;TraesCS1B01G337800;TraesCS1D01G325500;TraesCS7D01G349600;TraesCS5B01G036800;TraesCS2D01G208300;TraesCS5B01G158500;TraesCS7D01G339300;TraesCS1A01G324800;TraesCS4A01G120000;TraesCS5A01G161200;TraesCS4D01G135000;TraesCS6A01G303800;TraesCS4B01G109700;TraesCS5D01G429200;TraesCS6A01G267300;TraesCS3A01G295400;TraesCS7D01G000100;TraesCS1B01G200300;TraesCS2A01G200500;TraesCS2D01G162900;TraesCS7A01G252000</t>
  </si>
  <si>
    <t>TraesCS4A01G125000;TraesCS2D01G324900;TraesCS5B01G409400;TraesCS7A01G351100;TraesCS2B01G271300;TraesCS5A01G468600;TraesCS5D01G481500;TraesCS5D01G099800;TraesCS7A01G368900;TraesCS5A01G513500;TraesCS5B01G531900;TraesCS4B01G213600;TraesCS2B01G343900;TraesCS2B01G528300;TraesCS5D01G530200;TraesCS4A01G065400;TraesCS4D01G214300;TraesCS4B01G117900;TraesCS7D01G025000;TraesCS5D01G201300;TraesCS7D01G327700;TraesCS3A01G151100;TraesCS7B01G350400;TraesCS3D01G428300;TraesCS6D01G224200;TraesCS3B01G362100;TraesCS6B01G219700;TraesCS1D01G155800;TraesCS6A01G312100;TraesCS6D01G182200;TraesCS4B01G200300;TraesCS4B01G347000;TraesCS6D01G390000;TraesCS4A01G197700;TraesCS5D01G504600;TraesCS6A01G105400;TraesCS3D01G240800;TraesCS4D01G151500;TraesCS1B01G254000;TraesCS4A01G197600;TraesCSU01G093800;TraesCS3A01G435700;TraesCS6D01G162200;TraesCS1A01G001800;TraesCS7A01G304400;TraesCS6D01G298300;TraesCS3A01G077600;TraesCS4A01G091100;TraesCS1D01G409700;TraesCS4A01G167000;TraesCS4D01G341900;TraesCS7D01G439900;TraesCS6B01G282200;TraesCS6B01G450500;TraesCS3D01G325800;TraesCS4B01G242800;TraesCS3B01G268900;TraesCS3A01G332300;TraesCS4B01G179400;TraesCS1D01G315700;TraesCS4D01G115600;TraesCS4B01G263100;TraesCS6D01G094200;TraesCS4D01G339700;TraesCS1D01G003700;TraesCS1D01G242500;TraesCS4A01G042500;TraesCS6B01G134800;TraesCS2A01G338100;TraesCS3D01G271800;TraesCS7A01G450600;TraesCS3A01G272200;TraesCS4B01G164800;TraesCS4D01G263300;TraesCS4B01G344600;TraesCS1D01G134300;TraesCS5B01G503800;TraesCS3B01G257700;TraesCS3B01G306000;TraesCS3D01G268700;TraesCS4A01G144500;TraesCS4D01G115500;TraesCS5A01G515700;TraesCS2A01G467900;TraesCS6D01G174500;TraesCS4D01G039100;TraesCS6B01G331800;TraesCS3B01G470400;TraesCS5B01G036800;TraesCS1A01G158500;TraesCS4A01G342800;TraesCS4B01G041900;TraesCS5B01G481100;TraesCS4B01G117800;TraesCS6A01G319100;TraesCS5B01G534400;TraesCS7B01G421100;TraesCS6B01G342300;TraesCS3A01G268600;TraesCS3B01G303000;TraesCS7D01G499800;TraesCS4D01G242400;TraesCS3D01G224800;TraesCS5B01G121000</t>
  </si>
  <si>
    <t>PCNA complex</t>
  </si>
  <si>
    <t>DNA polymerase processivity factor complex</t>
  </si>
  <si>
    <t>TraesCS3D01G426300;TraesCS5B01G036800;TraesCS3A01G367000;TraesCS4B01G152900;TraesCS3D01G150400;TraesCS7D01G283600;TraesCS4B01G204500;TraesCS4D01G135000;TraesCS6A01G303800;TraesCS6A01G267300;TraesCS3A01G134100;TraesCS6D01G283300;TraesCS2D01G238600</t>
  </si>
  <si>
    <t>response to virus</t>
  </si>
  <si>
    <t>TraesCS3D01G264800;TraesCS3A01G212600;TraesCS4B01G252400;TraesCS3A01G023800;TraesCS5D01G258900;TraesCS7B01G352800;TraesCS5A01G489100;TraesCS5B01G249000;TraesCS4A01G129200;TraesCS5B01G132600;TraesCS1D01G401900;TraesCS5D01G219500;TraesCS6A01G290600;TraesCS1A01G361400;TraesCS3A01G059600;TraesCS6A01G321600;TraesCS2A01G387000;TraesCS2A01G222600;TraesCS5B01G407500;TraesCS1B01G377800;TraesCS7D01G196000;TraesCS6B01G159200;TraesCS6B01G352400;TraesCS2B01G528300;TraesCS1B01G422200;TraesCS5D01G366500;TraesCS6B01G249700;TraesCS2A01G262700;TraesCS7A01G192000;TraesCS7A01G327600;TraesCS7B01G100000;TraesCS7D01G442100;TraesCS5A01G467500;TraesCS4B01G354600;TraesCS6B01G192500;TraesCS5B01G102600;TraesCS5D01G113700;TraesCS5B01G324800;TraesCS6A01G234000;TraesCS5A01G132300;TraesCS2D01G233900;TraesCS4A01G324400;TraesCS5A01G101900;TraesCS7D01G193000;TraesCS6D01G301300;TraesCS3A01G264700;TraesCS2A01G234200;TraesCS5B01G155100;TraesCS5A01G357400;TraesCS5D01G105500;TraesCS7B01G197000;TraesCS3A01G214000;TraesCS2A01G150000;TraesCS2D01G242100;TraesCS4A01G051900;TraesCS2B01G122500;TraesCS5A01G015100;TraesCS3D01G275600;TraesCS4B01G397700;TraesCS5A01G324200;TraesCS5B01G509100;TraesCS6B01G262800;TraesCS1A01G313300;TraesCS6D01G210000;TraesCS6D01G216300;TraesCS2D01G148200;TraesCS7A01G220600;TraesCS2B01G248100;TraesCS7A01G448800;TraesCS2A01G467900;TraesCS4A01G247300;TraesCS5D01G412700;TraesCS6D01G147700;TraesCS6A01G231900;TraesCS7B01G097000;TraesCS5A01G251000;TraesCS6A01G225200;TraesCS2A01G216100;TraesCS3A01G417000;TraesCS5B01G397300;TraesCS3D01G412500;TraesCS7A01G452800;TraesCS6B01G256400;TraesCS3B01G072200;TraesCS4A01G353400;TraesCS6A01G158800;TraesCS1B01G378000;TraesCS5B01G316400;TraesCS6A01G163500;TraesCS2B01G157600;TraesCS5A01G212500;TraesCS1B01G447500;TraesCS2B01G207000;TraesCS2D01G105300</t>
  </si>
  <si>
    <t>mitochondrion</t>
  </si>
  <si>
    <t>TraesCS2B01G325100;TraesCS5A01G251000;TraesCS5D01G258900;TraesCS5B01G249000;TraesCS1A01G165700</t>
  </si>
  <si>
    <t>protein import into chloroplast stroma</t>
  </si>
  <si>
    <t>TraesCS2A01G517900;TraesCS5B01G270200;TraesCS3A01G023800;TraesCS3D01G231200;TraesCS6B01G213100;TraesCS1D01G449000;TraesCS5A01G189600;TraesCS2D01G362700;TraesCS3D01G380100;TraesCS1A01G206900;TraesCS2D01G118000;TraesCS7A01G368900;TraesCS7A01G222800;TraesCS1D01G210200;TraesCS5D01G229900;TraesCS4A01G432400;TraesCS4A01G138800;TraesCS1B01G220700;TraesCS1A01G246800;TraesCS5A01G192000;TraesCS5A01G119300;TraesCS3D01G137800;TraesCS4B01G069200;TraesCS6D01G244900;TraesCS5B01G220900;TraesCS5B01G387600;TraesCS5D01G201300;TraesCS3D01G421500;TraesCS2D01G246100;TraesCS6A01G312100;TraesCS6D01G182200;TraesCS2D01G310000;TraesCS2B01G328500;TraesCS3A01G137000;TraesCS5B01G409700;TraesCS2D01G519500;TraesCS4B01G158000;TraesCS4A01G101500;TraesCS2A01G239200;TraesCS2B01G257300;TraesCS4D01G204000;TraesCS3B01G088300;TraesCS7B01G129300;TraesCS7A01G304400;TraesCS7D01G224400;TraesCS1A01G133500;TraesCS6B01G342300;TraesCS4A01G355100;TraesCS5B01G517400;TraesCS5A01G199600</t>
  </si>
  <si>
    <t>mRNA metabolic process</t>
  </si>
  <si>
    <t>TraesCS2D01G208300;TraesCS2A01G521400;TraesCS2A01G585800;TraesCS4A01G078900;TraesCS4B01G245400;TraesCS5B01G171400;TraesCS1B01G049300;TraesCS5B01G339200;TraesCS2B01G592500;TraesCS6B01G231600;TraesCS4D01G244000;TraesCS3B01G154900;TraesCS2A01G392900;TraesCS2B01G227800;TraesCS5A01G472100;TraesCS2A01G467900;TraesCS5D01G504600;TraesCS2A01G200500;TraesCS7D01G326000</t>
  </si>
  <si>
    <t>pattern specification process</t>
  </si>
  <si>
    <t>TraesCS5D01G418000;TraesCS3B01G574300;TraesCS7B01G006600;TraesCS2A01G234200;TraesCS1D01G241000;TraesCS1A01G241000;TraesCS5A01G408100;TraesCS4A01G290400;TraesCS1D01G277100;TraesCS7A01G108600;TraesCS3D01G514100;TraesCS4B01G028100;TraesCS7D01G322000;TraesCS4D01G153900;TraesCS2D01G214700;TraesCS3A01G530100;TraesCS4D01G025700;TraesCS4D01G021400;TraesCS2B01G259100;TraesCS3A01G288200;TraesCS2B01G234500;TraesCS7A01G509200;TraesCS7B01G226100;TraesCS1A01G278000;TraesCS4B01G023800;TraesCS7A01G325400;TraesCS2D01G594500;TraesCS4A01G158400;TraesCS4B01G162900;TraesCS7D01G103500;TraesCS4A01G286700</t>
  </si>
  <si>
    <t>TraesCS3D01G426300;TraesCS5D01G420300;TraesCS7A01G005100;TraesCS1A01G323600;TraesCS1D01G409700;TraesCS3A01G367000;TraesCS4A01G167000;TraesCS7D01G283600;TraesCS1B01G049300;TraesCS2B01G592500;TraesCS2D01G362700;TraesCS4B01G286700;TraesCS5A01G548800;TraesCS2D01G205900;TraesCS2D01G427900;TraesCS5A01G024600;TraesCS5D01G332000;TraesCS3B01G441000;TraesCS3D01G513500;TraesCS6A01G143300;TraesCS5D01G473800;TraesCS6D01G122800;TraesCS1B01G216300;TraesCS7D01G035000;TraesCS2D01G522500;TraesCS4D01G135000;TraesCS5A01G411500;TraesCS3B01G324500;TraesCS5D01G429200;TraesCS6A01G133100;TraesCS5B01G471200;TraesCS6A01G267300;TraesCS5A01G344100;TraesCS1D01G444900;TraesCS2A01G361100;TraesCS2B01G597700;TraesCS4B01G164800;TraesCS2B01G467500;TraesCS6D01G028400;TraesCS7A01G294200;TraesCS2A01G200500;TraesCS3A01G151100;TraesCS7A01G464600;TraesCS2B01G550200;TraesCS7B01G186500;TraesCS1A01G180200;TraesCS3D01G474200;TraesCS2D01G565200;TraesCS5B01G415100;TraesCS7D01G040400;TraesCS4D01G089800;TraesCS3D01G289600;TraesCS5A01G424400;TraesCS4B01G204500;TraesCS3A01G189400;TraesCS4D01G004000;TraesCS5B01G344300;TraesCS5A01G395200;TraesCS6B01G100000;TraesCS6D01G396700;TraesCS6D01G132500;TraesCS6D01G283300;TraesCS2B01G227800;TraesCS2D01G238600;TraesCS1A01G101300;TraesCS3A01G091100;TraesCS2A01G446600;TraesCS7D01G349600;TraesCS5B01G036800;TraesCS3D01G091000;TraesCS4B01G276500;TraesCS4D01G359000;TraesCS2D01G208300;TraesCS2D01G545300;TraesCS6B01G171600;TraesCS4B01G180100;TraesCS3A01G068500;TraesCS5B01G229300;TraesCS5B01G534400;TraesCS6A01G303800;TraesCS2B01G264100;TraesCS4B01G109700;TraesCS4B01G285000;TraesCS5B01G471300;TraesCS1A01G016200;TraesCS3A01G295400;TraesCS5D01G098800;TraesCS6B01G099900;TraesCS6B01G428300;TraesCS6B01G428100;TraesCS4A01G093100;TraesCS1B01G200300;TraesCS6D01G028300;TraesCS1A01G035900;TraesCS6D01G399000</t>
  </si>
  <si>
    <t>defense response</t>
  </si>
  <si>
    <t>TraesCS6B01G352400;TraesCS5B01G127300;TraesCS6A01G321600;TraesCS5A01G128300;TraesCS5D01G135900;TraesCS6D01G301300</t>
  </si>
  <si>
    <t>polyprenol metabolic process</t>
  </si>
  <si>
    <t>TraesCS3A01G330200;TraesCS4D01G085900;TraesCS4B01G088400;TraesCS4A01G227500;TraesCS2A01G022000;TraesCS2D01G022800</t>
  </si>
  <si>
    <t>DNA-(apurinic or apyrimidinic site) lyase activity</t>
  </si>
  <si>
    <t>acetyl-CoA metabolic process</t>
  </si>
  <si>
    <t>TraesCS5A01G251000;TraesCS5D01G258900;TraesCS5B01G249000</t>
  </si>
  <si>
    <t>response to chlorate</t>
  </si>
  <si>
    <t>TraesCS6D01G299200;TraesCS3A01G381000;TraesCS6A01G319700</t>
  </si>
  <si>
    <t>pigment binding</t>
  </si>
  <si>
    <t>TraesCS2B01G340300;TraesCS4A01G226900;TraesCS2A01G342600</t>
  </si>
  <si>
    <t>photosystem II antenna complex</t>
  </si>
  <si>
    <t>meiotic mismatch repair involved in reciprocal meiotic recombination</t>
  </si>
  <si>
    <t>meiotic mismatch repair</t>
  </si>
  <si>
    <t>TraesCS1A01G206900;TraesCS1D01G210200;TraesCS1B01G220700</t>
  </si>
  <si>
    <t>zeinoxanthin epsilon hydroxylase activity</t>
  </si>
  <si>
    <t>carotene epsilon hydroxylase activity</t>
  </si>
  <si>
    <t>TraesCS2D01G477200;TraesCS2B01G260800;TraesCS5A01G229500;TraesCS2B01G418400;TraesCS4D01G278500;TraesCS3B01G427600;TraesCS6D01G297600;TraesCS7B01G176200;TraesCS1B01G213600;TraesCS5B01G228300;TraesCS3D01G464300;TraesCS1D01G315700;TraesCS2B01G133300;TraesCS6A01G021300;TraesCS2A01G400900;TraesCS1A01G369600;TraesCS2B01G263600;TraesCS5D01G248300;TraesCS3A01G336100;TraesCS2A01G400300;TraesCS6A01G380200;TraesCS4A01G023500;TraesCS5D01G366700;TraesCS7D01G490800;TraesCS2D01G241800;TraesCS5B01G057300;TraesCS6B01G348700;TraesCS1A01G154400;TraesCS2A01G235900;TraesCS2D01G520000;TraesCS4A01G254100;TraesCS6A01G293400;TraesCS1B01G250100;TraesCS2D01G279100;TraesCS3D01G356400;TraesCS3A01G406100;TraesCS6B01G315800;TraesCS3B01G439800;TraesCS6D01G364900;TraesCS5D01G193000;TraesCS5B01G413400;TraesCS6D01G274300;TraesCS2D01G114900;TraesCS2A01G246700;TraesCS1D01G245200;TraesCS6B01G135900;TraesCS5A01G241800;TraesCS1D01G337900;TraesCS6A01G318400;TraesCS5A01G357600;TraesCS4D01G068100;TraesCS2D01G467900;TraesCS1B01G170600;TraesCS3D01G258900;TraesCS5B01G185700;TraesCS2A01G467900;TraesCS3B01G249200;TraesCS3A01G395800;TraesCS3A01G530100;TraesCS2A01G478000;TraesCS3D01G540200;TraesCS2B01G297600;TraesCS6A01G269700;TraesCS2D01G398400;TraesCS3A01G362600;TraesCS4A01G298700;TraesCS4D01G120900;TraesCS6B01G323800;TraesCS4B01G069300;TraesCS6B01G419000;TraesCS2A01G382000;TraesCS1A01G198600;TraesCS5B01G360200;TraesCS3D01G389400;TraesCS4A01G246100;TraesCS3D01G423300;TraesCS2B01G501300</t>
  </si>
  <si>
    <t>TraesCS3D01G228800;TraesCS6A01G143300;TraesCS6D01G132500;TraesCS6B01G171600;TraesCS3A01G224800;TraesCS4B01G168300;TraesCS1D01G058300</t>
  </si>
  <si>
    <t>protoporphyrinogen IX biosynthetic process</t>
  </si>
  <si>
    <t>protoporphyrinogen IX metabolic process</t>
  </si>
  <si>
    <t>TraesCS2B01G315300;TraesCS2A01G066800;TraesCS4B01G168300;TraesCS2A01G066700;TraesCS5A01G165700;TraesCSU01G047800;TraesCS4D01G170800;TraesCS5B01G162800;TraesCS3B01G254400;TraesCS2A01G067200;TraesCS5D01G169900;TraesCS5A01G165400;TraesCS5D01G169600;TraesCS3D01G228800;TraesCS2B01G079500;TraesCS2D01G065600;TraesCS2D01G065200;TraesCS2D01G065300;TraesCS2D01G065100;TraesCS2B01G079400;TraesCS3A01G224800;TraesCS5D01G138500;TraesCS2B01G079200;TraesCS2D01G296800;TraesCS2B01G079100</t>
  </si>
  <si>
    <t>TraesCS3D01G426300;TraesCS1D01G155100;TraesCS7D01G227300;TraesCS7D01G292000;TraesCS7D01G449900;TraesCS5B01G249000;TraesCS6B01G454500;TraesCS1D01G226500;TraesCS7B01G363100;TraesCS5A01G092400;TraesCS4B01G168300;TraesCS1B01G049300;TraesCS6B01G470700;TraesCS5D01G162400;TraesCS2D01G492600;TraesCS4A01G226900;TraesCS3D01G273800;TraesCS5A01G513500;TraesCS7A01G461700;TraesCS5D01G372500;TraesCS4B01G288200;TraesCS3B01G398000;TraesCS1D01G265200;TraesCS2B01G528300;TraesCS6A01G418800;TraesCS4B01G152900;TraesCS1A01G324800;TraesCS3B01G185300;TraesCS3D01G150400;TraesCS5D01G532100;TraesCS7A01G190700;TraesCS1A01G376400;TraesCS4D01G135000;TraesCS3B01G324500;TraesCS5D01G429200;TraesCS2D01G233900;TraesCS3A01G134100;TraesCS7A01G294200;TraesCS2A01G200500;TraesCS2D01G162900;TraesCS6D01G301300;TraesCS3A01G151100;TraesCS3D01G428300;TraesCS7D01G250100;TraesCS3A01G478800;TraesCS6A01G203700;TraesCS7B01G186500;TraesCS1A01G180200;TraesCS3D01G289600;TraesCS4B01G204500;TraesCS5B01G263800;TraesCS5B01G476900;TraesCS2B01G227800;TraesCS7D01G349600;TraesCS5A01G251000;TraesCS4A01G015800;TraesCS7D01G339300;TraesCS4A01G120000;TraesCS6D01G166400;TraesCS5A01G157000;TraesCS6A01G303800;TraesCS4B01G109700;TraesCS4D01G275500;TraesCS5D01G459800;TraesCS1D01G125500;TraesCS3A01G310200;TraesCS1B01G200300;TraesCS4D01G181000;TraesCS2D01G105300;TraesCS5D01G258900;TraesCS5D01G166000;TraesCS6A01G113000;TraesCS1D01G409700;TraesCS3A01G367000;TraesCS2A01G521400;TraesCS5B01G155200;TraesCS5B01G171400;TraesCS7D01G283600;TraesCS3A01G212000;TraesCS3B01G423600;TraesCS2B01G592500;TraesCS2D01G362700;TraesCS6A01G290600;TraesCS6A01G321600;TraesCS3D01G162700;TraesCS1D01G086600;TraesCS2D01G238700;TraesCS4A01G138800;TraesCS1D01G325500;TraesCS4D01G339700;TraesCS4A01G262900;TraesCS6B01G352400;TraesCS1B01G396800;TraesCS6B01G348700;TraesCS1D01G404400;TraesCS5A01G161200;TraesCS5A01G429300;TraesCS6A01G267300;TraesCS6A01G408400;TraesCS5B01G387600;TraesCS1D01G383500;TraesCS2B01G520500;TraesCS7A01G252000;TraesCS4B01G193400;TraesCS4B01G244400;TraesCS6A01G188100;TraesCS2B01G122500;TraesCS1A01G254400;TraesCS2A01G492300;TraesCS5A01G395200;TraesCS6B01G151900;TraesCS6D01G283300;TraesCS2D01G238600;TraesCS7B01G242800;TraesCS2B01G154700;TraesCS1B01G337800;TraesCS4A01G247300;TraesCS6D01G147700;TraesCS2D01G300400;TraesCS5B01G036800;TraesCS2A01G132200;TraesCS2A01G480200;TraesCSU01G117300;TraesCS5A01G020800;TraesCS2D01G208300;TraesCS5B01G158500;TraesCS4B01G180100;TraesCS7D01G280600;TraesCS3A01G295400;TraesCS7D01G000100;TraesCS6A01G163500;TraesCS4A01G093100</t>
  </si>
  <si>
    <t>TraesCS3A01G151100;TraesCS3D01G426300;TraesCS5D01G420300;TraesCS5B01G415100;TraesCS5B01G155100;TraesCS7D01G283600;TraesCS4A01G165600;TraesCS1A01G195500;TraesCS3B01G046100;TraesCS6A01G290600;TraesCS2A01G193800;TraesCS1A01G206900;TraesCS3D01G041900;TraesCS5D01G026000;TraesCS7A01G314100;TraesCS1D01G199100;TraesCS4D01G159800;TraesCS1D01G210200;TraesCS2D01G194000;TraesCS2D01G238600;TraesCS1B01G220700;TraesCS5B01G036800;TraesCS6D01G122800;TraesCS4B01G150600;TraesCS4D01G157500;TraesCS5D01G108700;TraesCS2B01G297800;TraesCS5A01G411500;TraesCS1D01G198700;TraesCS3D01G083400;TraesCS2A01G280500;TraesCS6A01G133100;TraesCS2D01G279300;TraesCS3A01G082700;TraesCS3A01G191700;TraesCS5A01G096100;TraesCS7B01G113100;TraesCS3A01G484800;TraesCS5B01G102000</t>
  </si>
  <si>
    <t>fatty acid biosynthetic process</t>
  </si>
  <si>
    <t>TraesCS1A01G254400;TraesCS6D01G147700;TraesCS2B01G528300;TraesCS7B01G186500;TraesCS5B01G476900;TraesCS7D01G292000;TraesCS7D01G000100;TraesCS6A01G163500;TraesCS3A01G310200;TraesCS1D01G086600;TraesCS7A01G294200</t>
  </si>
  <si>
    <t>response to fructose</t>
  </si>
  <si>
    <t>TraesCS2B01G340300;TraesCS3A01G381000;TraesCS4A01G226900;TraesCS2A01G342600;TraesCS2B01G234500</t>
  </si>
  <si>
    <t>nonphotochemical quenching</t>
  </si>
  <si>
    <t>energy quenching</t>
  </si>
  <si>
    <t>TraesCS3A01G178600;TraesCS5D01G044400;TraesCS2A01G261600;TraesCS2D01G288200;TraesCS6A01G018600;TraesCS3A01G478100;TraesCS5A01G059300;TraesCS1B01G049300;TraesCS5D01G162400;TraesCS6D01G344200;TraesCS4B01G286700;TraesCS5B01G141000;TraesCS1A01G231100;TraesCS3B01G398000;TraesCS5D01G374000;TraesCS1A01G099500;TraesCS4B01G226100;TraesCS5D01G181600;TraesCS2D01G543700;TraesCS5B01G349800;TraesCS6D01G001700;TraesCS4A01G116000;TraesCS3A01G205100;TraesCS4B01G323000;TraesCS5D01G044900;TraesCS1D01G107400;TraesCS5A01G365100;TraesCS2B01G342200;TraesCS2D01G322900;TraesCS4D01G068100;TraesCS5A01G424400;TraesCS1D01G058300;TraesCS1D01G241800;TraesCS6B01G301300;TraesCS2B01G267100;TraesCS7A01G448800;TraesCS2A01G071600;TraesCS3B01G566600;TraesCS7B01G005700;TraesCS3B01G590000;TraesCS4B01G205200;TraesCS5A01G142200;TraesCS5B01G174600;TraesCS5A01G302400;TraesCS4B01G069300;TraesCS5A01G157000;TraesCS6B01G175600;TraesCS7A01G509200;TraesCS2B01G264100;TraesCS6B01G393600;TraesCS6D01G135800;TraesCS5D01G432900;TraesCS3B01G206100;TraesCS2A01G168400;TraesCS3D01G210300;TraesCS5A01G495100;TraesCS1B01G253500;TraesCS5B01G268800;TraesCS6B01G470900;TraesCS5B01G155200;TraesCS5B01G132600;TraesCS4D01G343400;TraesCS5D01G149900;TraesCS3B01G237200;TraesCS4D01G180300;TraesCS2B01G280600;TraesCS6B01G004400;TraesCS2B01G259100;TraesCS2D01G520000;TraesCS6B01G176600;TraesCS2D01G262400;TraesCS5A01G132300;TraesCS3A01G503200;TraesCS6A01G307700;TraesCS7D01G386100;TraesCS5D01G138500;TraesCS3A01G520600;TraesCS4A01G099100;TraesCS4D01G319400;TraesCS6A01G146500;TraesCS2B01G315300;TraesCS2A01G129600;TraesCS2D01G070400;TraesCS2A01G234200;TraesCS1D01G094400;TraesCS6B01G026900;TraesCS7A01G390400;TraesCS2D01G175900;TraesCS5D01G298700;TraesCS5A01G036200;TraesCS7B01G348600;TraesCS6B01G174700;TraesCS5A01G395200;TraesCS1D01G231000;TraesCS5B01G038400;TraesCS5B01G290300;TraesCS1D01G067500;TraesCS2B01G154700;TraesCS7D01G438100;TraesCS5B01G036800;TraesCS2A01G132200;TraesCS4D01G206100;TraesCS7A01G205200;TraesCS2A01G344600;TraesCS3D01G528600;TraesCS3A01G366400;TraesCS5D01G070800;TraesCS4D01G189600;TraesCS5B01G366700;TraesCS6B01G336300;TraesCS4B01G178700;TraesCS5A01G348400;TraesCS5D01G077600;TraesCS3D01G182100;TraesCS4A01G246100;TraesCS2D01G296800;TraesCS6B01G464800</t>
  </si>
  <si>
    <t>peptide secretion</t>
  </si>
  <si>
    <t>dolichol metabolic process</t>
  </si>
  <si>
    <t>TraesCS4D01G003100;TraesCS2A01G239200;TraesCS2B01G257300;TraesCS2A01G280500;TraesCS2D01G279300;TraesCS2B01G297800</t>
  </si>
  <si>
    <t>xanthophyll metabolic process</t>
  </si>
  <si>
    <t>TraesCS6D01G364900;TraesCS6B01G419000;TraesCS2B01G260800;TraesCS2D01G241800;TraesCS2A01G235900;TraesCS6A01G380200</t>
  </si>
  <si>
    <t>DNA methylation on cytosine</t>
  </si>
  <si>
    <t>DNA-methyltransferase activity</t>
  </si>
  <si>
    <t>TraesCS3D01G426300;TraesCS1A01G180200;TraesCS1D01G409700;TraesCS3A01G367000;TraesCS5B01G171400;TraesCS7D01G283600;TraesCS1B01G049300;TraesCS4B01G204500;TraesCS2B01G592500;TraesCS2D01G362700;TraesCS6B01G151900;TraesCS6D01G283300;TraesCS2B01G227800;TraesCS2D01G238600;TraesCS4A01G138800;TraesCS1B01G337800;TraesCS1D01G325500;TraesCS5B01G036800;TraesCS2D01G208300;TraesCS1A01G324800;TraesCS7A01G190700;TraesCS4D01G135000;TraesCS6A01G303800;TraesCS4B01G109700;TraesCS6A01G267300;TraesCS3A01G295400;TraesCS7D01G000100;TraesCS1B01G200300;TraesCS2A01G200500</t>
  </si>
  <si>
    <t>TraesCS2D01G094400;TraesCS6B01G112700;TraesCS6A01G314100;TraesCS3A01G103900;TraesCS4D01G120900;TraesCS2B01G592500;TraesCS3A01G189400;TraesCS2A01G492300;TraesCS3D01G527700;TraesCS5D01G429200;TraesCS2D01G492600;TraesCS6B01G344100;TraesCS4B01G288200;TraesCS3A01G521600;TraesCS4A01G138800;TraesCS2B01G520500</t>
  </si>
  <si>
    <t>RNA splicing, via endonucleolytic cleavage and ligation</t>
  </si>
  <si>
    <t>TraesCS1B01G368500;TraesCS5B01G036800;TraesCS2A01G215100;TraesCS3A01G159900;TraesCS4D01G065600;TraesCS1D01G356900;TraesCS2B01G145700;TraesCS5D01G144600;TraesCS2A01G123800;TraesCS4A01G307900;TraesCS3B01G430000;TraesCS3A01G398000;TraesCS3D01G391900;TraesCS2B01G240100;TraesCS4A01G248200;TraesCS5B01G146700;TraesCS2D01G126600</t>
  </si>
  <si>
    <t>TraesCS4A01G387000;TraesCS3A01G402500;TraesCS4D01G086000;TraesCS7D01G200800;TraesCS6D01G259500;TraesCS3D01G304800;TraesCS6A01G279100;TraesCS1A01G130700;TraesCS7B01G104400;TraesCS4B01G090000;TraesCS1D01G352300;TraesCS7A01G226000;TraesCS3B01G435900;TraesCS4D01G160000;TraesCS6D01G237400;TraesCS6B01G151900;TraesCS4B01G150300;TraesCS4D01G110500;TraesCS4A01G226500;TraesCS7A01G088100;TraesCS1B01G462200;TraesCS7A01G313900;TraesCS7D01G083200</t>
  </si>
  <si>
    <t>TraesCS1B01G368500;TraesCS6D01G172500;TraesCS5A01G123800;TraesCS6B01G223200;TraesCS6A01G201800;TraesCS1B01G253500;TraesCS6D01G186000;TraesCS1D01G356900;TraesCS4B01G091100;TraesCS1D01G241800;TraesCS5A01G221800;TraesCS3D01G228900;TraesCS1B01G304500;TraesCS1A01G060100;TraesCS2A01G460000;TraesCS3A01G412600;TraesCS4A01G193700;TraesCS3D01G407300</t>
  </si>
  <si>
    <t>TraesCS4A01G262900;TraesCS3A01G303800;TraesCS4D01G175600;TraesCS3A01G389100;TraesCS1A01G221100;TraesCS2A01G521400;TraesCS5B01G155200;TraesCS4B01G078900;TraesCS4D01G309500;TraesCS5A01G429300;TraesCS1D01G222700;TraesCS5A01G157000;TraesCS5D01G162400;TraesCS3D01G298000</t>
  </si>
  <si>
    <t>tropism</t>
  </si>
  <si>
    <t>TraesCS5D01G341200;TraesCS5B01G335500;TraesCS7A01G323200;TraesCS5A01G336500</t>
  </si>
  <si>
    <t>CAF-1 complex</t>
  </si>
  <si>
    <t>TraesCS6A01G290600;TraesCS5A01G251000;TraesCS5D01G258900;TraesCS5B01G249000</t>
  </si>
  <si>
    <t>de-etiolation</t>
  </si>
  <si>
    <t>TraesCS2A01G247300;TraesCS2A01G585800;TraesCS2D01G248400;TraesCS7D01G326000</t>
  </si>
  <si>
    <t>external encapsulating structure part</t>
  </si>
  <si>
    <t>TraesCS4A01G387000;TraesCS7D01G200800;TraesCS6D01G259500;TraesCS6A01G279100;TraesCS7A01G088100;TraesCS7B01G104400;TraesCS7A01G226000;TraesCS7D01G083200</t>
  </si>
  <si>
    <t>TraesCS1D01G264100;TraesCS6A01G360600;TraesCS2D01G179600;TraesCS3B01G083400;TraesCS3D01G231200;TraesCS6B01G213100;TraesCS1D01G226500;TraesCS2B01G348600;TraesCS2B01G250000;TraesCS1B01G196500;TraesCS3D01G065800;TraesCS1A01G315900;TraesCS6B01G238600;TraesCSU01G072700;TraesCS3D01G273800;TraesCS4B01G150300;TraesCS2D01G496200;TraesCS2D01G427900;TraesCS3A01G097200;TraesCS4B01G288200;TraesCS1B01G377800;TraesCS1D01G325500;TraesCS1D01G051300;TraesCS4A01G262900;TraesCS3A01G402500;TraesCS2A01G157700;TraesCS2B01G364900;TraesCS1A01G137000;TraesCS4B01G152900;TraesCS5B01G378700;TraesCS1D01G316200;TraesCS5A01G467500;TraesCS3B01G401100;TraesCS5B01G094600;TraesCS4D01G223400;TraesCS2A01G171900;TraesCS6B01G393500;TraesCS2B01G098800;TraesCS5D01G201300;TraesCS1D01G134300;TraesCS5A01G235800;TraesCS1A01G264000;TraesCS4D01G154300;TraesCS6B01G112700;TraesCS1A01G027200;TraesCS1A01G130700;TraesCS6A01G209800;TraesCS6D01G182200;TraesCS7A01G242000;TraesCS7D01G447100;TraesCS3A01G200400;TraesCS3D01G114000;TraesCS6D01G237400;TraesCS6B01G151900;TraesCS5D01G242900;TraesCS6D01G344100;TraesCS2D01G232300;TraesCS6D01G168300;TraesCS1A01G049300;TraesCS2D01G300400;TraesCS6D01G149800;TraesCS1B01G155600;TraesCS2A01G233300;TraesCS3A01G389100;TraesCS4A01G015800;TraesCS4A01G141000;TraesCS7A01G304400;TraesCS2A01G027000;TraesCS7D01G409000;TraesCS1A01G225100;TraesCS3B01G435900;TraesCS4D01G160000;TraesCS7D01G153000;TraesCS3D01G203400;TraesCS4B01G153500;TraesCS6B01G189000;TraesCS1A01G299500;TraesCS3B01G309700;TraesCS2A01G239000</t>
  </si>
  <si>
    <t>TraesCS3D01G264800;TraesCS5D01G013100;TraesCS6D01G121300;TraesCS5A01G092400;TraesCS5D01G219500;TraesCS5A01G108000;TraesCS1D01G313800;TraesCS2A01G222600;TraesCS3D01G237100;TraesCS7D01G083200;TraesCS2B01G528300;TraesCS5A01G014400;TraesCS1A01G355200;TraesCS4D01G107400;TraesCS6B01G159800;TraesCS7B01G104400;TraesCS7D01G228500;TraesCS1B01G478800;TraesCS2D01G229600;TraesCS2B01G273900;TraesCS1B01G325100;TraesCS5B01G324800;TraesCS6A01G158300;TraesCS2D01G233900;TraesCS7A01G088100;TraesCS2A01G223600;TraesCS5A01G004200;TraesCS1B01G366400;TraesCS4A01G387000;TraesCS3A01G264700;TraesCS7D01G200800;TraesCS6D01G259500;TraesCS6B01G307200;TraesCS2D01G242100;TraesCS4B01G204500;TraesCS5A01G324200;TraesCS1A01G313300;TraesCS6D01G283300;TraesCS2B01G248100;TraesCS4A01G247300;TraesCS5A01G014500;TraesCS4A01G206400;TraesCS6A01G279100;TraesCS7A01G226000;TraesCS4B01G109900;TraesCS6A01G303800;TraesCS4A01G005000;TraesCS3A01G276100;TraesCS3B01G309700;TraesCS5A01G212500</t>
  </si>
  <si>
    <t>TraesCS3D01G426300;TraesCS5D01G258900;TraesCS3A01G367000;TraesCS4B01G244400;TraesCS5B01G249000;TraesCS7D01G283600;TraesCS3D01G289600;TraesCS2B01G122500;TraesCS4B01G204500;TraesCS2A01G492300;TraesCS5B01G263800;TraesCS5A01G395200;TraesCS5B01G476900;TraesCS2D01G492600;TraesCS6A01G321600;TraesCS6D01G283300;TraesCS2D01G238600;TraesCS2D01G238700;TraesCS4A01G138800;TraesCS3B01G398000;TraesCS7D01G349600;TraesCS1D01G265200;TraesCS6B01G352400;TraesCS2D01G300400;TraesCS5A01G251000;TraesCS5B01G036800;TraesCS1B01G396800;TraesCS3B01G185300;TraesCS5D01G532100;TraesCS4B01G180100;TraesCS1A01G376400;TraesCS7D01G280600;TraesCS4D01G135000;TraesCS6A01G303800;TraesCS3B01G324500;TraesCS5D01G429200;TraesCS4D01G275500;TraesCS5D01G459800;TraesCS6A01G267300;TraesCS1D01G125500;TraesCS7D01G000100;TraesCS1D01G383500;TraesCS2D01G105300;TraesCS2B01G520500;TraesCS6D01G301300</t>
  </si>
  <si>
    <t>DNA (cytosine-5-)-methyltransferase activity</t>
  </si>
  <si>
    <t>defense response to virus</t>
  </si>
  <si>
    <t>TraesCS7A01G466600;TraesCS6D01G121300;TraesCS5D01G067600;TraesCS3B01G185300;TraesCS6B01G159800;TraesCS5B01G132600;TraesCS4A01G164900;TraesCS5A01G056400;TraesCS5D01G219500;TraesCS5A01G132300;TraesCS7B01G124100;TraesCS2B01G248100;TraesCS5A01G212500;TraesCS2A01G222600;TraesCS7D01G454200</t>
  </si>
  <si>
    <t>TraesCS4A01G231200;TraesCS4B01G084800;TraesCS5D01G401900;TraesCS6D01G364400;TraesCS5D01G107900;TraesCS6A01G379800;TraesCS6B01G418400;TraesCS5B01G501200;TraesCS4D01G082700;TraesCS5B01G396900;TraesCS5A01G095200;TraesCS5A01G392000;TraesCS5B01G101400</t>
  </si>
  <si>
    <t>TraesCS3A01G151100;TraesCS3D01G426300;TraesCS3A01G478800;TraesCS6A01G312200;TraesCS3D01G495100;TraesCS1D01G401900;TraesCS1A01G195500;TraesCS3D01G250600;TraesCS2A01G193800;TraesCS3A01G250200;TraesCS5A01G324200;TraesCS2D01G467900;TraesCS5D01G099800;TraesCSU01G047800;TraesCS1D01G199100;TraesCS2D01G194000;TraesCS1D01G086600;TraesCS2A01G467900;TraesCS2D01G238600;TraesCS3A01G393400;TraesCS3B01G279700;TraesCS6D01G147700;TraesCS1B01G422200;TraesCS1D01G003700;TraesCS6D01G122800;TraesCS3D01G341200;TraesCS4D01G212000;TraesCS2B01G602100;TraesCS2B01G297800;TraesCS6D01G291600;TraesCS3D01G228800;TraesCS2B01G222600;TraesCS3D01G083400;TraesCS6B01G342400;TraesCS2A01G280500;TraesCS5B01G324800;TraesCS6A01G133100;TraesCS6D01G163700;TraesCS2D01G279300;TraesCS3A01G082700;TraesCS5D01G459800;TraesCS6A01G163500;TraesCS2D01G202900;TraesCS4A01G093100;TraesCS3A01G224800;TraesCS3B01G410400</t>
  </si>
  <si>
    <t>TraesCS3D01G060600;TraesCS4A01G101500;TraesCS4D01G204000;TraesCS5B01G263800;TraesCS2B01G457600;TraesCS6B01G286300;TraesCS6A01G237800;TraesCS1A01G007500;TraesCS4D01G003600;TraesCS7D01G283600;TraesCS2A01G437700</t>
  </si>
  <si>
    <t>chloroplast thylakoid lumen</t>
  </si>
  <si>
    <t>plastid thylakoid lumen</t>
  </si>
  <si>
    <t>TraesCS6D01G016900;TraesCS2B01G260800;TraesCS6B01G454500;TraesCS1D01G449000;TraesCS5A01G200800;TraesCS6B01G191500;TraesCS7A01G175300;TraesCS3D01G273800;TraesCS1D01G210200;TraesCS3B01G206600;TraesCS4D01G153900;TraesCS3B01G193200;TraesCS5B01G412400;TraesCS5B01G057300;TraesCS3A01G228000;TraesCS4B01G169900;TraesCS6B01G411900;TraesCS7A01G541200;TraesCS1A01G324800;TraesCS4B01G050200;TraesCS5D01G444700;TraesCS7A01G190700;TraesCS2B01G234500;TraesCS4D01G135000;TraesCS5D01G056900;TraesCS5D01G429200;TraesCS5A01G166800;TraesCS6D01G142900;TraesCS2B01G220100;TraesCS2B01G448000;TraesCS3A01G394600;TraesCS3A01G178900;TraesCS4D01G292900;TraesCS3A01G216100;TraesCS5A01G336500;TraesCS2B01G233400;TraesCS3A01G344300;TraesCS5D01G376600;TraesCS1B01G469400;TraesCS3A01G091100;TraesCS3A01G393400;TraesCS6B01G270400;TraesCS4A01G101500;TraesCS4D01G204000;TraesCSU01G068800;TraesCS2D01G092500;TraesCS6A01G319700;TraesCS4A01G120000;TraesCS4A01G361100;TraesCS6B01G190300;TraesCS7A01G415500;TraesCS7D01G224400;TraesCS4B01G109700;TraesCS2D01G093700;TraesCS1A01G125000;TraesCS3B01G376200;TraesCS7B01G241500;TraesCS5A01G229300;TraesCS6A01G245000;TraesCS7B01G103100;TraesCS1D01G396300;TraesCS4D01G278500;TraesCS6D01G161000;TraesCS5B01G171400;TraesCS7D01G283600;TraesCS1D01G315700;TraesCS1B01G375300;TraesCS1B01G274600;TraesCS6A01G321600;TraesCS7A01G222800;TraesCS3D01G369100;TraesCS4A01G191500;TraesCS1A01G275400;TraesCS1A01G403800;TraesCS1D01G325500;TraesCS3D01G407300;TraesCS4D01G132900;TraesCS4D01G172000;TraesCS2D01G356700;TraesCS7A01G327600;TraesCS3D01G421500;TraesCS4A01G158400;TraesCS6A01G125400;TraesCS6B01G166400;TraesCS2D01G213100;TraesCS5D01G044700;TraesCS6B01G296700;TraesCS6D01G358500;TraesCS5A01G229400;TraesCS7A01G510900;TraesCS5D01G161800;TraesCS1A01G025900;TraesCS1A01G254400;TraesCS4D01G165800;TraesCS2B01G328500;TraesCS3A01G137000;TraesCS2D01G597600;TraesCS3D01G336200;TraesCS6D01G344100;TraesCS7D01G291200;TraesCS4B01G089500;TraesCS5B01G185700;TraesCS4A01G193700;TraesCS2A01G159900;TraesCS3A01G322500;TraesCS5B01G036800;TraesCS2B01G477400;TraesCS3B01G103500;TraesCS1A01G024700;TraesCS6D01G189700;TraesCS6B01G099900;TraesCS1A01G299500;TraesCS2A01G517900;TraesCS1D01G264100;TraesCS2D01G477200;TraesCS7D01G227300;TraesCS5A01G229500;TraesCS1B01G343100;TraesCS7A01G390300;TraesCS3A01G342300;TraesCS1D01G275000;TraesCS4A01G163000;TraesCSU01G158800;TraesCS1A01G218000;TraesCS5B01G539900;TraesCS7A01G276400;TraesCS1D01G265200;TraesCS6D01G227300;TraesCS6A01G143300;TraesCS6A01G147900;TraesCS4B01G138100;TraesCS5A01G119300;TraesCS3D01G217700;TraesCS5A01G123800;TraesCS6B01G174100;TraesCS7A01G419600;TraesCS1B01G348800;TraesCS5A01G050100;TraesCS5B01G322900;TraesCS5B01G154600;TraesCS6B01G199500;TraesCS6D01G007800;TraesCS2A01G093700;TraesCS2A01G187200;TraesCS3A01G151100;TraesCS3D01G241900;TraesCS2B01G401900;TraesCS7A01G277700;TraesCS1A01G264000;TraesCS7A01G307000;TraesCS6D01G186000;TraesCS2A01G309600;TraesCS5A01G054700;TraesCS3D01G282800;TraesCS3A01G282800;TraesCS5D01G261300;TraesCS7A01G220600;TraesCS3A01G412600;TraesCS2D01G362200;TraesCS3B01G254500;TraesCS3B01G252200;TraesCS5A01G104800;TraesCS1D01G219200;TraesCS7B01G129300;TraesCS3D01G376500;TraesCS1B01G344300;TraesCS5D01G144600;TraesCS5D01G238300;TraesCS7D01G407700;TraesCS3D01G203400;TraesCS7B01G241900;TraesCS2A01G128300;TraesCS7D01G231600;TraesCS6D01G179700;TraesCS7D01G332300;TraesCS5A01G367700;TraesCS3D01G109700;TraesCS2D01G320900;TraesCS7A01G139800;TraesCS7B01G176200;TraesCS1B01G301500;TraesCS3B01G316500;TraesCS2D01G397800;TraesCS3B01G093800;TraesCS2B01G592500;TraesCS3A01G060300;TraesCS5D01G248300;TraesCS5D01G229900;TraesCS4A01G111600;TraesCS5A01G156400;TraesCS4D01G318200;TraesCS1B01G220700;TraesCS4A01G262900;TraesCS6B01G352400;TraesCS2B01G150400;TraesCS7D01G450700;TraesCS2A01G342600;TraesCS5D01G402300;TraesCS2D01G059400;TraesCS4D01G107000;TraesCS2D01G231000;TraesCS3A01G503200;TraesCS3B01G154900;TraesCS5B01G037500;TraesCS2A01G202600;TraesCS7D01G011800;TraesCS6A01G146500;TraesCS2B01G174700;TraesCS6A01G192600;TraesCS6B01G223200;TraesCS5A01G241800;TraesCS2A01G150000;TraesCS6D01G293100;TraesCS2B01G185800;TraesCS5D01G005300;TraesCS6D01G283300;TraesCS7D01G123400;TraesCS1B01G337800;TraesCS1A01G265000;TraesCS2A01G455300;TraesCS5D01G341200;TraesCS3A01G538300;TraesCS5A01G020800;TraesCS3D01G091000;TraesCS3A01G028600;TraesCS3D01G412500;TraesCS5D01G329200;TraesCS7B01G236400;TraesCS2B01G604300;TraesCS6B01G117100;TraesCS7A01G452800;TraesCS5A01G460600;TraesCS3B01G269900;TraesCS6B01G419000;TraesCS2A01G382000;TraesCSU01G132400;TraesCS3A01G488100;TraesCS7B01G446500;TraesCS7D01G386000;TraesCS5D01G525000;TraesCS6A01G360600;TraesCS1D01G411300;TraesCS6A01G184000;TraesCS1B01G049300;TraesCS5D01G162400;TraesCS7A01G238400;TraesCS7D01G150200;TraesCS1D01G329100;TraesCS2B01G229600;TraesCS6A01G380200;TraesCS7A01G148600;TraesCS1D01G219700;TraesCS5B01G227900;TraesCS5D01G171100;TraesCS5D01G528400;TraesCS1A01G292100;TraesCS7D01G276300;TraesCS7A01G350000;TraesCS6A01G153600;TraesCS6B01G226000;TraesCS6D01G180500;TraesCS7A01G286700;TraesCS3B01G408800;TraesCS4B01G321500;TraesCS6D01G236400;TraesCS2A01G206200;TraesCS3D01G169000;TraesCS5B01G146700;TraesCS2A01G563500;TraesCS5D01G193000;TraesCS7B01G153100;TraesCS7D01G313600;TraesCS6A01G379000;TraesCS6A01G201800;TraesCS2A01G299200;TraesCS1A01G340400;TraesCS6B01G039900;TraesCS4B01G171300;TraesCS6B01G056200;TraesCS2D01G291200;TraesCS5A01G454300;TraesCS3D01G345500;TraesCS5D01G230300;TraesCS1A01G007500;TraesCS7B01G363600;TraesCS6A01G303800;TraesCS2A01G330000;TraesCS6B01G231400;TraesCS6D01G135800;TraesCS5A01G491400;TraesCS7B01G052200;TraesCS2D01G237600;TraesCS3D01G423300;TraesCS2B01G501300;TraesCS5B01G270200;TraesCS5D01G206500;TraesCS7B01G352800;TraesCS7A01G491200;TraesCS5D01G472300;TraesCS7B01G199200;TraesCS3B01G555600;TraesCS2D01G362700;TraesCS7A01G002900;TraesCS1A01G206900;TraesCS2D01G118000;TraesCS2B01G263600;TraesCS3A01G336100;TraesCS7A01G293200;TraesCS1B01G352700;TraesCS1D01G342400;TraesCS5A01G150700;TraesCS4D01G212600;TraesCS3D01G341200;TraesCS2A01G235900;TraesCS4A01G036500;TraesCS4A01G254100;TraesCS1D01G443100;TraesCS3B01G374400;TraesCS6D01G270400;TraesCS6B01G393500;TraesCS4B01G162900;TraesCS2A01G095300;TraesCS7B01G455500;TraesCS2D01G114900;TraesCS2A01G246700;TraesCS2D01G301200;TraesCS3A01G200400;TraesCS3A01G202700;TraesCS5B01G199400;TraesCS1D01G151800;TraesCS5D01G399200;TraesCS6D01G132500;TraesCS5A01G490500;TraesCS5B01G409700;TraesCS5D01G357600;TraesCS3A01G376300;TraesCS3D01G388400;TraesCS4B01G211800;TraesCS2D01G238600;TraesCS2A01G478000;TraesCS3D01G217600;TraesCS1D01G024800;TraesCS3A01G417000;TraesCS5B01G397300;TraesCS1D01G298400;TraesCS7D01G409000;TraesCS1A01G133500;TraesCS4D01G086400;TraesCS4D01G298800;TraesCS6B01G173500;TraesCS3A01G274600;TraesCS6B01G342300;TraesCS5B01G075800;TraesCS2D01G200700;TraesCS2D01G239700;TraesCS3A01G241700;TraesCS5D01G155800;TraesCS3D01G426300;TraesCS1D01G226500;TraesCS1D01G426400;TraesCS5D01G081700;TraesCS2B01G133300;TraesCS4A01G226900;TraesCS3A01G313300;TraesCS2A01G392900;TraesCS4A01G023500;TraesCS1A01G388400;TraesCS4A01G092500;TraesCS2D01G241800;TraesCS3D01G137800;TraesCS6A01G269400;TraesCS1A01G418700;TraesCS2A01G302500;TraesCS5B01G378700;TraesCS1A01G060100;TraesCS3A01G134100;TraesCS2A01G149600;TraesCS2B01G415500;TraesCS3D01G182400;TraesCS6B01G181300;TraesCS6D01G301300;TraesCS4B01G191300;TraesCS7B01G182300;TraesCS2B01G340300;TraesCS1A01G180200;TraesCS5B01G335500;TraesCS6A01G171300;TraesCS7B01G451500;TraesCS7D01G174700;TraesCS1D01G331000;TraesCS6A01G312100;TraesCS4B01G204500;TraesCS2D01G310000;TraesCS5B01G263800;TraesCS1A01G086500;TraesCS2D01G519500;TraesCS7B01G393400;TraesCS3B01G566600;TraesCS4B01G341300;TraesCS6D01G172500;TraesCS3A01G530100;TraesCS7D01G218000;TraesCS4D01G193500;TraesCS6A01G200200;TraesCS5A01G157000;TraesCS5B01G529300;TraesCS2B01G411000;TraesCS2B01G247100;TraesCS2A01G460000;TraesCS5D01G417400;TraesCS1B01G200300;TraesCS7D01G476500;TraesCS1B01G317500;TraesCS3A01G023800;TraesCS3A01G367000;TraesCS3B01G308200;TraesCS5B01G155200;TraesCS3A01G161800;TraesCS2A01G226000;TraesCS6D01G245600;TraesCS2D01G167300;TraesCS3A01G097200;TraesCS5A01G328900;TraesCS3A01G100000;TraesCS6D01G174700;TraesCS6D01G315500;TraesCS7D01G442100;TraesCS1A01G263400;TraesCS6A01G078200;TraesCS7D01G457900;TraesCS5B01G511800;TraesCS7B01G421800;TraesCS6A01G267300;TraesCS6A01G408400;TraesCS4A01G324400;TraesCS6B01G344100;TraesCS5A01G046600;TraesCS5B01G220900;TraesCS2B01G318400;TraesCS1D01G134300;TraesCS6D01G364900;TraesCS6D01G299200;TraesCS6D01G152700;TraesCS1A01G358800;TraesCS5A01G036600;TraesCS4A01G164900;TraesCS3A01G107900;TraesCS5D01G512300;TraesCS1B01G293500;TraesCS2B01G051500;TraesCS6B01G151900;TraesCS7B01G124100;TraesCS6D01G245500;TraesCS5D01G060900;TraesCS2D01G300400;TraesCS1A01G284300;TraesCS6B01G171600;TraesCS5B01G110000;TraesCS3B01G426600;TraesCS2B01G108200;TraesCS2B01G352300;TraesCS6A01G161200;TraesCS2B01G191800;TraesCS7B01G207300</t>
  </si>
  <si>
    <t>TraesCS1B01G366400;TraesCS3D01G264800;TraesCS4A01G387000;TraesCS3A01G264700;TraesCS5D01G013100;TraesCS6D01G121300;TraesCS7D01G200800;TraesCS6D01G259500;TraesCS6B01G307200;TraesCS2D01G242100;TraesCS4B01G204500;TraesCS5D01G219500;TraesCS5A01G108000;TraesCS5A01G324200;TraesCS1D01G313800;TraesCS1A01G313300;TraesCS6D01G283300;TraesCS2B01G248100;TraesCS2A01G222600;TraesCS4A01G247300;TraesCS7D01G083200;TraesCS2B01G528300;TraesCS5A01G014500;TraesCS5A01G014400;TraesCS4A01G206400;TraesCS1A01G355200;TraesCS4D01G107400;TraesCS6A01G279100;TraesCS6B01G159800;TraesCS7B01G104400;TraesCS7D01G228500;TraesCS7A01G226000;TraesCS4B01G109900;TraesCS2D01G229600;TraesCS6A01G303800;TraesCS2B01G273900;TraesCS1B01G325100;TraesCS5B01G324800;TraesCS4A01G005000;TraesCS6A01G158300;TraesCS2D01G233900;TraesCS3A01G276100;TraesCS3B01G309700;TraesCS5A01G212500;TraesCS7A01G088100;TraesCS2A01G223600;TraesCS5A01G004200</t>
  </si>
  <si>
    <t>TraesCS1A01G254400;TraesCS6D01G147700;TraesCS2B01G528300;TraesCS3D01G426300;TraesCS7B01G186500;TraesCS5B01G476900;TraesCS7D01G292000;TraesCS7D01G000100;TraesCS6A01G163500;TraesCS3A01G310200;TraesCS1D01G086600;TraesCS7A01G294200</t>
  </si>
  <si>
    <t>response to hexose</t>
  </si>
  <si>
    <t>response to monosaccharide</t>
  </si>
  <si>
    <t>TraesCS4A01G262900;TraesCS6A01G203300;TraesCS2D01G300400;TraesCS3A01G100000;TraesCS5D01G551200;TraesCS5B01G155200;TraesCS4A01G315700;TraesCS5A01G092400;TraesCS7D01G280600;TraesCS5B01G563800;TraesCS5A01G157000;TraesCS5D01G162400;TraesCS5B01G263800;TraesCS7D01G000100</t>
  </si>
  <si>
    <t>cellular response to abiotic stimulus</t>
  </si>
  <si>
    <t>cellular response to environmental stimulus</t>
  </si>
  <si>
    <t>TraesCS1A01G180200;TraesCS1D01G409700;TraesCS2D01G208300;TraesCS1A01G324800;TraesCS1B01G049300;TraesCS2B01G592500;TraesCS2D01G362700;TraesCS4B01G109700;TraesCS6B01G151900;TraesCS3A01G295400;TraesCS2B01G227800;TraesCS1B01G200300;TraesCS2A01G200500;TraesCS1B01G337800;TraesCS1D01G325500</t>
  </si>
  <si>
    <t>production of siRNA involved in RNA interference</t>
  </si>
  <si>
    <t>C-5 methylation of cytosine</t>
  </si>
  <si>
    <t>TraesCS4A01G178600;TraesCS2A01G103300;TraesCS2B01G321700;TraesCS2D01G303500;TraesCS4D01G133500;TraesCS4B01G138800</t>
  </si>
  <si>
    <t>TraesCS3D01G241800;TraesCS7B01G006600;TraesCS5B01G228900;TraesCS7A01G200100;TraesCS5D01G237400;TraesCS3B01G498200;TraesCS2A01G444600;TraesCS3D01G436100;TraesCS2A01G557600;TraesCS1D01G048200;TraesCS6A01G308100;TraesCS5B01G227900;TraesCS2B01G087600;TraesCS3D01G341200;TraesCS1D01G030500;TraesCS2D01G422000;TraesCS2A01G342600;TraesCS3A01G232700;TraesCS2B01G272300;TraesCS7D01G203100;TraesCS7D01G339600;TraesCS2D01G266600;TraesCS2D01G417300;TraesCS3A01G381200;TraesCS5B01G324800;TraesCS1A01G259700;TraesCS3A01G241600;TraesCS7A01G294200;TraesCS2A01G296400;TraesCS2A01G424200;TraesCS3A01G210000;TraesCS2B01G340300;TraesCS7B01G186500;TraesCS3A01G052700;TraesCS4B01G244400;TraesCS2A01G150000;TraesCS5A01G424400;TraesCS3D01G294000;TraesCS2B01G454000;TraesCS4D01G079200;TraesCS5A01G324200;TraesCS5B01G197300;TraesCS3A01G294200;TraesCS3A01G443700;TraesCS5A01G087700;TraesCS5B01G256400;TraesCS6D01G287300;TraesCS5A01G230400;TraesCS3A01G288400;TraesCS1A01G047200;TraesCS2B01G312600;TraesCS4D01G025300;TraesCS6B01G115200;TraesCS3A01G458000;TraesCS6B01G192600;TraesCS7A01G239700;TraesCS2A01G252600;TraesCS2B01G264100;TraesCS3B01G328800;TraesCS5A01G030400;TraesCS4D01G292300;TraesCS1A01G102300;TraesCS3D01G220400;TraesCS4A01G093100;TraesCS5D01G098400;TraesCS4D01G131700</t>
  </si>
  <si>
    <t>TraesCS1D01G103000;TraesCS1B01G122300;TraesCS5A01G103100;TraesCS1A01G094200;TraesCS4B01G152700;TraesCS2A01G434600;TraesCS5B01G107400</t>
  </si>
  <si>
    <t>actin filament bundle assembly</t>
  </si>
  <si>
    <t>actin filament bundle organization</t>
  </si>
  <si>
    <t>TraesCS3A01G274600;TraesCS3B01G308200;TraesCS1A01G340400;TraesCS3A01G417000;TraesCS3D01G412500;TraesCS7D01G409000;TraesCS1B01G352700;TraesCS1D01G342400</t>
  </si>
  <si>
    <t>protein-cysteine S-palmitoyltransferase activity</t>
  </si>
  <si>
    <t>protein-cysteine S-acyltransferase activity</t>
  </si>
  <si>
    <t>TraesCS2A01G123800;TraesCS3B01G430000;TraesCS5A01G324200;TraesCS5B01G324800;TraesCS3A01G398000;TraesCS3D01G391900;TraesCS4D01G065600;TraesCS2B01G145700;TraesCS4A01G248200;TraesCS5B01G146700;TraesCS2D01G126600;TraesCS5D01G144600</t>
  </si>
  <si>
    <t>TraesCS2A01G123800;TraesCS3B01G430000;TraesCS3A01G398000;TraesCS3D01G391900;TraesCS4D01G065600;TraesCS2B01G145700;TraesCS4A01G248200;TraesCS5B01G146700;TraesCS2D01G126600;TraesCS5D01G144600</t>
  </si>
  <si>
    <t>TraesCS7B01G097000;TraesCS7A01G192000;TraesCS6B01G348700;TraesCS7D01G193000</t>
  </si>
  <si>
    <t>cell wall pectin biosynthetic process</t>
  </si>
  <si>
    <t>TraesCS3A01G417000;TraesCS3D01G412500;TraesCS7D01G409000;TraesCS7A01G415500</t>
  </si>
  <si>
    <t>TraesCS3A01G381000;TraesCS4A01G226900;TraesCS2D01G238700;TraesCS5B01G256400</t>
  </si>
  <si>
    <t>chloroplast thylakoid membrane protein complex</t>
  </si>
  <si>
    <t>organic cation transport</t>
  </si>
  <si>
    <t>TraesCS4D01G003100;TraesCS2A01G280500;TraesCS2D01G279300;TraesCS2B01G297800</t>
  </si>
  <si>
    <t>xanthophyll cycle</t>
  </si>
  <si>
    <t>TraesCS2A01G095300;TraesCS5D01G044700;TraesCS1A01G180200;TraesCS1D01G409700;TraesCS5D01G472300;TraesCS6A01G379000;TraesCS1D01G331000;TraesCS5A01G036600;TraesCS1B01G049300;TraesCS2B01G122500;TraesCS2B01G592500;TraesCS2D01G362700;TraesCS3A01G200400;TraesCS5A01G490500;TraesCS2B01G227800;TraesCS4A01G138800;TraesCS4D01G318200;TraesCS1D01G325500;TraesCS4A01G262900;TraesCS3B01G252200;TraesCS3B01G088300;TraesCS2D01G208300;TraesCS3B01G298400;TraesCS6B01G190300;TraesCS5A01G460600;TraesCS2D01G059400;TraesCS4B01G109700;TraesCS4B01G321500;TraesCS3D01G203400;TraesCS2D01G093700;TraesCS3A01G295400;TraesCS6A01G161200;TraesCS2B01G247100;TraesCS5B01G037500;TraesCS1B01G200300;TraesCS2A01G200500;TraesCS2D01G105300</t>
  </si>
  <si>
    <t>negative regulation of macromolecule biosynthetic process</t>
  </si>
  <si>
    <t>TraesCS3D01G264800;TraesCS5D01G013100;TraesCS6D01G121300;TraesCS5A01G092400;TraesCS5D01G219500;TraesCS5A01G108000;TraesCS1D01G313800;TraesCS2A01G222600;TraesCS7D01G083200;TraesCS2B01G528300;TraesCS5A01G014400;TraesCS1A01G355200;TraesCS4D01G107400;TraesCS6B01G159800;TraesCS7B01G104400;TraesCS7D01G228500;TraesCS1B01G478800;TraesCS2D01G229600;TraesCS2B01G273900;TraesCS1B01G325100;TraesCS5B01G324800;TraesCS6A01G158300;TraesCS2D01G233900;TraesCS7A01G088100;TraesCS2A01G223600;TraesCS5A01G004200;TraesCS1B01G366400;TraesCS4A01G387000;TraesCS3A01G264700;TraesCS7D01G200800;TraesCS6D01G259500;TraesCS6B01G307200;TraesCS2D01G242100;TraesCS4B01G204500;TraesCS5A01G324200;TraesCS1A01G313300;TraesCS6D01G283300;TraesCS2B01G248100;TraesCS4A01G247300;TraesCS5A01G014500;TraesCS4A01G206400;TraesCS6A01G279100;TraesCS7A01G226000;TraesCS4B01G109900;TraesCS6A01G303800;TraesCS4A01G005000;TraesCS3A01G276100;TraesCS3B01G309700;TraesCS5A01G212500</t>
  </si>
  <si>
    <t>TraesCS4A01G262900;TraesCS3D01G426300;TraesCS5B01G036800;TraesCS3A01G228000;TraesCS3A01G367000;TraesCS5B01G155200;TraesCS4B01G050200;TraesCS7D01G283600;TraesCS4B01G204500;TraesCS4D01G135000;TraesCS5A01G157000;TraesCS6A01G303800;TraesCS5D01G162400;TraesCS1A01G086500;TraesCS6A01G267300;TraesCS6D01G283300;TraesCS2D01G238600</t>
  </si>
  <si>
    <t>TraesCS5D01G044700;TraesCS5A01G104800;TraesCS5D01G230300;TraesCS5B01G205700;TraesCS5B01G037500;TraesCS6B01G039900;TraesCS2A01G392900;TraesCS5A01G036600;TraesCS5D01G396300</t>
  </si>
  <si>
    <t>xylem development</t>
  </si>
  <si>
    <t>TraesCS2B01G592500;TraesCS2D01G362700;TraesCS4B01G109700;TraesCS1A01G180200;TraesCS2D01G208300;TraesCS2B01G227800;TraesCS1B01G200300;TraesCS2A01G200500;TraesCS1B01G049300</t>
  </si>
  <si>
    <t>cell-cell signaling</t>
  </si>
  <si>
    <t>dolichol biosynthetic process</t>
  </si>
  <si>
    <t>polyprenol biosynthetic process</t>
  </si>
  <si>
    <t>negative regulation of cellular macromolecule biosynthetic process</t>
  </si>
  <si>
    <t>TraesCS3D01G426300;TraesCS6A01G290600;TraesCS6D01G122800;TraesCS2A01G193800;TraesCS2A01G280500;TraesCS6A01G133100;TraesCS2D01G279300;TraesCS3A01G191700;TraesCS2D01G194000;TraesCS2B01G297800</t>
  </si>
  <si>
    <t>TraesCS1B01G255100;TraesCS1D01G155800;TraesCS1D01G331000;TraesCS1B01G290800;TraesCS1D01G280900;TraesCS5A01G092400;TraesCS4A01G164900;TraesCS4A01G290400;TraesCS5B01G509100;TraesCS7B01G124100;TraesCS3D01G237100;TraesCS2D01G014800;TraesCS5A01G089900;TraesCS3A01G513500;TraesCS1A01G158500;TraesCS4D01G021400;TraesCS2D01G520000;TraesCS7D01G373100;TraesCS5A01G467500;TraesCS1B01G478800;TraesCS1A01G281700;TraesCS7B01G278200;TraesCS4B01G023800;TraesCS2B01G004000;TraesCS7A01G376800;TraesCS3B01G307600;TraesCS2B01G207000</t>
  </si>
  <si>
    <t>TraesCS3D01G264800;TraesCS1D01G264100;TraesCS5D01G013100;TraesCS2A01G286500;TraesCS1B01G290800;TraesCS1D01G280900;TraesCS5A01G092400;TraesCS4A01G354500;TraesCS1D01G149900;TraesCS1B01G274600;TraesCS2B01G303300;TraesCS6D01G212000;TraesCS3D01G237100;TraesCS2D01G014800;TraesCS5A01G089900;TraesCS2D01G520000;TraesCS5A01G467500;TraesCS1B01G478800;TraesCS5D01G517600;TraesCS2D01G229600;TraesCS2B01G273900;TraesCS2B01G004000;TraesCS5B01G517900;TraesCS2A01G223600;TraesCS5A01G004200;TraesCS3A01G264700;TraesCS4A01G364400;TraesCS1A01G264000;TraesCS1D01G155800;TraesCS4A01G276300;TraesCS1D01G331000;TraesCS4A01G164900;TraesCS2D01G242100;TraesCS4B01G204500;TraesCS3A01G200400;TraesCS6B01G257900;TraesCS5B01G509100;TraesCS7B01G124100;TraesCS6D01G283300;TraesCS3A01G513500;TraesCS4A01G124000;TraesCS1A01G158500;TraesCS1D01G242400;TraesCS4A01G013500;TraesCS1A01G281700;TraesCS6A01G303800;TraesCS3D01G203400;TraesCS4A01G005000;TraesCS2B01G207000</t>
  </si>
  <si>
    <t>TraesCS1D01G051300;TraesCS6D01G168300;TraesCS1A01G049300;TraesCS5A01G235800;TraesCS4D01G154300;TraesCS3A01G389100;TraesCS4A01G015800;TraesCS4A01G141000;TraesCS3B01G401100;TraesCS7D01G153000;TraesCS3D01G273800;TraesCS4B01G153500;TraesCS5D01G242900;TraesCS2D01G427900;TraesCS4B01G288200</t>
  </si>
  <si>
    <t>TraesCS3D01G426300;TraesCS1D01G155100;TraesCS5D01G166000;TraesCS6A01G113000;TraesCS1D01G409700;TraesCS3A01G367000;TraesCS7D01G449900;TraesCS2A01G521400;TraesCS7D01G283600;TraesCS5A01G092400;TraesCS1B01G049300;TraesCS2B01G592500;TraesCS2D01G362700;TraesCS6A01G290600;TraesCS3D01G273800;TraesCS3D01G162700;TraesCS4A01G138800;TraesCS1D01G325500;TraesCS1A01G324800;TraesCS5A01G161200;TraesCS4D01G135000;TraesCS5D01G429200;TraesCS6A01G267300;TraesCS2A01G200500;TraesCS2D01G162900;TraesCS7A01G252000;TraesCS7D01G250100;TraesCS3A01G478800;TraesCS6A01G203700;TraesCS1A01G180200;TraesCS6A01G188100;TraesCS4B01G204500;TraesCS5B01G263800;TraesCS5B01G476900;TraesCS6B01G151900;TraesCS6D01G283300;TraesCS2B01G227800;TraesCS2D01G238600;TraesCS7B01G242800;TraesCS2B01G154700;TraesCS1B01G337800;TraesCS7D01G349600;TraesCS5B01G036800;TraesCS2A01G132200;TraesCS2D01G208300;TraesCS5B01G158500;TraesCS7D01G339300;TraesCS4A01G120000;TraesCS6A01G303800;TraesCS4B01G109700;TraesCS3A01G295400;TraesCS7D01G000100;TraesCS1B01G200300</t>
  </si>
  <si>
    <t>TraesCS3A01G212600;TraesCS6D01G173700;TraesCS3B01G442200;TraesCS2B01G321700;TraesCS2D01G303500;TraesCS6A01G312100;TraesCS2D01G362700;TraesCS5A01G548800;TraesCS6B01G262800;TraesCS6D01G216300;TraesCS4A01G367700;TraesCS4A01G178600;TraesCS5D01G505700;TraesCS2A01G103300;TraesCS5B01G504900;TraesCS6B01G304100;TraesCS5A01G387700;TraesCS5D01G087800;TraesCS4D01G359000;TraesCS4B01G138800;TraesCS3B01G242700;TraesCS6A01G234000;TraesCS6B01G342300;TraesCS6A01G186800;TraesCS4D01G133500</t>
  </si>
  <si>
    <t>TraesCS1D01G134300;TraesCS3A01G151100;TraesCS2B01G528300;TraesCS4A01G091100;TraesCS5A01G513500;TraesCS3A01G077600;TraesCS4D01G214300;TraesCS2A01G467900;TraesCS4B01G213600;TraesCS4D01G339700</t>
  </si>
  <si>
    <t>cytosolic ribosome</t>
  </si>
  <si>
    <t>TraesCS2D01G399800;TraesCS4A01G375000;TraesCS7D01G072300;TraesCS7A01G076600;TraesCS2A01G233300;TraesCS2D01G232300;TraesCS1A01G095200;TraesCS2B01G250000;TraesCS2B01G375700;TraesCS5A01G059900</t>
  </si>
  <si>
    <t>regulation of microtubule-based process</t>
  </si>
  <si>
    <t>TraesCS4A01G091100;TraesCS4A01G125000;TraesCS2D01G324900;TraesCS5B01G409400;TraesCS1D01G409700;TraesCS4A01G167000;TraesCS4D01G341900;TraesCS7D01G439900;TraesCS7A01G351100;TraesCS2B01G271300;TraesCS5A01G468600;TraesCS6B01G282200;TraesCS6B01G450500;TraesCS3D01G325800;TraesCS4B01G242800;TraesCS3B01G268900;TraesCS3A01G332300;TraesCS4B01G179400;TraesCS1D01G315700;TraesCS4B01G263100;TraesCS5D01G481500;TraesCS6D01G094200;TraesCS5D01G099800;TraesCS5A01G513500;TraesCS5B01G531900;TraesCS4B01G213600;TraesCS4D01G339700;TraesCS2B01G343900;TraesCS2B01G528300;TraesCS5D01G530200;TraesCS1D01G003700;TraesCS1D01G242500;TraesCS4A01G042500;TraesCS4A01G065400;TraesCS6B01G134800;TraesCS2A01G338100;TraesCS3D01G271800;TraesCS4D01G214300;TraesCS7A01G450600;TraesCS3A01G272200;TraesCS7D01G025000;TraesCS4B01G164800;TraesCS4D01G263300;TraesCS7D01G327700;TraesCS4B01G344600;TraesCS1D01G134300;TraesCS3A01G151100;TraesCS7B01G350400;TraesCS3D01G428300;TraesCS5B01G503800;TraesCS6D01G224200;TraesCS3B01G257700;TraesCS3B01G362100;TraesCS6B01G219700;TraesCS3B01G306000;TraesCS1D01G155800;TraesCS3D01G268700;TraesCS4A01G144500;TraesCS4B01G200300;TraesCS4B01G347000;TraesCS5A01G515700;TraesCS6D01G390000;TraesCS2A01G467900;TraesCS5D01G504600;TraesCS6A01G105400;TraesCS6D01G174500;TraesCS4D01G039100;TraesCS3D01G240800;TraesCS6B01G331800;TraesCS4D01G151500;TraesCS1B01G254000;TraesCS3B01G470400;TraesCS5B01G036800;TraesCS1A01G158500;TraesCS4A01G342800;TraesCSU01G093800;TraesCS4B01G041900;TraesCS3A01G435700;TraesCS6D01G162200;TraesCS1A01G001800;TraesCS5B01G481100;TraesCS6A01G319100;TraesCS6D01G298300;TraesCS5B01G534400;TraesCS7B01G421100;TraesCS3A01G077600;TraesCS3A01G268600;TraesCS3B01G303000;TraesCS7D01G499800;TraesCS4D01G242400;TraesCS3D01G224800</t>
  </si>
  <si>
    <t>TraesCS1A01G180200;TraesCS1D01G409700;TraesCS2D01G208300;TraesCS1A01G324800;TraesCS1B01G049300;TraesCS2B01G592500;TraesCS2D01G362700;TraesCS4B01G109700;TraesCS6B01G151900;TraesCS3A01G295400;TraesCS2B01G227800;TraesCS1B01G200300;TraesCS2A01G200500;TraesCS4A01G138800;TraesCS1B01G337800;TraesCS1D01G325500</t>
  </si>
  <si>
    <t>cellular response to nitrogen compound</t>
  </si>
  <si>
    <t>TraesCS6D01G016900;TraesCS2D01G324900;TraesCS7A01G036200;TraesCS6B01G454500;TraesCS2A01G246200;TraesCS5A01G200800;TraesCS6B01G191500;TraesCS7A01G175300;TraesCS3D01G273800;TraesCS7D01G121200;TraesCS5B01G531900;TraesCS4B01G213600;TraesCS3B01G206600;TraesCS4D01G153900;TraesCS3B01G193200;TraesCS4D01G147100;TraesCS5B01G412400;TraesCS2A01G262700;TraesCS3A01G228000;TraesCS4A01G065400;TraesCS4B01G169900;TraesCS6B01G411900;TraesCS7D01G056800;TraesCS2D01G394900;TraesCS7A01G541200;TraesCS4B01G050200;TraesCS5D01G444700;TraesCS7A01G190700;TraesCS2B01G234500;TraesCS2B01G031800;TraesCS2D01G273000;TraesCS4D01G135000;TraesCS5D01G056900;TraesCS5D01G429200;TraesCS5A01G166800;TraesCS2D01G233900;TraesCS6D01G142900;TraesCS1B01G202100;TraesCS2B01G220100;TraesCS2B01G448000;TraesCS3A01G394600;TraesCS3D01G428300;TraesCS3A01G178900;TraesCS4D01G292900;TraesCS3A01G216100;TraesCS2B01G233400;TraesCS3A01G344300;TraesCS4B01G135800;TraesCS5D01G376600;TraesCS4D01G184400;TraesCS4B01G347000;TraesCS1B01G469400;TraesCS6D01G390000;TraesCS7D01G454200;TraesCS3A01G091100;TraesCS3A01G393400;TraesCS4D01G151500;TraesCS6B01G270400;TraesCS6A01G225200;TraesCSU01G068800;TraesCSU01G093800;TraesCS1A01G437500;TraesCS2D01G092500;TraesCS5A01G093200;TraesCS6A01G319700;TraesCS6D01G162200;TraesCS4D01G250100;TraesCS4A01G120000;TraesCS4A01G361100;TraesCS6B01G190300;TraesCS7A01G415500;TraesCS7D01G224400;TraesCS6D01G298300;TraesCS4B01G109700;TraesCS5B01G284100;TraesCS2D01G093700;TraesCS1A01G125000;TraesCS3B01G376200;TraesCS7B01G241500;TraesCS5A01G229300;TraesCS6A01G245000;TraesCS7B01G103100;TraesCS4A01G167000;TraesCS1D01G396300;TraesCS4D01G278500;TraesCS6D01G161000;TraesCS5B01G171400;TraesCS7A01G269900;TraesCS7D01G283600;TraesCS6B01G282200;TraesCS3A01G332300;TraesCS1D01G315700;TraesCS1B01G375300;TraesCS2D01G383800;TraesCS1B01G274600;TraesCS6B01G238600;TraesCS6A01G321600;TraesCS7A01G222800;TraesCS7D01G270400;TraesCS3D01G369100;TraesCS4A01G191500;TraesCS1A01G275400;TraesCS1A01G403800;TraesCS3D01G407300;TraesCS4D01G132900;TraesCS4D01G172000;TraesCS4A01G042500;TraesCS4D01G130600;TraesCS7B01G162300;TraesCS2D01G356700;TraesCS7A01G327600;TraesCS6B01G159800;TraesCS4A01G182800;TraesCS6A01G125400;TraesCS6B01G166400;TraesCS2D01G213100;TraesCS5D01G044700;TraesCS6B01G296700;TraesCS6D01G358500;TraesCS5A01G229400;TraesCS7A01G510900;TraesCS5A01G357400;TraesCS5D01G161800;TraesCS1A01G025900;TraesCS1A01G254400;TraesCS4D01G165800;TraesCS2B01G328500;TraesCS2D01G597600;TraesCS3D01G336200;TraesCS6D01G344100;TraesCS7D01G291200;TraesCS7D01G364400;TraesCS4B01G089500;TraesCS5B01G185700;TraesCS3A01G099800;TraesCS4A01G193700;TraesCS2A01G159900;TraesCS5B01G036800;TraesCS4A01G342800;TraesCS4B01G041900;TraesCS2B01G477400;TraesCS3B01G103500;TraesCS6B01G451100;TraesCS6B01G062400;TraesCS6D01G189700;TraesCS4A01G078800;TraesCS3A01G268600;TraesCS6B01G099900;TraesCS3B01G303000;TraesCS4A01G374600;TraesCS1A01G299500;TraesCS3D01G224800;TraesCS2D01G049500;TraesCS1D01G264100;TraesCS2D01G477200;TraesCS6D01G041700;TraesCS7D01G227300;TraesCS5B01G409400;TraesCS5A01G229500;TraesCS7B01G321700;TraesCS3A01G457400;TraesCS1B01G343100;TraesCS7A01G390300;TraesCS7D01G072100;TraesCS3A01G342300;TraesCS7D01G288700;TraesCS1D01G275000;TraesCS5D01G481500;TraesCS4A01G163000;TraesCSU01G158800;TraesCS5D01G099800;TraesCS1A01G218000;TraesCS5B01G539900;TraesCS7A01G276400;TraesCS1D01G265200;TraesCS6D01G227300;TraesCS5D01G530200;TraesCS6A01G143300;TraesCS6A01G147900;TraesCS4B01G138100;TraesCS5A01G119300;TraesCS5D01G366500;TraesCS3D01G217700;TraesCS5A01G123800;TraesCS4D01G214300;TraesCS3B01G185300;TraesCS4D01G252700;TraesCS6B01G174100;TraesCS7A01G264300;TraesCS7A01G419600;TraesCS1B01G348800;TraesCS6A01G355300;TraesCS5A01G050100;TraesCS5B01G322900;TraesCS2B01G079700;TraesCS5B01G154600;TraesCS6B01G199500;TraesCS3A01G528800;TraesCS6D01G007800;TraesCS2A01G093700;TraesCS7D01G025000;TraesCS2A01G187200;TraesCS3A01G151100;TraesCS3D01G241900;TraesCS7B01G054900;TraesCS2B01G401900;TraesCS7A01G277700;TraesCS1A01G264000;TraesCS2B01G275000;TraesCS6B01G246600;TraesCS6D01G186000;TraesCS6A01G209800;TraesCS2A01G309600;TraesCS2B01G086200;TraesCS3A01G189400;TraesCS5A01G054700;TraesCS4D01G167900;TraesCS1D01G252100;TraesCS3D01G282800;TraesCS3A01G282800;TraesCS5D01G261300;TraesCS7A01G220600;TraesCS3A01G412600;TraesCS2D01G362200;TraesCS3D01G240800;TraesCS2A01G398900;TraesCS3B01G254500;TraesCS6B01G356900;TraesCS3B01G252200;TraesCS5A01G104800;TraesCS7A01G004000;TraesCS1D01G219200;TraesCS7B01G129300;TraesCS3A01G435700;TraesCS3D01G376500;TraesCS1B01G344300;TraesCS5D01G144600;TraesCS5D01G238300;TraesCS6B01G256400;TraesCS7D01G407700;TraesCS2B01G304900;TraesCS1A01G198400;TraesCS1B01G378000;TraesCS3D01G203400;TraesCS2D01G138200;TraesCS4B01G151200;TraesCS3A01G278200;TraesCS7B01G241900;TraesCS2A01G128300;TraesCS6D01G179700;TraesCS7D01G332300;TraesCS5A01G367700;TraesCS3D01G109700;TraesCS2D01G320900;TraesCS7A01G139800;TraesCS7B01G176200;TraesCS1B01G301500;TraesCS3B01G316500;TraesCS2D01G397800;TraesCS3B01G093800;TraesCS2B01G592500;TraesCS3B01G268900;TraesCS1A01G361400;TraesCS3A01G060300;TraesCS6D01G094200;TraesCS2D01G205900;TraesCS3D01G386400;TraesCS4A01G111600;TraesCS5A01G156400;TraesCS4D01G318200;TraesCS4A01G262900;TraesCS6B01G352400;TraesCS1D01G003700;TraesCS2B01G150400;TraesCS6A01G336800;TraesCS6B01G134800;TraesCS2A01G338100;TraesCS3D01G271800;TraesCS7D01G450700;TraesCS2A01G342600;TraesCS5D01G402300;TraesCS7A01G450600;TraesCS2D01G059400;TraesCS4D01G107000;TraesCS7A01G076400;TraesCS2D01G231000;TraesCS4B01G164800;TraesCS5B01G037500;TraesCS7D01G032800;TraesCS2A01G202600;TraesCS7D01G011800;TraesCS6A01G146500;TraesCS2B01G174700;TraesCS6A01G192600;TraesCS3B01G257700;TraesCS6B01G223200;TraesCS2A01G150000;TraesCS4A01G144500;TraesCS6D01G293100;TraesCS3A01G187300;TraesCSU01G131300;TraesCS2B01G185800;TraesCS5D01G005300;TraesCS6D01G283300;TraesCS7D01G123400;TraesCS6B01G331800;TraesCS1A01G265000;TraesCS2A01G455300;TraesCS3A01G538300;TraesCS5A01G020800;TraesCS7B01G269300;TraesCS3D01G091000;TraesCS7A01G062100;TraesCS3A01G028600;TraesCS3B01G497300;TraesCS3D01G412500;TraesCS5D01G329200;TraesCS4B01G154900;TraesCS7B01G236400;TraesCS2B01G604300;TraesCS6A01G319100;TraesCS6B01G117100;TraesCS7A01G452800;TraesCS3B01G269900;TraesCS2A01G382000;TraesCSU01G132400;TraesCS3A01G488100;TraesCS7B01G421100;TraesCS7B01G446500;TraesCS7D01G386000;TraesCS6D01G121300;TraesCS4B01G252400;TraesCS5D01G525000;TraesCS6A01G360600;TraesCS1D01G411300;TraesCS6A01G184000;TraesCS7A01G351100;TraesCS3A01G178200;TraesCS5A01G468600;TraesCS1B01G049300;TraesCS5D01G162400;TraesCS7A01G238400;TraesCS7D01G150200;TraesCS5A01G513500;TraesCSU01G001100;TraesCS2B01G229600;TraesCS7A01G148600;TraesCS1B01G472100;TraesCS6B01G159200;TraesCS1D01G219700;TraesCS5B01G227900;TraesCS5D01G171100;TraesCS5D01G528400;TraesCS1A01G292100;TraesCS7D01G276300;TraesCS4B01G152900;TraesCS5A01G263700;TraesCS7A01G350000;TraesCS3D01G150400;TraesCS6A01G153600;TraesCS6B01G226000;TraesCS6D01G180500;TraesCS7A01G286700;TraesCS3B01G408800;TraesCS4B01G321500;TraesCS6B01G233800;TraesCS6D01G236400;TraesCS2A01G206200;TraesCS7D01G216000;TraesCS3D01G169000;TraesCS7D01G549100;TraesCS7D01G159000;TraesCS5B01G146700;TraesCS7A01G510000;TraesCS2A01G563500;TraesCS7B01G350400;TraesCS5D01G193000;TraesCS6D01G224200;TraesCS7B01G153100;TraesCS6B01G219700;TraesCS7D01G313600;TraesCS6A01G379000;TraesCS6A01G201800;TraesCS5D01G044100;TraesCS2D01G248600;TraesCS6B01G174500;TraesCS2A01G299200;TraesCS4A01G080100;TraesCS6A01G289200;TraesCS7D01G265200;TraesCS1A01G340400;TraesCS6B01G039900;TraesCS4B01G171300;TraesCS6B01G056200;TraesCS2D01G291200;TraesCS6A01G105400;TraesCS2B01G263300;TraesCS5A01G454300;TraesCS3D01G345500;TraesCS1B01G254000;TraesCS5D01G230300;TraesCS2B01G070700;TraesCS1A01G007500;TraesCS7B01G363600;TraesCS6A01G303800;TraesCS1D01G202100;TraesCS2A01G330000;TraesCS6B01G231400;TraesCS6D01G135800;TraesCS5A01G547300;TraesCS5A01G491400;TraesCS7B01G052200;TraesCS2D01G237600;TraesCS2B01G501300;TraesCS4A01G091100;TraesCS5D01G206500;TraesCS7B01G352800;TraesCS4A01G194100;TraesCS7A01G491200;TraesCS4A01G494400;TraesCS4D01G341900;TraesCS7D01G439900;TraesCS7B01G199200;TraesCS1D01G092200;TraesCS3B01G555600;TraesCS2D01G362700;TraesCS3A01G275700;TraesCS4B01G263100;TraesCS3A01G336100;TraesCS7A01G293200;TraesCS1B01G352700;TraesCS4D01G339700;TraesCS1D01G342400;TraesCS5A01G150700;TraesCS4D01G212600;TraesCS1D01G242500;TraesCS3D01G341200;TraesCS5B01G099300;TraesCS1D01G443100;TraesCS3A01G272200;TraesCS2D01G065800;TraesCS2B01G159600;TraesCS2B01G434600;TraesCS3B01G374400;TraesCS6D01G270400;TraesCS2A01G380200;TraesCS6B01G393500;TraesCS2A01G095300;TraesCS4A01G452700;TraesCS7B01G455500;TraesCS2D01G114900;TraesCS5B01G503800;TraesCS2D01G301200;TraesCS4A01G238100;TraesCS3D01G268700;TraesCS5B01G377700;TraesCS4A01G051900;TraesCS1D01G445300;TraesCS3A01G200400;TraesCS3A01G202700;TraesCS5B01G199400;TraesCS1D01G151800;TraesCS5D01G399200;TraesCS6D01G132500;TraesCS6D01G210000;TraesCS7B01G420400;TraesCS5A01G490500;TraesCS5D01G357600;TraesCS3A01G376300;TraesCS3D01G388400;TraesCS4B01G211800;TraesCS2D01G238600;TraesCS4D01G039100;TraesCS2A01G478000;TraesCS3D01G217600;TraesCS5B01G189500;TraesCS3A01G417000;TraesCS5B01G397300;TraesCS1D01G298400;TraesCS7D01G409000;TraesCS4D01G086400;TraesCS4D01G298800;TraesCS1A01G100600;TraesCS6B01G173500;TraesCS3A01G274600;TraesCS5B01G075800;TraesCS2D01G200700;TraesCS7D01G499800;TraesCS3D01G278500;TraesCS2D01G239700;TraesCS3A01G241700;TraesCS5D01G155800;TraesCS7A01G466600;TraesCS3D01G426300;TraesCS6D01G337500;TraesCS1D01G226500;TraesCS1D01G426400;TraesCS3D01G191100;TraesCS2A01G197900;TraesCS5D01G081700;TraesCS2B01G133300;TraesCS4A01G226900;TraesCS3A01G313300;TraesCS2A01G392900;TraesCS4A01G023500;TraesCS1A01G388400;TraesCS2A01G058700;TraesCS2B01G343900;TraesCS4A01G092500;TraesCS6A01G130900;TraesCS7A01G173500;TraesCS6A01G269400;TraesCS1A01G418700;TraesCS2A01G302500;TraesCS5B01G378700;TraesCS1B01G434100;TraesCS2A01G225100;TraesCS5B01G102600;TraesCS1A01G060100;TraesCS3A01G134100;TraesCS2A01G149600;TraesCS2B01G415500;TraesCS7D01G327700;TraesCS3D01G182400;TraesCS4A01G139700;TraesCS6B01G181300;TraesCS6D01G301300;TraesCS4B01G191300;TraesCS7B01G182300;TraesCS2B01G340300;TraesCS3D01G346200;TraesCS1A01G180200;TraesCS3B01G228900;TraesCS3B01G362100;TraesCS6A01G171300;TraesCS7D01G174700;TraesCS1D01G331000;TraesCS4B01G204500;TraesCS3D01G275600;TraesCS2D01G310000;TraesCS3A01G055300;TraesCS5B01G263800;TraesCS3B01G216800;TraesCS1A01G086500;TraesCS1A01G145000;TraesCS7B01G393400;TraesCS5D01G504600;TraesCS4B01G341300;TraesCS6D01G172500;TraesCS7D01G218000;TraesCS2A01G067500;TraesCS7D01G413700;TraesCS7D01G004500;TraesCS1A01G001800;TraesCS2B01G404600;TraesCS4D01G193500;TraesCS4D01G157200;TraesCS6A01G200200;TraesCS1D01G144000;TraesCS5A01G157000;TraesCS7A01G560200;TraesCS5B01G529300;TraesCS7B01G419900;TraesCS2B01G411000;TraesCS2B01G247100;TraesCS1B01G110400;TraesCS2A01G460000;TraesCS5D01G417400;TraesCS1B01G200300;TraesCS1D01G083200;TraesCS7D01G476500;TraesCS1B01G317500;TraesCS3A01G023800;TraesCS3A01G367000;TraesCS3B01G308200;TraesCS5B01G155200;TraesCS3A01G161800;TraesCS6B01G170600;TraesCS6B01G450500;TraesCS3D01G325800;TraesCS4B01G242800;TraesCS2A01G226000;TraesCS6D01G245600;TraesCS2B01G307500;TraesCS2D01G167300;TraesCS2A01G387000;TraesCS3A01G097200;TraesCS5A01G328900;TraesCS4B01G165100;TraesCS3A01G100000;TraesCS6D01G174700;TraesCS1A01G322300;TraesCS3B01G309400;TraesCS6B01G319000;TraesCS2B01G217700;TraesCS6D01G315500;TraesCS7D01G442100;TraesCS5A01G429300;TraesCS1A01G263400;TraesCS6A01G078200;TraesCS7D01G457900;TraesCS5B01G511800;TraesCS2D01G249200;TraesCS7B01G421800;TraesCS6A01G267300;TraesCS6A01G408400;TraesCS6B01G344100;TraesCS4D01G263300;TraesCS5A01G046600;TraesCS3A01G310100;TraesCS2B01G318400;TraesCS2D01G057900;TraesCS4B01G344600;TraesCS6D01G299200;TraesCSU01G009200;TraesCS6D01G152700;TraesCS3B01G306000;TraesCS1A01G358800;TraesCS3B01G425400;TraesCS5D01G105500;TraesCS5A01G036600;TraesCS6D01G224800;TraesCS1B01G213300;TraesCS4D01G301300;TraesCS1A01G111100;TraesCS4A01G164900;TraesCS5B01G136500;TraesCS3A01G107900;TraesCS5D01G512300;TraesCS5B01G509500;TraesCS1B01G293500;TraesCS2B01G051500;TraesCS5A01G515700;TraesCS7B01G124100;TraesCS6D01G245500;TraesCS6D01G174500;TraesCS7A01G421400;TraesCS2B01G225300;TraesCS5D01G060900;TraesCS2D01G300400;TraesCS3B01G470400;TraesCS6D01G193000;TraesCS1A01G284300;TraesCS5B01G481100;TraesCS6B01G171600;TraesCS5B01G110000;TraesCS2D01G023900;TraesCS3B01G426600;TraesCS2B01G108200;TraesCS2B01G352300;TraesCS6A01G161200;TraesCS4B01G380800;TraesCS4D01G242400;TraesCS2B01G191800;TraesCS6B01G388100</t>
  </si>
  <si>
    <t>TraesCS6A01G203300;TraesCS2B01G315300;TraesCS2A01G066800;TraesCS4B01G168300;TraesCS2A01G066700;TraesCS5A01G108000;TraesCS5A01G165700;TraesCSU01G047800;TraesCS4D01G170800;TraesCS5B01G162800;TraesCS3B01G254400;TraesCS5B01G502700;TraesCS4A01G206400;TraesCS2A01G067200;TraesCS5D01G169900;TraesCS7A01G205200;TraesCS4D01G107400;TraesCS5A01G165400;TraesCS5D01G169600;TraesCS4B01G109900;TraesCS3D01G228800;TraesCS2B01G079500;TraesCS2D01G065600;TraesCS5B01G316400;TraesCS2D01G065200;TraesCS2D01G065300;TraesCS2D01G065100;TraesCS2B01G079400;TraesCS3A01G224800;TraesCS5D01G138500;TraesCS2B01G079200;TraesCS2D01G296800;TraesCS2B01G079100</t>
  </si>
  <si>
    <t>TraesCS1B01G368500;TraesCS1B01G422200;TraesCS6D01G172500;TraesCS5A01G123800;TraesCS6B01G223200;TraesCS6A01G201800;TraesCS1B01G253500;TraesCS6D01G186000;TraesCS1D01G356900;TraesCS4B01G091100;TraesCS1D01G241800;TraesCS5A01G221800;TraesCS1D01G401900;TraesCS3D01G228900;TraesCS1B01G304500;TraesCS1A01G060100;TraesCS2A01G460000;TraesCS3A01G412600;TraesCS4A01G193700;TraesCS3D01G407300</t>
  </si>
  <si>
    <t>production of small RNA involved in gene silencing by RNA</t>
  </si>
  <si>
    <t>dsRNA fragmentation</t>
  </si>
  <si>
    <t>cellular response to dsRNA</t>
  </si>
  <si>
    <t>response to dsRNA</t>
  </si>
  <si>
    <t>TraesCS2A01G095300;TraesCS3A01G212600;TraesCS5D01G044700;TraesCS1A01G180200;TraesCS1D01G409700;TraesCS5D01G472300;TraesCS6A01G379000;TraesCS2D01G565200;TraesCS1D01G331000;TraesCS5A01G036600;TraesCS1B01G049300;TraesCS2B01G122500;TraesCS2B01G592500;TraesCS2D01G362700;TraesCS3A01G200400;TraesCS1D01G124400;TraesCS5A01G490500;TraesCS2B01G227800;TraesCS1D01G178000;TraesCS4A01G138800;TraesCS4D01G318200;TraesCS1D01G325500;TraesCS4A01G262900;TraesCS3B01G252200;TraesCS3B01G088300;TraesCS2D01G208300;TraesCS3B01G298400;TraesCS6B01G190300;TraesCS1A01G133500;TraesCS5A01G460600;TraesCS2D01G059400;TraesCS4B01G109700;TraesCS4B01G321500;TraesCS3D01G203400;TraesCS2D01G093700;TraesCS3A01G295400;TraesCS6A01G161200;TraesCS2B01G247100;TraesCS5B01G037500;TraesCS1B01G200300;TraesCS2A01G200500;TraesCS2D01G105300</t>
  </si>
  <si>
    <t>negative regulation of nitrogen compound metabolic process</t>
  </si>
  <si>
    <t>TraesCS3A01G151100;TraesCS3D01G426300;TraesCS2D01G349600;TraesCS7B01G006600;TraesCS3A01G367000;TraesCS7B01G197000;TraesCS4D01G194400;TraesCS2A01G437700;TraesCS2B01G369600;TraesCS4A01G290400;TraesCS4B01G204500;TraesCS1A01G195500;TraesCS2A01G193800;TraesCS1D01G199100;TraesCS6D01G283300;TraesCS2B01G248100;TraesCS2A01G222600;TraesCS2D01G194000;TraesCS2D01G238600;TraesCS6D01G122800;TraesCS5A01G119300;TraesCS4D01G021400;TraesCS3A01G232700;TraesCS7A01G190700;TraesCS2B01G297800;TraesCS3B01G161900;TraesCS6A01G303800;TraesCS3D01G083400;TraesCS2A01G280500;TraesCS2B01G457600;TraesCS6A01G133100;TraesCS2D01G279300;TraesCS3A01G082700;TraesCS4A01G005000;TraesCS3D01G220400;TraesCS4D01G208900</t>
  </si>
  <si>
    <t>TraesCS3B01G423800;TraesCS6A01G311200;TraesCS7B01G111000;TraesCS7A01G204000;TraesCS7D01G207100;TraesCS1D01G316200;TraesCS3D01G384700;TraesCS1A01G315900;TraesCS2A01G226000;TraesCS6B01G341400;TraesCS2A01G171900;TraesCS3D01G205300;TraesCS3A01G391800</t>
  </si>
  <si>
    <t>TraesCS6A01G234000;TraesCS6B01G342300;TraesCS6B01G262800;TraesCS6D01G216300;TraesCS6A01G312100</t>
  </si>
  <si>
    <t>intercellular transport</t>
  </si>
  <si>
    <t>TraesCS5D01G044700;TraesCS5A01G104800;TraesCS5D01G230300;TraesCS5B01G205700;TraesCS3B01G154900;TraesCS5B01G037500;TraesCS6B01G039900;TraesCS2A01G392900;TraesCS2A01G585800;TraesCS5A01G036600;TraesCS5D01G396300;TraesCS7D01G326000</t>
  </si>
  <si>
    <t>phloem or xylem histogenesis</t>
  </si>
  <si>
    <t>TraesCS1B01G186300;TraesCS1D01G423500;TraesCS6D01G122800;TraesCS1A01G171000;TraesCS4B01G226100;TraesCS6A01G133100;TraesCS6B01G336300;TraesCS1A01G416000;TraesCS1D01G094400;TraesCS5B01G155100;TraesCS6A01G307700;TraesCS1D01G168700</t>
  </si>
  <si>
    <t>TraesCS3A01G151100;TraesCS7A01G277700;TraesCS7B01G129300;TraesCS7B01G153100;TraesCS5A01G229400;TraesCS7B01G199200;TraesCS1A01G007500;TraesCS7D01G283600;TraesCS7A01G286700;TraesCS7A01G419600;TraesCS7D01G224400;TraesCS6D01G293100;TraesCS5B01G263800;TraesCS7A01G175300;TraesCS6B01G344100;TraesCS7A01G222800;TraesCS2D01G237600;TraesCS2D01G239700;TraesCS5A01G328900</t>
  </si>
  <si>
    <t>TraesCS3D01G264800;TraesCS6A01G123800;TraesCS1D01G264100;TraesCS5D01G013100;TraesCS1D01G155100;TraesCS2A01G286500;TraesCS7D01G292000;TraesCS7D01G449900;TraesCS4B01G015600;TraesCS5A01G092400;TraesCS1D01G401900;TraesCS1D01G149900;TraesCS7A01G260600;TraesCS4B01G133200;TraesCS4A01G119800;TraesCS2A01G058700;TraesCS2D01G014800;TraesCS5A01G089900;TraesCS5A01G215900;TraesCS1A01G112800;TraesCS4D01G147100;TraesCS5A01G119300;TraesCS4A01G065400;TraesCS6B01G251600;TraesCS6B01G253900;TraesCS4D01G013900;TraesCS5B01G378700;TraesCS6D01G204800;TraesCS5A01G467500;TraesCS5D01G517600;TraesCS2B01G457300;TraesCS2B01G004000;TraesCS7A01G323200;TraesCS2A01G223600;TraesCS2A01G097900;TraesCS7D01G549100;TraesCS5A01G004200;TraesCS1B01G255100;TraesCS7D01G250100;TraesCS1A01G264000;TraesCS5B01G335500;TraesCS6B01G112700;TraesCS6D01G362000;TraesCS1D01G155800;TraesCS5A01G149000;TraesCS1D01G331000;TraesCS7B01G411000;TraesCS5A01G336500;TraesCS5B01G396700;TraesCS2D01G242100;TraesCS4B01G204500;TraesCS6D01G113900;TraesCS4A01G157100;TraesCS6B01G257900;TraesCS6D01G237400;TraesCS4A01G283000;TraesCS1B01G254000;TraesCS3A01G513500;TraesCS2B01G070700;TraesCS1D01G412600;TraesCS4A01G013500;TraesCS4A01G298100;TraesCS7D01G339300;TraesCS2D01G111300;TraesCS3B01G435900;TraesCS1D01G229400;TraesCS6A01G303800;TraesCS7A01G560200;TraesCS7B01G230100;TraesCS1A01G198400;TraesCS3D01G203400;TraesCS5D01G459800;TraesCS6B01G242800;TraesCS1D01G211600;TraesCS2B01G207000;TraesCS6A01G230100;TraesCS6D01G047400;TraesCS1B01G462200;TraesCS2D01G105300;TraesCS6D01G062500;TraesCS6B01G414800;TraesCS1D01G440900;TraesCS6A01G113000;TraesCS4D01G194300;TraesCS5D01G143800;TraesCS1B01G290800;TraesCS7B01G085700;TraesCS7D01G283600;TraesCS1D01G280900;TraesCS3B01G423600;TraesCS2B01G363200;TraesCS2D01G362700;TraesCS4A01G354500;TraesCS1B01G274600;TraesCS2B01G303300;TraesCS6D01G212000;TraesCS4B01G150300;TraesCS3D01G162700;TraesCS2A01G387000;TraesCS5D01G332000;TraesCS3D01G237100;TraesCS5B01G344200;TraesCS5D01G118200;TraesCS2D01G328100;TraesCS6A01G212200;TraesCS4A01G262900;TraesCS1A01G246800;TraesCS1B01G422200;TraesCS3A01G402500;TraesCS3B01G149800;TraesCS5D01G551200;TraesCS7A01G381900;TraesCS7D01G148200;TraesCS2D01G520000;TraesCS4A01G315700;TraesCS1B01G478800;TraesCS5B01G563800;TraesCS1A01G263400;TraesCS2D01G229600;TraesCS2B01G273900;TraesCS4A01G185400;TraesCS6A01G259000;TraesCS5B01G517900;TraesCS2D01G057900;TraesCS7A01G252000;TraesCS3A01G264700;TraesCS4A01G364400;TraesCS2A01G110700;TraesCS7B01G184800;TraesCS4A01G110800;TraesCS3D01G304800;TraesCS4A01G276300;TraesCS1B01G213300;TraesCS3D01G327600;TraesCS7D01G378400;TraesCS4A01G164900;TraesCS2B01G122500;TraesCS5D01G164800;TraesCS7D01G447100;TraesCS3A01G200400;TraesCS5B01G510500;TraesCS1A01G172100;TraesCS5B01G509100;TraesCS5D01G223700;TraesCS6B01G151900;TraesCS7B01G124100;TraesCS5B01G147600;TraesCS6D01G283300;TraesCS5B01G214400;TraesCS7B01G242800;TraesCS6D01G195400;TraesCS4A01G124000;TraesCS5B01G036800;TraesCS1A01G158500;TraesCS1D01G242400;TraesCS5D01G341200;TraesCS4B01G041900;TraesCS7A01G329600;TraesCS1B01G434400;TraesCS2D01G524500;TraesCS4B01G073200;TraesCS1A01G431600;TraesCS6A01G319100;TraesCS1A01G133500;TraesCS1A01G281700;TraesCS4D01G160000;TraesCS5B01G534400;TraesCS1A01G309200;TraesCS4A01G005000;TraesCS6D01G238800</t>
  </si>
  <si>
    <t>TraesCS3D01G426300;TraesCS1A01G180200;TraesCS1D01G409700;TraesCS3A01G367000;TraesCS7D01G283600;TraesCS1B01G049300;TraesCS4B01G204500;TraesCS2B01G592500;TraesCS2D01G362700;TraesCS6B01G151900;TraesCS6D01G283300;TraesCS2B01G227800;TraesCS2D01G238600;TraesCS4A01G138800;TraesCS1B01G337800;TraesCS1D01G325500;TraesCS5B01G036800;TraesCS2D01G208300;TraesCS1A01G324800;TraesCS4D01G135000;TraesCS6A01G303800;TraesCS4B01G109700;TraesCS6A01G267300;TraesCS3A01G295400;TraesCS7D01G000100;TraesCS1B01G200300;TraesCS2A01G200500</t>
  </si>
  <si>
    <t>TraesCS2A01G095300;TraesCS5D01G044700;TraesCS1A01G180200;TraesCS1D01G409700;TraesCS5D01G472300;TraesCS6A01G379000;TraesCS1D01G331000;TraesCS5A01G036600;TraesCS1B01G049300;TraesCS2B01G122500;TraesCS2B01G592500;TraesCS2D01G362700;TraesCS3A01G200400;TraesCS5A01G490500;TraesCS2B01G227800;TraesCS4A01G138800;TraesCS4D01G318200;TraesCS1D01G325500;TraesCS4A01G262900;TraesCS2A01G239200;TraesCS2B01G257300;TraesCS3B01G252200;TraesCS3B01G088300;TraesCS2D01G208300;TraesCS3B01G298400;TraesCS6B01G190300;TraesCS5A01G460600;TraesCS2D01G059400;TraesCS4B01G109700;TraesCS4B01G321500;TraesCS3D01G203400;TraesCS2D01G093700;TraesCS3A01G295400;TraesCS6A01G161200;TraesCS2B01G247100;TraesCS5B01G037500;TraesCS1B01G200300;TraesCS2A01G200500;TraesCS2D01G105300</t>
  </si>
  <si>
    <t>negative regulation of cellular biosynthetic process</t>
  </si>
  <si>
    <t>negative regulation of biosynthetic process</t>
  </si>
  <si>
    <t>TraesCS1B01G261700;TraesCS3A01G103100;TraesCS4B01G084800;TraesCS5D01G401900;TraesCS6D01G364400;TraesCS4A01G110800;TraesCS1A01G358800;TraesCS4B01G244400;TraesCS4A01G078900;TraesCS4D01G194300;TraesCS5D01G107900;TraesCS3D01G289600;TraesCS6A01G379800;TraesCS6B01G418400;TraesCS4D01G082700;TraesCS2B01G107200;TraesCS1B01G375300;TraesCS5A01G095200;TraesCS2A01G092400;TraesCS5D01G504600;TraesCS5B01G101400;TraesCS1D01G250700;TraesCS7B01G097000;TraesCS4A01G231200;TraesCS5D01G230300;TraesCS7A01G192000;TraesCS4B01G383000;TraesCS6B01G348700;TraesCS4B01G245400;TraesCS3A01G251200;TraesCS4B01G180100;TraesCS7D01G107600;TraesCS3B01G324500;TraesCS5A01G222500;TraesCS5B01G396900;TraesCS5D01G157300;TraesCS4D01G244000;TraesCS5A01G392000;TraesCS7D01G193000</t>
  </si>
  <si>
    <t>cell wall biogenesis</t>
  </si>
  <si>
    <t>TraesCS2B01G592500;TraesCS2D01G362700;TraesCS5D01G429200;TraesCS1A01G180200;TraesCS2D01G208300;TraesCS2B01G227800;TraesCS1B01G200300;TraesCS2A01G200500</t>
  </si>
  <si>
    <t>vegetative phase change</t>
  </si>
  <si>
    <t>TraesCS6A01G146500;TraesCS3A01G100000;TraesCS4D01G153900;TraesCS1D01G219200;TraesCS1A01G180200;TraesCS5B01G155200;TraesCS2A01G150000;TraesCS2A01G309600;TraesCS1A01G254400;TraesCS5A01G157000;TraesCS7D01G407700;TraesCS5D01G162400;TraesCS6D01G135800;TraesCS1B01G200300</t>
  </si>
  <si>
    <t>protein autophosphorylation</t>
  </si>
  <si>
    <t>symbiont process</t>
  </si>
  <si>
    <t>TraesCS4B01G252400;TraesCS3A01G023800;TraesCS4A01G494400;TraesCS5A01G357400;TraesCS2A01G246200;TraesCS1A01G111100;TraesCS5B01G136500;TraesCS2D01G248600;TraesCS4A01G051900;TraesCS3A01G275700;TraesCS3D01G275600;TraesCS7D01G265200;TraesCS6D01G210000;TraesCS2B01G263300;TraesCS6A01G225200;TraesCS5D01G366500;TraesCS7A01G004000;TraesCS2A01G262700;TraesCS3B01G309400;TraesCS6A01G336800;TraesCS7B01G162300;TraesCS7D01G004500;TraesCS4D01G252700;TraesCS7A01G264300;TraesCS6B01G256400;TraesCS2B01G304900;TraesCS2D01G249200;TraesCS5B01G102600;TraesCS4A01G078800</t>
  </si>
  <si>
    <t>TraesCS3A01G393400;TraesCS6D01G149800;TraesCS3B01G083400;TraesCS5D01G341200;TraesCS3A01G069900;TraesCS5B01G335500;TraesCS2A01G027000;TraesCS5A01G336500;TraesCS5B01G378700;TraesCS3D01G068900;TraesCSU01G072700;TraesCS6B01G189000;TraesCS7A01G323200;TraesCS1B01G333100</t>
  </si>
  <si>
    <t>TraesCS1D01G003700;TraesCS4A01G091100;TraesCS4A01G065400;TraesCS4D01G214300;TraesCS6D01G390000;TraesCS4B01G213600;TraesCS6B01G450500</t>
  </si>
  <si>
    <t>organellar ribosome</t>
  </si>
  <si>
    <t>TraesCS4A01G262900;TraesCS6A01G203300;TraesCS2D01G300400;TraesCS3A01G100000;TraesCS5D01G551200;TraesCS5B01G155200;TraesCS4A01G315700;TraesCS5A01G092400;TraesCS7D01G280600;TraesCS5B01G563800;TraesCS5A01G157000;TraesCS5D01G162400;TraesCS7D01G000100</t>
  </si>
  <si>
    <t>cellular response to light stimulus</t>
  </si>
  <si>
    <t>cellular response to radiation</t>
  </si>
  <si>
    <t>TraesCS3A01G151100;TraesCS7A01G277700;TraesCS7B01G129300;TraesCS7B01G153100;TraesCS5A01G229400;TraesCS7B01G199200;TraesCS6A01G314100;TraesCS1A01G007500;TraesCS7D01G283600;TraesCS7A01G286700;TraesCS7A01G419600;TraesCS7D01G224400;TraesCS6D01G293100;TraesCS5B01G263800;TraesCS7A01G175300;TraesCS6B01G344100;TraesCS7A01G222800;TraesCS2D01G237600;TraesCS2D01G239700;TraesCS5A01G328900</t>
  </si>
  <si>
    <t>homogalacturonan biosynthetic process</t>
  </si>
  <si>
    <t>homogalacturonan metabolic process</t>
  </si>
  <si>
    <t>TraesCS2A01G123800;TraesCS5B01G036800;TraesCS2B01G145700;TraesCS2D01G126600</t>
  </si>
  <si>
    <t>heteropolysaccharide binding</t>
  </si>
  <si>
    <t>TraesCS4D01G135000;TraesCS3D01G426300;TraesCS6A01G303800;TraesCS5B01G036800;TraesCS6A01G267300;TraesCS3A01G367000;TraesCS3B01G370200;TraesCS2D01G148200;TraesCS6D01G283300;TraesCS7D01G283600;TraesCS2D01G238600;TraesCS4B01G204500</t>
  </si>
  <si>
    <t>TraesCS3A01G151100;TraesCS6D01G121300;TraesCS2B01G340300;TraesCS5D01G258900;TraesCS7B01G186500;TraesCS7B01G103100;TraesCS7D01G292000;TraesCS5B01G249000;TraesCS7B01G176200;TraesCS1A01G254400;TraesCS5D01G219500;TraesCS5A01G324200;TraesCS2B01G248100;TraesCS2A01G222600;TraesCS1D01G086600;TraesCS1B01G352700;TraesCS5A01G251000;TraesCS2A01G342600;TraesCS2D01G356700;TraesCS6B01G159800;TraesCS3D01G414600;TraesCS5A01G429300;TraesCS7D01G339600;TraesCS5B01G324800;TraesCS1A01G102300;TraesCS5A01G212500;TraesCS3A01G310200;TraesCS7A01G294200</t>
  </si>
  <si>
    <t>TraesCS2B01G279400;TraesCS4A01G364400;TraesCS2A01G286500;TraesCS1D01G396300;TraesCS4A01G276300;TraesCS6D01G091100;TraesCS2D01G500600;TraesCS1D01G390500;TraesCS2A01G041400;TraesCS2D01G261300;TraesCS4A01G354500;TraesCS1D01G149900;TraesCS2B01G107200;TraesCS5B01G509100;TraesCS2B01G303300;TraesCS2A01G092400;TraesCS3D01G237100;TraesCS1A01G388400;TraesCS5A01G089900;TraesCS6D01G065600;TraesCS2B01G528300;TraesCS2A01G262700;TraesCS3D01G341200;TraesCS3D01G238700;TraesCS5B01G084600;TraesCS4A01G013500;TraesCS6A01G153500;TraesCS4B01G314600;TraesCS5D01G517600;TraesCS1D01G400600;TraesCS2A01G500400;TraesCS3A01G484800;TraesCS5B01G517900;TraesCS1D01G211600;TraesCS4D01G240700;TraesCS2A01G187700;TraesCS6A01G102500</t>
  </si>
  <si>
    <t>plasmodesmata-mediated intercellular transport</t>
  </si>
  <si>
    <t>TraesCS2B01G592500;TraesCS2D01G362700;TraesCS4B01G109700;TraesCS5D01G429200;TraesCS1A01G180200;TraesCS3A01G295400;TraesCS4B01G276500;TraesCS2D01G208300;TraesCS2B01G227800;TraesCS1B01G200300;TraesCS2A01G200500;TraesCS1B01G049300</t>
  </si>
  <si>
    <t>cellular response to virus</t>
  </si>
  <si>
    <t>TraesCS2D01G417300;TraesCS6D01G244900;TraesCS6B01G342300;TraesCS3B01G222400;TraesCS2D01G327400;TraesCS2B01G346500;TraesCS4D01G150700;TraesCS4A01G150500</t>
  </si>
  <si>
    <t>Group II intron splicing</t>
  </si>
  <si>
    <t>TraesCS4D01G135000;TraesCS3D01G426300;TraesCS6A01G303800;TraesCS5B01G036800;TraesCS6A01G267300;TraesCS3A01G367000;TraesCS3B01G370200;TraesCS6D01G283300;TraesCS7D01G283600;TraesCS2D01G238600;TraesCS4B01G204500</t>
  </si>
  <si>
    <t>TraesCS1B01G261700;TraesCS7B01G097000;TraesCS5D01G230300;TraesCS7A01G192000;TraesCS4A01G110800;TraesCS1A01G358800;TraesCS4B01G244400;TraesCS6B01G348700;TraesCS4A01G078900;TraesCS4B01G245400;TraesCS4D01G194300;TraesCS3D01G289600;TraesCS7D01G107600;TraesCS1B01G375300;TraesCS5D01G157300;TraesCS4D01G244000;TraesCS1D01G250700;TraesCS7D01G193000</t>
  </si>
  <si>
    <t>cell wall polysaccharide biosynthetic process</t>
  </si>
  <si>
    <t>TraesCS4A01G262900;TraesCS2D01G300400;TraesCS3D01G426300;TraesCS5B01G036800;TraesCS3A01G367000;TraesCS7D01G283600;TraesCS5A01G092400;TraesCS4B01G204500;TraesCS4D01G135000;TraesCS6A01G303800;TraesCS6A01G267300;TraesCS6D01G283300;TraesCS2D01G238600</t>
  </si>
  <si>
    <t>virus induced gene silencing</t>
  </si>
  <si>
    <t>modulation by symbiont of RNA levels in host</t>
  </si>
  <si>
    <t>modulation of RNA levels in other organism involved in symbiotic interaction</t>
  </si>
  <si>
    <t>TraesCS2D01G349600;TraesCS7B01G006600;TraesCS3A01G367000;TraesCS7B01G197000;TraesCS1B01G290800;TraesCS4D01G194400;TraesCS1D01G280900;TraesCS5A01G092400;TraesCS2A01G437700;TraesCS2B01G369600;TraesCS4A01G290400;TraesCS4B01G204500;TraesCS6B01G257900;TraesCS6D01G212000;TraesCS6D01G283300;TraesCS2B01G248100;TraesCS2A01G222600;TraesCS3D01G237100;TraesCS5A01G119300;TraesCS6B01G251600;TraesCS4D01G021400;TraesCS3A01G232700;TraesCS6D01G204800;TraesCS1B01G478800;TraesCS1A01G281700;TraesCS3B01G161900;TraesCS6A01G303800;TraesCS2B01G457600;TraesCS3D01G220400;TraesCS6A01G230100</t>
  </si>
  <si>
    <t>TraesCS6B01G223200;TraesCS6A01G201800;TraesCS5A01G396700;TraesCS4B01G017400;TraesCS6D01G186000;TraesCS2D01G310000;TraesCS2A01G193800;TraesCS2B01G328500;TraesCS4B01G286700;TraesCS5A01G548800;TraesCS5D01G026000;TraesCS3D01G258900;TraesCS1A01G369600;TraesCS2D01G198300;TraesCS5B01G409700;TraesCS3A01G412600;TraesCS2D01G194000;TraesCS7A01G316700;TraesCS4A01G193700;TraesCS5D01G208300;TraesCS3D01G407300;TraesCS7B01G217500;TraesCS4D01G153900;TraesCS6D01G172500;TraesCS1B01G396800;TraesCS5A01G123800;TraesCS6D01G147900;TraesCS7D01G543200;TraesCS4D01G359000;TraesCS2B01G217700;TraesCS4D01G015900;TraesCS1A01G376400;TraesCS2B01G297800;TraesCS1D01G198700;TraesCS2A01G280500;TraesCS4A01G296200;TraesCS2D01G279300;TraesCS1A01G060100;TraesCS5B01G121500;TraesCS1D01G383500;TraesCS2A01G460000;TraesCS4D01G036500;TraesCS6D01G047400;TraesCS1B01G462200</t>
  </si>
  <si>
    <t>TraesCS3D01G426300;TraesCS3A01G498300;TraesCS5B01G036800;TraesCS7B01G240200;TraesCS3A01G075700;TraesCS4A01G197600;TraesCS3A01G367000;TraesCS7A01G342800;TraesCS7D01G283600;TraesCS4B01G117800;TraesCS4B01G117900;TraesCS4B01G204500;TraesCS4D01G115500;TraesCS4D01G135000;TraesCS6A01G303800;TraesCS4D01G115600;TraesCS6A01G267300;TraesCS6D01G283300;TraesCS3A01G310200;TraesCS4A01G197700;TraesCS2D01G238600;TraesCSU01G058200</t>
  </si>
  <si>
    <t>glucuronoxylan metabolic process</t>
  </si>
  <si>
    <t>TraesCS3D01G426300;TraesCS5D01G258900;TraesCS7D01G227300;TraesCS7D01G292000;TraesCS3A01G367000;TraesCS5B01G155200;TraesCS5B01G249000;TraesCS6B01G454500;TraesCS5B01G171400;TraesCS7D01G283600;TraesCS3A01G212000;TraesCS5A01G092400;TraesCS2D01G362700;TraesCS5D01G162400;TraesCS2D01G492600;TraesCS4A01G226900;TraesCS3D01G273800;TraesCS6A01G321600;TraesCS1D01G086600;TraesCS2D01G238700;TraesCS4A01G138800;TraesCS3B01G398000;TraesCS1D01G265200;TraesCS6B01G352400;TraesCS2B01G528300;TraesCS1B01G396800;TraesCS3B01G185300;TraesCS5D01G532100;TraesCS1A01G376400;TraesCS4D01G135000;TraesCS3B01G324500;TraesCS5D01G429200;TraesCS6A01G267300;TraesCS6A01G408400;TraesCS1D01G383500;TraesCS7A01G294200;TraesCS2B01G520500;TraesCS6D01G301300;TraesCS3A01G151100;TraesCS4B01G193400;TraesCS7B01G186500;TraesCS4B01G244400;TraesCS3D01G289600;TraesCS2B01G122500;TraesCS4B01G204500;TraesCS1A01G254400;TraesCS2A01G492300;TraesCS5B01G263800;TraesCS5A01G395200;TraesCS5B01G476900;TraesCS6D01G283300;TraesCS2D01G238600;TraesCS2B01G154700;TraesCS7D01G349600;TraesCS6D01G147700;TraesCS2D01G300400;TraesCS5A01G251000;TraesCS5B01G036800;TraesCS2A01G132200;TraesCS4A01G120000;TraesCS4B01G180100;TraesCS7D01G280600;TraesCS5A01G157000;TraesCS6A01G303800;TraesCS4D01G275500;TraesCS5D01G459800;TraesCS1D01G125500;TraesCS7D01G000100;TraesCS6A01G163500;TraesCS3A01G310200;TraesCS2D01G105300</t>
  </si>
  <si>
    <t>TraesCS2A01G095300;TraesCS5D01G044700;TraesCS5D01G472300;TraesCS6A01G379000;TraesCS1D01G331000;TraesCS5A01G036600;TraesCS1B01G049300;TraesCS2B01G122500;TraesCS2D01G362700;TraesCS3A01G200400;TraesCS5A01G490500;TraesCS4D01G318200;TraesCS1D01G325500;TraesCS3B01G252200;TraesCS3B01G088300;TraesCS6B01G190300;TraesCS5A01G460600;TraesCS2D01G059400;TraesCS4B01G109700;TraesCS4B01G321500;TraesCS3D01G203400;TraesCS2D01G093700;TraesCS3A01G295400;TraesCS6A01G161200;TraesCS2B01G247100;TraesCS5B01G037500;TraesCS2D01G105300</t>
  </si>
  <si>
    <t>negative regulation of nucleic acid-templated transcription</t>
  </si>
  <si>
    <t>negative regulation of RNA biosynthetic process</t>
  </si>
  <si>
    <t>interaction with host</t>
  </si>
  <si>
    <t>negative regulation of transcription, DNA-templated</t>
  </si>
  <si>
    <t>TraesCS2D01G362700;TraesCS6B01G414800;TraesCS6D01G362000;TraesCS4B01G015600;TraesCS4A01G298100;TraesCS4D01G013900</t>
  </si>
  <si>
    <t>TraesCS5D01G551200;TraesCS1D01G440900;TraesCS7D01G292000;TraesCS4A01G315700;TraesCS1A01G431600;TraesCS5B01G563800</t>
  </si>
  <si>
    <t>plastid sigma factor activity</t>
  </si>
  <si>
    <t>TraesCS5B01G227900;TraesCS2B01G340300;TraesCS5B01G036800;TraesCS7D01G227300;TraesCS3A01G052700;TraesCS2A01G342600;TraesCS7D01G072100;TraesCS4D01G135000;TraesCS6A01G303800;TraesCS4A01G226900;TraesCS5D01G026000;TraesCS7B01G114100;TraesCS6D01G283300</t>
  </si>
  <si>
    <t>plastoglobule</t>
  </si>
  <si>
    <t>TraesCS5A01G396700;TraesCS4B01G286700;TraesCS5A01G548800;TraesCS1A01G369600;TraesCS2D01G194000;TraesCS7A01G316700;TraesCS3D01G407300;TraesCS4D01G153900;TraesCS1B01G396800;TraesCS5A01G123800;TraesCS7D01G543200;TraesCS3B01G011800;TraesCS2B01G217700;TraesCS1A01G376400;TraesCS2A01G280500;TraesCS5B01G324800;TraesCS2D01G279300;TraesCS1A01G060100;TraesCS5B01G121500;TraesCS1D01G383500;TraesCS1B01G402900;TraesCS6B01G223200;TraesCS6A01G201800;TraesCS4B01G017400;TraesCS6D01G186000;TraesCS2D01G310000;TraesCS2A01G193800;TraesCS2B01G328500;TraesCS5A01G324200;TraesCS5D01G026000;TraesCS3D01G258900;TraesCS2D01G198300;TraesCS5B01G409700;TraesCS3A01G412600;TraesCS3B01G006700;TraesCS4A01G193700;TraesCS5D01G208300;TraesCS7B01G217500;TraesCS6D01G172500;TraesCS6D01G147900;TraesCS4D01G359000;TraesCS4D01G015900;TraesCS2B01G297800;TraesCS1D01G198700;TraesCS4A01G296200;TraesCS2A01G460000;TraesCS4D01G036500;TraesCS6D01G047400;TraesCS1B01G462200</t>
  </si>
  <si>
    <t>TraesCS3D01G426300;TraesCS5B01G036800;TraesCS2A01G132200;TraesCS3A01G367000;TraesCS7D01G283600;TraesCS4B01G204500;TraesCS4D01G135000;TraesCS6A01G303800;TraesCS6A01G267300;TraesCS3B01G370200;TraesCS6D01G283300;TraesCS2D01G238600;TraesCS2B01G154700</t>
  </si>
  <si>
    <t>TraesCS5B01G142900;TraesCS5B01G413400;TraesCS4A01G238100;TraesCS4A01G077600;TraesCS2A01G400900;TraesCS7B01G097000;TraesCS4A01G283700;TraesCS7D01G188300;TraesCS5D01G148100;TraesCS7A01G192000;TraesCS2D01G398400;TraesCS3A01G362600;TraesCS1D01G376900;TraesCS2B01G222600;TraesCS3A01G488100;TraesCS5B01G320100;TraesCS5A01G143800;TraesCS3D01G356400;TraesCS3B01G221200;TraesCS5B01G255700;TraesCS2D01G202900;TraesCS4B01G029400;TraesCS7B01G092500;TraesCS7D01G193000;TraesCS6B01G166400</t>
  </si>
  <si>
    <t>Golgi membrane</t>
  </si>
  <si>
    <t>TraesCS7A01G466600;TraesCS3D01G426300;TraesCS6D01G121300;TraesCS3A01G457400;TraesCS1D01G226500;TraesCS3A01G478100;TraesCS1D01G401900;TraesCS5D01G219500;TraesCS3A01G334800;TraesCS5A01G108000;TraesCS3A01G250200;TraesCS3D01G229800;TraesCS4A01G163000;TraesCS4B01G286700;TraesCS2B01G334800;TraesCS5A01G272400;TraesCS5D01G099800;TraesCS3D01G391900;TraesCS1A01G218000;TraesCS1B01G377800;TraesCS2A01G058700;TraesCS6A01G118200;TraesCS1D01G219700;TraesCS2B01G528300;TraesCS2A01G409700;TraesCS5A01G192000;TraesCS6D01G122800;TraesCS5A01G014400;TraesCS2D01G394900;TraesCS4B01G152900;TraesCS1A01G355200;TraesCS3B01G185300;TraesCS3D01G150400;TraesCS4D01G212000;TraesCS7B01G104400;TraesCS7A01G190700;TraesCS7D01G228500;TraesCS4B01G354600;TraesCS2B01G031800;TraesCS1B01G325100;TraesCS6B01G342400;TraesCS2A01G280500;TraesCS5B01G324800;TraesCS6A01G133100;TraesCS2D01G233900;TraesCS3A01G134100;TraesCS7A01G088100;TraesCS7D01G549100;TraesCS5B01G146700;TraesCS3A01G151100;TraesCS1B01G368500;TraesCS3A01G478800;TraesCS3A01G159900;TraesCS3D01G495100;TraesCS2A01G022000;TraesCS2A01G193800;TraesCS2B01G428100;TraesCS7D01G454200;TraesCS3B01G566600;TraesCS3A01G393400;TraesCS5A01G014500;TraesCS2B01G257300;TraesCS2B01G070700;TraesCS5A01G093200;TraesCS1B01G344300;TraesCS2B01G297800;TraesCS5D01G144600;TraesCS3D01G228800;TraesCS4A01G307900;TraesCS7A01G560200;TraesCS3A01G398000;TraesCS3D01G146800;TraesCS5B01G284100;TraesCS5D01G459800;TraesCS3D01G328100;TraesCS1B01G110400;TraesCS3B01G309700;TraesCS5A01G212500;TraesCS4A01G355100;TraesCS4A01G248200;TraesCS6D01G179700;TraesCS6A01G312200;TraesCS2A01G215100;TraesCS1D01G396300;TraesCS1D01G092200;TraesCS4D01G194300;TraesCS2A01G123800;TraesCS3D01G250600;TraesCS1D01G313800;TraesCS2A01G222600;TraesCS2D01G194000;TraesCS1D01G086600;TraesCS3A01G223700;TraesCS1D01G250700;TraesCS7D01G083200;TraesCS4A01G178800;TraesCS1B01G422200;TraesCS1D01G003700;TraesCS3D01G341200;TraesCS4D01G107400;TraesCS6B01G159800;TraesCS2B01G602100;TraesCS4B01G069200;TraesCS6D01G291600;TraesCS2B01G222600;TraesCS3D01G083400;TraesCS6D01G163700;TraesCS2D01G279300;TraesCS6A01G158300;TraesCS3A01G503200;TraesCS5B01G387600;TraesCS2D01G202900;TraesCS4D01G133700;TraesCS4D01G208900;TraesCS2D01G057900;TraesCS3A01G224800;TraesCS3B01G410400;TraesCS2D01G126600;TraesCS1B01G261700;TraesCS1B01G366400;TraesCS4A01G387000;TraesCS6A01G192600;TraesCS7D01G200800;TraesCS4A01G110800;TraesCS6D01G259500;TraesCS5D01G105500;TraesCS6B01G307200;TraesCS2D01G246100;TraesCS1D01G356900;TraesCS4A01G164900;TraesCS2B01G145700;TraesCS2D01G022800;TraesCS1A01G254400;TraesCS1A01G195500;TraesCS4D01G165800;TraesCS3B01G430000;TraesCS5A01G324200;TraesCS2D01G467900;TraesCS7B01G124100;TraesCS1A01G313300;TraesCSU01G047800;TraesCS1D01G199100;TraesCS2B01G248100;TraesCS2A01G467900;TraesCS2D01G238600;TraesCS2B01G154700;TraesCS5D01G208300;TraesCS2B01G240100;TraesCS4A01G247300;TraesCS5D01G280400;TraesCS3B01G279700;TraesCS6D01G147700;TraesCS5B01G036800;TraesCS2A01G132200;TraesCS2A01G239200;TraesCS4A01G206400;TraesCS6B01G161800;TraesCS2D01G407000;TraesCS5A01G020800;TraesCS3A01G028600;TraesCS3B01G497300;TraesCS6A01G279100;TraesCS4D01G065600;TraesCS4B01G131800;TraesCS7A01G226000;TraesCS2D01G023900;TraesCS4B01G109900;TraesCS1A01G100600;TraesCS3A01G082700;TraesCS3A01G276100;TraesCS4D01G110500;TraesCS6A01G163500;TraesCS4A01G093100;TraesCS5B01G517400</t>
  </si>
  <si>
    <t>TraesCS3D01G426300;TraesCS3A01G075700;TraesCS5A01G489100;TraesCS3A01G367000;TraesCS7A01G342800;TraesCS7D01G283600;TraesCS4B01G204500;TraesCS4D01G115500;TraesCS4B01G397700;TraesCS4D01G115600;TraesCS6D01G283300;TraesCS4A01G197700;TraesCS2D01G238600;TraesCS1B01G197100;TraesCS3A01G498300;TraesCS5B01G036800;TraesCS7B01G240200;TraesCS4A01G197600;TraesCS4B01G117800;TraesCS4B01G117900;TraesCS4D01G135000;TraesCS6A01G303800;TraesCS6A01G267300;TraesCS3A01G310200;TraesCS3D01G075800;TraesCSU01G058200</t>
  </si>
  <si>
    <t>TraesCS5B01G413400;TraesCS5A01G489100;TraesCS7A01G143900;TraesCS7B01G103100;TraesCS4D01G152000;TraesCS1A01G206600;TraesCS2A01G203100;TraesCS2A01G400900;TraesCS2A01G557600;TraesCS6B01G039900;TraesCS5A01G328900;TraesCS7B01G097000;TraesCS2B01G150400;TraesCS7B01G464900;TraesCS7A01G192000;TraesCS6B01G348700;TraesCS3B01G254200;TraesCS2D01G398400;TraesCS3D01G228900;TraesCS2B01G222600;TraesCSU01G132400;TraesCS2D01G202900;TraesCS2A01G128300;TraesCS2D01G237600;TraesCS7B01G092500;TraesCS7D01G193000</t>
  </si>
  <si>
    <t>TraesCS3A01G151100;TraesCS6D01G147700;TraesCS2B01G528300;TraesCS3D01G426300;TraesCS7D01G227300;TraesCS5B01G155200;TraesCS6B01G454500;TraesCS3A01G212000;TraesCS7D01G280600;TraesCS2B01G122500;TraesCS4D01G135000;TraesCS5A01G157000;TraesCS5D01G162400;TraesCS4A01G226900;TraesCS6A01G408400;TraesCS7D01G000100;TraesCS6A01G163500;TraesCS2D01G105300</t>
  </si>
  <si>
    <t>response to disaccharide</t>
  </si>
  <si>
    <t>TraesCS3D01G264800;TraesCS5D01G013100;TraesCS3A01G212600;TraesCS6D01G173700;TraesCS3B01G442200;TraesCS3B01G083400;TraesCS3A01G184800;TraesCS7B01G052900;TraesCS1B01G171600;TraesCS2A01G521400;TraesCS1A01G260500;TraesCS1D01G260500;TraesCS5B01G155400;TraesCS5B01G171400;TraesCS3B01G291000;TraesCS3D01G285100;TraesCS2D01G362700;TraesCS2D01G523100;TraesCS6A01G268600;TraesCS3B01G214600;TraesCS5A01G548800;TraesCS4A01G134800;TraesCS6B01G295700;TraesCS4A01G367700;TraesCS4A01G178600;TraesCS5D01G505700;TraesCS4D01G172400;TraesCS7D01G377200;TraesCS3B01G426500;TraesCS5A01G467500;TraesCS3B01G161900;TraesCS2D01G229600;TraesCS3B01G242700;TraesCS2B01G273900;TraesCS3B01G131400;TraesCS6A01G234000;TraesCS1B01G271100;TraesCS4B01G160600;TraesCS4D01G133500;TraesCS5B01G479200;TraesCS2A01G223600;TraesCS5A01G004200;TraesCS3B01G299100;TraesCS3A01G264700;TraesCS3D01G019000;TraesCS5D01G424400;TraesCS4B01G170400;TraesCS2B01G321700;TraesCS2D01G303500;TraesCS2D01G565200;TraesCS5D01G141200;TraesCS3A01G122500;TraesCS6A01G312100;TraesCS2D01G242100;TraesCS4B01G332300;TraesCS2B01G454000;TraesCS4D01G079200;TraesCS1D01G151800;TraesCS6B01G262800;TraesCS6D01G216300;TraesCS6D01G283300;TraesCS3D01G124400;TraesCS1D01G178000;TraesCS2A01G103300;TraesCS5B01G504900;TraesCS6B01G304100;TraesCS5A01G387700;TraesCS3B01G607600;TraesCS5D01G087800;TraesCS4D01G359000;TraesCS3B01G141700;TraesCS4B01G138800;TraesCS7A01G239700;TraesCS6A01G303800;TraesCS5D01G480300;TraesCS6B01G342300;TraesCS7A01G149200;TraesCS4A01G005000;TraesCS4B01G151200;TraesCS6A01G186800;TraesCS4D01G292300;TraesCS2D01G594500;TraesCS6D01G246300;TraesCS3D01G188800</t>
  </si>
  <si>
    <t>TraesCS5D01G258900;TraesCS5A01G489100;TraesCS7A01G143900;TraesCS5B01G249000;TraesCS4A01G129200;TraesCS4D01G234800;TraesCS1D01G113900;TraesCS1D01G401900;TraesCS1A01G361400;TraesCS4A01G077600;TraesCS2A01G400900;TraesCS5A01G114600;TraesCS5B01G239200;TraesCS5A01G106900;TraesCS3D01G407300;TraesCS1B01G422200;TraesCS4A01G283700;TraesCS7D01G188300;TraesCS5D01G148100;TraesCS7A01G192000;TraesCS3A01G530000;TraesCS4B01G152900;TraesCS7A01G327600;TraesCS2B01G385300;TraesCS7D01G339600;TraesCS1D01G376900;TraesCS6B01G192500;TraesCS2B01G222600;TraesCS5A01G264400;TraesCS6A01G158300;TraesCS2D01G233900;TraesCS3D01G356400;TraesCS5B01G255700;TraesCS2D01G202900;TraesCS7D01G193000;TraesCS6B01G166400;TraesCS4B01G355100;TraesCS5B01G142900;TraesCS5B01G413400;TraesCS4A01G238100;TraesCS4B01G397700;TraesCS3A01G192400;TraesCS6B01G039900;TraesCS3A01G412600;TraesCS7B01G097000;TraesCS5A01G251000;TraesCS5D01G148400;TraesCS3A01G417000;TraesCS3D01G412500;TraesCS4B01G373400;TraesCS2D01G398400;TraesCS3A01G362600;TraesCS4D01G309500;TraesCS7D01G409000;TraesCS4D01G348600;TraesCS6A01G158800;TraesCS3A01G488100;TraesCS1B01G378000;TraesCS5B01G320100;TraesCS3B01G221400;TraesCS5A01G143800;TraesCS6D01G215100;TraesCS3B01G221200;TraesCS1A01G102300;TraesCS5A01G524400;TraesCS4B01G029400;TraesCS1B01G447500;TraesCS5D01G247600;TraesCS7B01G092500</t>
  </si>
  <si>
    <t>modification of morphology or physiology of other organism involved in symbiotic interaction</t>
  </si>
  <si>
    <t>TraesCS3A01G151100;TraesCS3D01G426300;TraesCS1A01G180200;TraesCS3A01G367000;TraesCS7D01G283600;TraesCS1B01G049300;TraesCS4B01G204500;TraesCS2B01G592500;TraesCS2D01G362700;TraesCS4B01G286700;TraesCS2D01G205900;TraesCS6D01G132500;TraesCS6D01G283300;TraesCS2D01G427900;TraesCS2B01G227800;TraesCS2D01G238600;TraesCS7D01G349600;TraesCS3B01G441000;TraesCS6A01G143300;TraesCS5B01G036800;TraesCS4B01G276500;TraesCS2D01G208300;TraesCS6B01G171600;TraesCS4D01G135000;TraesCS6A01G303800;TraesCS4B01G109700;TraesCS5D01G429200;TraesCS6A01G267300;TraesCS3A01G295400;TraesCS1B01G200300;TraesCS2A01G200500</t>
  </si>
  <si>
    <t>TraesCS7D01G332300;TraesCS7D01G554900;TraesCS1D01G226500;TraesCS4B01G150300;TraesCS3A01G202000;TraesCS4A01G226500;TraesCS6B01G182300;TraesCS5A01G490800;TraesCS7D01G083200;TraesCS3A01G402500;TraesCS4D01G317900;TraesCS3B01G229700;TraesCS7D01G450700;TraesCS3A01G292700;TraesCS6D01G405600;TraesCS7B01G104400;TraesCS5B01G378700;TraesCS4B01G321300;TraesCS7A01G088100;TraesCS4A01G387000;TraesCS3A01G394600;TraesCS1B01G263400;TraesCS7D01G200800;TraesCS6D01G259500;TraesCS3D01G304800;TraesCS1A01G130700;TraesCS4B01G090000;TraesCS1D01G352300;TraesCS6D01G237400;TraesCS6B01G151900;TraesCS3D01G388400;TraesCS7A01G555700;TraesCS4B01G341300;TraesCS6D01G149800;TraesCS4D01G086000;TraesCS6A01G420100;TraesCS3A01G417000;TraesCS6A01G279100;TraesCS3D01G412500;TraesCS5B01G110000;TraesCS7D01G409000;TraesCS7A01G226000;TraesCS1A01G225100;TraesCS3B01G426600;TraesCS3B01G435900;TraesCS4D01G160000;TraesCS7B01G363600;TraesCS6B01G173500;TraesCS5A01G222500;TraesCS6A01G154400;TraesCS6B01G189000;TraesCS4D01G110500;TraesCS1B01G462200;TraesCS7A01G313900</t>
  </si>
  <si>
    <t>TraesCS4A01G231200;TraesCS4B01G084800;TraesCS5D01G401900;TraesCS6D01G364400;TraesCS5B01G159600;TraesCS5D01G107900;TraesCS6A01G110000;TraesCS5D01G166800;TraesCS6A01G379800;TraesCS6B01G418400;TraesCS4D01G082700;TraesCS5B01G396900;TraesCS5A01G095200;TraesCS2B01G286100;TraesCS5A01G392000;TraesCS5B01G101400</t>
  </si>
  <si>
    <t>response to sucrose</t>
  </si>
  <si>
    <t>TraesCS6A01G146500;TraesCS1A01G155200;TraesCS3D01G210300;TraesCS7B01G197000;TraesCS3A01G478100;TraesCS5A01G407700;TraesCS5B01G132600;TraesCS4D01G343400;TraesCS7D01G283900;TraesCS5D01G149900;TraesCS3B01G237200;TraesCS6B01G174700;TraesCS1D01G153900;TraesCS1D01G231000;TraesCS4B01G286700;TraesCS5B01G476900;TraesCSU01G135100;TraesCS4D01G180300;TraesCS5B01G141000;TraesCS1A01G231100;TraesCS6A01G386600;TraesCS6B01G004400;TraesCS7B01G005700;TraesCS3D01G236200;TraesCS4D01G157900;TraesCS6B01G455100;TraesCS7A01G205200;TraesCS5D01G181600;TraesCS5A01G142200;TraesCS5B01G412500;TraesCS4A01G147500;TraesCS6B01G176600;TraesCS4B01G178700;TraesCS5A01G132300;TraesCS6D01G001700;TraesCS6D01G135800;TraesCS5D01G417600;TraesCS6D01G238800;TraesCS3A01G205100;TraesCS3B01G265000;TraesCS1B01G443200</t>
  </si>
  <si>
    <t>TraesCS1D01G264100;TraesCS4B01G252400;TraesCS3D01G231200;TraesCS5B01G249000;TraesCS1D01G226500;TraesCS2B01G271300;TraesCS1B01G049300;TraesCS3A01G270600;TraesCS5B01G339200;TraesCS6B01G399000;TraesCS1D01G401900;TraesCS5D01G219500;TraesCS6D01G348000;TraesCS4B01G286700;TraesCSU01G072700;TraesCS3D01G273800;TraesCS5D01G359800;TraesCS2A01G392900;TraesCS4B01G238900;TraesCS5D01G171100;TraesCS4D01G153900;TraesCS5D01G366500;TraesCS4B01G220400;TraesCS6B01G253900;TraesCS5B01G378700;TraesCS1A01G076000;TraesCS1D01G316200;TraesCS7A01G115400;TraesCS4B01G321500;TraesCS5B01G102600;TraesCS5D01G429200;TraesCS5A01G166800;TraesCS2A01G171900;TraesCS2A01G149600;TraesCS4D01G213800;TraesCS1B01G255100;TraesCS7A01G250500;TraesCS1A01G264000;TraesCS5D01G260600;TraesCS1A01G180200;TraesCS7A01G307000;TraesCS6A01G379000;TraesCS4A01G062200;TraesCS5D01G141200;TraesCS1D01G331000;TraesCS6A01G312100;TraesCS3D01G275600;TraesCS1A01G206600;TraesCS2A01G299200;TraesCS4D01G220700;TraesCS5D01G504600;TraesCS3A01G091100;TraesCS3A01G393400;TraesCS3A01G513500;TraesCS5A01G251000;TraesCS6A01G225200;TraesCS5D01G230300;TraesCS5A01G123700;TraesCS1D01G412600;TraesCS4D01G359000;TraesCS4A01G120000;TraesCS6B01G256400;TraesCS4B01G109700;TraesCS5D01G459800;TraesCS2B01G247100;TraesCS5A01G212500;TraesCS5A01G472100;TraesCS5D01G285200;TraesCS7B01G117600;TraesCS1B01G200300;TraesCS2A01G128300;TraesCS6A01G364300;TraesCS5B01G201700;TraesCS3A01G023800;TraesCS5D01G258900;TraesCS4A01G194100;TraesCS2A01G521400;TraesCS5A01G396700;TraesCS4D01G194300;TraesCS5B01G171400;TraesCS2D01G362700;TraesCS1A01G315900;TraesCS2D01G251000;TraesCS1D01G013100;TraesCS1B01G375300;TraesCS5A01G548800;TraesCS2D01G118000;TraesCS2D01G205900;TraesCS2A01G387000;TraesCS5D01G118200;TraesCS4A01G138800;TraesCS4D01G318200;TraesCS4D01G132900;TraesCS1B01G422200;TraesCS2B01G150400;TraesCS1B01G365600;TraesCS3B01G154900;TraesCS5B01G387600;TraesCS1B01G019300;TraesCS4B01G193400;TraesCS2B01G174700;TraesCS4A01G110800;TraesCS1A01G358800;TraesCS5A01G357400;TraesCS3A01G214000;TraesCS6A01G188100;TraesCS4A01G051900;TraesCS3D01G114000;TraesCS1B01G293500;TraesCS4D01G080700;TraesCS6D01G210000;TraesCS2D01G148200;TraesCS5A01G490500;TraesCS2A01G467900;TraesCS6D01G174500;TraesCS2A01G455300;TraesCS2A01G480200;TraesCS4B01G138200;TraesCS5A01G020800;TraesCS3D01G091000;TraesCS1A01G284300;TraesCS2B01G477400;TraesCS2D01G208300;TraesCS1B01G434400;TraesCSU01G132400;TraesCS6B01G231600;TraesCS6B01G342300;TraesCS7B01G207300</t>
  </si>
  <si>
    <t>TraesCS5B01G201700;TraesCS4B01G193400;TraesCS4B01G084800;TraesCS5D01G401900;TraesCS5A01G489100;TraesCS6D01G364400;TraesCS1B01G171600;TraesCS2A01G521400;TraesCS5D01G107900;TraesCS5B01G339200;TraesCS6A01G379800;TraesCS6B01G418400;TraesCS1D01G401900;TraesCS4D01G082700;TraesCS1D01G151800;TraesCS5A01G095200;TraesCS7A01G182200;TraesCS5B01G101400;TraesCS1B01G422200;TraesCS2B01G150400;TraesCS4A01G231200;TraesCS7D01G409000;TraesCSU01G132400;TraesCS5B01G396900;TraesCS5D01G459800;TraesCS5A01G392000;TraesCS5A01G472100;TraesCS2A01G128300</t>
  </si>
  <si>
    <t>modification by symbiont of host morphology or physiology</t>
  </si>
  <si>
    <t>TraesCS3A01G151100;TraesCS3D01G426300;TraesCS6A01G143300;TraesCS5B01G036800;TraesCS3A01G367000;TraesCS6B01G171600;TraesCS7D01G283600;TraesCS4B01G204500;TraesCS4D01G135000;TraesCS6A01G303800;TraesCS4A01G005000;TraesCS6A01G267300;TraesCS6D01G132500;TraesCS6D01G283300;TraesCS2D01G238600</t>
  </si>
  <si>
    <t>TraesCS3D01G264800;TraesCS5D01G013100;TraesCS6D01G121300;TraesCS2A01G286500;TraesCS4D01G194300;TraesCS5A01G092400;TraesCS5D01G219500;TraesCS1D01G149900;TraesCS5A01G108000;TraesCS1D01G313800;TraesCS2B01G303300;TraesCS6D01G212000;TraesCS2A01G222600;TraesCS7D01G083200;TraesCS2B01G528300;TraesCS5A01G014400;TraesCS1A01G355200;TraesCS4D01G107400;TraesCS6B01G159800;TraesCS7B01G104400;TraesCS7D01G228500;TraesCS1B01G478800;TraesCS2D01G229600;TraesCS2B01G273900;TraesCS1B01G325100;TraesCS5B01G324800;TraesCS6A01G158300;TraesCS2D01G233900;TraesCS7A01G088100;TraesCS2A01G223600;TraesCS5A01G004200;TraesCS1B01G366400;TraesCS4A01G387000;TraesCS3A01G264700;TraesCS4A01G364400;TraesCS7D01G200800;TraesCS4A01G110800;TraesCS6D01G259500;TraesCS1D01G155800;TraesCS4A01G276300;TraesCS6B01G307200;TraesCS2D01G242100;TraesCS4B01G204500;TraesCS5A01G324200;TraesCS6B01G257900;TraesCS5B01G509100;TraesCS1A01G313300;TraesCS6D01G283300;TraesCS2B01G248100;TraesCS4A01G247300;TraesCS4A01G124000;TraesCS5A01G014500;TraesCS1A01G158500;TraesCS4A01G206400;TraesCS4A01G013500;TraesCS6A01G279100;TraesCS7A01G226000;TraesCS4B01G109900;TraesCS6A01G303800;TraesCS4A01G005000;TraesCS3A01G276100;TraesCS3B01G309700;TraesCS5A01G212500</t>
  </si>
  <si>
    <t>TraesCS2A01G095300;TraesCS3A01G212600;TraesCS5D01G044700;TraesCS1A01G180200;TraesCS1D01G409700;TraesCS5D01G472300;TraesCS6A01G379000;TraesCS2D01G565200;TraesCS1D01G331000;TraesCS5A01G036600;TraesCS1B01G049300;TraesCS2B01G122500;TraesCS2B01G592500;TraesCS2D01G362700;TraesCS3A01G200400;TraesCS2A01G193800;TraesCS1D01G124400;TraesCS5A01G490500;TraesCS2B01G227800;TraesCS2D01G194000;TraesCS1D01G178000;TraesCS4A01G138800;TraesCS4D01G318200;TraesCS1D01G325500;TraesCS4A01G262900;TraesCS2A01G239200;TraesCS2B01G257300;TraesCS3B01G252200;TraesCS3B01G088300;TraesCS2D01G208300;TraesCS3B01G298400;TraesCS6B01G190300;TraesCS1A01G133500;TraesCS5A01G460600;TraesCS2D01G059400;TraesCS4B01G109700;TraesCS4B01G321500;TraesCS3D01G203400;TraesCS2D01G093700;TraesCS3A01G295400;TraesCS6A01G161200;TraesCS2B01G247100;TraesCS5B01G037500;TraesCS1B01G200300;TraesCS2A01G200500;TraesCS2D01G105300</t>
  </si>
  <si>
    <t>negative regulation of cellular metabolic process</t>
  </si>
  <si>
    <t>TraesCS3A01G151100;TraesCS6D01G121300;TraesCS2B01G340300;TraesCS5D01G258900;TraesCS7B01G186500;TraesCS7B01G103100;TraesCS7D01G292000;TraesCS5B01G249000;TraesCS7B01G176200;TraesCS3D01G289600;TraesCS1A01G254400;TraesCS5D01G219500;TraesCS5A01G324200;TraesCS2B01G248100;TraesCS2A01G222600;TraesCS1D01G086600;TraesCS1B01G352700;TraesCS4A01G247300;TraesCS2B01G528300;TraesCS5A01G251000;TraesCS2A01G342600;TraesCS2D01G356700;TraesCS6B01G159800;TraesCS3D01G414600;TraesCS5A01G429300;TraesCS7D01G339600;TraesCS3B01G324500;TraesCS5B01G094300;TraesCS5B01G324800;TraesCS1A01G102300;TraesCS5A01G212500;TraesCS3A01G310200;TraesCS7A01G294200</t>
  </si>
  <si>
    <t>TraesCS1D01G153900;TraesCS3D01G236200;TraesCS1A01G155200;TraesCS5D01G417600;TraesCS7B01G197000;TraesCS5A01G407700;TraesCS3B01G265000;TraesCS5B01G412500;TraesCS1B01G443200</t>
  </si>
  <si>
    <t>TraesCS5B01G270200;TraesCS4B01G220400;TraesCS2D01G136100;TraesCS2B01G325100;TraesCS4D01G003100;TraesCS6B01G089500;TraesCS2A01G193800;TraesCS2D01G118000;TraesCS3A01G191700;TraesCS3B01G219700;TraesCS3D01G514100;TraesCS2B01G157600;TraesCS4D01G220700;TraesCS2D01G194000</t>
  </si>
  <si>
    <t>plastid inner membrane</t>
  </si>
  <si>
    <t>TraesCS2A01G095300;TraesCS5D01G044700;TraesCS5D01G472300;TraesCS6A01G379000;TraesCS1D01G331000;TraesCS5A01G036600;TraesCS1B01G049300;TraesCS5A01G460600;TraesCS2D01G059400;TraesCS4B01G321500;TraesCS2D01G093700;TraesCS2B01G247100;TraesCS5A01G490500;TraesCS5B01G037500;TraesCS4D01G318200</t>
  </si>
  <si>
    <t>methylation-dependent chromatin silencing</t>
  </si>
  <si>
    <t>TraesCS2A01G563500;TraesCS7A01G466600;TraesCS2D01G213200;TraesCS4B01G193400;TraesCS5D01G420300;TraesCS1A01G180200;TraesCS2A01G404700;TraesCS7B01G111000;TraesCS5B01G415100;TraesCS7A01G204000;TraesCS1D01G449000;TraesCS4A01G164900;TraesCS5D01G161800;TraesCS1D01G222700;TraesCS6A01G155000;TraesCS2B01G286100;TraesCS7A01G182200;TraesCS7D01G326000;TraesCS7D01G454200;TraesCS5B01G036800;TraesCS4B01G152900;TraesCS1A01G221100;TraesCS3A01G417000;TraesCS7A01G327600;TraesCS2A01G585800;TraesCS3B01G185300;TraesCS3D01G412500;TraesCS6A01G110000;TraesCS7D01G207100;TraesCS3D01G414600;TraesCS7D01G409000;TraesCS7D01G339600;TraesCS5A01G411500;TraesCS4A01G005000;TraesCS6A01G158300;TraesCS6D01G215100;TraesCS2A01G171900;TraesCS7D01G000100;TraesCS6D01G238800;TraesCS1B01G200300;TraesCS2A01G239000;TraesCS3D01G182400</t>
  </si>
  <si>
    <t>plasmodesma</t>
  </si>
  <si>
    <t>cell-cell junction</t>
  </si>
  <si>
    <t>TraesCS3D01G264800;TraesCS5D01G013100;TraesCS6D01G121300;TraesCS2A01G286500;TraesCS4D01G194300;TraesCS5A01G092400;TraesCS5D01G219500;TraesCS1D01G149900;TraesCS5A01G108000;TraesCS1D01G313800;TraesCS2B01G303300;TraesCS6D01G212000;TraesCS2A01G222600;TraesCS7D01G083200;TraesCS2B01G528300;TraesCS5A01G014400;TraesCS6B01G251600;TraesCS1A01G355200;TraesCS4D01G107400;TraesCS6B01G159800;TraesCS7B01G104400;TraesCS6D01G204800;TraesCS7D01G228500;TraesCS1B01G478800;TraesCS2D01G229600;TraesCS2B01G273900;TraesCS1B01G325100;TraesCS5B01G324800;TraesCS6A01G158300;TraesCS2D01G233900;TraesCS7A01G088100;TraesCS2A01G223600;TraesCS5A01G004200;TraesCS1B01G366400;TraesCS4A01G387000;TraesCS3A01G264700;TraesCS4A01G364400;TraesCS7D01G200800;TraesCS4A01G110800;TraesCS6D01G259500;TraesCS1D01G155800;TraesCS4A01G276300;TraesCS6B01G307200;TraesCS2D01G242100;TraesCS4B01G204500;TraesCS5A01G324200;TraesCS6B01G257900;TraesCS5B01G509100;TraesCS1A01G313300;TraesCS6D01G283300;TraesCS2B01G248100;TraesCS4A01G247300;TraesCS4A01G124000;TraesCS5A01G014500;TraesCS1A01G158500;TraesCS4A01G206400;TraesCS4A01G013500;TraesCS6A01G279100;TraesCS4B01G314600;TraesCS7A01G226000;TraesCS4B01G109900;TraesCS6A01G303800;TraesCS4A01G005000;TraesCS3A01G276100;TraesCS3B01G309700;TraesCS5A01G212500;TraesCS6A01G230100</t>
  </si>
  <si>
    <t>TraesCS2D01G132100;TraesCS3B01G423800;TraesCS6A01G311200;TraesCS7B01G111000;TraesCS2A01G129900;TraesCS4A01G110800;TraesCS7A01G204000;TraesCS1D01G226500;TraesCS4D01G194300;TraesCS7D01G207100;TraesCS1B01G326400;TraesCS1D01G316200;TraesCS3B01G112900;TraesCS3D01G384700;TraesCS1D01G314600;TraesCS6B01G341400;TraesCS2B01G152100;TraesCS3D01G205300;TraesCS3A01G391800;TraesCS3A01G097200</t>
  </si>
  <si>
    <t>TraesCS3A01G393400;TraesCS5D01G341200;TraesCS5B01G335500;TraesCSU01G072700;TraesCS7A01G323200;TraesCS5A01G336500;TraesCS5B01G378700</t>
  </si>
  <si>
    <t>heterochromatin organization</t>
  </si>
  <si>
    <t>TraesCS2D01G094400;TraesCS6A01G314100;TraesCS3A01G103900;TraesCS3A01G084400;TraesCS4A01G298700;TraesCS4D01G120900;TraesCS5D01G149900;TraesCS2B01G592500;TraesCS3A01G189400;TraesCS2A01G492300;TraesCS3D01G527700;TraesCS5D01G429200;TraesCS3D01G084300;TraesCS2D01G492600;TraesCS6B01G344100;TraesCS5B01G141000;TraesCS4B01G288200;TraesCS3A01G521600;TraesCS2B01G520500</t>
  </si>
  <si>
    <t>methionine metabolic process</t>
  </si>
  <si>
    <t>TraesCS3D01G264800;TraesCS5D01G013100;TraesCS6D01G121300;TraesCS2A01G286500;TraesCS4D01G194300;TraesCS5A01G092400;TraesCS5D01G219500;TraesCS1D01G149900;TraesCS5A01G108000;TraesCS1D01G313800;TraesCS2B01G303300;TraesCS6D01G212000;TraesCS2A01G222600;TraesCS7D01G083200;TraesCS2B01G528300;TraesCS5A01G014400;TraesCS1A01G355200;TraesCS4D01G107400;TraesCS6B01G159800;TraesCS7B01G104400;TraesCS7D01G228500;TraesCS1B01G478800;TraesCS2D01G229600;TraesCS2B01G273900;TraesCS1B01G325100;TraesCS5B01G324800;TraesCS6A01G158300;TraesCS2D01G233900;TraesCS7A01G088100;TraesCS2A01G223600;TraesCS5A01G004200;TraesCS1B01G366400;TraesCS4A01G387000;TraesCS3A01G264700;TraesCS4A01G364400;TraesCS7D01G200800;TraesCS4A01G110800;TraesCS6D01G259500;TraesCS4A01G276300;TraesCS6B01G307200;TraesCS2D01G242100;TraesCS4B01G204500;TraesCS5A01G324200;TraesCS6B01G257900;TraesCS5B01G509100;TraesCS1A01G313300;TraesCS6D01G283300;TraesCS2B01G248100;TraesCS4A01G247300;TraesCS4A01G124000;TraesCS5A01G014500;TraesCS4A01G206400;TraesCS4A01G013500;TraesCS6A01G279100;TraesCS7A01G226000;TraesCS4B01G109900;TraesCS6A01G303800;TraesCS4A01G005000;TraesCS3A01G276100;TraesCS3B01G309700;TraesCS5A01G212500</t>
  </si>
  <si>
    <t>TraesCS3A01G151100;TraesCS3A01G478800;TraesCS3A01G367000;TraesCS1A01G358800;TraesCS7B01G197000;TraesCS4D01G301300;TraesCS6A01G209800;TraesCS5D01G219500;TraesCS5A01G324200;TraesCS6D01G344200;TraesCS1B01G375300;TraesCS5D01G189500;TraesCS6B01G238600;TraesCS6D01G132500;TraesCS2A01G387000;TraesCS2A01G467900;TraesCS3B01G398300;TraesCS2B01G528300;TraesCS4A01G178800;TraesCS6A01G143300;TraesCS5B01G036800;TraesCS6D01G122800;TraesCS4B01G383000;TraesCS6B01G171600;TraesCS4B01G220500;TraesCS7A01G568800;TraesCS4D01G135000;TraesCS4B01G285000;TraesCS5B01G324800;TraesCS6A01G133100;TraesCS6B01G393600;TraesCS6A01G158300;TraesCS6A01G267300;TraesCS6D01G238800;TraesCS4D01G133700;TraesCS4D01G208900;TraesCS5A01G212500;TraesCS4A01G093100;TraesCS5B01G182500</t>
  </si>
  <si>
    <t>TraesCS4A01G111000;TraesCS4A01G387000;TraesCS7D01G200800;TraesCS1A01G110900;TraesCS6D01G259500;TraesCS6A01G279100;TraesCS6B01G307200;TraesCS7A01G088100;TraesCS7B01G104400;TraesCS7D01G228500;TraesCS7A01G226000;TraesCS7D01G083200</t>
  </si>
  <si>
    <t>TraesCS1A01G323200;TraesCS3D01G426300;TraesCS7A01G223300;TraesCS2A01G404700;TraesCS2A01G246600;TraesCS5B01G249000;TraesCS2A01G007500;TraesCS6D01G165800;TraesCS3B01G222700;TraesCS5D01G388000;TraesCS2D01G009200;TraesCS3D01G273800;TraesCS5A01G378000;TraesCS5B01G239200;TraesCS2D01G427900;TraesCS5B01G143300;TraesCS5D01G372500;TraesCS4A01G134800;TraesCS5A01G106900;TraesCS4B01G288200;TraesCS2D01G014800;TraesCS6B01G161300;TraesCS5A01G144200;TraesCS6D01G334400;TraesCS7B01G240200;TraesCS7D01G083900;TraesCS3B01G185300;TraesCS5A01G181500;TraesCS4B01G117900;TraesCS4D01G135000;TraesCS2B01G457300;TraesCS5B01G171200;TraesCS2B01G004000;TraesCS7B01G117700;TraesCS3A01G151100;TraesCS5B01G381600;TraesCS7D01G336600;TraesCS3A01G075700;TraesCS7A01G307000;TraesCS4A01G083100;TraesCS4D01G292900;TraesCS4B01G204500;TraesCS5A01G484700;TraesCS4B01G397700;TraesCS2A01G203100;TraesCS3A01G192400;TraesCS4A01G197700;TraesCS6A01G105400;TraesCS7D01G326000;TraesCS4B01G158000;TraesCS6A01G382400;TraesCS1B01G254000;TraesCS3A01G513500;TraesCS5A01G251000;TraesCS3A01G530100;TraesCS4A01G197600;TraesCS7B01G129300;TraesCS1B01G336000;TraesCS1D01G412600;TraesCS2D01G212600;TraesCS4A01G015800;TraesCS4B01G373400;TraesCS6D01G166400;TraesCS7D01G224400;TraesCS3D01G196700;TraesCS6A01G303800;TraesCS2D01G443100;TraesCS5D01G178300;TraesCS3B01G221200;TraesCS3D01G220400;TraesCS3A01G310200;TraesCS1B01G447500;TraesCS1B01G462200;TraesCS6B01G239000;TraesCSU01G058200;TraesCS5B01G270200;TraesCS5D01G258900;TraesCS4A01G194100;TraesCS5A01G489100;TraesCS3A01G367000;TraesCS4A01G167000;TraesCS5B01G300100;TraesCS1B01G383200;TraesCS5B01G157500;TraesCS6B01G384900;TraesCS7D01G283600;TraesCS4D01G234800;TraesCS6A01G373200;TraesCS3D01G308500;TraesCS1A01G365600;TraesCS2D01G389900;TraesCS4D01G115600;TraesCS4A01G077600;TraesCS6D01G094200;TraesCS6A01G082800;TraesCS4D01G096200;TraesCS6A01G070700;TraesCS7A01G222800;TraesCS4A01G138800;TraesCS3B01G432600;TraesCS6D01G122600;TraesCS7D01G119700;TraesCS4D01G172400;TraesCS3D01G341200;TraesCS7B01G020100;TraesCS3A01G158500;TraesCS5A01G173800;TraesCS3A01G530000;TraesCS6B01G134800;TraesCS3D01G271800;TraesCS3A01G232700;TraesCS2A01G585800;TraesCS7D01G224900;TraesCS3B01G180600;TraesCS1B01G212500;TraesCS7D01G339600;TraesCS3A01G272200;TraesCS4D01G003100;TraesCS2B01G222600;TraesCS5A01G159800;TraesCS6A01G267300;TraesCS4B01G164800;TraesCS2D01G202900;TraesCS3A01G339900;TraesCS1A01G259700;TraesCS1D01G194000;TraesCS4B01G170400;TraesCS4B01G244400;TraesCS7A01G342800;TraesCS5D01G164800;TraesCS4D01G115500;TraesCS2B01G410100;TraesCS6D01G367300;TraesCS6D01G283300;TraesCS6D01G247400;TraesCS6B01G421600;TraesCS2D01G238600;TraesCS6A01G210200;TraesCS2B01G230200;TraesCS2D01G300400;TraesCS3A01G498300;TraesCS5B01G036800;TraesCS2A01G216100;TraesCS6B01G115200;TraesCS1B01G434400;TraesCS4B01G117800;TraesCS4A01G216200;TraesCS2B01G325100;TraesCS5B01G104800;TraesCS2D01G280900;TraesCS3B01G221400;TraesCS7B01G207300;TraesCS5D01G247600;TraesCS1A01G165700</t>
  </si>
  <si>
    <t>TraesCS1D01G051300;TraesCS6D01G168300;TraesCS1A01G049300;TraesCS5A01G235800;TraesCS4D01G154300;TraesCS4A01G015800;TraesCS4A01G141000;TraesCS3B01G401100;TraesCS7D01G153000;TraesCS3D01G273800;TraesCS4B01G153500;TraesCS5D01G242900;TraesCS2D01G427900;TraesCS4B01G288200</t>
  </si>
  <si>
    <t>TraesCS3D01G264800;TraesCS5D01G013100;TraesCS6D01G121300;TraesCS2A01G286500;TraesCS5D01G219500;TraesCS1D01G149900;TraesCS5A01G108000;TraesCS1D01G313800;TraesCS2B01G303300;TraesCS6D01G212000;TraesCS2A01G222600;TraesCS7D01G083200;TraesCS2B01G528300;TraesCS5A01G014400;TraesCS1A01G355200;TraesCS4D01G107400;TraesCS6B01G159800;TraesCS7B01G104400;TraesCS7D01G228500;TraesCS2D01G229600;TraesCS2B01G273900;TraesCS1B01G325100;TraesCS5B01G324800;TraesCS6A01G158300;TraesCS2D01G233900;TraesCS7A01G088100;TraesCS2A01G223600;TraesCS5A01G004200;TraesCS1B01G366400;TraesCS4A01G387000;TraesCS3A01G264700;TraesCS4A01G364400;TraesCS7D01G200800;TraesCS6D01G259500;TraesCS4A01G276300;TraesCS6B01G307200;TraesCS2D01G242100;TraesCS4B01G204500;TraesCS5A01G324200;TraesCS6B01G257900;TraesCS5B01G509100;TraesCS1A01G313300;TraesCS6D01G283300;TraesCS2B01G248100;TraesCS4A01G247300;TraesCS4A01G124000;TraesCS5A01G014500;TraesCS4A01G206400;TraesCS4A01G013500;TraesCS6A01G279100;TraesCS7A01G226000;TraesCS4B01G109900;TraesCS6A01G303800;TraesCS4A01G005000;TraesCS3A01G276100;TraesCS3B01G309700;TraesCS5A01G212500</t>
  </si>
  <si>
    <t>TraesCS3D01G426300;TraesCS1D01G155100;TraesCS7D01G227300;TraesCS7D01G292000;TraesCS7D01G449900;TraesCS6B01G454500;TraesCS1D01G226500;TraesCS7B01G363100;TraesCS5A01G092400;TraesCS4B01G168300;TraesCS1B01G049300;TraesCS5D01G162400;TraesCS2D01G492600;TraesCS4A01G226900;TraesCS3D01G273800;TraesCS5A01G513500;TraesCS7A01G461700;TraesCS4B01G288200;TraesCS1D01G265200;TraesCS2B01G528300;TraesCS4B01G152900;TraesCS1A01G324800;TraesCS3B01G185300;TraesCS3D01G150400;TraesCS5D01G532100;TraesCS7A01G190700;TraesCS1A01G376400;TraesCS4D01G135000;TraesCS5D01G429200;TraesCS2D01G233900;TraesCS3A01G134100;TraesCS7A01G294200;TraesCS2A01G200500;TraesCS2D01G162900;TraesCS6D01G301300;TraesCS3A01G151100;TraesCS3D01G428300;TraesCS7D01G250100;TraesCS7B01G186500;TraesCS1A01G180200;TraesCS4B01G204500;TraesCS5B01G476900;TraesCS2B01G227800;TraesCS7D01G349600;TraesCS4A01G015800;TraesCS7D01G339300;TraesCS4A01G120000;TraesCS5A01G157000;TraesCS6A01G303800;TraesCS4B01G109700;TraesCS4D01G275500;TraesCS5D01G459800;TraesCS1D01G125500;TraesCS3A01G310200;TraesCS1B01G200300;TraesCS4D01G181000;TraesCS2D01G105300;TraesCS5D01G166000;TraesCS6A01G113000;TraesCS1D01G409700;TraesCS3A01G367000;TraesCS2A01G521400;TraesCS5B01G155200;TraesCS5B01G171400;TraesCS7D01G283600;TraesCS3A01G212000;TraesCS3B01G423600;TraesCS2B01G592500;TraesCS2D01G362700;TraesCS6A01G321600;TraesCS3D01G162700;TraesCS1D01G086600;TraesCS2D01G238700;TraesCS4A01G138800;TraesCS1D01G325500;TraesCS4D01G339700;TraesCS6B01G352400;TraesCS1B01G396800;TraesCS6B01G348700;TraesCS1D01G404400;TraesCS5A01G161200;TraesCS6A01G267300;TraesCS6A01G408400;TraesCS1D01G383500;TraesCS2B01G520500;TraesCS7A01G252000;TraesCS2B01G122500;TraesCS1A01G254400;TraesCS2A01G492300;TraesCS6B01G151900;TraesCS6D01G283300;TraesCS2D01G238600;TraesCS7B01G242800;TraesCS1B01G337800;TraesCS6D01G147700;TraesCS2D01G300400;TraesCS5B01G036800;TraesCS5A01G020800;TraesCS2D01G208300;TraesCS5B01G158500;TraesCS4B01G180100;TraesCS7D01G280600;TraesCS3A01G295400;TraesCS7D01G000100;TraesCS6A01G163500;TraesCS4A01G093100</t>
  </si>
  <si>
    <t>TraesCS1B01G261700;TraesCS7B01G097000;TraesCS5D01G230300;TraesCS7A01G192000;TraesCS4A01G110800;TraesCS1A01G358800;TraesCS4B01G244400;TraesCS6B01G348700;TraesCS4A01G078900;TraesCS4B01G245400;TraesCS4D01G194300;TraesCS3D01G289600;TraesCS7D01G107600;TraesCS2B01G107200;TraesCS1B01G375300;TraesCS5D01G157300;TraesCS4D01G244000;TraesCS2A01G092400;TraesCS1D01G250700;TraesCS7D01G193000</t>
  </si>
  <si>
    <t>cell wall macromolecule biosynthetic process</t>
  </si>
  <si>
    <t>cellular component macromolecule biosynthetic process</t>
  </si>
  <si>
    <t>TraesCS6D01G121300;TraesCS5D01G258900;TraesCS2D01G380900;TraesCS5B01G249000;TraesCS2D01G546500;TraesCS3A01G386400;TraesCS4A01G164900;TraesCS7D01G338600;TraesCS4B01G397600;TraesCS7A01G341000;TraesCS1D01G013100;TraesCS7B01G124100;TraesCS7D01G364400;TraesCS2A01G058700;TraesCS5A01G251000;TraesCS7B01G242200;TraesCS2B01G070700;TraesCS6B01G218700;TraesCS1D01G030500;TraesCS7B01G269300;TraesCS7A01G062100;TraesCS7D01G056800;TraesCS4D01G250100;TraesCS6B01G159800;TraesCS2A01G545600;TraesCS2D01G249600;TraesCS5D01G113700;TraesCS5A01G115000;TraesCS2D01G057900;TraesCS5A01G101900</t>
  </si>
  <si>
    <t>chloroplast inner membrane</t>
  </si>
  <si>
    <t>TraesCS2A01G095300;TraesCS5D01G044700;TraesCS5D01G472300;TraesCS6A01G379000;TraesCS1D01G331000;TraesCS5A01G036600;TraesCS1B01G049300;TraesCS2B01G122500;TraesCS2D01G362700;TraesCS3A01G200400;TraesCS1D01G124400;TraesCS5A01G490500;TraesCS4D01G318200;TraesCS1D01G325500;TraesCS3B01G252200;TraesCS3B01G088300;TraesCS6B01G190300;TraesCS1A01G133500;TraesCS5A01G460600;TraesCS2D01G059400;TraesCS4B01G109700;TraesCS4B01G321500;TraesCS3D01G203400;TraesCS2D01G093700;TraesCS3A01G295400;TraesCS6A01G161200;TraesCS2B01G247100;TraesCS5B01G037500;TraesCS2D01G105300</t>
  </si>
  <si>
    <t>negative regulation of RNA metabolic process</t>
  </si>
  <si>
    <t>methionine biosynthetic process</t>
  </si>
  <si>
    <t>TraesCS3A01G151100;TraesCS6A01G143300;TraesCS1B01G254000;TraesCS3A01G513500;TraesCS4D01G153900;TraesCS5B01G502700;TraesCS7A01G307000;TraesCS4B01G015600;TraesCS5B01G300100;TraesCS4A01G298100;TraesCS4B01G220400;TraesCS6B01G171600;TraesCS4D01G013900;TraesCS1A01G195500;TraesCS3D01G083400;TraesCS4B01G287200;TraesCS3A01G082700;TraesCS6D01G132500;TraesCS7D01G000100;TraesCS1D01G199100;TraesCS3D01G514100;TraesCS4D01G220700;TraesCS7B01G207300;TraesCS6D01G047400</t>
  </si>
  <si>
    <t>TraesCS2A01G095300;TraesCS5D01G420300;TraesCS2B01G174700;TraesCS6A01G379000;TraesCS5B01G415100;TraesCS2A01G521400;TraesCS1D01G331000;TraesCS5B01G171400;TraesCS1B01G049300;TraesCS5B01G501200;TraesCS1B01G293500;TraesCS5A01G490500;TraesCS4D01G318200;TraesCS3A01G393400;TraesCS5D01G171100;TraesCS2A01G455300;TraesCS1A01G284300;TraesCS2B01G477400;TraesCS5B01G378700;TraesCS1B01G365600;TraesCS5A01G411500;TraesCS4B01G109700;TraesCS4B01G321500;TraesCS5A01G166800;TraesCS2D01G093700;TraesCS2B01G247100;TraesCS2A01G149600;TraesCS5A01G472100;TraesCS3D01G182400</t>
  </si>
  <si>
    <t>anatomical structure formation involved in morphogenesis</t>
  </si>
  <si>
    <t>heterochromatin assembly</t>
  </si>
  <si>
    <t>plastid ribosome</t>
  </si>
  <si>
    <t>TraesCS1B01G472100;TraesCS1D01G445300;TraesCS1A01G198400;TraesCS4D01G184400;TraesCS1A01G437500;TraesCS1B01G213300;TraesCS7D01G072100</t>
  </si>
  <si>
    <t>chloroplastic endopeptidase Clp complex</t>
  </si>
  <si>
    <t>endopeptidase Clp complex</t>
  </si>
  <si>
    <t>TraesCS3D01G384700;TraesCS2D01G132100;TraesCS3B01G423800;TraesCS6A01G311200;TraesCS6B01G341400;TraesCS7B01G111000;TraesCS2A01G129900;TraesCS2B01G152100;TraesCS3D01G205300;TraesCS7A01G204000;TraesCS3A01G391800;TraesCS7D01G207100</t>
  </si>
  <si>
    <t>TraesCS1A01G100600;TraesCS7A01G560200;TraesCS1D01G092200;TraesCS1A01G007500;TraesCS1B01G110400;TraesCS7D01G549100</t>
  </si>
  <si>
    <t>chloroplast stromal thylakoid</t>
  </si>
  <si>
    <t>TraesCS5D01G044700;TraesCS1A01G180200;TraesCS1D01G409700;TraesCS5D01G472300;TraesCS2D01G208300;TraesCS1A01G324800;TraesCS5A01G036600;TraesCS1B01G049300;TraesCS2B01G592500;TraesCS2D01G362700;TraesCS5A01G460600;TraesCS4B01G109700;TraesCS6B01G151900;TraesCS3A01G295400;TraesCS2B01G247100;TraesCS5B01G037500;TraesCS2B01G227800;TraesCS1B01G200300;TraesCS2A01G200500;TraesCS1B01G337800;TraesCS1D01G325500</t>
  </si>
  <si>
    <t>RNA interference</t>
  </si>
  <si>
    <t>TraesCS3A01G393400;TraesCS5D01G171100;TraesCS2A01G455300;TraesCS5D01G420300;TraesCS2B01G174700;TraesCS6A01G379000;TraesCS5B01G415100;TraesCS1A01G284300;TraesCS2B01G477400;TraesCS1D01G331000;TraesCS5B01G171400;TraesCS5B01G378700;TraesCS1B01G365600;TraesCS1B01G049300;TraesCS5A01G411500;TraesCS4B01G109700;TraesCS4B01G321500;TraesCS1B01G293500;TraesCS5A01G166800;TraesCS2B01G247100;TraesCS5A01G490500;TraesCS2A01G149600;TraesCS5A01G472100;TraesCS4D01G318200</t>
  </si>
  <si>
    <t>plant organ formation</t>
  </si>
  <si>
    <t>TraesCS3A01G151100;TraesCS3D01G426300;TraesCS2A01G290900;TraesCS5D01G067600;TraesCS2B01G307300;TraesCS2D01G288800;TraesCS5B01G132600;TraesCS4A01G290400;TraesCS4A01G354500;TraesCS1A01G195500;TraesCS1D01G315700;TraesCS2A01G193800;TraesCS1D01G101200;TraesCS5B01G509100;TraesCS6D01G132500;TraesCS6A01G070600;TraesCS1D01G199100;TraesCS2D01G194000;TraesCS1D01G367600;TraesCS2D01G238600;TraesCS6A01G143300;TraesCS6D01G122800;TraesCS1D01G242400;TraesCS4D01G021400;TraesCS6B01G171600;TraesCS2B01G297800;TraesCS5A01G056400;TraesCS5D01G517600;TraesCS7A01G451100;TraesCS3D01G083400;TraesCS2A01G280500;TraesCS6A01G133100;TraesCS1A01G092700;TraesCS2D01G279300;TraesCS3A01G082700;TraesCS5A01G132300;TraesCS5B01G517900;TraesCS2A01G187700</t>
  </si>
  <si>
    <t>TraesCS5B01G381600;TraesCS7B01G240200;TraesCS5A01G378000;TraesCS7A01G342800;TraesCS5D01G388000</t>
  </si>
  <si>
    <t>TAT protein transport complex</t>
  </si>
  <si>
    <t>TraesCS7A01G466600;TraesCS6A01G146500;TraesCS6D01G121300;TraesCS5A01G495100;TraesCS2A01G344600;TraesCS2B01G342200;TraesCS2D01G322900;TraesCS3B01G185300;TraesCS6B01G159800;TraesCS4A01G164900;TraesCS5D01G219500;TraesCS2B01G222600;TraesCS6B01G174700;TraesCS4B01G178700;TraesCS7B01G124100;TraesCS6D01G135800;TraesCS4D01G180300;TraesCS2B01G248100;TraesCS2D01G202900;TraesCS4B01G323000;TraesCS5A01G212500;TraesCS2A01G222600;TraesCS7D01G454200;TraesCS4D01G319400</t>
  </si>
  <si>
    <t>TraesCS7B01G097000;TraesCS4A01G283700;TraesCS5B01G142900;TraesCS7D01G188300;TraesCS5D01G148100;TraesCS7A01G192000;TraesCS1D01G376900;TraesCS5B01G320100;TraesCS5A01G143800;TraesCS5B01G255700;TraesCS4B01G029400;TraesCS7B01G092500;TraesCS7D01G193000</t>
  </si>
  <si>
    <t>polygalacturonate 4-alpha-galacturonosyltransferase activity</t>
  </si>
  <si>
    <t>TraesCS1B01G402900;TraesCS6B01G223200;TraesCS6A01G201800;TraesCS5A01G396700;TraesCS6D01G186000;TraesCS2D01G310000;TraesCS2A01G193800;TraesCS2B01G328500;TraesCS4B01G286700;TraesCS5A01G548800;TraesCS5D01G026000;TraesCS3D01G258900;TraesCS1A01G369600;TraesCS5B01G409700;TraesCS3A01G412600;TraesCS2D01G194000;TraesCS7A01G316700;TraesCS3B01G006700;TraesCS4A01G193700;TraesCS3D01G407300;TraesCS7B01G217500;TraesCS4D01G153900;TraesCS6D01G172500;TraesCS1B01G396800;TraesCS5A01G123800;TraesCS4D01G359000;TraesCS3B01G011800;TraesCS1A01G376400;TraesCS2B01G297800;TraesCS1D01G198700;TraesCS2A01G280500;TraesCS2D01G279300;TraesCS1A01G060100;TraesCS1D01G383500;TraesCS2A01G460000;TraesCS6D01G047400;TraesCS1B01G462200</t>
  </si>
  <si>
    <t>TraesCS3A01G151100;TraesCS3D01G426300;TraesCS6A01G143300;TraesCS5B01G036800;TraesCS3A01G367000;TraesCS6B01G171600;TraesCS7D01G283600;TraesCS4B01G204500;TraesCS4D01G135000;TraesCS6A01G303800;TraesCS6A01G267300;TraesCS6D01G132500;TraesCS6D01G283300;TraesCS2D01G238600</t>
  </si>
  <si>
    <t>TraesCS3D01G264800;TraesCS5D01G013100;TraesCS6D01G121300;TraesCS2A01G286500;TraesCS1B01G290800;TraesCS1D01G280900;TraesCS5D01G219500;TraesCS1D01G149900;TraesCS5A01G108000;TraesCS1D01G313800;TraesCS2B01G303300;TraesCS6D01G212000;TraesCS2A01G222600;TraesCS7D01G083200;TraesCS2B01G528300;TraesCS5A01G014400;TraesCS1A01G355200;TraesCS4D01G107400;TraesCS6B01G159800;TraesCS7B01G104400;TraesCS7D01G228500;TraesCS2D01G229600;TraesCS2B01G273900;TraesCS1B01G325100;TraesCS5B01G324800;TraesCS6A01G158300;TraesCS2D01G233900;TraesCS7A01G088100;TraesCS2A01G223600;TraesCS5A01G004200;TraesCS1B01G366400;TraesCS4A01G387000;TraesCS3A01G264700;TraesCS4A01G364400;TraesCS7D01G200800;TraesCS6D01G259500;TraesCS4A01G276300;TraesCS6B01G307200;TraesCS2D01G242100;TraesCS4B01G204500;TraesCS5A01G324200;TraesCS6B01G257900;TraesCS5B01G509100;TraesCS1A01G313300;TraesCS6D01G283300;TraesCS2B01G248100;TraesCS4A01G247300;TraesCS4A01G124000;TraesCS5A01G014500;TraesCS4A01G206400;TraesCS4A01G013500;TraesCS6A01G279100;TraesCS7A01G226000;TraesCS1A01G281700;TraesCS4B01G109900;TraesCS6A01G303800;TraesCS4A01G005000;TraesCS3A01G276100;TraesCS3B01G309700;TraesCS5A01G212500</t>
  </si>
  <si>
    <t>TraesCS5D01G361000;TraesCS6A01G123800;TraesCS7B01G352800;TraesCS1B01G156600;TraesCS1D01G440900;TraesCS1D01G409700;TraesCS5B01G484700;TraesCS7B01G085700;TraesCS5B01G175800;TraesCS1D01G401900;TraesCS5A01G353700;TraesCS1B01G304500;TraesCS3A01G380100;TraesCS4B01G133200;TraesCS4A01G226500;TraesCS4A01G119800;TraesCS4D01G318200;TraesCS2D01G328100;TraesCS4D01G094700;TraesCS1A01G112800;TraesCS1B01G422200;TraesCS3A01G402500;TraesCS7D01G442100;TraesCS2D01G528800;TraesCS4A01G185400;TraesCS4B01G321500;TraesCS2A01G097900;TraesCS7A01G294200;TraesCS7B01G186500;TraesCS3D01G373300;TraesCS1A01G130700;TraesCS7B01G411000;TraesCS2D01G246100;TraesCS4B01G090000;TraesCS1D01G352300;TraesCS4A01G220100;TraesCS6D01G113900;TraesCS6B01G151900;TraesCS5A01G490500;TraesCS2A01G239200;TraesCS2B01G257300;TraesCS4D01G086000;TraesCS2D01G524500;TraesCS1A01G431600;TraesCS7A01G452800;TraesCS3B01G435900;TraesCS1D01G229400;TraesCS3B01G412600;TraesCS6D01G062500;TraesCS7A01G313900</t>
  </si>
  <si>
    <t>TraesCS5B01G413400;TraesCS5A01G489100;TraesCS7A01G143900;TraesCS7B01G103100;TraesCS4A01G238100;TraesCS4D01G152000;TraesCS4D01G234800;TraesCS1A01G206600;TraesCS2A01G203100;TraesCS4A01G077600;TraesCS2A01G400900;TraesCS3A01G192400;TraesCS5B01G239200;TraesCS2A01G557600;TraesCS6B01G039900;TraesCS5A01G106900;TraesCS5A01G328900;TraesCS7B01G097000;TraesCS2B01G150400;TraesCS7B01G464900;TraesCS7A01G192000;TraesCS3A01G530000;TraesCS6B01G348700;TraesCS3B01G254200;TraesCS4B01G373400;TraesCS2D01G398400;TraesCS3D01G228900;TraesCS2B01G222600;TraesCSU01G132400;TraesCS3B01G221400;TraesCS3B01G221200;TraesCS2D01G202900;TraesCS2A01G128300;TraesCS2D01G237600;TraesCS5D01G247600;TraesCS7B01G092500;TraesCS3D01G259000;TraesCS7D01G193000</t>
  </si>
  <si>
    <t>TraesCS6D01G016900;TraesCS2D01G324900;TraesCS7A01G036200;TraesCS6B01G454500;TraesCS2A01G246200;TraesCS5A01G200800;TraesCS6B01G191500;TraesCS7A01G175300;TraesCS3D01G273800;TraesCS5B01G531900;TraesCS4B01G213600;TraesCS3B01G206600;TraesCS4D01G153900;TraesCS3B01G193200;TraesCS4D01G147100;TraesCS5B01G412400;TraesCS2A01G262700;TraesCS3A01G228000;TraesCS4A01G065400;TraesCS4B01G169900;TraesCS6B01G411900;TraesCS7D01G056800;TraesCS2D01G394900;TraesCS7A01G541200;TraesCS4B01G050200;TraesCS5D01G444700;TraesCS7A01G190700;TraesCS2B01G234500;TraesCS4D01G135000;TraesCS5D01G056900;TraesCS5D01G429200;TraesCS5A01G166800;TraesCS2D01G233900;TraesCS6D01G142900;TraesCS2B01G220100;TraesCS2B01G448000;TraesCS3A01G394600;TraesCS3D01G428300;TraesCS3A01G178900;TraesCS4D01G292900;TraesCS3A01G216100;TraesCS2B01G233400;TraesCS3A01G344300;TraesCS5D01G376600;TraesCS4B01G347000;TraesCS1B01G469400;TraesCS6D01G390000;TraesCS7D01G454200;TraesCS3A01G091100;TraesCS3A01G393400;TraesCS4D01G151500;TraesCS6B01G270400;TraesCS6A01G225200;TraesCSU01G068800;TraesCSU01G093800;TraesCS2D01G092500;TraesCS5A01G093200;TraesCS6A01G319700;TraesCS6D01G162200;TraesCS4D01G250100;TraesCS4A01G120000;TraesCS4A01G361100;TraesCS6B01G190300;TraesCS7A01G415500;TraesCS7D01G224400;TraesCS6D01G298300;TraesCS4B01G109700;TraesCS5B01G284100;TraesCS2D01G093700;TraesCS1A01G125000;TraesCS3B01G376200;TraesCS7B01G241500;TraesCS5A01G229300;TraesCS6A01G245000;TraesCS7B01G103100;TraesCS4A01G167000;TraesCS1D01G396300;TraesCS4D01G278500;TraesCS6D01G161000;TraesCS5B01G171400;TraesCS7D01G283600;TraesCS6B01G282200;TraesCS3A01G332300;TraesCS1D01G315700;TraesCS1B01G375300;TraesCS2D01G383800;TraesCS1B01G274600;TraesCS6B01G238600;TraesCS6A01G321600;TraesCS7A01G222800;TraesCS3D01G369100;TraesCS4A01G191500;TraesCS1A01G275400;TraesCS1A01G403800;TraesCS3D01G407300;TraesCS4D01G132900;TraesCS4D01G172000;TraesCS4A01G042500;TraesCS7B01G162300;TraesCS2D01G356700;TraesCS7A01G327600;TraesCS6B01G159800;TraesCS6A01G125400;TraesCS6B01G166400;TraesCS2D01G213100;TraesCS5D01G044700;TraesCS6B01G296700;TraesCS6D01G358500;TraesCS5A01G229400;TraesCS7A01G510900;TraesCS5A01G357400;TraesCS5D01G161800;TraesCS1A01G025900;TraesCS1A01G254400;TraesCS4D01G165800;TraesCS2B01G328500;TraesCS2D01G597600;TraesCS3D01G336200;TraesCS6D01G344100;TraesCS7D01G291200;TraesCS7D01G364400;TraesCS4B01G089500;TraesCS5B01G185700;TraesCS4A01G193700;TraesCS2A01G159900;TraesCS5B01G036800;TraesCS4A01G342800;TraesCS4B01G041900;TraesCS2B01G477400;TraesCS3B01G103500;TraesCS6D01G189700;TraesCS4A01G078800;TraesCS3A01G268600;TraesCS6B01G099900;TraesCS3B01G303000;TraesCS1A01G299500;TraesCS3D01G224800;TraesCS2D01G049500;TraesCS1D01G264100;TraesCS2D01G477200;TraesCS7D01G227300;TraesCS5B01G409400;TraesCS5A01G229500;TraesCS3A01G457400;TraesCS1B01G343100;TraesCS7A01G390300;TraesCS3A01G342300;TraesCS7D01G288700;TraesCS1D01G275000;TraesCS5D01G481500;TraesCS4A01G163000;TraesCSU01G158800;TraesCS5D01G099800;TraesCS1A01G218000;TraesCS5B01G539900;TraesCS7A01G276400;TraesCS1D01G265200;TraesCS6D01G227300;TraesCS5D01G530200;TraesCS6A01G143300;TraesCS6A01G147900;TraesCS4B01G138100;TraesCS5A01G119300;TraesCS5D01G366500;TraesCS3D01G217700;TraesCS5A01G123800;TraesCS4D01G214300;TraesCS3B01G185300;TraesCS4D01G252700;TraesCS6B01G174100;TraesCS7A01G264300;TraesCS7A01G419600;TraesCS1B01G348800;TraesCS6A01G355300;TraesCS5A01G050100;TraesCS5B01G322900;TraesCS5B01G154600;TraesCS6B01G199500;TraesCS6D01G007800;TraesCS2A01G093700;TraesCS7D01G025000;TraesCS2A01G187200;TraesCS3A01G151100;TraesCS3D01G241900;TraesCS2B01G401900;TraesCS7A01G277700;TraesCS1A01G264000;TraesCS6B01G246600;TraesCS6D01G186000;TraesCS6A01G209800;TraesCS2A01G309600;TraesCS5A01G054700;TraesCS1D01G252100;TraesCS3D01G282800;TraesCS3A01G282800;TraesCS5D01G261300;TraesCS7A01G220600;TraesCS3A01G412600;TraesCS2D01G362200;TraesCS3D01G240800;TraesCS3B01G254500;TraesCS3B01G252200;TraesCS5A01G104800;TraesCS7A01G004000;TraesCS1D01G219200;TraesCS7B01G129300;TraesCS3A01G435700;TraesCS3D01G376500;TraesCS1B01G344300;TraesCS5D01G144600;TraesCS5D01G238300;TraesCS6B01G256400;TraesCS7D01G407700;TraesCS2B01G304900;TraesCS1B01G378000;TraesCS3D01G203400;TraesCS7B01G241900;TraesCS2A01G128300;TraesCS6D01G179700;TraesCS7D01G332300;TraesCS5A01G367700;TraesCS3D01G109700;TraesCS2D01G320900;TraesCS7A01G139800;TraesCS7B01G176200;TraesCS1B01G301500;TraesCS3B01G316500;TraesCS2D01G397800;TraesCS3B01G093800;TraesCS2B01G592500;TraesCS3B01G268900;TraesCS1A01G361400;TraesCS3A01G060300;TraesCS6D01G094200;TraesCS2D01G205900;TraesCS4A01G111600;TraesCS5A01G156400;TraesCS4D01G318200;TraesCS4A01G262900;TraesCS6B01G352400;TraesCS1D01G003700;TraesCS2B01G150400;TraesCS6A01G336800;TraesCS6B01G134800;TraesCS2A01G338100;TraesCS3D01G271800;TraesCS7D01G450700;TraesCS2A01G342600;TraesCS5D01G402300;TraesCS7A01G450600;TraesCS2D01G059400;TraesCS4D01G107000;TraesCS2D01G231000;TraesCS4B01G164800;TraesCS5B01G037500;TraesCS7D01G032800;TraesCS2A01G202600;TraesCS7D01G011800;TraesCS6A01G146500;TraesCS2B01G174700;TraesCS6A01G192600;TraesCS3B01G257700;TraesCS6B01G223200;TraesCS2A01G150000;TraesCS4A01G144500;TraesCS6D01G293100;TraesCS2B01G185800;TraesCS5D01G005300;TraesCS6D01G283300;TraesCS7D01G123400;TraesCS6B01G331800;TraesCS1A01G265000;TraesCS2A01G455300;TraesCS3A01G538300;TraesCS5A01G020800;TraesCS7B01G269300;TraesCS3D01G091000;TraesCS7A01G062100;TraesCS3A01G028600;TraesCS3B01G497300;TraesCS3D01G412500;TraesCS5D01G329200;TraesCS7B01G236400;TraesCS2B01G604300;TraesCS6A01G319100;TraesCS6B01G117100;TraesCS7A01G452800;TraesCS3B01G269900;TraesCS2A01G382000;TraesCSU01G132400;TraesCS3A01G488100;TraesCS7B01G421100;TraesCS7B01G446500;TraesCS7D01G386000;TraesCS6D01G121300;TraesCS4B01G252400;TraesCS5D01G525000;TraesCS6A01G360600;TraesCS1D01G411300;TraesCS6A01G184000;TraesCS7A01G351100;TraesCS5A01G468600;TraesCS1B01G049300;TraesCS5D01G162400;TraesCS7A01G238400;TraesCS7D01G150200;TraesCS5A01G513500;TraesCS2B01G229600;TraesCS7A01G148600;TraesCS6B01G159200;TraesCS1D01G219700;TraesCS5B01G227900;TraesCS5D01G171100;TraesCS5D01G528400;TraesCS1A01G292100;TraesCS7D01G276300;TraesCS4B01G152900;TraesCS7A01G350000;TraesCS3D01G150400;TraesCS6A01G153600;TraesCS6B01G226000;TraesCS6D01G180500;TraesCS7A01G286700;TraesCS3B01G408800;TraesCS4B01G321500;TraesCS6D01G236400;TraesCS2A01G206200;TraesCS3D01G169000;TraesCS7D01G549100;TraesCS5B01G146700;TraesCS2A01G563500;TraesCS7B01G350400;TraesCS5D01G193000;TraesCS6D01G224200;TraesCS7B01G153100;TraesCS6B01G219700;TraesCS7D01G313600;TraesCS6A01G379000;TraesCS6A01G201800;TraesCS2D01G248600;TraesCS2A01G299200;TraesCS4A01G080100;TraesCS6A01G289200;TraesCS7D01G265200;TraesCS1A01G340400;TraesCS6B01G039900;TraesCS4B01G171300;TraesCS6B01G056200;TraesCS2D01G291200;TraesCS6A01G105400;TraesCS2B01G263300;TraesCS5A01G454300;TraesCS3D01G345500;TraesCS1B01G254000;TraesCS5D01G230300;TraesCS2B01G070700;TraesCS1A01G007500;TraesCS7B01G363600;TraesCS6A01G303800;TraesCS2A01G330000;TraesCS6B01G231400;TraesCS6D01G135800;TraesCS5A01G491400;TraesCS7B01G052200;TraesCS2D01G237600;TraesCS2B01G501300;TraesCS4A01G091100;TraesCS5D01G206500;TraesCS7B01G352800;TraesCS4A01G194100;TraesCS7A01G491200;TraesCS4A01G494400;TraesCS4D01G341900;TraesCS7D01G439900;TraesCS7B01G199200;TraesCS1D01G092200;TraesCS3B01G555600;TraesCS2D01G362700;TraesCS3A01G275700;TraesCS4B01G263100;TraesCS3A01G336100;TraesCS7A01G293200;TraesCS1B01G352700;TraesCS4D01G339700;TraesCS1D01G342400;TraesCS5A01G150700;TraesCS4D01G212600;TraesCS1D01G242500;TraesCS3D01G341200;TraesCS5B01G099300;TraesCS1D01G443100;TraesCS3A01G272200;TraesCS3B01G374400;TraesCS6D01G270400;TraesCS6B01G393500;TraesCS2A01G095300;TraesCS4A01G452700;TraesCS7B01G455500;TraesCS2D01G114900;TraesCS5B01G503800;TraesCS2D01G301200;TraesCS3D01G268700;TraesCS4A01G051900;TraesCS3A01G200400;TraesCS3A01G202700;TraesCS5B01G199400;TraesCS1D01G151800;TraesCS5D01G399200;TraesCS6D01G132500;TraesCS6D01G210000;TraesCS5A01G490500;TraesCS5D01G357600;TraesCS3A01G376300;TraesCS3D01G388400;TraesCS4B01G211800;TraesCS2D01G238600;TraesCS4D01G039100;TraesCS2A01G478000;TraesCS3D01G217600;TraesCS3A01G417000;TraesCS5B01G397300;TraesCS1D01G298400;TraesCS7D01G409000;TraesCS4D01G086400;TraesCS4D01G298800;TraesCS1A01G100600;TraesCS6B01G173500;TraesCS3A01G274600;TraesCS5B01G075800;TraesCS2D01G200700;TraesCS7D01G499800;TraesCS2D01G239700;TraesCS3A01G241700;TraesCS5D01G155800;TraesCS7A01G466600;TraesCS3D01G426300;TraesCS6D01G337500;TraesCS1D01G226500;TraesCS1D01G426400;TraesCS2A01G197900;TraesCS5D01G081700;TraesCS2B01G133300;TraesCS4A01G226900;TraesCS3A01G313300;TraesCS2A01G392900;TraesCS4A01G023500;TraesCS1A01G388400;TraesCS2A01G058700;TraesCS2B01G343900;TraesCS4A01G092500;TraesCS6A01G130900;TraesCS6A01G269400;TraesCS1A01G418700;TraesCS2A01G302500;TraesCS5B01G378700;TraesCS5B01G102600;TraesCS1A01G060100;TraesCS3A01G134100;TraesCS2A01G149600;TraesCS2B01G415500;TraesCS7D01G327700;TraesCS3D01G182400;TraesCS6B01G181300;TraesCS6D01G301300;TraesCS4B01G191300;TraesCS7B01G182300;TraesCS2B01G340300;TraesCS1A01G180200;TraesCS3B01G362100;TraesCS6A01G171300;TraesCS7D01G174700;TraesCS1D01G331000;TraesCS4B01G204500;TraesCS3D01G275600;TraesCS2D01G310000;TraesCS5B01G263800;TraesCS1A01G086500;TraesCS1A01G145000;TraesCS7B01G393400;TraesCS5D01G504600;TraesCS4B01G341300;TraesCS6D01G172500;TraesCS7D01G218000;TraesCS7D01G004500;TraesCS1A01G001800;TraesCS2B01G404600;TraesCS4D01G193500;TraesCS6A01G200200;TraesCS1D01G144000;TraesCS5A01G157000;TraesCS7A01G560200;TraesCS5B01G529300;TraesCS2B01G411000;TraesCS2B01G247100;TraesCS1B01G110400;TraesCS2A01G460000;TraesCS5D01G417400;TraesCS1B01G200300;TraesCS7D01G476500;TraesCS1B01G317500;TraesCS3A01G023800;TraesCS3A01G367000;TraesCS3B01G308200;TraesCS5B01G155200;TraesCS3A01G161800;TraesCS6B01G450500;TraesCS3D01G325800;TraesCS4B01G242800;TraesCS2A01G226000;TraesCS6D01G245600;TraesCS2D01G167300;TraesCS2A01G387000;TraesCS3A01G097200;TraesCS5A01G328900;TraesCS3A01G100000;TraesCS6D01G174700;TraesCS3B01G309400;TraesCS6B01G319000;TraesCS2B01G217700;TraesCS6D01G315500;TraesCS7D01G442100;TraesCS1A01G263400;TraesCS6A01G078200;TraesCS7D01G457900;TraesCS5B01G511800;TraesCS2D01G249200;TraesCS7B01G421800;TraesCS6A01G267300;TraesCS6A01G408400;TraesCS6B01G344100;TraesCS4D01G263300;TraesCS5A01G046600;TraesCS2B01G318400;TraesCS2D01G057900;TraesCS4B01G344600;TraesCS6D01G299200;TraesCSU01G009200;TraesCS6D01G152700;TraesCS3B01G306000;TraesCS1A01G358800;TraesCS5D01G105500;TraesCS5A01G036600;TraesCS1A01G111100;TraesCS4A01G164900;TraesCS5B01G136500;TraesCS3A01G107900;TraesCS5D01G512300;TraesCS5B01G509500;TraesCS1B01G293500;TraesCS2B01G051500;TraesCS5A01G515700;TraesCS7B01G124100;TraesCS6D01G245500;TraesCS6D01G174500;TraesCS2B01G225300;TraesCS5D01G060900;TraesCS2D01G300400;TraesCS3B01G470400;TraesCS6D01G193000;TraesCS1A01G284300;TraesCS5B01G481100;TraesCS6B01G171600;TraesCS5B01G110000;TraesCS3B01G426600;TraesCS2B01G108200;TraesCS2B01G352300;TraesCS6A01G161200;TraesCS4D01G242400;TraesCS2B01G191800;TraesCS6B01G388100</t>
  </si>
  <si>
    <t>TraesCS5D01G044700;TraesCS1A01G180200;TraesCS1D01G409700;TraesCS5D01G472300;TraesCS5A01G149000;TraesCS5A01G036600;TraesCS6A01G312100;TraesCS1B01G049300;TraesCS2B01G592500;TraesCS2D01G362700;TraesCS1D01G124400;TraesCS6B01G151900;TraesCS5B01G147600;TraesCS2B01G227800;TraesCS4A01G138800;TraesCS1B01G337800;TraesCS1D01G325500;TraesCS4A01G262900;TraesCS6B01G159200;TraesCS5B01G036800;TraesCS5A01G104800;TraesCS1D01G219200;TraesCS4B01G276500;TraesCS2D01G208300;TraesCS6A01G130900;TraesCS1A01G324800;TraesCS3B01G298400;TraesCS1A01G133500;TraesCS5A01G460600;TraesCS4B01G109700;TraesCS6B01G342300;TraesCS3A01G295400;TraesCS2B01G098800;TraesCS2B01G247100;TraesCS5B01G037500;TraesCS1B01G200300;TraesCS2A01G200500</t>
  </si>
  <si>
    <t>posttranscriptional regulation of gene expression</t>
  </si>
  <si>
    <t>TraesCS7A01G466600;TraesCS2A01G404700;TraesCS5B01G159600;TraesCS7B01G321700;TraesCS5A01G103100;TraesCS5B01G194600;TraesCS5D01G388000;TraesCS6A01G379900;TraesCS5B01G339200;TraesCS5D01G124400;TraesCS5D01G162400;TraesCS2A01G247300;TraesCS2D01G492600;TraesCS5A01G378000;TraesCS3A01G202000;TraesCS2A01G392900;TraesCS5D01G095200;TraesCS5D01G372500;TraesCS5A01G490800;TraesCS2B01G469400;TraesCS4D01G088200;TraesCS7B01G240200;TraesCSU01G142500;TraesCS2B01G234500;TraesCS6D01G057900;TraesCS4D01G135000;TraesCS2D01G447800;TraesCS3B01G324500;TraesCS2A01G200500;TraesCS5B01G381600;TraesCS3A01G103100;TraesCS7D01G336600;TraesCS2A01G102600;TraesCS5A01G189100;TraesCS7D01G483600;TraesCS3D01G289600;TraesCS6A01G119800;TraesCS6B01G418500;TraesCS2A01G203100;TraesCS1A01G086500;TraesCS5B01G197300;TraesCS2B01G286100;TraesCS6B01G039900;TraesCS2B01G227800;TraesCS3D01G124400;TraesCS3D01G298000;TraesCS7D01G326000;TraesCS7D01G454200;TraesCS3A01G091100;TraesCS7A01G555700;TraesCS6A01G382400;TraesCS5D01G148400;TraesCS5D01G230300;TraesCS6A01G420100;TraesCS3A01G303800;TraesCS7D01G413700;TraesCS4D01G009100;TraesCS4D01G120900;TraesCS5A01G157000;TraesCS6D01G215100;TraesCS1A01G102300;TraesCS2D01G304000;TraesCS5A01G472100;TraesCS1B01G447500;TraesCS2D01G237600;TraesCS7D01G231600;TraesCS7D01G554900;TraesCS7A01G143900;TraesCS5D01G470400;TraesCS2A01G521400;TraesCS5B01G155200;TraesCS5D01G166800;TraesCS2B01G348200;TraesCS2A01G557600;TraesCS6B01G182300;TraesCS1B01G352700;TraesCS2A01G448600;TraesCS5B01G107400;TraesCS3B01G418400;TraesCS6D01G174700;TraesCS4D01G317900;TraesCS3B01G229700;TraesCS7A01G327600;TraesCS2A01G585800;TraesCS3A01G292700;TraesCS6A01G110000;TraesCS6D01G405600;TraesCS4B01G091100;TraesCS7D01G339600;TraesCS6A01G026600;TraesCS4B01G321300;TraesCS5D01G113700;TraesCS5D01G201900;TraesCS6A01G158300;TraesCS5A01G101900;TraesCS2B01G520500;TraesCS2B01G315300;TraesCS4D01G175600;TraesCS4B01G244400;TraesCS7A01G342800;TraesCS4D01G301300;TraesCS2D01G248400;TraesCS5B01G375400;TraesCS5D01G161800;TraesCS2A01G492300;TraesCS2B01G185800;TraesCS1D01G117400;TraesCS6B01G104600;TraesCS7A01G182200;TraesCS7A01G421400;TraesCS2A01G159900;TraesCS2A01G455300;TraesCS3D01G091000;TraesCS4B01G383000;TraesCS2B01G477400;TraesCS2D01G208300;TraesCS3A01G417000;TraesCS3D01G412500;TraesCS7D01G409000;TraesCS4B01G220500;TraesCS6A01G077800;TraesCS5A01G222500;TraesCS6A01G154400;TraesCS7D01G000100;TraesCS6D01G238800;TraesCS2D01G296800</t>
  </si>
  <si>
    <t>TraesCS2A01G517500;TraesCS2A01G404700;TraesCS7D01G292000;TraesCS6B01G267800;TraesCS1D01G413600;TraesCS5B01G249000;TraesCS2A01G007500;TraesCS3A01G472400;TraesCS6B01G215800;TraesCS6D01G165800;TraesCS5D01G388000;TraesCS2A01G366900;TraesCS1A01G044800;TraesCS3D01G285100;TraesCS2A01G444600;TraesCS1D01G101200;TraesCS2D01G009200;TraesCS3D01G273800;TraesCS5A01G378000;TraesCS5B01G239200;TraesCS2D01G427900;TraesCS5B01G143300;TraesCS3D01G168600;TraesCS2D01G014800;TraesCS1D01G051300;TraesCS5B01G227900;TraesCS6B01G161300;TraesCS2B01G469400;TraesCS5A01G144200;TraesCS6D01G334400;TraesCS7B01G240200;TraesCS2B01G087600;TraesCS6A01G418800;TraesCS6B01G411900;TraesCS4B01G152900;TraesCS5A01G181500;TraesCS2A01G233800;TraesCS4B01G117900;TraesCS2D01G417300;TraesCS4D01G135000;TraesCS2B01G457300;TraesCS5B01G324800;TraesCS5B01G171200;TraesCS2A01G357400;TraesCS7B01G117700;TraesCS5B01G163700;TraesCS7A01G294200;TraesCS2A01G424200;TraesCS5B01G381600;TraesCS3A01G210000;TraesCS7D01G336600;TraesCS7B01G186500;TraesCS4D01G292900;TraesCS6A01G119800;TraesCS7B01G364800;TraesCS4B01G397700;TraesCS3A01G192400;TraesCS6B01G262800;TraesCS4B01G399200;TraesCS6A01G105400;TraesCS7D01G326000;TraesCS6D01G287300;TraesCS4B01G158000;TraesCS6A01G382400;TraesCS1D01G185600;TraesCS1B01G254000;TraesCS3A01G513500;TraesCS5A01G251000;TraesCS5B01G380500;TraesCS3A01G288400;TraesCS1D01G412600;TraesCS2D01G212600;TraesCS3A01G181500;TraesCS4A01G015800;TraesCS6A01G208200;TraesCS4B01G373400;TraesCS3A01G458000;TraesCS4D01G365800;TraesCS6B01G192600;TraesCS7D01G224400;TraesCS2D01G363800;TraesCS6A01G303800;TraesCS5A01G030400;TraesCS5D01G293100;TraesCS5D01G178300;TraesCS6A01G188700;TraesCS3B01G221200;TraesCS1A01G102300;TraesCS3A01G310200;TraesCS1B01G447500;TraesCS1B01G462200;TraesCS6B01G239000;TraesCSU01G058200;TraesCS5B01G270200;TraesCS4A01G062100;TraesCS4A01G194100;TraesCS5D01G166000;TraesCS3D01G136800;TraesCS5B01G228900;TraesCS4A01G167000;TraesCS1D01G396300;TraesCS5B01G300100;TraesCS7A01G240000;TraesCS3B01G498200;TraesCS6B01G384900;TraesCS7D01G283600;TraesCS6A01G245800;TraesCS6A01G373200;TraesCS3A01G418800;TraesCS3D01G311800;TraesCS1A01G365600;TraesCS2D01G389900;TraesCS4A01G077600;TraesCS3B01G250800;TraesCS4D01G096200;TraesCS7A01G222800;TraesCS4A01G138800;TraesCS1D01G048200;TraesCS2A01G448600;TraesCS6D01G122600;TraesCS7B01G135600;TraesCS3D01G341200;TraesCS3A01G158500;TraesCS5A01G173800;TraesCS2D01G422000;TraesCS2B01G272300;TraesCS7D01G224900;TraesCS2D01G508800;TraesCS1B01G212500;TraesCS2D01G266600;TraesCS3A01G272200;TraesCS3A01G381200;TraesCS6A01G234000;TraesCS2B01G159600;TraesCS5D01G536100;TraesCS3A01G161300;TraesCS5B01G387600;TraesCS2D01G202900;TraesCS3A01G264700;TraesCS6D01G228200;TraesCS4B01G170400;TraesCS6D01G358500;TraesCS4D01G175600;TraesCS5B01G549200;TraesCS6A01G245100;TraesCS1A01G254400;TraesCS2D01G009100;TraesCS4D01G079200;TraesCS1D01G151800;TraesCS3A01G294200;TraesCS6D01G367300;TraesCS6D01G247400;TraesCS6B01G421600;TraesCS2A01G467900;TraesCS2D01G238600;TraesCS1A01G049300;TraesCS3A01G498300;TraesCS5B01G036800;TraesCS6D01G233800;TraesCS5A01G230400;TraesCSU01G117300;TraesCS2B01G312600;TraesCS4A01G088600;TraesCS2D01G208300;TraesCS6B01G115200;TraesCS4B01G117800;TraesCS4A01G216200;TraesCS6D01G204700;TraesCS7D01G409000;TraesCS3D01G414400;TraesCS7A01G239700;TraesCS2B01G325100;TraesCS2D01G280900;TraesCS6B01G342300;TraesCS4A01G005000;TraesCS4B01G239100;TraesCS7B01G042600;TraesCS5D01G098400;TraesCS2B01G377300;TraesCS3B01G192400;TraesCS4D01G131700;TraesCS5D01G247600;TraesCS3D01G264800;TraesCS1A01G323200;TraesCS3D01G426300;TraesCS5D01G013100;TraesCS1A01G182400;TraesCS7A01G223300;TraesCS3D01G241800;TraesCS1A01G075700;TraesCS2A01G246600;TraesCS3B01G222700;TraesCS4A01G129200;TraesCS5B01G339200;TraesCS6B01G470700;TraesCS2B01G376600;TraesCS3D01G436100;TraesCS5A01G395300;TraesCS3D01G359500;TraesCS5D01G372500;TraesCS4A01G134800;TraesCS5A01G106900;TraesCS4B01G288200;TraesCS2B01G410600;TraesCS1A01G388400;TraesCS2B01G528300;TraesCS2A01G455200;TraesCS7A01G381700;TraesCS7D01G083900;TraesCS2B01G477300;TraesCS3B01G185300;TraesCS7D01G203100;TraesCS7A01G358000;TraesCS3B01G161900;TraesCS2D01G447800;TraesCS5B01G198300;TraesCS2B01G295400;TraesCS1A01G092700;TraesCS2B01G004000;TraesCS6A01G257300;TraesCS2A01G223600;TraesCS3A01G241600;TraesCS2A01G200500;TraesCS3B01G229100;TraesCS3A01G151100;TraesCS2B01G340300;TraesCS3A01G075700;TraesCS7A01G307000;TraesCS3A01G052700;TraesCS4A01G083100;TraesCS2D01G269700;TraesCS6A01G312100;TraesCS5A01G424400;TraesCS1B01G198500;TraesCS2D01G242100;TraesCS1B01G215800;TraesCS4B01G204500;TraesCS5A01G484700;TraesCS3A01G189400;TraesCS2A01G203100;TraesCS5B01G197300;TraesCS3A01G443700;TraesCS5D01G242900;TraesCS6D01G216300;TraesCS2B01G227800;TraesCS4A01G197700;TraesCS6B01G272300;TraesCS5D01G504600;TraesCS3A01G530100;TraesCS4A01G197600;TraesCS7B01G129300;TraesCS1A01G047200;TraesCS1B01G336000;TraesCS4D01G025300;TraesCS6D01G166400;TraesCS3D01G196700;TraesCS2A01G252600;TraesCS2B01G264100;TraesCS7A01G149200;TraesCS2D01G138200;TraesCS2D01G443100;TraesCS6D01G248800;TraesCS4B01G153500;TraesCS7A01G187800;TraesCS3D01G220400;TraesCS3D01G205700;TraesCS6D01G177400;TraesCS5D01G258900;TraesCS5A01G489100;TraesCS7B01G006600;TraesCS7B01G052900;TraesCS3A01G367000;TraesCS7A01G200100;TraesCS1B01G171600;TraesCS1B01G383200;TraesCS5D01G237400;TraesCS2A01G521400;TraesCS5B01G157500;TraesCS4D01G108900;TraesCS4D01G234800;TraesCS3B01G291000;TraesCS6A01G265800;TraesCS3D01G308500;TraesCS2A01G358000;TraesCS2D01G523100;TraesCS4D01G115600;TraesCS6D01G094200;TraesCS6A01G082800;TraesCS6A01G070700;TraesCS2A01G278000;TraesCS2A01G557600;TraesCS6D01G191600;TraesCS1D01G086600;TraesCS3A01G135800;TraesCS3B01G432600;TraesCS6A01G252600;TraesCS6A01G308100;TraesCS7D01G119700;TraesCS4D01G172400;TraesCS7D01G377200;TraesCS7B01G020100;TraesCS1D01G030500;TraesCS3A01G530000;TraesCS6B01G134800;TraesCS3D01G271800;TraesCS5D01G165300;TraesCS2A01G342600;TraesCS3A01G232700;TraesCS2A01G585800;TraesCS3B01G180600;TraesCS5A01G161200;TraesCS5D01G404600;TraesCS7D01G339600;TraesCS6B01G279200;TraesCS2D01G229600;TraesCS4D01G003100;TraesCS2B01G222600;TraesCS2B01G273900;TraesCS6D01G186800;TraesCS5A01G159800;TraesCS6D01G238500;TraesCS6A01G267300;TraesCS1A01G201600;TraesCS3B01G211500;TraesCS4B01G164800;TraesCS3A01G339900;TraesCS4B01G233300;TraesCS1A01G259700;TraesCS2A01G296400;TraesCS1D01G194000;TraesCS5A01G235800;TraesCS4D01G154300;TraesCS4B01G244400;TraesCS7A01G342800;TraesCS2A01G150000;TraesCS2B01G273700;TraesCS3A01G191000;TraesCS5D01G164800;TraesCS4D01G115500;TraesCS3D01G294000;TraesCS2B01G454000;TraesCS5A01G324200;TraesCS2B01G410100;TraesCS5A01G542600;TraesCS6B01G236600;TraesCS6D01G283300;TraesCS2B01G246200;TraesCS5A01G087700;TraesCS5B01G256400;TraesCS6A01G210200;TraesCS4A01G247300;TraesCS2B01G230200;TraesCS2D01G300400;TraesCS2A01G216100;TraesCS3B01G153900;TraesCS2A01G270600;TraesCS3B01G607600;TraesCS7D01G188800;TraesCS4A01G141000;TraesCS5B01G158500;TraesCS3B01G141700;TraesCS1B01G434400;TraesCS3B01G328800;TraesCS5B01G104800;TraesCS6B01G363500;TraesCS3B01G221400;TraesCS4D01G292300;TraesCS5D01G170900;TraesCS2A01G424700;TraesCS4A01G093100;TraesCS4A01G110400;TraesCS3D01G186300;TraesCS7B01G207300;TraesCS1A01G165700</t>
  </si>
  <si>
    <t>TraesCS3A01G151100;TraesCS2B01G528300;TraesCS3D01G428300;TraesCS7B01G186500;TraesCS6B01G348700;TraesCS3B01G423600;TraesCS4B01G168300;TraesCS4B01G204500;TraesCS6A01G303800;TraesCS5A01G513500;TraesCS6D01G283300;TraesCS4A01G093100;TraesCS2D01G238600;TraesCS4D01G181000;TraesCS4D01G339700</t>
  </si>
  <si>
    <t>response to cytokinin</t>
  </si>
  <si>
    <t>TraesCS2B01G174600;TraesCS2A01G095300;TraesCS5D01G078500;TraesCS6A01G379000;TraesCS2A01G233300;TraesCS2D01G093700;TraesCS2A01G149500;TraesCS2D01G232300;TraesCS2A01G585800;TraesCS5B01G074200;TraesCS2B01G250000;TraesCS7D01G326000</t>
  </si>
  <si>
    <t>phragmoplast</t>
  </si>
  <si>
    <t>TraesCS3B01G425900;TraesCS3D01G256700;TraesCS2B01G004000;TraesCS2D01G380900;TraesCS5B01G147600;TraesCS3D01G304800;TraesCS5A01G149000;TraesCS5D01G143800;TraesCS2D01G238700;TraesCS1B01G462200;TraesCS2D01G014800</t>
  </si>
  <si>
    <t>plastid nucleoid</t>
  </si>
  <si>
    <t>TraesCS3D01G264800;TraesCS5D01G013100;TraesCS6D01G121300;TraesCS2A01G286500;TraesCS1B01G290800;TraesCS1D01G280900;TraesCS5D01G219500;TraesCS1D01G149900;TraesCS5A01G108000;TraesCS1D01G313800;TraesCS2B01G303300;TraesCS6D01G212000;TraesCS2A01G222600;TraesCS7D01G083200;TraesCS2B01G528300;TraesCS5A01G014400;TraesCS1A01G355200;TraesCS4D01G107400;TraesCS6B01G159800;TraesCS2D01G520000;TraesCS7B01G104400;TraesCS7D01G228500;TraesCS2D01G229600;TraesCS2B01G273900;TraesCS1B01G325100;TraesCS5B01G324800;TraesCS6A01G158300;TraesCS2D01G233900;TraesCS7A01G088100;TraesCS2A01G223600;TraesCS5A01G004200;TraesCS1B01G366400;TraesCS4A01G387000;TraesCS3A01G264700;TraesCS4A01G364400;TraesCS7D01G200800;TraesCS6D01G259500;TraesCS4A01G276300;TraesCS6B01G307200;TraesCS2D01G242100;TraesCS4B01G204500;TraesCS5A01G324200;TraesCS6B01G257900;TraesCS5B01G509100;TraesCS1A01G313300;TraesCS6D01G283300;TraesCS2B01G248100;TraesCS4A01G247300;TraesCS4A01G124000;TraesCS5A01G014500;TraesCS4A01G206400;TraesCS4A01G013500;TraesCS6A01G279100;TraesCS7A01G226000;TraesCS1A01G281700;TraesCS4B01G109900;TraesCS6A01G303800;TraesCS4A01G005000;TraesCS3A01G276100;TraesCS3B01G309700;TraesCS5A01G212500</t>
  </si>
  <si>
    <t>TraesCS3D01G426300;TraesCS1A01G180200;TraesCS1D01G409700;TraesCS3A01G367000;TraesCS4B01G244400;TraesCS7D01G283600;TraesCS1B01G049300;TraesCS4B01G204500;TraesCS2B01G592500;TraesCS2D01G362700;TraesCS6B01G151900;TraesCS6D01G283300;TraesCS2B01G227800;TraesCS2D01G238600;TraesCS4A01G138800;TraesCS1B01G337800;TraesCS1D01G325500;TraesCS5B01G036800;TraesCS2D01G208300;TraesCS4B01G152900;TraesCS1A01G324800;TraesCS3D01G150400;TraesCS5A01G429300;TraesCS4D01G135000;TraesCS6A01G303800;TraesCS4B01G109700;TraesCS6A01G267300;TraesCS3A01G134100;TraesCS3A01G295400;TraesCS1B01G200300;TraesCS2A01G200500</t>
  </si>
  <si>
    <t>TraesCS5D01G420300;TraesCS2B01G174700;TraesCS6A01G379000;TraesCS5B01G415100;TraesCS2A01G521400;TraesCS1D01G331000;TraesCS5B01G171400;TraesCS1B01G049300;TraesCS1B01G293500;TraesCS5A01G490500;TraesCS4D01G318200;TraesCS3A01G393400;TraesCS5D01G171100;TraesCS2A01G455300;TraesCS1A01G284300;TraesCS2B01G477400;TraesCS5B01G378700;TraesCS1B01G365600;TraesCS5A01G411500;TraesCS4B01G109700;TraesCS4B01G321500;TraesCS5A01G166800;TraesCS5D01G459800;TraesCS2B01G247100;TraesCS2A01G149600;TraesCS5A01G472100</t>
  </si>
  <si>
    <t>post-embryonic plant organ development</t>
  </si>
  <si>
    <t>TraesCS2D01G349600;TraesCS5A01G119300;TraesCS7B01G006600;TraesCS3A01G367000;TraesCS4D01G021400;TraesCS3A01G232700;TraesCS7B01G197000;TraesCS4D01G194400;TraesCS2A01G437700;TraesCS2B01G369600;TraesCS4A01G290400;TraesCS4B01G204500;TraesCS3B01G161900;TraesCS6A01G303800;TraesCS2B01G457600;TraesCS6D01G283300;TraesCS3D01G220400;TraesCS2B01G248100;TraesCS2A01G222600</t>
  </si>
  <si>
    <t>glucosinolate metabolic process</t>
  </si>
  <si>
    <t>glycosinolate metabolic process</t>
  </si>
  <si>
    <t>S-glycoside metabolic process</t>
  </si>
  <si>
    <t>TraesCS2A01G517900;TraesCS5B01G270200;TraesCS3A01G023800;TraesCS1D01G449000;TraesCS1A01G206900;TraesCS2D01G118000;TraesCS1D01G329100;TraesCS2B01G263600;TraesCS7A01G222800;TraesCS1D01G210200;TraesCS5D01G229900;TraesCS1B01G220700;TraesCS4D01G153900;TraesCS5A01G119300;TraesCS3D01G137800;TraesCS4A01G036500;TraesCS4A01G254100;TraesCS4A01G324400;TraesCS3A01G503200;TraesCS3B01G154900;TraesCS5B01G220900;TraesCS3D01G421500;TraesCS4A01G158400;TraesCS4B01G162900;TraesCS1D01G134300;TraesCS7A01G307000;TraesCS2A01G246700;TraesCS7B01G451500;TraesCS6A01G312100;TraesCS4A01G164900;TraesCS2D01G310000;TraesCS2B01G328500;TraesCS3A01G137000;TraesCS7B01G124100;TraesCS5B01G409700;TraesCS2D01G519500;TraesCS3B01G566600;TraesCS3A01G322500;TraesCS4A01G101500;TraesCS4D01G204000;TraesCS3A01G530100;TraesCS7B01G129300;TraesCS1D01G024800;TraesCS7D01G409000;TraesCS1A01G024700;TraesCS7D01G224400;TraesCS1A01G133500;TraesCS6B01G342300;TraesCS7B01G207300;TraesCS7D01G231600;TraesCS3D01G423300</t>
  </si>
  <si>
    <t>RNA modification</t>
  </si>
  <si>
    <t>TraesCS7B01G350400;TraesCS5B01G036800;TraesCS4D01G147100;TraesCS2D01G205900;TraesCS7D01G439900;TraesCS7A01G351100;TraesCS7D01G327700;TraesCS7A01G450600</t>
  </si>
  <si>
    <t>plastid translation</t>
  </si>
  <si>
    <t>TraesCS6D01G121300;TraesCS1A01G323600;TraesCS7D01G292000;TraesCS5B01G249000;TraesCS1B01G049300;TraesCS3D01G323700;TraesCS5D01G219500;TraesCS3D01G273800;TraesCS3A01G099300;TraesCS2D01G427900;TraesCS5D01G359800;TraesCS3B01G398000;TraesCS4B01G152900;TraesCS3D01G150400;TraesCS2D01G522500;TraesCS3B01G112900;TraesCS4D01G135000;TraesCS4D01G246300;TraesCS5B01G324800;TraesCS5D01G429200;TraesCS6A01G133100;TraesCS1B01G311900;TraesCS2D01G233900;TraesCS5A01G344100;TraesCS1D01G444900;TraesCS2A01G171900;TraesCS2A01G361100;TraesCS2B01G597700;TraesCS7A01G323200;TraesCS4D01G133500;TraesCS3A01G205100;TraesCS7A01G294200;TraesCS6A01G203300;TraesCS7A01G250500;TraesCS7A01G464600;TraesCS7B01G153100;TraesCS7B01G186500;TraesCS6B01G112700;TraesCS1A01G027200;TraesCS2D01G565200;TraesCS5B01G415100;TraesCS1A01G130700;TraesCS5A01G336500;TraesCS3D01G289600;TraesCS2A01G022000;TraesCS6B01G174500;TraesCS6A01G289200;TraesCS3A01G091100;TraesCS5A01G251000;TraesCS2B01G257300;TraesCS2A01G103300;TraesCS4D01G359000;TraesCS3D01G414600;TraesCS4A01G120000;TraesCS5B01G229300;TraesCS6A01G303800;TraesCS4B01G109700;TraesCS4B01G285000;TraesCS4D01G085900;TraesCS1A01G016200;TraesCS5A01G547300;TraesCS6B01G428300;TraesCS1A01G102300;TraesCS3B01G309700;TraesCS5A01G115000;TraesCS3A01G310200;TraesCS7B01G117600;TraesCS2A01G239000;TraesCS6D01G047400;TraesCS3B01G385400;TraesCS5D01G420300;TraesCS7B01G352800;TraesCS3D01G210300;TraesCS7B01G103100;TraesCS1D01G409700;TraesCS4A01G167000;TraesCS1D01G396300;TraesCS7D01G283600;TraesCS1B01G326400;TraesCS2A01G437700;TraesCS3D01G065800;TraesCS2D01G362700;TraesCS1B01G304500;TraesCS7B01G353100;TraesCS2A01G222600;TraesCS5D01G332000;TraesCS1B01G352700;TraesCS2D01G356700;TraesCS1B01G216300;TraesCS6B01G159800;TraesCS7D01G207100;TraesCS4B01G091100;TraesCS7D01G035000;TraesCS5A01G411500;TraesCS1A01G278000;TraesCS5A01G101900;TraesCS2B01G520500;TraesCS3D01G517100;TraesCS4B01G193400;TraesCS2D01G303500;TraesCS2B01G317600;TraesCS3D01G474200;TraesCS4A01G110800;TraesCS4D01G089800;TraesCS1D01G356900;TraesCS1A01G254400;TraesCS2A01G492300;TraesCS3B01G564100;TraesCS4D01G004000;TraesCS5A01G395200;TraesCS6D01G132500;TraesCS5B01G120200;TraesCS2B01G248100;TraesCS2D01G238600;TraesCS2B01G154700;TraesCS5B01G036800;TraesCS2A01G132200;TraesCS4B01G276500;TraesCS2D01G208300;TraesCS2D01G545300;TraesCS7D01G373100;TraesCS4B01G180100;TraesCS5B01G534400;TraesCS1D01G314600;TraesCS5B01G094300;TraesCS2D01G549100;TraesCS3A01G295400;TraesCS3B01G477300;TraesCS6B01G099900;TraesCS4B01G088400;TraesCS3D01G482500;TraesCS6B01G428100;TraesCS6D01G399000;TraesCS3D01G426300;TraesCS3A01G212600;TraesCS1D01G226500;TraesCS1B01G343100;TraesCS5A01G092400;TraesCS3A01G330200;TraesCS3D01G436100;TraesCS4B01G286700;TraesCS2D01G492600;TraesCS5A01G024600;TraesCS1B01G377800;TraesCS6D01G398100;TraesCS1A01G388400;TraesCS3B01G441000;TraesCS2B01G528300;TraesCS3D01G513500;TraesCS6A01G143300;TraesCS6D01G122800;TraesCS4A01G178600;TraesCS3B01G426500;TraesCS3B01G185300;TraesCS3D01G507500;TraesCS1D01G316200;TraesCS3B01G324500;TraesCS2A01G280500;TraesCS3A01G134100;TraesCS7A01G376800;TraesCS2B01G467500;TraesCS2A01G200500;TraesCS3A01G151100;TraesCS2B01G401900;TraesCS1B01G368500;TraesCS2B01G340300;TraesCS6A01G203700;TraesCS1A01G180200;TraesCS5B01G335500;TraesCS7D01G040400;TraesCS5D01G141200;TraesCS5A01G424400;TraesCS4B01G246900;TraesCS4B01G204500;TraesCS3A01G189400;TraesCS5B01G263800;TraesCS5B01G476900;TraesCS1D01G252100;TraesCS3A01G443700;TraesCS2B01G227800;TraesCS1D01G178000;TraesCS7D01G349600;TraesCS6D01G149800;TraesCS4B01G138800;TraesCS2B01G297800;TraesCS3A01G068500;TraesCS2B01G264100;TraesCS7B01G278200;TraesCS1B01G378000;TraesCS2B01G457600;TraesCS5A01G212500;TraesCS1B01G200300;TraesCS1A01G035900;TraesCS5D01G258900;TraesCS7A01G005100;TraesCS3A01G367000;TraesCS7B01G111000;TraesCS2A01G521400;TraesCS4D01G194300;TraesCS7B01G176200;TraesCS2B01G592500;TraesCS1A01G315900;TraesCS1A01G361400;TraesCS1D01G277100;TraesCS5A01G548800;TraesCS2D01G205900;TraesCS3B01G209400;TraesCS3A01G097200;TraesCS4A01G058000;TraesCS1D01G086600;TraesCS5D01G473800;TraesCS2B01G198300;TraesCS2D01G434500;TraesCS2A01G342600;TraesCS6B01G319000;TraesCS7D01G442100;TraesCS5A01G429300;TraesCS6B01G176600;TraesCS7D01G339600;TraesCS3D01G228900;TraesCS6D01G397200;TraesCS5D01G113700;TraesCS2D01G279300;TraesCS5B01G471200;TraesCS6A01G267300;TraesCS7D01G386100;TraesCS4B01G164800;TraesCS4A01G227500;TraesCS7B01G054400;TraesCS6D01G028400;TraesCS2A01G431900;TraesCS2B01G550200;TraesCS2B01G321700;TraesCS4B01G244400;TraesCS7A01G204000;TraesCS7A01G390400;TraesCS6A01G188100;TraesCS2B01G180900;TraesCS2D01G022800;TraesCSU01G131300;TraesCS5A01G324200;TraesCS5B01G344300;TraesCS1A01G172100;TraesCS1B01G293500;TraesCS6B01G100000;TraesCS6D01G396700;TraesCS7D01G152400;TraesCS6D01G283300;TraesCS1A01G101300;TraesCS2A01G446600;TraesCS4A01G247300;TraesCS2A01G239200;TraesCS2A01G155700;TraesCS5D01G341200;TraesCS6B01G304100;TraesCS5A01G020800;TraesCS3D01G091000;TraesCS1A01G284300;TraesCS6B01G171600;TraesCS7D01G280600;TraesCS7A01G452800;TraesCS5B01G471300;TraesCS6B01G189000;TraesCS7D01G000100;TraesCS5D01G098800;TraesCS4B01G380800;TraesCS4A01G093100;TraesCS6D01G028300</t>
  </si>
  <si>
    <t>response to stress</t>
  </si>
  <si>
    <t>TraesCS2A01G095300;TraesCS3A01G212600;TraesCS5D01G044700;TraesCS5D01G472300;TraesCS6A01G379000;TraesCS2D01G565200;TraesCS1D01G331000;TraesCS5A01G036600;TraesCS1B01G049300;TraesCS2B01G122500;TraesCS2D01G362700;TraesCS3A01G200400;TraesCS1D01G124400;TraesCS5A01G490500;TraesCS1D01G178000;TraesCS4D01G318200;TraesCS1D01G325500;TraesCS3B01G252200;TraesCS3B01G088300;TraesCS6B01G190300;TraesCS1A01G133500;TraesCS5A01G460600;TraesCS2D01G059400;TraesCS4B01G109700;TraesCS4B01G321500;TraesCS3D01G203400;TraesCS2D01G093700;TraesCS3A01G295400;TraesCS6A01G161200;TraesCS2B01G247100;TraesCS5B01G037500;TraesCS2D01G105300</t>
  </si>
  <si>
    <t>negative regulation of nucleobase-containing compound metabolic process</t>
  </si>
  <si>
    <t>TraesCS7A01G223300;TraesCS5D01G258900;TraesCS4A01G194100;TraesCS5A01G489100;TraesCS4A01G167000;TraesCS5B01G300100;TraesCS5B01G249000;TraesCS2D01G389900;TraesCS4D01G115600;TraesCS6D01G094200;TraesCS4B01G288200;TraesCS2D01G014800;TraesCS7B01G240200;TraesCS3D01G341200;TraesCS5A01G173800;TraesCS6B01G134800;TraesCS3D01G271800;TraesCS7D01G224900;TraesCS4B01G117900;TraesCS3A01G272200;TraesCS5B01G171200;TraesCS2B01G004000;TraesCS4B01G164800;TraesCS1A01G259700;TraesCS3A01G151100;TraesCS3A01G075700;TraesCS7A01G307000;TraesCS7A01G342800;TraesCS4D01G292900;TraesCS4D01G115500;TraesCS4B01G397700;TraesCS2B01G410100;TraesCS4A01G197700;TraesCS6A01G105400;TraesCS6A01G210200;TraesCS2D01G300400;TraesCS1B01G254000;TraesCS3A01G498300;TraesCS3A01G513500;TraesCS5A01G251000;TraesCS3A01G530100;TraesCS4A01G197600;TraesCS2A01G216100;TraesCS1D01G412600;TraesCS1B01G434400;TraesCS4B01G117800;TraesCS2B01G325100;TraesCS5B01G104800;TraesCS5D01G178300;TraesCS1B01G447500;TraesCS7B01G207300;TraesCS1A01G165700;TraesCS1B01G462200;TraesCS6B01G239000;TraesCSU01G058200</t>
  </si>
  <si>
    <t>TraesCS1B01G366400;TraesCS4A01G387000;TraesCS6D01G121300;TraesCS7D01G200800;TraesCS6D01G259500;TraesCS6B01G307200;TraesCS5A01G092400;TraesCS5D01G219500;TraesCS5A01G108000;TraesCS5A01G324200;TraesCS1D01G313800;TraesCS1A01G313300;TraesCS2B01G248100;TraesCS2A01G222600;TraesCS4A01G247300;TraesCS7D01G083200;TraesCS2B01G528300;TraesCS5A01G014500;TraesCS5A01G014400;TraesCS4A01G206400;TraesCS1A01G355200;TraesCS4D01G107400;TraesCS6A01G279100;TraesCS6B01G159800;TraesCS7B01G104400;TraesCS7D01G228500;TraesCS1B01G478800;TraesCS7A01G226000;TraesCS4B01G109900;TraesCS1B01G325100;TraesCS5B01G324800;TraesCS6A01G158300;TraesCS2D01G233900;TraesCS3A01G276100;TraesCS3B01G309700;TraesCS5A01G212500;TraesCS7A01G088100</t>
  </si>
  <si>
    <t>TraesCS3D01G426300;TraesCS5D01G420300;TraesCS1D01G409700;TraesCS3A01G367000;TraesCS4A01G167000;TraesCS7D01G283600;TraesCS1B01G049300;TraesCS2B01G592500;TraesCS2D01G362700;TraesCS4B01G286700;TraesCS2D01G205900;TraesCS2D01G427900;TraesCS3B01G441000;TraesCS6A01G143300;TraesCS6D01G122800;TraesCS1B01G216300;TraesCS3B01G185300;TraesCS2D01G522500;TraesCS4D01G135000;TraesCS5A01G411500;TraesCS3B01G324500;TraesCS5D01G429200;TraesCS6A01G133100;TraesCS6A01G267300;TraesCS4B01G164800;TraesCS2B01G467500;TraesCS7A01G294200;TraesCS2A01G200500;TraesCS3A01G151100;TraesCS2B01G550200;TraesCS7B01G186500;TraesCS1A01G180200;TraesCS5B01G415100;TraesCS3D01G289600;TraesCS5A01G424400;TraesCS4B01G204500;TraesCS3A01G189400;TraesCS5A01G395200;TraesCS6D01G132500;TraesCS6D01G283300;TraesCS2B01G227800;TraesCS2D01G238600;TraesCS2A01G446600;TraesCS7D01G349600;TraesCS5B01G036800;TraesCS4B01G276500;TraesCS2D01G208300;TraesCS6B01G171600;TraesCS4B01G180100;TraesCS5B01G534400;TraesCS6A01G303800;TraesCS2B01G264100;TraesCS4B01G109700;TraesCS4B01G285000;TraesCS3A01G295400;TraesCS3A01G310200;TraesCS4A01G093100;TraesCS1B01G200300;TraesCS5D01G396300</t>
  </si>
  <si>
    <t>TraesCS3A01G393400;TraesCS5D01G171100;TraesCS2A01G455300;TraesCS2B01G174700;TraesCS6A01G379000;TraesCS1A01G284300;TraesCS2B01G477400;TraesCS1D01G331000;TraesCS5B01G171400;TraesCS5B01G378700;TraesCS1B01G365600;TraesCS1B01G049300;TraesCS4B01G109700;TraesCS4B01G321500;TraesCS1B01G293500;TraesCS5A01G166800;TraesCS5D01G459800;TraesCS2B01G247100;TraesCS5A01G490500;TraesCS2A01G149600;TraesCS5A01G472100;TraesCS4D01G318200</t>
  </si>
  <si>
    <t>floral organ morphogenesis</t>
  </si>
  <si>
    <t>TraesCS6B01G223200;TraesCS6A01G201800;TraesCS5A01G396700;TraesCS6D01G186000;TraesCS2D01G310000;TraesCS2A01G193800;TraesCS2B01G328500;TraesCS5A01G548800;TraesCS5D01G026000;TraesCS3D01G258900;TraesCS1A01G369600;TraesCS5B01G409700;TraesCS3A01G412600;TraesCS2D01G194000;TraesCS7A01G316700;TraesCS4A01G193700;TraesCS3D01G407300;TraesCS7B01G217500;TraesCS4D01G153900;TraesCS6D01G172500;TraesCS1B01G396800;TraesCS5A01G123800;TraesCS4D01G359000;TraesCS1A01G376400;TraesCS2B01G297800;TraesCS1D01G198700;TraesCS2A01G280500;TraesCS2D01G279300;TraesCS1A01G060100;TraesCS1D01G383500;TraesCS2A01G460000;TraesCS6D01G047400;TraesCS1B01G462200</t>
  </si>
  <si>
    <t>TraesCS1B01G366400;TraesCS4A01G387000;TraesCS2A01G430500;TraesCS7D01G200800;TraesCS1A01G110900;TraesCS2B01G451100;TraesCS6D01G259500;TraesCS1A01G355200;TraesCS6A01G279100;TraesCS7B01G104400;TraesCS7A01G226000;TraesCS4A01G111000;TraesCS7D01G232000;TraesCS3A01G276100;TraesCS3B01G309700;TraesCS7A01G088100;TraesCS7D01G083200</t>
  </si>
  <si>
    <t>TraesCS4A01G091100;TraesCS4A01G065400;TraesCS4D01G214300;TraesCS6D01G390000;TraesCS4B01G213600;TraesCS6B01G450500</t>
  </si>
  <si>
    <t>plastid large ribosomal subunit</t>
  </si>
  <si>
    <t>organellar large ribosomal subunit</t>
  </si>
  <si>
    <t>TraesCS3D01G426300;TraesCS5D01G420300;TraesCS1D01G409700;TraesCS3A01G367000;TraesCS4A01G167000;TraesCS7D01G283600;TraesCS1B01G049300;TraesCS2B01G592500;TraesCS2D01G362700;TraesCS4B01G286700;TraesCS2D01G205900;TraesCS2D01G427900;TraesCS3B01G441000;TraesCS6A01G143300;TraesCS6D01G122800;TraesCS3B01G185300;TraesCS4D01G135000;TraesCS5A01G411500;TraesCS3B01G324500;TraesCS5D01G429200;TraesCS6A01G133100;TraesCS6A01G267300;TraesCS4B01G164800;TraesCS7A01G294200;TraesCS2A01G200500;TraesCS3A01G151100;TraesCS7B01G186500;TraesCS1A01G180200;TraesCS5B01G415100;TraesCS3D01G289600;TraesCS5A01G424400;TraesCS4B01G204500;TraesCS3A01G189400;TraesCS5A01G395200;TraesCS6D01G132500;TraesCS6D01G283300;TraesCS2B01G227800;TraesCS2D01G238600;TraesCS7D01G349600;TraesCS5B01G036800;TraesCS4B01G276500;TraesCS2D01G208300;TraesCS6B01G171600;TraesCS4B01G180100;TraesCS5B01G534400;TraesCS6A01G303800;TraesCS2B01G264100;TraesCS4B01G109700;TraesCS4B01G285000;TraesCS3A01G295400;TraesCS3A01G310200;TraesCS4A01G093100;TraesCS1B01G200300;TraesCS5D01G396300</t>
  </si>
  <si>
    <t>TraesCS3A01G393400;TraesCS5D01G171100;TraesCS2A01G455300;TraesCS2B01G174700;TraesCS6A01G379000;TraesCS1A01G284300;TraesCS2B01G477400;TraesCS1D01G331000;TraesCS5B01G171400;TraesCS5B01G378700;TraesCS1B01G365600;TraesCS1B01G049300;TraesCS4B01G109700;TraesCS4B01G321500;TraesCS1B01G293500;TraesCS5A01G166800;TraesCS2B01G247100;TraesCS5A01G490500;TraesCS2A01G149600;TraesCS5A01G472100;TraesCS4D01G318200</t>
  </si>
  <si>
    <t>floral organ formation</t>
  </si>
  <si>
    <t>TraesCS1A01G323200;TraesCS3D01G426300;TraesCS7A01G223300;TraesCS2A01G246600;TraesCS5B01G249000;TraesCS2A01G007500;TraesCS6D01G165800;TraesCS3B01G222700;TraesCS5D01G388000;TraesCS2D01G009200;TraesCS3D01G273800;TraesCS3D01G359500;TraesCS5A01G378000;TraesCS5B01G239200;TraesCS2D01G427900;TraesCS5B01G143300;TraesCS5D01G372500;TraesCS5A01G106900;TraesCS4B01G288200;TraesCS2D01G014800;TraesCS6B01G161300;TraesCS5A01G144200;TraesCS7B01G240200;TraesCS7D01G083900;TraesCS3B01G185300;TraesCS5A01G181500;TraesCS4B01G117900;TraesCS4D01G135000;TraesCS2B01G457300;TraesCS5B01G171200;TraesCS2B01G004000;TraesCS7B01G117700;TraesCS3A01G151100;TraesCS5B01G381600;TraesCS7D01G336600;TraesCS3A01G075700;TraesCS7A01G307000;TraesCS4A01G083100;TraesCS4D01G292900;TraesCS4B01G204500;TraesCS4B01G397700;TraesCS2A01G203100;TraesCS3A01G192400;TraesCS4A01G197700;TraesCS6A01G105400;TraesCS7D01G326000;TraesCS4B01G158000;TraesCS1B01G254000;TraesCS3A01G513500;TraesCS5A01G251000;TraesCS3A01G530100;TraesCS4A01G197600;TraesCS7B01G129300;TraesCS1B01G336000;TraesCS1D01G412600;TraesCS2D01G212600;TraesCS4A01G015800;TraesCS4B01G373400;TraesCS6D01G166400;TraesCS7D01G224400;TraesCS3D01G196700;TraesCS6A01G303800;TraesCS2D01G443100;TraesCS5D01G178300;TraesCS3B01G221200;TraesCS3A01G310200;TraesCS1B01G447500;TraesCS1B01G462200;TraesCS6B01G239000;TraesCSU01G058200;TraesCS5B01G270200;TraesCS5D01G258900;TraesCS4A01G194100;TraesCS5A01G489100;TraesCS3A01G367000;TraesCS4A01G167000;TraesCS5B01G300100;TraesCS1B01G383200;TraesCS5B01G157500;TraesCS7D01G283600;TraesCS4D01G234800;TraesCS6A01G373200;TraesCS3D01G308500;TraesCS1A01G365600;TraesCS2D01G389900;TraesCS4D01G115600;TraesCS4A01G077600;TraesCS6D01G094200;TraesCS6A01G082800;TraesCS4D01G096200;TraesCS6A01G070700;TraesCS7A01G222800;TraesCS4A01G138800;TraesCS3B01G432600;TraesCS6D01G122600;TraesCS7D01G119700;TraesCS3D01G341200;TraesCS7B01G020100;TraesCS3A01G158500;TraesCS5A01G173800;TraesCS3A01G530000;TraesCS6B01G134800;TraesCS3D01G271800;TraesCS2A01G585800;TraesCS7D01G224900;TraesCS3B01G180600;TraesCS1B01G212500;TraesCS7D01G339600;TraesCS3A01G272200;TraesCS2B01G222600;TraesCS5A01G159800;TraesCS6A01G267300;TraesCS4B01G164800;TraesCS2D01G202900;TraesCS3A01G339900;TraesCS1A01G259700;TraesCS4B01G244400;TraesCS7A01G342800;TraesCS5D01G164800;TraesCS4D01G115500;TraesCS2B01G410100;TraesCS6D01G283300;TraesCS6D01G247400;TraesCS2D01G238600;TraesCS6A01G210200;TraesCS2B01G230200;TraesCS2D01G300400;TraesCS3A01G498300;TraesCS5B01G036800;TraesCS2A01G216100;TraesCS1B01G434400;TraesCS4B01G117800;TraesCS4A01G216200;TraesCS2B01G325100;TraesCS5B01G104800;TraesCS2D01G280900;TraesCS3B01G221400;TraesCS7B01G207300;TraesCS5D01G247600;TraesCS1A01G165700</t>
  </si>
  <si>
    <t>TraesCS3B01G385400;TraesCS3A01G212600;TraesCS7B01G352800;TraesCS1D01G396300;TraesCS1D01G226500;TraesCS4D01G194300;TraesCS1B01G343100;TraesCS1B01G326400;TraesCS1B01G049300;TraesCS3D01G065800;TraesCS3D01G323700;TraesCS3A01G330200;TraesCS1A01G315900;TraesCS1B01G304500;TraesCS1D01G277100;TraesCS3A01G099300;TraesCS3B01G209400;TraesCS5D01G359800;TraesCS3A01G097200;TraesCS4A01G058000;TraesCS1B01G377800;TraesCS6D01G398100;TraesCS1A01G388400;TraesCS2B01G198300;TraesCS4A01G178600;TraesCS3B01G426500;TraesCS4B01G152900;TraesCS3D01G507500;TraesCS3D01G150400;TraesCS7D01G442100;TraesCS1D01G316200;TraesCS3B01G112900;TraesCS4D01G246300;TraesCS1A01G278000;TraesCS3A01G134100;TraesCS2A01G171900;TraesCS7A01G323200;TraesCS4D01G133500;TraesCS4A01G227500;TraesCS6A01G203300;TraesCS2B01G401900;TraesCS4B01G193400;TraesCS2A01G431900;TraesCS6A01G203700;TraesCS2B01G321700;TraesCS2D01G303500;TraesCS5B01G335500;TraesCS6B01G112700;TraesCS1A01G027200;TraesCS2D01G565200;TraesCS4A01G110800;TraesCS4B01G244400;TraesCS5D01G141200;TraesCS1A01G130700;TraesCS5A01G336500;TraesCS6A01G188100;TraesCS2A01G022000;TraesCS4B01G246900;TraesCS2D01G022800;TraesCS3B01G564100;TraesCS5B01G263800;TraesCS1A01G172100;TraesCS1B01G293500;TraesCS1D01G178000;TraesCS2B01G154700;TraesCS6D01G149800;TraesCS2A01G132200;TraesCS2A01G239200;TraesCS2B01G257300;TraesCS2A01G103300;TraesCS5D01G341200;TraesCS6B01G304100;TraesCS1A01G284300;TraesCS4B01G138800;TraesCS7A01G452800;TraesCS4D01G085900;TraesCS1D01G314600;TraesCS6B01G189000;TraesCS4B01G088400;TraesCS3B01G309700;TraesCS3D01G482500;TraesCS7B01G117600</t>
  </si>
  <si>
    <t>TraesCS1D01G094400;TraesCS6A01G314100;TraesCS3A01G103900;TraesCS3D01G434800;TraesCS1D01G390500;TraesCS3A01G084400;TraesCS5D01G149900;TraesCS2B01G592500;TraesCS3A01G189400;TraesCS2A01G492300;TraesCS3D01G527700;TraesCS3D01G084300;TraesCS2D01G492600;TraesCS5B01G141000;TraesCS4B01G288200;TraesCS3A01G521600;TraesCS2D01G094400;TraesCS4B01G226100;TraesCS5B01G084600;TraesCS5D01G181600;TraesCS4A01G298700;TraesCS4D01G120900;TraesCS4D01G189600;TraesCS5D01G429200;TraesCS4A01G116000;TraesCS6B01G344100;TraesCS2B01G520500</t>
  </si>
  <si>
    <t>TraesCS3A01G151100;TraesCS1B01G255100;TraesCS3D01G426300;TraesCS5D01G067600;TraesCS5B01G132600;TraesCS4A01G290400;TraesCS1A01G195500;TraesCS2A01G193800;TraesCS1D01G199100;TraesCS2D01G194000;TraesCS2D01G238600;TraesCS6D01G122800;TraesCS4D01G021400;TraesCS4D01G348500;TraesCS7D01G373100;TraesCS6A01G269700;TraesCS2B01G297800;TraesCS5A01G056400;TraesCS7B01G278200;TraesCS3D01G083400;TraesCS2A01G280500;TraesCS6A01G133100;TraesCS2D01G279300;TraesCS3A01G082700;TraesCS4B01G023800;TraesCS5A01G132300;TraesCS7A01G376800</t>
  </si>
  <si>
    <t>TraesCS4B01G252400;TraesCS6D01G337500;TraesCS2D01G324900;TraesCS5B01G409400;TraesCS7A01G351100;TraesCS2A01G246200;TraesCS5A01G468600;TraesCS2A01G197900;TraesCS7D01G288700;TraesCS5D01G481500;TraesCS2B01G334800;TraesCS5D01G099800;TraesCS5A01G513500;TraesCS5B01G531900;TraesCS4B01G213600;TraesCS2B01G343900;TraesCS6B01G159200;TraesCS5D01G530200;TraesCS4D01G147100;TraesCS5D01G366500;TraesCS2A01G262700;TraesCS4A01G065400;TraesCS6A01G130900;TraesCS4D01G214300;TraesCS4D01G252700;TraesCS7A01G264300;TraesCS6A01G355300;TraesCS5B01G102600;TraesCS7D01G025000;TraesCS7D01G327700;TraesCS7B01G350400;TraesCS3D01G428300;TraesCS6D01G224200;TraesCS3B01G362100;TraesCS6B01G219700;TraesCS6B01G246600;TraesCS6A01G209800;TraesCS2D01G248600;TraesCS3D01G275600;TraesCS4A01G080100;TraesCS6A01G289200;TraesCS4B01G347000;TraesCS7D01G265200;TraesCS6D01G390000;TraesCS5D01G504600;TraesCS6A01G105400;TraesCS2B01G263300;TraesCS3D01G240800;TraesCS4D01G151500;TraesCS1B01G254000;TraesCS6A01G225200;TraesCS5A01G104800;TraesCS7A01G004000;TraesCSU01G093800;TraesCS3A01G435700;TraesCS5A01G093200;TraesCS6D01G162200;TraesCS7D01G004500;TraesCS1A01G001800;TraesCS2B01G404600;TraesCS4A01G120000;TraesCS6D01G298300;TraesCS6B01G256400;TraesCS7D01G407700;TraesCS2B01G304900;TraesCS4A01G091100;TraesCS3A01G023800;TraesCS4A01G194100;TraesCS4A01G494400;TraesCS4A01G167000;TraesCS4D01G341900;TraesCS7D01G439900;TraesCS6B01G282200;TraesCS6B01G450500;TraesCS3D01G325800;TraesCS4B01G242800;TraesCS3A01G275700;TraesCS3B01G268900;TraesCS3A01G332300;TraesCS4B01G263100;TraesCS6D01G094200;TraesCS2D01G383800;TraesCS2D01G205900;TraesCS6B01G238600;TraesCS2A01G387000;TraesCS4D01G339700;TraesCS1D01G003700;TraesCS1D01G242500;TraesCS4A01G042500;TraesCS3B01G309400;TraesCS6A01G336800;TraesCS7B01G162300;TraesCS6B01G134800;TraesCS2A01G338100;TraesCS3D01G271800;TraesCS6B01G319000;TraesCS5B01G099300;TraesCS7A01G450600;TraesCS3A01G272200;TraesCS2D01G249200;TraesCS4B01G164800;TraesCS4D01G263300;TraesCS4B01G344600;TraesCS5B01G503800;TraesCS3B01G257700;TraesCS3B01G306000;TraesCS5A01G357400;TraesCS5D01G105500;TraesCS3D01G268700;TraesCS1A01G111100;TraesCS5B01G136500;TraesCS4A01G051900;TraesCS4A01G144500;TraesCS5B01G509500;TraesCS5A01G515700;TraesCS6D01G210000;TraesCS6D01G174500;TraesCS2B01G225300;TraesCS4D01G039100;TraesCS6B01G331800;TraesCS3B01G470400;TraesCS5B01G036800;TraesCS4A01G342800;TraesCS6D01G193000;TraesCS4B01G041900;TraesCS5B01G481100;TraesCS6A01G319100;TraesCS7B01G421100;TraesCS4A01G078800;TraesCS3A01G268600;TraesCS3B01G303000;TraesCS7D01G499800;TraesCS4D01G242400;TraesCS3D01G224800;TraesCS6B01G388100</t>
  </si>
  <si>
    <t>TraesCS3A01G151100;TraesCS3D01G426300;TraesCS7A01G307000;TraesCS4B01G015600;TraesCS5B01G300100;TraesCS1A01G195500;TraesCS2A01G193800;TraesCS5A01G324200;TraesCS6D01G132500;TraesCS1D01G199100;TraesCS3D01G514100;TraesCS4D01G220700;TraesCS7D01G121200;TraesCS2D01G194000;TraesCS1D01G086600;TraesCS2D01G238600;TraesCS6A01G143300;TraesCS1B01G254000;TraesCS3A01G513500;TraesCS4D01G153900;TraesCS6D01G122800;TraesCS5B01G502700;TraesCS4A01G298100;TraesCS4B01G220400;TraesCS6B01G171600;TraesCS4D01G013900;TraesCS2B01G297800;TraesCS3D01G228800;TraesCS3D01G083400;TraesCS4B01G287200;TraesCS2A01G280500;TraesCS5B01G324800;TraesCS6A01G133100;TraesCS6D01G163700;TraesCS2D01G279300;TraesCS3A01G082700;TraesCS7D01G000100;TraesCS3A01G224800;TraesCS7B01G207300;TraesCS6D01G047400</t>
  </si>
  <si>
    <t>TraesCS2A01G261000;TraesCS2D01G399800;TraesCS4B01G191300;TraesCS7A01G466600;TraesCS1D01G264100;TraesCS6D01G337700;TraesCS1A01G264000;TraesCS1D01G092200;TraesCS1D01G226500;TraesCS2D01G397800;TraesCS3B01G423600;TraesCS5B01G339200;TraesCS1A01G254400;TraesCS1A01G086500;TraesCS1B01G274600;TraesCS2A01G467900;TraesCS5D01G504600;TraesCS7D01G454200;TraesCS3A01G091100;TraesCS5A01G020800;TraesCS3D01G091000;TraesCS2D01G262900;TraesCS4B01G091100;TraesCS1A01G100600;TraesCS1B01G110400</t>
  </si>
  <si>
    <t>regulation of growth</t>
  </si>
  <si>
    <t>TraesCS4B01G252400;TraesCS6D01G337500;TraesCS2D01G324900;TraesCS5B01G409400;TraesCS7A01G351100;TraesCS2A01G246200;TraesCS5A01G468600;TraesCS2A01G197900;TraesCS7D01G288700;TraesCS5D01G481500;TraesCS5D01G099800;TraesCS5A01G513500;TraesCS5B01G531900;TraesCS4B01G213600;TraesCS2B01G343900;TraesCS6B01G159200;TraesCS5D01G530200;TraesCS4D01G147100;TraesCS5D01G366500;TraesCS2A01G262700;TraesCS4A01G065400;TraesCS6A01G130900;TraesCS4D01G214300;TraesCS4D01G252700;TraesCS7A01G264300;TraesCS6A01G355300;TraesCS5B01G102600;TraesCS7D01G025000;TraesCS7D01G327700;TraesCS7B01G350400;TraesCS3D01G428300;TraesCS6D01G224200;TraesCS3B01G362100;TraesCS6B01G219700;TraesCS6B01G246600;TraesCS6A01G209800;TraesCS2D01G248600;TraesCS3D01G275600;TraesCS4A01G080100;TraesCS4B01G347000;TraesCS7D01G265200;TraesCS6D01G390000;TraesCS5D01G504600;TraesCS6A01G105400;TraesCS2B01G263300;TraesCS3D01G240800;TraesCS4D01G151500;TraesCS1B01G254000;TraesCS6A01G225200;TraesCS5A01G104800;TraesCS7A01G004000;TraesCSU01G093800;TraesCS3A01G435700;TraesCS5A01G093200;TraesCS6D01G162200;TraesCS7D01G004500;TraesCS1A01G001800;TraesCS2B01G404600;TraesCS4A01G120000;TraesCS6D01G298300;TraesCS6B01G256400;TraesCS7D01G407700;TraesCS2B01G304900;TraesCS4A01G091100;TraesCS3A01G023800;TraesCS4A01G194100;TraesCS4A01G494400;TraesCS4A01G167000;TraesCS4D01G341900;TraesCS7D01G439900;TraesCS6B01G282200;TraesCS6B01G450500;TraesCS3D01G325800;TraesCS4B01G242800;TraesCS3A01G275700;TraesCS3B01G268900;TraesCS3A01G332300;TraesCS4B01G263100;TraesCS6D01G094200;TraesCS2D01G383800;TraesCS2D01G205900;TraesCS6B01G238600;TraesCS2A01G387000;TraesCS4D01G339700;TraesCS1D01G003700;TraesCS1D01G242500;TraesCS4A01G042500;TraesCS3B01G309400;TraesCS6A01G336800;TraesCS7B01G162300;TraesCS6B01G134800;TraesCS2A01G338100;TraesCS3D01G271800;TraesCS5B01G099300;TraesCS7A01G450600;TraesCS3A01G272200;TraesCS2D01G249200;TraesCS4B01G164800;TraesCS4D01G263300;TraesCS4B01G344600;TraesCS5B01G503800;TraesCS3B01G257700;TraesCS3B01G306000;TraesCS5A01G357400;TraesCS5D01G105500;TraesCS3D01G268700;TraesCS1A01G111100;TraesCS5B01G136500;TraesCS4A01G051900;TraesCS4A01G144500;TraesCS5B01G509500;TraesCS5A01G515700;TraesCS6D01G210000;TraesCS6D01G174500;TraesCS2B01G225300;TraesCS4D01G039100;TraesCS6B01G331800;TraesCS3B01G470400;TraesCS5B01G036800;TraesCS4A01G342800;TraesCS6D01G193000;TraesCS4B01G041900;TraesCS5B01G481100;TraesCS6A01G319100;TraesCS7B01G421100;TraesCS4A01G078800;TraesCS3A01G268600;TraesCS3B01G303000;TraesCS7D01G499800;TraesCS4D01G242400;TraesCS3D01G224800;TraesCS6B01G388100</t>
  </si>
  <si>
    <t>TraesCS6B01G352400;TraesCS2D01G236100;TraesCS4B01G193400;TraesCS6D01G122800;TraesCS3A01G405300;TraesCS5D01G312400;TraesCS4D01G025700;TraesCS5A01G128300;TraesCS4A01G105500;TraesCS6A01G188100;TraesCS4D01G199300;TraesCS6B01G173500;TraesCS5B01G127300;TraesCS6A01G133100;TraesCS5B01G476900;TraesCS6A01G321600;TraesCS5D01G135900;TraesCS5A01G305400;TraesCS4A01G286700;TraesCS4B01G028100;TraesCS6D01G301300</t>
  </si>
  <si>
    <t>alcohol biosynthetic process</t>
  </si>
  <si>
    <t>TraesCS5B01G201700;TraesCS6D01G121300;TraesCS5D01G401900;TraesCS6D01G364400;TraesCS5B01G205700;TraesCS5D01G470400;TraesCS2A01G521400;TraesCS4D01G194300;TraesCS5D01G107900;TraesCS5B01G339200;TraesCS6B01G418400;TraesCS2B01G592500;TraesCS4D01G082700;TraesCS2A01G123800;TraesCS2B01G107200;TraesCS1B01G375300;TraesCS2A01G400900;TraesCS5A01G095200;TraesCS5A01G272400;TraesCS2A01G392900;TraesCS2A01G092400;TraesCS1D01G250700;TraesCS4A01G231200;TraesCS4A01G283700;TraesCS7D01G188300;TraesCS5D01G148100;TraesCS7A01G192000;TraesCS6B01G348700;TraesCS4B01G245400;TraesCS6B01G159800;TraesCSU01G142500;TraesCS3A01G251200;TraesCS1D01G376900;TraesCS7D01G107600;TraesCS3B01G324500;TraesCS5B01G396900;TraesCS5A01G264400;TraesCS4D01G244000;TraesCS5B01G255700;TraesCS5B01G037500;TraesCS7D01G193000;TraesCS2D01G126600;TraesCS1B01G261700;TraesCS3A01G103100;TraesCS1B01G368500;TraesCS5B01G142900;TraesCS5D01G044700;TraesCS4B01G084800;TraesCS4A01G110800;TraesCS1A01G358800;TraesCS4B01G244400;TraesCS2A01G102600;TraesCS4A01G078900;TraesCS5A01G036600;TraesCS1D01G356900;TraesCS3D01G289600;TraesCS2B01G145700;TraesCS6A01G379800;TraesCS1A01G195500;TraesCS2B01G185800;TraesCS1D01G117400;TraesCS6B01G104600;TraesCS1D01G199100;TraesCS5D01G504600;TraesCS5B01G101400;TraesCS5D01G280400;TraesCS2A01G159900;TraesCS7B01G097000;TraesCS5D01G230300;TraesCS4B01G383000;TraesCS4B01G180100;TraesCS2D01G398400;TraesCS7D01G409000;TraesCS5B01G097100;TraesCS6A01G077800;TraesCS5A01G222500;TraesCS5B01G320100;TraesCS5D01G157300;TraesCS5D01G459800;TraesCS5A01G143800;TraesCS4B01G029400;TraesCS5A01G392000;TraesCS5A01G472100;TraesCS5D01G396300;TraesCS7B01G092500</t>
  </si>
  <si>
    <t>cell wall organization or biogenesis</t>
  </si>
  <si>
    <t>TraesCS5D01G420300;TraesCS2B01G174700;TraesCS6A01G379000;TraesCS5B01G415100;TraesCS1D01G331000;TraesCS5B01G171400;TraesCS1B01G049300;TraesCS1B01G293500;TraesCS5A01G490500;TraesCS4D01G318200;TraesCS3A01G393400;TraesCS5D01G171100;TraesCS2A01G455300;TraesCS1A01G284300;TraesCS2B01G477400;TraesCS5B01G378700;TraesCS1B01G365600;TraesCS5A01G411500;TraesCS4B01G109700;TraesCS4B01G321500;TraesCS5A01G166800;TraesCS5D01G459800;TraesCS2B01G247100;TraesCS2A01G149600;TraesCS5A01G472100</t>
  </si>
  <si>
    <t>post-embryonic plant organ morphogenesis</t>
  </si>
  <si>
    <t>TraesCS3B01G425900;TraesCS3D01G256700;TraesCS2D01G380900;TraesCS5B01G147600;TraesCS3D01G304800;TraesCS5A01G149000;TraesCS5D01G143800;TraesCS2D01G238700;TraesCS1B01G462200</t>
  </si>
  <si>
    <t>plastid chromosome</t>
  </si>
  <si>
    <t>cytoplasmic chromosome</t>
  </si>
  <si>
    <t>TraesCS7A01G466600;TraesCS5D01G124800;TraesCS1D01G107300;TraesCS4A01G257800;TraesCS7D01G288700;TraesCS4D01G115600;TraesCS2D01G383800;TraesCS2B01G221800;TraesCS2D01G118000;TraesCS5A01G114600;TraesCS6B01G238600;TraesCS6D01G130500;TraesCS6A01G070700;TraesCS2A01G387000;TraesCS5A01G416400;TraesCS6B01G169300;TraesCS6B01G159200;TraesCS5B01G418700;TraesCS6A01G130900;TraesCS4B01G056700;TraesCS4B01G117900;TraesCS3D01G326900;TraesCS5B01G450400;TraesCS3A01G220000;TraesCS1A01G116000;TraesCS4D01G057000;TraesCS2A01G185500;TraesCS1A01G350200;TraesCS5A01G445100;TraesCS6A01G192800;TraesCS6A01G209800;TraesCS4D01G115500;TraesCS5B01G509500;TraesCS1A01G258800;TraesCS1D01G258800;TraesCS2A01G488400;TraesCS2A01G444100;TraesCS4A01G197700;TraesCS7D01G454200;TraesCS1A01G099400;TraesCS6D01G193000;TraesCS4A01G197600;TraesCS3B01G363500;TraesCS2D01G488700;TraesCS1D01G353100;TraesCS2B01G404600;TraesCS4B01G117800;TraesCS2D01G202200;TraesCS1B01G269400;TraesCS7D01G000100</t>
  </si>
  <si>
    <t>TraesCS3D01G426300;TraesCS5D01G420300;TraesCS3A01G367000;TraesCS7D01G283600;TraesCS3B01G046100;TraesCS6A01G290600;TraesCS1A01G206900;TraesCS3D01G041900;TraesCS1D01G210200;TraesCS2D01G194000;TraesCS1D01G086600;TraesCS1B01G220700;TraesCS6A01G143300;TraesCS6D01G122800;TraesCS5B01G084600;TraesCS4B01G150600;TraesCS4D01G157500;TraesCS3B01G185300;TraesCS4D01G135000;TraesCS5A01G411500;TraesCS3D01G083400;TraesCS2A01G280500;TraesCS5B01G324800;TraesCS6A01G133100;TraesCS2D01G279300;TraesCS6A01G267300;TraesCS5A01G096100;TraesCS7B01G113100;TraesCS3A01G484800;TraesCS3A01G224800;TraesCS5B01G102000;TraesCS4A01G286700;TraesCS3A01G151100;TraesCS4B01G193400;TraesCS5B01G415100;TraesCS5B01G155100;TraesCS1D01G390500;TraesCS4A01G165600;TraesCS4B01G204500;TraesCS1A01G195500;TraesCS2A01G193800;TraesCS5A01G324200;TraesCS5B01G476900;TraesCS5D01G026000;TraesCS6D01G132500;TraesCS7A01G314100;TraesCS1D01G199100;TraesCS4D01G159800;TraesCS6D01G283300;TraesCS2D01G238600;TraesCS4B01G028100;TraesCS5B01G036800;TraesCS4D01G025700;TraesCS5D01G108700;TraesCS6B01G171600;TraesCS2B01G297800;TraesCS3D01G228800;TraesCS6A01G303800;TraesCS6B01G173500;TraesCS1D01G198700;TraesCS3A01G082700;TraesCS2D01G549100;TraesCS3A01G191700</t>
  </si>
  <si>
    <t>TraesCS5B01G201700;TraesCS6D01G121300;TraesCS5D01G401900;TraesCS6D01G364400;TraesCS5D01G470400;TraesCS2A01G521400;TraesCS5D01G107900;TraesCS5B01G339200;TraesCS6B01G418400;TraesCS5B01G501200;TraesCS2B01G592500;TraesCS4D01G082700;TraesCS2A01G123800;TraesCS2A01G400900;TraesCS5A01G095200;TraesCS4A01G231200;TraesCS4A01G283700;TraesCS7D01G188300;TraesCS5D01G148100;TraesCS7A01G192000;TraesCS6B01G348700;TraesCS6B01G159800;TraesCSU01G142500;TraesCS1D01G376900;TraesCS3B01G324500;TraesCS5B01G396900;TraesCS5A01G264400;TraesCS5B01G255700;TraesCS7D01G193000;TraesCS2D01G126600;TraesCS1B01G368500;TraesCS5B01G142900;TraesCS4B01G084800;TraesCS2A01G102600;TraesCS1D01G356900;TraesCS2B01G145700;TraesCS6A01G379800;TraesCS1A01G195500;TraesCS2B01G185800;TraesCS1D01G117400;TraesCS6B01G104600;TraesCS1D01G199100;TraesCS5D01G504600;TraesCS5B01G101400;TraesCS2A01G159900;TraesCS7B01G097000;TraesCS5D01G230300;TraesCS4B01G383000;TraesCS2D01G398400;TraesCS7D01G409000;TraesCS5B01G097100;TraesCS6A01G077800;TraesCS5A01G222500;TraesCS5B01G320100;TraesCS5D01G459800;TraesCS5A01G143800;TraesCS4B01G029400;TraesCS5A01G392000;TraesCS5A01G472100;TraesCS7B01G092500</t>
  </si>
  <si>
    <t>external encapsulating structure organization</t>
  </si>
  <si>
    <t>TraesCS4B01G252400;TraesCS6D01G337500;TraesCS2D01G324900;TraesCS5B01G409400;TraesCS7A01G351100;TraesCS2A01G246200;TraesCS5A01G468600;TraesCS2A01G197900;TraesCS7D01G288700;TraesCS5D01G481500;TraesCS1D01G101200;TraesCS2B01G334800;TraesCS5D01G099800;TraesCS5A01G513500;TraesCS5B01G531900;TraesCS4B01G213600;TraesCS2B01G343900;TraesCS6B01G159200;TraesCS5D01G530200;TraesCS4D01G147100;TraesCS5D01G366500;TraesCS2A01G262700;TraesCS4A01G065400;TraesCS6A01G130900;TraesCS4D01G214300;TraesCS4D01G252700;TraesCS7A01G264300;TraesCS6A01G355300;TraesCS5B01G102600;TraesCS1A01G092700;TraesCS7D01G025000;TraesCS7D01G327700;TraesCS7B01G350400;TraesCS3D01G428300;TraesCS6D01G224200;TraesCS3B01G362100;TraesCS3D01G495100;TraesCS6B01G219700;TraesCS6B01G246600;TraesCS4D01G068100;TraesCS6A01G209800;TraesCS2D01G248600;TraesCS3D01G275600;TraesCS4A01G080100;TraesCS6A01G289200;TraesCS4B01G347000;TraesCS7D01G265200;TraesCS6D01G390000;TraesCS5D01G504600;TraesCS6A01G105400;TraesCS2B01G263300;TraesCS3D01G240800;TraesCS4D01G151500;TraesCS1B01G254000;TraesCS6A01G225200;TraesCS5A01G104800;TraesCS7A01G004000;TraesCSU01G093800;TraesCS3A01G435700;TraesCS5A01G093200;TraesCS6D01G162200;TraesCS7D01G004500;TraesCS1A01G001800;TraesCS2B01G404600;TraesCS4A01G120000;TraesCS6D01G298300;TraesCS6B01G256400;TraesCS7D01G407700;TraesCS2B01G304900;TraesCS2A01G187700;TraesCS4A01G091100;TraesCS3A01G023800;TraesCS4A01G194100;TraesCS4A01G494400;TraesCS4A01G167000;TraesCS4D01G341900;TraesCS7D01G439900;TraesCS6B01G282200;TraesCS6B01G450500;TraesCS3D01G325800;TraesCS4B01G242800;TraesCS3A01G275700;TraesCS3B01G268900;TraesCS3A01G332300;TraesCS4B01G263100;TraesCS6D01G094200;TraesCS2D01G383800;TraesCS2D01G205900;TraesCS6B01G238600;TraesCS2A01G387000;TraesCS4D01G339700;TraesCS1D01G003700;TraesCS1D01G242500;TraesCS4A01G042500;TraesCS3B01G309400;TraesCS6A01G336800;TraesCS7B01G162300;TraesCS5B01G084600;TraesCS6B01G134800;TraesCS2A01G338100;TraesCS3D01G271800;TraesCS6B01G319000;TraesCS5B01G099300;TraesCS7A01G450600;TraesCS3A01G272200;TraesCS2D01G249200;TraesCS4B01G164800;TraesCS4D01G263300;TraesCS4B01G344600;TraesCS5B01G503800;TraesCS3B01G257700;TraesCS3B01G306000;TraesCS5A01G357400;TraesCS5D01G105500;TraesCS3D01G268700;TraesCS1A01G111100;TraesCS1D01G390500;TraesCS5B01G136500;TraesCS4A01G051900;TraesCS4A01G144500;TraesCS5B01G509500;TraesCS5A01G515700;TraesCS6A01G070600;TraesCS6D01G210000;TraesCS6D01G174500;TraesCS2B01G225300;TraesCS4D01G039100;TraesCS6B01G331800;TraesCS3B01G470400;TraesCS5B01G036800;TraesCS4A01G342800;TraesCS6D01G193000;TraesCS4B01G041900;TraesCS5B01G481100;TraesCS6A01G319100;TraesCS7B01G421100;TraesCS4A01G078800;TraesCS3A01G268600;TraesCS3B01G303000;TraesCS7D01G499800;TraesCS4D01G242400;TraesCS3D01G224800;TraesCS4A01G246100;TraesCS6B01G388100</t>
  </si>
  <si>
    <t>TraesCS4A01G101500;TraesCS4D01G204000;TraesCS2A01G215000;TraesCS2D01G220800;TraesCS4D01G175600;TraesCS7A01G504900;TraesCS7B01G142700;TraesCS5D01G474200;TraesCS4B01G203100;TraesCS2D01G248400;TraesCS2B01G270300;TraesCS4A01G310600;TraesCS2B01G240000;TraesCS2B01G267500;TraesCS2A01G247300;TraesCS2A01G254600;TraesCS7D01G000100;TraesCS4D01G003600;TraesCS7A01G448800;TraesCS2D01G255100</t>
  </si>
  <si>
    <t>TraesCS3A01G151100;TraesCS3D01G426300;TraesCS7D01G227300;TraesCS7B01G186500;TraesCS7D01G292000;TraesCS5B01G155200;TraesCS6B01G454500;TraesCS3A01G212000;TraesCS2B01G122500;TraesCS1A01G254400;TraesCS2D01G362700;TraesCS5D01G162400;TraesCS5B01G476900;TraesCS4A01G226900;TraesCS3D01G273800;TraesCS1D01G086600;TraesCS6D01G147700;TraesCS2B01G528300;TraesCS4A01G120000;TraesCS7D01G280600;TraesCS4D01G135000;TraesCS5A01G157000;TraesCS5D01G429200;TraesCS6A01G408400;TraesCS7D01G000100;TraesCS6A01G163500;TraesCS3A01G310200;TraesCS7A01G294200;TraesCS2D01G105300</t>
  </si>
  <si>
    <t>response to carbohydrate</t>
  </si>
  <si>
    <t>TraesCS3A01G151100;TraesCS2B01G528300;TraesCS6A01G146500;TraesCS3A01G100000;TraesCS4D01G153900;TraesCS7D01G227300;TraesCS2A01G517500;TraesCS1A01G180200;TraesCS1D01G396300;TraesCS5B01G155200;TraesCS6B01G454500;TraesCS3A01G212000;TraesCS2A01G309600;TraesCS7D01G280600;TraesCS1A01G254400;TraesCS4D01G135000;TraesCS5A01G157000;TraesCS7D01G407700;TraesCS5D01G162400;TraesCS4A01G226900;TraesCS6A01G408400;TraesCS6D01G135800;TraesCS1B01G200300</t>
  </si>
  <si>
    <t>regulation of ion transport</t>
  </si>
  <si>
    <t>TraesCS3D01G264800;TraesCS5D01G013100;TraesCS3A01G212600;TraesCS6D01G173700;TraesCS3B01G442200;TraesCS3A01G184800;TraesCS7B01G052900;TraesCS1B01G171600;TraesCS2A01G521400;TraesCS1A01G260500;TraesCS1D01G260500;TraesCS5B01G171400;TraesCS3B01G291000;TraesCS3D01G285100;TraesCS2D01G362700;TraesCS2D01G523100;TraesCS6A01G268600;TraesCS3B01G214600;TraesCS5A01G548800;TraesCS4A01G134800;TraesCS6B01G295700;TraesCS4A01G367700;TraesCS4A01G178600;TraesCS5D01G505700;TraesCS4D01G172400;TraesCS7D01G377200;TraesCS3B01G426500;TraesCS5A01G467500;TraesCS3B01G161900;TraesCS2D01G229600;TraesCS3B01G242700;TraesCS2B01G273900;TraesCS6A01G234000;TraesCS1B01G271100;TraesCS4D01G133500;TraesCS5B01G479200;TraesCS2A01G223600;TraesCS3B01G299100;TraesCS3A01G264700;TraesCS4B01G170400;TraesCS2B01G321700;TraesCS2D01G303500;TraesCS5D01G141200;TraesCS6A01G312100;TraesCS2D01G242100;TraesCS2B01G454000;TraesCS4D01G079200;TraesCS1D01G151800;TraesCS6B01G262800;TraesCS6D01G216300;TraesCS6D01G283300;TraesCS2A01G103300;TraesCS5B01G504900;TraesCS6B01G304100;TraesCS5A01G387700;TraesCS3B01G607600;TraesCS5D01G087800;TraesCS4D01G359000;TraesCS4B01G138800;TraesCS7A01G239700;TraesCS6A01G303800;TraesCS5D01G480300;TraesCS6B01G342300;TraesCS7A01G149200;TraesCS4A01G005000;TraesCS4B01G151200;TraesCS6A01G186800;TraesCS4D01G292300;TraesCS6D01G246300;TraesCS3D01G188800</t>
  </si>
  <si>
    <t>TraesCS3A01G210000;TraesCS2B01G340300;TraesCS7B01G006600;TraesCS7B01G186500;TraesCS5B01G228900;TraesCS3A01G052700;TraesCS5D01G237400;TraesCS2A01G150000;TraesCS2A01G444600;TraesCS2B01G454000;TraesCS3D01G436100;TraesCS4D01G079200;TraesCS5A01G324200;TraesCS3A01G443700;TraesCS2A01G557600;TraesCS5B01G256400;TraesCS6D01G287300;TraesCS6A01G308100;TraesCS5B01G227900;TraesCS5A01G230400;TraesCS2B01G087600;TraesCS2B01G312600;TraesCS1D01G030500;TraesCS2D01G422000;TraesCS2A01G342600;TraesCS2B01G272300;TraesCS4D01G025300;TraesCS7D01G339600;TraesCS2A01G252600;TraesCS5B01G324800;TraesCS4A01G093100;TraesCS7A01G294200;TraesCS2A01G296400;TraesCS2A01G424200</t>
  </si>
  <si>
    <t>TraesCS3D01G264800;TraesCS5D01G013100;TraesCS6D01G121300;TraesCS2A01G286500;TraesCS4D01G194300;TraesCS1B01G290800;TraesCS1D01G280900;TraesCS5A01G092400;TraesCS5D01G219500;TraesCS1D01G149900;TraesCS5A01G108000;TraesCS1D01G313800;TraesCS2B01G303300;TraesCS6D01G212000;TraesCS2A01G222600;TraesCS3D01G237100;TraesCS2D01G014800;TraesCS7D01G083200;TraesCS2B01G528300;TraesCS5A01G014400;TraesCS1A01G355200;TraesCS4D01G107400;TraesCS6B01G159800;TraesCS7B01G104400;TraesCS5A01G467500;TraesCS7D01G228500;TraesCS1B01G478800;TraesCS2D01G229600;TraesCS2B01G273900;TraesCS1B01G325100;TraesCS5B01G324800;TraesCS6A01G158300;TraesCS2D01G233900;TraesCS2B01G004000;TraesCS7A01G088100;TraesCS2A01G223600;TraesCS5A01G004200;TraesCS1B01G366400;TraesCS4A01G387000;TraesCS3A01G264700;TraesCS4A01G364400;TraesCS7D01G200800;TraesCS4A01G110800;TraesCS6D01G259500;TraesCS1D01G155800;TraesCS4A01G276300;TraesCS6B01G307200;TraesCS1D01G331000;TraesCS4A01G164900;TraesCS2D01G242100;TraesCS4B01G204500;TraesCS5A01G324200;TraesCS6B01G257900;TraesCS5B01G509100;TraesCS7B01G124100;TraesCS1A01G313300;TraesCS6D01G283300;TraesCS2B01G248100;TraesCS4A01G247300;TraesCS4A01G124000;TraesCS5A01G014500;TraesCS1A01G158500;TraesCS4A01G206400;TraesCS4A01G013500;TraesCS6A01G279100;TraesCS7A01G226000;TraesCS1A01G281700;TraesCS4B01G109900;TraesCS6A01G303800;TraesCS4A01G005000;TraesCS3A01G276100;TraesCS3B01G309700;TraesCS5A01G212500;TraesCS2B01G207000</t>
  </si>
  <si>
    <t>TraesCS4B01G252400;TraesCS6D01G337500;TraesCS2D01G324900;TraesCS5B01G409400;TraesCS7A01G351100;TraesCS2A01G246200;TraesCS5A01G468600;TraesCS2A01G197900;TraesCS7D01G288700;TraesCS5D01G481500;TraesCS1D01G101200;TraesCS5D01G099800;TraesCS5A01G513500;TraesCS5B01G531900;TraesCS4B01G213600;TraesCS2B01G343900;TraesCS6B01G159200;TraesCS5D01G530200;TraesCS4D01G147100;TraesCS5D01G366500;TraesCS2A01G262700;TraesCS4A01G065400;TraesCS6A01G130900;TraesCS4D01G214300;TraesCS4D01G252700;TraesCS7A01G264300;TraesCS6A01G355300;TraesCS5B01G102600;TraesCS1A01G092700;TraesCS7D01G025000;TraesCS7D01G327700;TraesCS7B01G350400;TraesCS3D01G428300;TraesCS6D01G224200;TraesCS3B01G362100;TraesCS6B01G219700;TraesCS6B01G246600;TraesCS6A01G209800;TraesCS2D01G248600;TraesCS3D01G275600;TraesCS4A01G080100;TraesCS4B01G347000;TraesCS7D01G265200;TraesCS6D01G390000;TraesCS5D01G504600;TraesCS6A01G105400;TraesCS2B01G263300;TraesCS3D01G240800;TraesCS4D01G151500;TraesCS1B01G254000;TraesCS6A01G225200;TraesCS5A01G104800;TraesCS7A01G004000;TraesCSU01G093800;TraesCS3A01G435700;TraesCS5A01G093200;TraesCS6D01G162200;TraesCS7D01G004500;TraesCS1A01G001800;TraesCS2B01G404600;TraesCS4A01G120000;TraesCS6D01G298300;TraesCS6B01G256400;TraesCS7D01G407700;TraesCS2B01G304900;TraesCS2A01G187700;TraesCS4A01G091100;TraesCS3A01G023800;TraesCS4A01G194100;TraesCS4A01G494400;TraesCS4A01G167000;TraesCS4D01G341900;TraesCS7D01G439900;TraesCS6B01G282200;TraesCS6B01G450500;TraesCS3D01G325800;TraesCS4B01G242800;TraesCS3A01G275700;TraesCS3B01G268900;TraesCS3A01G332300;TraesCS4B01G263100;TraesCS6D01G094200;TraesCS2D01G383800;TraesCS2D01G205900;TraesCS6B01G238600;TraesCS2A01G387000;TraesCS4D01G339700;TraesCS1D01G003700;TraesCS1D01G242500;TraesCS4A01G042500;TraesCS3B01G309400;TraesCS6A01G336800;TraesCS7B01G162300;TraesCS5B01G084600;TraesCS6B01G134800;TraesCS2A01G338100;TraesCS3D01G271800;TraesCS5B01G099300;TraesCS7A01G450600;TraesCS3A01G272200;TraesCS2D01G249200;TraesCS4B01G164800;TraesCS4D01G263300;TraesCS4B01G344600;TraesCS5B01G503800;TraesCS3B01G257700;TraesCS3B01G306000;TraesCS5A01G357400;TraesCS5D01G105500;TraesCS3D01G268700;TraesCS1A01G111100;TraesCS1D01G390500;TraesCS5B01G136500;TraesCS4A01G051900;TraesCS4A01G144500;TraesCS5B01G509500;TraesCS5A01G515700;TraesCS6A01G070600;TraesCS6D01G210000;TraesCS6D01G174500;TraesCS2B01G225300;TraesCS4D01G039100;TraesCS6B01G331800;TraesCS3B01G470400;TraesCS5B01G036800;TraesCS4A01G342800;TraesCS6D01G193000;TraesCS4B01G041900;TraesCS5B01G481100;TraesCS6A01G319100;TraesCS7B01G421100;TraesCS4A01G078800;TraesCS3A01G268600;TraesCS3B01G303000;TraesCS7D01G499800;TraesCS4D01G242400;TraesCS3D01G224800;TraesCS6B01G388100</t>
  </si>
  <si>
    <t>TraesCS3A01G151100;TraesCS3D01G426300;TraesCS6D01G122800;TraesCS3B01G185300;TraesCS2B01G297800;TraesCS1A01G195500;TraesCS2A01G193800;TraesCS3D01G083400;TraesCS2A01G280500;TraesCS6A01G133100;TraesCS2D01G279300;TraesCS3A01G082700;TraesCS1D01G199100;TraesCS2D01G194000;TraesCS2D01G238600</t>
  </si>
  <si>
    <t>jasmonic acid biosynthetic process</t>
  </si>
  <si>
    <t>TraesCS3A01G151100;TraesCS3D01G426300;TraesCS6A01G312200;TraesCS3D01G495100;TraesCS1A01G195500;TraesCS3D01G250600;TraesCS2A01G193800;TraesCS3A01G250200;TraesCS5A01G324200;TraesCS2D01G467900;TraesCSU01G047800;TraesCS1D01G199100;TraesCS2D01G194000;TraesCS1D01G086600;TraesCS2A01G467900;TraesCS2D01G238600;TraesCS3B01G279700;TraesCS6D01G147700;TraesCS6D01G122800;TraesCS2B01G297800;TraesCS6D01G291600;TraesCS3D01G228800;TraesCS3D01G083400;TraesCS6B01G342400;TraesCS2A01G280500;TraesCS5B01G324800;TraesCS6A01G133100;TraesCS6D01G163700;TraesCS2D01G279300;TraesCS3A01G082700;TraesCS6A01G163500;TraesCS3A01G224800</t>
  </si>
  <si>
    <t>TraesCS3A01G200400;TraesCS5B01G094600;TraesCS1D01G264100;TraesCS1A01G264000;TraesCS6A01G360600;TraesCS3D01G203400;TraesCS6B01G393500;TraesCS6D01G344100;TraesCS1A01G299500</t>
  </si>
  <si>
    <t>THO complex</t>
  </si>
  <si>
    <t>TraesCS5B01G227900;TraesCS6D01G299200;TraesCS7D01G227300;TraesCS2B01G312600;TraesCS5A01G213000;TraesCS6A01G319700;TraesCS2A01G296400</t>
  </si>
  <si>
    <t>photosynthesis, light harvesting in photosystem I</t>
  </si>
  <si>
    <t>TraesCS6A01G312200;TraesCS2A01G215000;TraesCS2A01G234200;TraesCS7A01G504900;TraesCS7B01G142700;TraesCS3A01G478100;TraesCS5D01G474200;TraesCS2D01G248400;TraesCS4A01G310600;TraesCS2B01G240000;TraesCS2B01G267500;TraesCS2A01G247300;TraesCS4B01G286700;TraesCS2D01G148200;TraesCS2D01G255100;TraesCS6D01G147700;TraesCS6D01G357100;TraesCS4A01G101500;TraesCS4D01G204000;TraesCS2D01G220800;TraesCS4B01G203100;TraesCS2B01G270300;TraesCS6D01G291600;TraesCS7D01G130500;TraesCS6B01G342400;TraesCS2A01G254600;TraesCS2D01G233900;TraesCS6A01G163500;TraesCS4D01G003600</t>
  </si>
  <si>
    <t>TraesCS5D01G044700;TraesCS1A01G180200;TraesCS1D01G409700;TraesCS5D01G472300;TraesCS4B01G276500;TraesCS2D01G208300;TraesCS1A01G324800;TraesCS5A01G036600;TraesCS1B01G049300;TraesCS2B01G592500;TraesCS2D01G362700;TraesCS5A01G460600;TraesCS4B01G109700;TraesCS6B01G151900;TraesCS3A01G295400;TraesCS2B01G098800;TraesCS2B01G247100;TraesCS5B01G037500;TraesCS2B01G227800;TraesCS1B01G200300;TraesCS2A01G200500;TraesCS4A01G138800;TraesCS1B01G337800;TraesCS1D01G325500</t>
  </si>
  <si>
    <t>posttranscriptional gene silencing by RNA</t>
  </si>
  <si>
    <t>TraesCS3A01G151100;TraesCS2B01G528300;TraesCS6A01G146500;TraesCS3A01G100000;TraesCS4D01G153900;TraesCS7D01G227300;TraesCS2A01G517500;TraesCS1A01G180200;TraesCS1D01G396300;TraesCS5B01G155200;TraesCS6B01G454500;TraesCS3A01G212000;TraesCS2A01G309600;TraesCS4A01G164900;TraesCS7D01G280600;TraesCS1A01G254400;TraesCS4D01G135000;TraesCS5A01G157000;TraesCS7D01G407700;TraesCS5D01G162400;TraesCS4A01G226900;TraesCS6A01G408400;TraesCS6D01G135800;TraesCS1B01G200300</t>
  </si>
  <si>
    <t>regulation of transport</t>
  </si>
  <si>
    <t>TraesCS3D01G426300;TraesCS7A01G223300;TraesCS2A01G246600;TraesCS5B01G249000;TraesCS6D01G165800;TraesCS3B01G222700;TraesCS5B01G239200;TraesCS5A01G106900;TraesCS4B01G288200;TraesCS2D01G014800;TraesCS1B01G197100;TraesCS7B01G240200;TraesCS7D01G083900;TraesCS3B01G185300;TraesCS4B01G117900;TraesCS4D01G135000;TraesCS5B01G171200;TraesCS2B01G004000;TraesCS7B01G117700;TraesCS3A01G151100;TraesCS3A01G075700;TraesCS7A01G307000;TraesCS4D01G292900;TraesCS4B01G204500;TraesCS4B01G397700;TraesCS3A01G192400;TraesCS4A01G197700;TraesCS6A01G105400;TraesCS1B01G254000;TraesCS3A01G513500;TraesCS5A01G251000;TraesCS3A01G530100;TraesCS4A01G197600;TraesCS1D01G412600;TraesCS4B01G373400;TraesCS3D01G196700;TraesCS6A01G303800;TraesCS5D01G178300;TraesCS3B01G221200;TraesCS3A01G310200;TraesCS1B01G447500;TraesCS1B01G462200;TraesCS6B01G239000;TraesCS3D01G075800;TraesCSU01G058200;TraesCS5D01G258900;TraesCS4A01G194100;TraesCS5A01G489100;TraesCS3A01G367000;TraesCS4A01G167000;TraesCS5B01G300100;TraesCS1B01G383200;TraesCS7D01G283600;TraesCS4D01G234800;TraesCS6A01G373200;TraesCS1A01G365600;TraesCS2D01G389900;TraesCS4D01G115600;TraesCS4A01G077600;TraesCS6D01G094200;TraesCS6A01G082800;TraesCS4D01G096200;TraesCS7D01G119700;TraesCS3D01G341200;TraesCS7B01G020100;TraesCS3A01G158500;TraesCS5A01G173800;TraesCS3A01G530000;TraesCS6B01G134800;TraesCS3D01G271800;TraesCS7D01G224900;TraesCS3B01G180600;TraesCS1B01G212500;TraesCS3A01G272200;TraesCS6A01G267300;TraesCS4B01G164800;TraesCS3A01G339900;TraesCS1A01G259700;TraesCS7A01G342800;TraesCS4D01G115500;TraesCS2B01G410100;TraesCS6D01G283300;TraesCS2D01G238600;TraesCS6A01G210200;TraesCS2D01G300400;TraesCS3A01G498300;TraesCS5B01G036800;TraesCS2A01G216100;TraesCS1B01G434400;TraesCS4B01G117800;TraesCS4A01G216200;TraesCS2B01G325100;TraesCS5B01G104800;TraesCS2D01G280900;TraesCS3B01G221400;TraesCS7B01G207300;TraesCS5D01G247600;TraesCS1A01G165700</t>
  </si>
  <si>
    <t>TraesCS7A01G466600;TraesCS3D01G426300;TraesCS6D01G121300;TraesCS3A01G457400;TraesCS1D01G226500;TraesCS3A01G478100;TraesCS1D01G401900;TraesCS5D01G219500;TraesCS3A01G334800;TraesCS5A01G108000;TraesCS3A01G250200;TraesCS3D01G229800;TraesCS4A01G163000;TraesCS4B01G286700;TraesCS2B01G334800;TraesCS5A01G272400;TraesCS5D01G099800;TraesCS3D01G391900;TraesCS1A01G218000;TraesCS1B01G377800;TraesCS2A01G058700;TraesCS6A01G118200;TraesCS1D01G219700;TraesCS2B01G528300;TraesCS2A01G409700;TraesCS5A01G192000;TraesCS6D01G122800;TraesCS5A01G014400;TraesCS2D01G394900;TraesCS4B01G152900;TraesCS1A01G355200;TraesCS3B01G185300;TraesCS3D01G150400;TraesCS4D01G212000;TraesCS7B01G104400;TraesCS7D01G228500;TraesCS4B01G354600;TraesCS2B01G031800;TraesCS1B01G325100;TraesCS6B01G342400;TraesCS2A01G280500;TraesCS5B01G324800;TraesCS6A01G133100;TraesCS2D01G233900;TraesCS3A01G134100;TraesCS7A01G088100;TraesCS7D01G549100;TraesCS5B01G146700;TraesCS3A01G151100;TraesCS1B01G368500;TraesCS3A01G478800;TraesCS3A01G159900;TraesCS3D01G495100;TraesCS2A01G022000;TraesCS2A01G193800;TraesCS2B01G428100;TraesCS7D01G454200;TraesCS3A01G393400;TraesCS5A01G014500;TraesCS2B01G257300;TraesCS2B01G070700;TraesCS1B01G344300;TraesCS2B01G297800;TraesCS5D01G144600;TraesCS3D01G228800;TraesCS4A01G307900;TraesCS7A01G560200;TraesCS3A01G398000;TraesCS3D01G146800;TraesCS5B01G284100;TraesCS5D01G459800;TraesCS3D01G328100;TraesCS1B01G110400;TraesCS3B01G309700;TraesCS5A01G212500;TraesCS4A01G355100;TraesCS4A01G248200;TraesCS6D01G179700;TraesCS6A01G312200;TraesCS2A01G215100;TraesCS1D01G396300;TraesCS1D01G092200;TraesCS4D01G194300;TraesCS2A01G123800;TraesCS3D01G250600;TraesCS1D01G313800;TraesCS2A01G222600;TraesCS2D01G194000;TraesCS1D01G086600;TraesCS3A01G223700;TraesCS1D01G250700;TraesCS7D01G083200;TraesCS4A01G178800;TraesCS1B01G422200;TraesCS1D01G003700;TraesCS3D01G341200;TraesCS4D01G107400;TraesCS6B01G159800;TraesCS2B01G602100;TraesCS4B01G069200;TraesCS6D01G291600;TraesCS2B01G222600;TraesCS3D01G083400;TraesCS6D01G163700;TraesCS2D01G279300;TraesCS6A01G158300;TraesCS5B01G387600;TraesCS2D01G202900;TraesCS4D01G133700;TraesCS4D01G208900;TraesCS2D01G057900;TraesCS3A01G224800;TraesCS3B01G410400;TraesCS2D01G126600;TraesCS1B01G261700;TraesCS1B01G366400;TraesCS4A01G387000;TraesCS6A01G192600;TraesCS7D01G200800;TraesCS4A01G110800;TraesCS6D01G259500;TraesCS6B01G307200;TraesCS2D01G246100;TraesCS1D01G356900;TraesCS4A01G164900;TraesCS2B01G145700;TraesCS2D01G022800;TraesCS1A01G195500;TraesCS4D01G165800;TraesCS3B01G430000;TraesCS5A01G324200;TraesCS2D01G467900;TraesCS7B01G124100;TraesCS1A01G313300;TraesCSU01G047800;TraesCS1D01G199100;TraesCS2B01G248100;TraesCS2A01G467900;TraesCS2D01G238600;TraesCS5D01G208300;TraesCS2B01G240100;TraesCS4A01G247300;TraesCS5D01G280400;TraesCS3B01G279700;TraesCS6D01G147700;TraesCS5B01G036800;TraesCS2A01G239200;TraesCS4A01G206400;TraesCS6B01G161800;TraesCS2D01G407000;TraesCS5A01G020800;TraesCS3A01G028600;TraesCS3B01G497300;TraesCS6A01G279100;TraesCS4D01G065600;TraesCS4B01G131800;TraesCS7A01G226000;TraesCS2D01G023900;TraesCS4B01G109900;TraesCS1A01G100600;TraesCS3A01G082700;TraesCS3A01G276100;TraesCS6A01G163500;TraesCS4A01G093100;TraesCS5B01G517400</t>
  </si>
  <si>
    <t>TraesCS4A01G111000;TraesCS2A01G123800;TraesCS7B01G177700;TraesCS1A01G110900;TraesCS2B01G491700;TraesCS7D01G284200;TraesCS7A01G285800;TraesCS2A01G468800;TraesCS2B01G145700;TraesCS5B01G146700;TraesCS2D01G126600;TraesCS5D01G144600</t>
  </si>
  <si>
    <t>TraesCS1B01G366400;TraesCS4A01G387000;TraesCS6D01G121300;TraesCS7D01G200800;TraesCS6D01G259500;TraesCS6B01G307200;TraesCS5D01G219500;TraesCS5A01G108000;TraesCS5A01G324200;TraesCS1D01G313800;TraesCS1A01G313300;TraesCS2B01G248100;TraesCS2A01G222600;TraesCS4A01G247300;TraesCS7D01G083200;TraesCS2B01G528300;TraesCS5A01G014500;TraesCS5A01G014400;TraesCS4A01G206400;TraesCS1A01G355200;TraesCS4D01G107400;TraesCS6A01G279100;TraesCS6B01G159800;TraesCS7B01G104400;TraesCS7D01G228500;TraesCS7A01G226000;TraesCS4B01G109900;TraesCS1B01G325100;TraesCS5B01G324800;TraesCS6A01G158300;TraesCS2D01G233900;TraesCS3A01G276100;TraesCS3B01G309700;TraesCS5A01G212500;TraesCS7A01G088100</t>
  </si>
  <si>
    <t>TraesCS3A01G151100;TraesCS3D01G426300;TraesCS6D01G122800;TraesCS3B01G185300;TraesCS2B01G297800;TraesCS1A01G195500;TraesCS2A01G193800;TraesCS3D01G083400;TraesCS2A01G280500;TraesCS6A01G133100;TraesCS2D01G279300;TraesCS3A01G082700;TraesCS5D01G459800;TraesCS1D01G199100;TraesCS2D01G194000;TraesCS2D01G238600</t>
  </si>
  <si>
    <t>jasmonic acid metabolic process</t>
  </si>
  <si>
    <t>TraesCS5B01G201700;TraesCS6D01G121300;TraesCS1B01G368500;TraesCS4B01G084800;TraesCS5D01G401900;TraesCS6D01G364400;TraesCS5D01G107900;TraesCS1D01G356900;TraesCS2B01G145700;TraesCS6A01G379800;TraesCS6B01G418400;TraesCS4D01G082700;TraesCS2A01G123800;TraesCS2B01G185800;TraesCS2A01G400900;TraesCS5A01G095200;TraesCS5D01G504600;TraesCS5B01G101400;TraesCS2A01G159900;TraesCS7B01G097000;TraesCS4A01G231200;TraesCS5D01G230300;TraesCS7A01G192000;TraesCS6B01G348700;TraesCS6B01G159800;TraesCS2D01G398400;TraesCS7D01G409000;TraesCS5A01G222500;TraesCS5B01G396900;TraesCS5D01G459800;TraesCS5A01G392000;TraesCS7D01G193000;TraesCS2D01G126600</t>
  </si>
  <si>
    <t>TraesCS7B01G097000;TraesCS4A01G283700;TraesCS5B01G142900;TraesCS7D01G188300;TraesCS5D01G230300;TraesCS5D01G148100;TraesCS7A01G192000;TraesCS6B01G348700;TraesCS2D01G398400;TraesCS1D01G376900;TraesCS5A01G222500;TraesCS2A01G400900;TraesCS5B01G320100;TraesCS5A01G143800;TraesCS5B01G255700;TraesCS4B01G029400;TraesCS7B01G092500;TraesCS7D01G193000</t>
  </si>
  <si>
    <t>pectin metabolic process</t>
  </si>
  <si>
    <t>galacturonan metabolic process</t>
  </si>
  <si>
    <t>TraesCS5B01G201700;TraesCS6D01G121300;TraesCS5D01G401900;TraesCS6D01G364400;TraesCS5D01G470400;TraesCS2A01G521400;TraesCS5D01G107900;TraesCS5B01G339200;TraesCS6B01G418400;TraesCS2B01G592500;TraesCS4D01G082700;TraesCS2A01G123800;TraesCS2A01G400900;TraesCS5A01G095200;TraesCS4A01G231200;TraesCS4A01G283700;TraesCS7D01G188300;TraesCS5D01G148100;TraesCS7A01G192000;TraesCS6B01G348700;TraesCS6B01G159800;TraesCSU01G142500;TraesCS1D01G376900;TraesCS3B01G324500;TraesCS5B01G396900;TraesCS5A01G264400;TraesCS5B01G255700;TraesCS7D01G193000;TraesCS2D01G126600;TraesCS1B01G368500;TraesCS5B01G142900;TraesCS4B01G084800;TraesCS2A01G102600;TraesCS1D01G356900;TraesCS2B01G145700;TraesCS6A01G379800;TraesCS1A01G195500;TraesCS2B01G185800;TraesCS1D01G117400;TraesCS6B01G104600;TraesCS1D01G199100;TraesCS5D01G504600;TraesCS5B01G101400;TraesCS2A01G159900;TraesCS7B01G097000;TraesCS5D01G230300;TraesCS4B01G383000;TraesCS2D01G398400;TraesCS7D01G409000;TraesCS5B01G097100;TraesCS6A01G077800;TraesCS5A01G222500;TraesCS5B01G320100;TraesCS5D01G459800;TraesCS5A01G143800;TraesCS4B01G029400;TraesCS5A01G392000;TraesCS5A01G472100;TraesCS7B01G092500</t>
  </si>
  <si>
    <t>cell wall organization</t>
  </si>
  <si>
    <t>TraesCS1D01G264100;TraesCS2D01G477200;TraesCS6A01G360600;TraesCS7B01G352800;TraesCS3B01G083400;TraesCS5D01G472300;TraesCS4D01G278500;TraesCS1B01G049300;TraesCS2D01G362700;TraesCS1B01G274600;TraesCSU01G072700;TraesCS3D01G273800;TraesCS3A01G336100;TraesCS3A01G097200;TraesCS1B01G333100;TraesCS4A01G023500;TraesCS4D01G318200;TraesCS1D01G325500;TraesCS5D01G171100;TraesCS5A01G119300;TraesCS6A01G040200;TraesCS5B01G378700;TraesCS7D01G442100;TraesCS7A01G490900;TraesCS1A01G263400;TraesCS3D01G068900;TraesCS4A01G030400;TraesCS2D01G059400;TraesCS4B01G321500;TraesCS5D01G429200;TraesCS5A01G166800;TraesCS6B01G393500;TraesCS7A01G323200;TraesCS5B01G037500;TraesCS2A01G149600;TraesCS2A01G563500;TraesCS2A01G095300;TraesCS2B01G401900;TraesCS5D01G193000;TraesCS5D01G044700;TraesCS1A01G264000;TraesCS2B01G174700;TraesCS3A01G069900;TraesCS5A01G420600;TraesCS5B01G335500;TraesCS6A01G379000;TraesCS1D01G331000;TraesCS5A01G036600;TraesCS5B01G058200;TraesCS5A01G336500;TraesCS4A01G164900;TraesCS3A01G200400;TraesCS1B01G293500;TraesCS7B01G124100;TraesCS6D01G344100;TraesCS5A01G490500;TraesCS7A01G220600;TraesCS5B01G185700;TraesCS3A01G393400;TraesCS2A01G455300;TraesCS6D01G149800;TraesCS3B01G252200;TraesCS5D01G341200;TraesCS2A01G478000;TraesCS1A01G284300;TraesCS2B01G477400;TraesCS1D01G298400;TraesCS2A01G027000;TraesCS6B01G190300;TraesCS7A01G452800;TraesCS5A01G460600;TraesCS2A01G382000;TraesCS4B01G109700;TraesCS5B01G104800;TraesCS3D01G203400;TraesCS2D01G093700;TraesCS3A01G295400;TraesCS6A01G161200;TraesCS6B01G189000;TraesCS2B01G247100;TraesCS1B01G403000;TraesCS1A01G299500;TraesCS5A01G472100;TraesCS2B01G501300</t>
  </si>
  <si>
    <t>chromatin organization</t>
  </si>
  <si>
    <t>TraesCS6B01G295700;TraesCS3A01G212600;TraesCS4A01G178600;TraesCS2A01G103300;TraesCS6B01G304100;TraesCS2B01G321700;TraesCS2D01G303500;TraesCS3A01G184800;TraesCS3B01G426500;TraesCS4B01G138800;TraesCS5D01G141200;TraesCS1A01G260500;TraesCS1D01G260500;TraesCS5B01G171400;TraesCS5A01G467500;TraesCS3B01G242700;TraesCS6A01G268600;TraesCS5D01G480300;TraesCS1B01G271100;TraesCS3B01G214600;TraesCS4D01G133500;TraesCS5B01G479200;TraesCS6D01G246300;TraesCS3D01G188800</t>
  </si>
  <si>
    <t>TraesCS3A01G151100;TraesCS3D01G426300;TraesCS6D01G122800;TraesCS2B01G297800;TraesCS1A01G195500;TraesCS2A01G193800;TraesCS3D01G083400;TraesCS2A01G280500;TraesCS6A01G133100;TraesCS2D01G279300;TraesCS3A01G082700;TraesCS1D01G199100;TraesCS2D01G194000;TraesCS2D01G238600</t>
  </si>
  <si>
    <t>lipoate metabolic process</t>
  </si>
  <si>
    <t>TraesCS5B01G381600;TraesCS7D01G554900;TraesCS5B01G159600;TraesCS7A01G342800;TraesCS5B01G155200;TraesCS5D01G388000;TraesCS5D01G166800;TraesCS5B01G339200;TraesCS5D01G162400;TraesCS2B01G286100;TraesCS5A01G378000;TraesCS3A01G202000;TraesCS6B01G182300;TraesCS5A01G490800;TraesCS7A01G555700;TraesCS7B01G240200;TraesCS6A01G420100;TraesCS4D01G317900;TraesCS3B01G229700;TraesCS3A01G292700;TraesCS6A01G110000;TraesCS6D01G405600;TraesCS4B01G321300;TraesCS5A01G157000;TraesCS6A01G154400;TraesCS7D01G000100</t>
  </si>
  <si>
    <t>TraesCS5B01G201700;TraesCS5A01G489100;TraesCS3D01G231200;TraesCS1B01G171600;TraesCS2A01G521400;TraesCS5B01G171400;TraesCS5B01G339200;TraesCS5B01G501200;TraesCS1D01G401900;TraesCS1A01G206900;TraesCSU01G072700;TraesCS1D01G210200;TraesCS3A01G097200;TraesCS4B01G238900;TraesCS4D01G318200;TraesCS1B01G220700;TraesCS1D01G433300;TraesCS6A01G143300;TraesCS1B01G422200;TraesCS2B01G150400;TraesCS5D01G366500;TraesCS5D01G551200;TraesCS1D01G030500;TraesCS2A01G585800;TraesCS4A01G315700;TraesCS5B01G378700;TraesCS1A01G076000;TraesCS5B01G563800;TraesCS3D01G083400;TraesCS4B01G321500;TraesCS2A01G280500;TraesCS2D01G279300;TraesCS7A01G323200;TraesCS3A01G151100;TraesCS4B01G193400;TraesCS5B01G335500;TraesCS4A01G062200;TraesCS5A01G149000;TraesCS5A01G357400;TraesCS5A01G336500;TraesCS3D01G114000;TraesCS1A01G195500;TraesCS1D01G151800;TraesCS6D01G132500;TraesCS1D01G199100;TraesCS5A01G490500;TraesCS5B01G147600;TraesCS5B01G409700;TraesCS3D01G514100;TraesCS7D01G326000;TraesCS5B01G036800;TraesCS5D01G341200;TraesCS5A01G123700;TraesCS6B01G171600;TraesCS2B01G297800;TraesCS7D01G409000;TraesCSU01G132400;TraesCS3A01G082700;TraesCS5D01G459800;TraesCS5A01G472100;TraesCS2A01G128300;TraesCS5D01G094000</t>
  </si>
  <si>
    <t>cellular developmental process</t>
  </si>
  <si>
    <t>TraesCS2D01G236100;TraesCS3A01G178600;TraesCS2B01G315300;TraesCS4B01G193400;TraesCS3A01G405300;TraesCS5A01G128300;TraesCS6A01G188100;TraesCS5A01G324200;TraesCS5B01G476900;TraesCS6A01G321600;TraesCS5D01G135900;TraesCS5A01G305400;TraesCS4B01G028100;TraesCS6A01G386600;TraesCS6B01G352400;TraesCS6D01G122800;TraesCS5D01G312400;TraesCS4D01G025700;TraesCS6A01G200600;TraesCS4A01G105500;TraesCS4D01G199300;TraesCS6B01G173500;TraesCS5B01G127300;TraesCS5B01G324800;TraesCS6A01G133100;TraesCS4A01G059500;TraesCS2A01G330200;TraesCS2D01G296800;TraesCS4A01G286700;TraesCS2B01G352000;TraesCS6D01G301300</t>
  </si>
  <si>
    <t>alcohol metabolic process</t>
  </si>
  <si>
    <t>TraesCS2D01G399800;TraesCS1B01G261600;TraesCS1A01G180200;TraesCS1D01G103000;TraesCS1D01G107300;TraesCS5A01G103100;TraesCS1A01G094200;TraesCS5B01G171400;TraesCS5A01G059900;TraesCS2B01G185800;TraesCS5A01G490500;TraesCS4D01G318200;TraesCS3A01G091100;TraesCS5B01G107400;TraesCS1A01G099400;TraesCS1D01G265200;TraesCS1D01G433300;TraesCS2A01G159900;TraesCS2B01G150400;TraesCS1B01G122300;TraesCS3D01G091000;TraesCS4B01G152700;TraesCS1A01G095200;TraesCS2A01G434600;TraesCS6B01G176600;TraesCS4B01G321500;TraesCS4A01G334700;TraesCS5A01G472100;TraesCS1B01G200300;TraesCS2B01G375700;TraesCS2A01G128300</t>
  </si>
  <si>
    <t>supramolecular fiber organization</t>
  </si>
  <si>
    <t>TraesCS3B01G423800;TraesCS7B01G111000;TraesCS2A01G129900;TraesCS4A01G110800;TraesCS7A01G204000;TraesCS5D01G141200;TraesCS1D01G226500;TraesCS4D01G194300;TraesCS1B01G326400;TraesCS1B01G049300;TraesCS6B01G399000;TraesCS3D01G384700;TraesCS1A01G315900;TraesCS2A01G226000;TraesCS6B01G341400;TraesCS6D01G348000;TraesCS2B01G152100;TraesCS3A01G391800;TraesCS3A01G097200;TraesCS3A01G393400;TraesCS2D01G132100;TraesCS6A01G311200;TraesCS7D01G207100;TraesCS1D01G316200;TraesCS3B01G112900;TraesCS1D01G314600;TraesCS2A01G171900;TraesCS3D01G205300;TraesCS6A01G364300</t>
  </si>
  <si>
    <t>TraesCS5B01G413400;TraesCS5A01G489100;TraesCS7A01G143900;TraesCS7B01G103100;TraesCS4D01G152000;TraesCS2A01G201200;TraesCS1A01G206600;TraesCS2A01G400900;TraesCS7D01G326000;TraesCS5A01G328900;TraesCS7B01G097000;TraesCS2B01G150400;TraesCS7B01G464900;TraesCS7A01G192000;TraesCS6B01G348700;TraesCS2A01G585800;TraesCS3B01G254200;TraesCS2D01G398400;TraesCS3D01G228900;TraesCS2B01G222600;TraesCSU01G132400;TraesCS2D01G202900;TraesCS2A01G128300;TraesCS2D01G237600;TraesCS7B01G092500;TraesCS7D01G193000</t>
  </si>
  <si>
    <t>TraesCS1D01G134300;TraesCS3A01G151100;TraesCS4A01G387000;TraesCS2B01G528300;TraesCS6D01G357100;TraesCS4A01G091100;TraesCS5A01G014500;TraesCS5A01G014400;TraesCS7D01G200800;TraesCS6D01G259500;TraesCS4D01G214300;TraesCS6A01G279100;TraesCS7B01G104400;TraesCS7A01G226000;TraesCS7D01G130500;TraesCS5A01G513500;TraesCS3A01G077600;TraesCS7A01G088100;TraesCS2A01G467900;TraesCS4B01G213600;TraesCS4D01G339700;TraesCS7D01G083200</t>
  </si>
  <si>
    <t>cytosolic part</t>
  </si>
  <si>
    <t>TraesCS2A01G095300;TraesCS5D01G044700;TraesCS3B01G252200;TraesCS5D01G472300;TraesCS6A01G379000;TraesCS1D01G331000;TraesCS5A01G036600;TraesCS1B01G049300;TraesCS6B01G190300;TraesCS2D01G362700;TraesCS3A01G200400;TraesCS5A01G460600;TraesCS2D01G059400;TraesCS4B01G109700;TraesCS4B01G321500;TraesCS3D01G203400;TraesCS2D01G093700;TraesCS3A01G295400;TraesCS6A01G161200;TraesCS2B01G247100;TraesCS5A01G490500;TraesCS5B01G037500;TraesCS4D01G318200;TraesCS1D01G325500</t>
  </si>
  <si>
    <t>chromatin silencing</t>
  </si>
  <si>
    <t>negative regulation of gene expression, epigenetic</t>
  </si>
  <si>
    <t>TraesCS5D01G336000;TraesCS7D01G292000;TraesCS6B01G454500;TraesCS1D01G119400;TraesCS2A01G247300;TraesCS3D01G273800;TraesCS5D01G303200;TraesCS5A01G114000;TraesCS2D01G014800;TraesCS4D01G153900;TraesCS4D01G147100;TraesCS3A01G228000;TraesCS1A01G324800;TraesCS4B01G050200;TraesCS4A01G298800;TraesCS4D01G135000;TraesCS5B01G324800;TraesCS5D01G429200;TraesCS6A01G133100;TraesCS6B01G124800;TraesCS5A01G166800;TraesCS1D01G280300;TraesCS3B01G219700;TraesCS5A01G344100;TraesCS7A01G323200;TraesCS2B01G209200;TraesCS3B01G198800;TraesCS6A01G203300;TraesCS1D01G107400;TraesCS6B01G112700;TraesCS5A01G149000;TraesCS5A01G336500;TraesCS2A01G193800;TraesCS3D01G296900;TraesCSU01G019200;TraesCS7D01G454200;TraesCS3A01G091100;TraesCS3A01G393400;TraesCS5B01G112100;TraesCS2B01G257300;TraesCS3A01G303800;TraesCS5B01G082400;TraesCS7D01G339300;TraesCS6D01G357600;TraesCS3B01G298400;TraesCS4A01G120000;TraesCS5B01G139800;TraesCS6B01G190300;TraesCS4B01G109700;TraesCS2D01G093700;TraesCS3B01G140800;TraesCS3A01G310200;TraesCS5A01G472100;TraesCS6A01G343500;TraesCS5D01G396300;TraesCS6D01G337700;TraesCS5D01G166000;TraesCS1D01G409700;TraesCS1D01G396300;TraesCS5B01G562200;TraesCS5B01G171400;TraesCS7D01G283600;TraesCS2B01G382000;TraesCS3B01G423600;TraesCS3D01G065800;TraesCS1B01G274600;TraesCS5D01G118200;TraesCS4A01G138800;TraesCS1D01G325500;TraesCS5D01G068800;TraesCS1A01G246800;TraesCS5A01G131600;TraesCS7A01G327600;TraesCS2B01G375700;TraesCS7A01G252000;TraesCS3B01G253500;TraesCS5D01G044700;TraesCS3B01G251200;TraesCS4D01G175600;TraesCS5A01G357400;TraesCS3D01G327600;TraesCS1A01G254400;TraesCS2D01G009100;TraesCS1A01G195500;TraesCS6D01G344100;TraesCS2D01G148200;TraesCS2A01G467900;TraesCS7B01G242800;TraesCS2B01G154700;TraesCS5B01G036800;TraesCS2A01G132200;TraesCS4B01G041900;TraesCS2B01G477400;TraesCS2D01G438800;TraesCS5B01G094300;TraesCS6B01G261500;TraesCS3A01G082700;TraesCS6B01G124700;TraesCS3D01G123500;TraesCS1A01G299500;TraesCS5B01G517400;TraesCS1D01G264100;TraesCS7D01G227300;TraesCS2B01G313700;TraesCS4B01G015600;TraesCS7B01G363100;TraesCS5B01G339200;TraesCS4A01G375000;TraesCSU01G072700;TraesCS2A01G220100;TraesCS7A01G461700;TraesCS2D01G253100;TraesCS4B01G288200;TraesCS7A01G146700;TraesCS1D01G265200;TraesCS6A01G143300;TraesCS7A01G278800;TraesCS2A01G455200;TraesCS5A01G119300;TraesCS5D01G366500;TraesCS4A01G052600;TraesCS1D01G316200;TraesCS7A01G115400;TraesCS5B01G132900;TraesCS2A01G280500;TraesCS7A01G076600;TraesCS4D01G076900;TraesCS2A01G200500;TraesCS3A01G151100;TraesCS7B01G054900;TraesCS2B01G401900;TraesCS7D01G250100;TraesCS1A01G264000;TraesCS3A01G075700;TraesCS7A01G307000;TraesCS2A01G309600;TraesCS5A01G424400;TraesCS5B01G396700;TraesCS2B01G326800;TraesCS1B01G408600;TraesCS2D01G232300;TraesCS7A01G220600;TraesCS3D01G298000;TraesCS5D01G121100;TraesCS6D01G149800;TraesCS3B01G252200;TraesCS5A01G104800;TraesCS1D01G219200;TraesCS3B01G088300;TraesCS5A01G123700;TraesCS2A01G233300;TraesCS4D01G116000;TraesCS7B01G049200;TraesCS2B01G245600;TraesCS7D01G407700;TraesCS2B01G264100;TraesCS1A01G198400;TraesCS3D01G203400;TraesCS4A01G334700;TraesCS5D01G459800;TraesCS6B01G197100;TraesCS3A01G191700;TraesCS6D01G215100;TraesCS7A01G514900;TraesCS4B01G178900;TraesCS1D01G211600;TraesCS5D01G094000;TraesCS2D01G105300;TraesCS2B01G153800;TraesCS2B01G174600;TraesCS6A01G314900;TraesCS6D01G087500;TraesCS3D01G109700;TraesCS2B01G250000;TraesCS3A01G212000;TraesCS2D01G397800;TraesCS2B01G592500;TraesCS2D01G194000;TraesCS4D01G318200;TraesCS4A01G262900;TraesCS5B01G162300;TraesCS5D01G551200;TraesCS2A01G342600;TraesCS7A01G381900;TraesCS6B01G216800;TraesCS5B01G563800;TraesCS2D01G059400;TraesCS3D01G083400;TraesCS2D01G279300;TraesCS4B01G025500;TraesCS3B01G370200;TraesCS6A01G259000;TraesCS4A01G131100;TraesCS5B01G037500;TraesCS4D01G225300;TraesCS2D01G401600;TraesCS6A01G146500;TraesCS2B01G174700;TraesCS5B01G115000;TraesCS7D01G378400;TraesCS2A01G150000;TraesCS7D01G447100;TraesCS5A01G110300;TraesCS6D01G283300;TraesCS3D01G514100;TraesCS5B01G256400;TraesCS1B01G337800;TraesCS4A01G247300;TraesCS2A01G455300;TraesCS5D01G341200;TraesCS5A01G020800;TraesCS3D01G091000;TraesCS6A01G319100;TraesCS4B01G224700;TraesCS7A01G452800;TraesCS5A01G460600;TraesCS4A01G093100;TraesCS7D01G298100;TraesCS6A01G360600;TraesCS2A01G517500;TraesCS2D01G179600;TraesCS2A01G404700;TraesCS1B01G049300;TraesCS4A01G163400;TraesCS5D01G162400;TraesCS4B01G173500;TraesCS4A01G289400;TraesCS6B01G159200;TraesCS5D01G171100;TraesCS1A01G099500;TraesCS7D01G278600;TraesCS3A01G360000;TraesCS3D01G173500;TraesCS5A01G467500;TraesCS6D01G057900;TraesCS2D01G417300;TraesCS4B01G321500;TraesCS5A01G491500;TraesCS5A01G549700;TraesCS7D01G549100;TraesCS1B01G462300;TraesCS2A01G563500;TraesCS2D01G399800;TraesCS1B01G255100;TraesCS6D01G087400;TraesCS1A01G157500;TraesCS6A01G379000;TraesCS1A01G027200;TraesCS2D01G565200;TraesCS2D01G225800;TraesCS5B01G111800;TraesCS3D01G289600;TraesCS7D01G150300;TraesCS3A01G513500;TraesCS2B01G070700;TraesCS1D01G412600;TraesCS2D01G262900;TraesCS4A01G015800;TraesCS4A01G298100;TraesCS3D01G414600;TraesCS6A01G303800;TraesCS7D01G051800;TraesCS2B01G021100;TraesCS6D01G135800;TraesCS2A01G239000;TraesCS4A01G355100;TraesCS1B01G462200;TraesCS7B01G352800;TraesCS6A01G113000;TraesCS5D01G472300;TraesCS1D01G092200;TraesCS5D01G143800;TraesCS2B01G365100;TraesCS2D01G362700;TraesCS4B01G320500;TraesCS2D01G295500;TraesCS2D01G496200;TraesCS5D01G332000;TraesCS1B01G352700;TraesCS1D01G433300;TraesCS6B01G218700;TraesCS7D01G148200;TraesCS1B01G270800;TraesCS4B01G091100;TraesCS1B01G212500;TraesCS4B01G069200;TraesCS4D01G223400;TraesCS7D01G072300;TraesCS3A01G224000;TraesCS3A01G167400;TraesCS7D01G051700;TraesCS6B01G393500;TraesCS5B01G387600;TraesCS2D01G133500;TraesCS7A01G246000;TraesCS2A01G095300;TraesCS3D01G516800;TraesCS4A01G110800;TraesCS4A01G238100;TraesCS2D01G246100;TraesCS2D01G248400;TraesCS3A01G200400;TraesCS6A01G268900;TraesCS6D01G132500;TraesCS1A01G313300;TraesCS5A01G490500;TraesCS3A01G143000;TraesCS5B01G214400;TraesCS1D01G067500;TraesCS2D01G238600;TraesCS2B01G312600;TraesCS4B01G276500;TraesCS2D01G208300;TraesCS7D01G505300;TraesCS5D01G140200;TraesCS1D01G298400;TraesCS1A01G431600;TraesCS7B01G049000;TraesCS1A01G133500;TraesCS2A01G575500;TraesCS1A01G100600;TraesCS6B01G173500;TraesCS6B01G342300;TraesCS3A01G295400;TraesCS5A01G457600;TraesCS7A01G466600;TraesCS2D01G586200;TraesCS3D01G426300;TraesCS4A01G236700;TraesCS1D01G155100;TraesCS3A01G212600;TraesCS3D01G231200;TraesCS4D01G022600;TraesCS7D01G449900;TraesCS4B01G114800;TraesCS1D01G226500;TraesCS5A01G092400;TraesCS6A01G373400;TraesCS7A01G260600;TraesCS4A01G226900;TraesCS2A01G392900;TraesCS2A01G058700;TraesCS5A01G215900;TraesCS2B01G528300;TraesCS5A01G192000;TraesCS6D01G122800;TraesCS1B01G159900;TraesCS6A01G130900;TraesCS2B01G477300;TraesCS2D01G079600;TraesCS6B01G253900;TraesCS4D01G013900;TraesCS5B01G378700;TraesCS2B01G004000;TraesCS2D01G361800;TraesCS7D01G300000;TraesCS1A01G427400;TraesCS2A01G149600;TraesCS2D01G162900;TraesCS4B01G191300;TraesCS2B01G340300;TraesCS1A01G180200;TraesCS3D01G495100;TraesCS5B01G335500;TraesCS3D01G231300;TraesCS1D01G331000;TraesCS6A01G312100;TraesCS6B01G301300;TraesCS4B01G204500;TraesCS4A01G157100;TraesCS1A01G086500;TraesCS5B01G476900;TraesCS2B01G227800;TraesCS3A01G112300;TraesCS4A01G283000;TraesCS5D01G504600;TraesCS1D01G178000;TraesCS5D01G118500;TraesCS7D01G349600;TraesCS1A01G095200;TraesCS2B01G297800;TraesCS5A01G157000;TraesCS7A01G560200;TraesCS7B01G230100;TraesCS5A01G115400;TraesCS2B01G247100;TraesCS2A01G149500;TraesCS7D01G403900;TraesCS1B01G110400;TraesCS1B01G200300;TraesCS2A01G261000;TraesCS1D01G440900;TraesCS3A01G126400;TraesCS3A01G367000;TraesCS6A01G220100;TraesCS2A01G114400;TraesCS2A01G521400;TraesCS5B01G155200;TraesCS4D01G194300;TraesCS5A01G059900;TraesCS2B01G363200;TraesCS6A01G290600;TraesCS2A01G226000;TraesCS3A01G418400;TraesCS1D01G124400;TraesCS3D01G162700;TraesCS6A01G070700;TraesCS2A01G387000;TraesCS3A01G097200;TraesCS5B01G344200;TraesCS2B01G133500;TraesCS7D01G121800;TraesCS3A01G100000;TraesCS1D01G030500;TraesCS1A01G382900;TraesCS3A01G530000;TraesCS1D01G404400;TraesCS4B01G115800;TraesCS3A01G251200;TraesCS4A01G315700;TraesCS7D01G442100;TraesCS5A01G161200;TraesCS6B01G067600;TraesCS7B01G310100;TraesCS6A01G267300;TraesCS6A01G408400;TraesCS2B01G098800;TraesCS3A01G304900;TraesCS2D01G057900;TraesCS2A01G296400;TraesCS5B01G295200;TraesCS7B01G184800;TraesCS3B01G251600;TraesCS1D01G260200;TraesCS3D01G304800;TraesCSU01G036900;TraesCS5A01G036600;TraesCS1B01G213300;TraesCS4A01G164900;TraesCS5A01G057500;TraesCS2B01G122500;TraesCS3A01G107900;TraesCS5B01G510500;TraesCS5A01G324200;TraesCS1B01G293500;TraesCS5D01G223700;TraesCS6B01G151900;TraesCS7B01G124100;TraesCS1D01G199100;TraesCS5B01G147600;TraesCS2B01G246200;TraesCS2A01G297500;TraesCS2D01G300400;TraesCS2A01G239200;TraesCS7A01G329600;TraesCS3A01G389100;TraesCS4A01G067400;TraesCS1A01G284300;TraesCS5B01G158500;TraesCS3B01G332500;TraesCS6B01G171600;TraesCS1B01G434400;TraesCS4B01G073200;TraesCS2B01G270300;TraesCS7D01G280600;TraesCS2D01G308000;TraesCS1A01G309200;TraesCS2A01G252400;TraesCS6A01G161200;TraesCS6B01G189000;TraesCS7D01G000100;TraesCS7B01G207300;TraesCS2A01G403100</t>
  </si>
  <si>
    <t>TraesCS7B01G097000;TraesCS5A01G222500;TraesCS5D01G230300;TraesCS2A01G400900;TraesCS7A01G192000;TraesCS6B01G348700;TraesCS2D01G398400;TraesCS7D01G193000</t>
  </si>
  <si>
    <t>cell wall pectin metabolic process</t>
  </si>
  <si>
    <t>TraesCS3A01G151100;TraesCS3D01G426300;TraesCS3A01G367000;TraesCS2A01G521400;TraesCS7D01G283600;TraesCS5B01G339200;TraesCS4B01G204500;TraesCS2B01G592500;TraesCS1A01G195500;TraesCS4B01G154100;TraesCS2A01G193800;TraesCS5A01G324200;TraesCS6D01G344200;TraesCS6D01G132500;TraesCS1D01G199100;TraesCS6D01G283300;TraesCS2D01G194000;TraesCS1D01G086600;TraesCS2A01G467900;TraesCS2D01G238600;TraesCS5D01G504600;TraesCS6A01G143300;TraesCS4D01G153900;TraesCS5B01G036800;TraesCS6D01G122800;TraesCS1D01G303800;TraesCS3B01G185300;TraesCS6B01G171600;TraesCS1D01G316200;TraesCS2B01G297800;TraesCS4D01G135000;TraesCS1D01G423500;TraesCS3D01G228800;TraesCS6A01G303800;TraesCS3D01G083400;TraesCS2A01G280500;TraesCS5B01G324800;TraesCS6A01G133100;TraesCS6B01G393600;TraesCS2D01G279300;TraesCS3A01G082700;TraesCS5D01G459800;TraesCS6A01G267300;TraesCS1A01G416000;TraesCS4D01G160200;TraesCS3A01G224800</t>
  </si>
  <si>
    <t>TraesCS2D01G399800;TraesCS7A01G466600;TraesCS1D01G264100;TraesCS6D01G337700;TraesCS1A01G264000;TraesCS3D01G091000;TraesCS1D01G092200;TraesCS3B01G423600;TraesCS4B01G091100;TraesCS5B01G339200;TraesCS1A01G254400;TraesCS1A01G100600;TraesCS1A01G086500;TraesCS1B01G274600;TraesCS1B01G110400;TraesCS2A01G467900;TraesCS5D01G504600;TraesCS7D01G454200;TraesCS3A01G091100</t>
  </si>
  <si>
    <t>regulation of meristem growth</t>
  </si>
  <si>
    <t>regulation of developmental growth</t>
  </si>
  <si>
    <t>TraesCS3A01G151100;TraesCS4A01G101500;TraesCS4D01G204000;TraesCS6B01G286300;TraesCS7B01G142700;TraesCS1A01G007500;TraesCS7D01G283600;TraesCS2B01G297800;TraesCS7A01G419600;TraesCS2A01G437700;TraesCS3D01G060600;TraesCS7A01G560200;TraesCS5B01G263800;TraesCS2A01G280500;TraesCS2B01G457600;TraesCS2D01G279300;TraesCS3B01G370200;TraesCS6A01G237800;TraesCS4D01G003600;TraesCS7D01G549100</t>
  </si>
  <si>
    <t>thylakoid lumen</t>
  </si>
  <si>
    <t>TraesCS7A01G466600;TraesCS6A01G146500;TraesCS6D01G121300;TraesCS7B01G103100;TraesCS5D01G067600;TraesCS5A01G495100;TraesCS2B01G451100;TraesCS2A01G343600;TraesCS2A01G343500;TraesCS2B01G342200;TraesCS2D01G322900;TraesCS4A01G164900;TraesCS5D01G298700;TraesCS4A01G111000;TraesCS5D01G219500;TraesCS6B01G174700;TraesCS7B01G124100;TraesCS4D01G180300;TraesCS5B01G290300;TraesCS2B01G248100;TraesCS2A01G222600;TraesCS7D01G454200;TraesCS2A01G430500;TraesCS1A01G110900;TraesCS2A01G344600;TraesCS3B01G185300;TraesCS6B01G159800;TraesCS4D01G212000;TraesCS2B01G222600;TraesCS4B01G178700;TraesCS6D01G135800;TraesCS2D01G202900;TraesCS4B01G323000;TraesCS5A01G212500;TraesCS4A01G093100;TraesCS3B01G410400;TraesCS4D01G319400</t>
  </si>
  <si>
    <t>TraesCS6D01G016900;TraesCS1A01G323600;TraesCS7A01G036200;TraesCS5B01G484700;TraesCS5B01G249000;TraesCS2A01G246200;TraesCS5A01G200800;TraesCS4B01G397600;TraesCS3D01G271500;TraesCS4A01G226500;TraesCS1B01G146200;TraesCSU01G112400;TraesCS6B01G295700;TraesCS3B01G206600;TraesCS7D01G467500;TraesCS3B01G193200;TraesCS5B01G412400;TraesCS2A01G262700;TraesCS3A01G228000;TraesCS4B01G169900;TraesCS6B01G411900;TraesCS7D01G056800;TraesCS7A01G541200;TraesCS1A01G355200;TraesCS7B01G382800;TraesCS4B01G050200;TraesCS5D01G444700;TraesCS6B01G132300;TraesCS7B01G104400;TraesCS4D01G135000;TraesCS5B01G094600;TraesCS3B01G242700;TraesCS5A01G200900;TraesCS6B01G388800;TraesCS5A01G344100;TraesCS1D01G444900;TraesCS2A01G171900;TraesCS2A01G361100;TraesCS5A01G390000;TraesCS6D01G142900;TraesCS3D01G474000;TraesCS7A01G464600;TraesCS3A01G178900;TraesCS5B01G159100;TraesCS3A01G229100;TraesCS7B01G365100;TraesCS4D01G292900;TraesCS3A01G216100;TraesCS3A01G344300;TraesCS5D01G376600;TraesCS4D01G184400;TraesCS6B01G262800;TraesCS1B01G469400;TraesCS5D01G399800;TraesCS3A01G091100;TraesCS6B01G270400;TraesCS3B01G208800;TraesCS5A01G251000;TraesCS6A01G225200;TraesCS3A01G303800;TraesCS5B01G082400;TraesCS4D01G250100;TraesCS6D01G365100;TraesCS4A01G361100;TraesCS5B01G229300;TraesCS1A01G423100;TraesCS2D01G093700;TraesCS1A01G125000;TraesCS6B01G428300;TraesCS3B01G309700;TraesCS5A01G115000;TraesCS3B01G376200;TraesCS5D01G396300;TraesCSU01G111400;TraesCS5D01G420300;TraesCS6A01G245000;TraesCS1D01G396300;TraesCS6D01G161000;TraesCS1D01G260500;TraesCS2D01G322800;TraesCS5B01G171400;TraesCSU01G133300;TraesCS2A01G387400;TraesCS1B01G274600;TraesCS7B01G317000;TraesCS3D01G369100;TraesCS4A01G191500;TraesCS1A01G275400;TraesCS4D01G132900;TraesCS4D01G172000;TraesCS7B01G162300;TraesCS7D01G543200;TraesCS5D01G100800;TraesCS6B01G159800;TraesCS6A01G234000;TraesCS1B01G271100;TraesCS6A01G158300;TraesCS7A01G499600;TraesCS7B01G451700;TraesCS5B01G479200;TraesCS6A01G125400;TraesCS7A01G466900;TraesCS1B01G366400;TraesCS2D01G213100;TraesCS5D01G044700;TraesCS6B01G296700;TraesCS6D01G358500;TraesCS3D01G474200;TraesCS7A01G510900;TraesCS5A01G357400;TraesCS5D01G405400;TraesCS3A01G214000;TraesCS5D01G161800;TraesCS1A01G025900;TraesCS4D01G079200;TraesCS4D01G142600;TraesCS2B01G328500;TraesCS2D01G597600;TraesCS3B01G266900;TraesCS3D01G336200;TraesCS6D01G344100;TraesCS7D01G291200;TraesCS7D01G364400;TraesCS2A01G159900;TraesCS1D01G431700;TraesCS3B01G103500;TraesCS6A01G279100;TraesCS7B01G066000;TraesCS3A01G288200;TraesCS4B01G314600;TraesCS6D01G189700;TraesCS1D01G314600;TraesCS1D01G387600;TraesCS4A01G005000;TraesCS4A01G078800;TraesCS6B01G099900;TraesCS3A01G276100;TraesCS1A01G299500;TraesCS2A01G487500;TraesCS4D01G036500;TraesCS6B01G428100;TraesCS6D01G060400;TraesCS6D01G399000;TraesCS2D01G049500;TraesCS1D01G264100;TraesCS2D01G213200;TraesCS5D01G013100;TraesCS3B01G423800;TraesCS3B01G442200;TraesCS5B01G222600;TraesCS3B01G207300;TraesCS6B01G213100;TraesCS7D01G542200;TraesCS2B01G514800;TraesCS3B01G222700;TraesCS7A01G390300;TraesCS3A01G342300;TraesCS4A01G375000;TraesCS1D01G275000;TraesCSU01G158800;TraesCS4B01G050600;TraesCS4A01G134800;TraesCS2D01G310900;TraesCS5B01G539900;TraesCS6D01G227300;TraesCS4B01G138100;TraesCS4A01G178600;TraesCS5D01G366500;TraesCS3D01G217700;TraesCS4B01G140300;TraesCS1A01G110900;TraesCS3D01G507500;TraesCS4D01G252700;TraesCS6B01G174100;TraesCS7A01G264300;TraesCS1D01G316200;TraesCS7D01G228500;TraesCS1B01G348800;TraesCS5A01G050100;TraesCS5B01G154600;TraesCS6B01G199500;TraesCS6D01G007800;TraesCS7A01G076600;TraesCS3A01G484800;TraesCS6B01G141400;TraesCS3B01G299100;TraesCS3D01G241900;TraesCS1A01G264000;TraesCS4A01G177500;TraesCS7D01G040400;TraesCS5D01G141200;TraesCS5A01G054700;TraesCS2B01G462500;TraesCS3D01G282800;TraesCS6D01G216300;TraesCS2D01G198300;TraesCS3A01G282800;TraesCS5D01G261300;TraesCS3D01G298000;TraesCS2D01G362200;TraesCS5B01G537700;TraesCS3B01G254500;TraesCS7B01G005700;TraesCS7A01G004000;TraesCS1D01G219200;TraesCS3D01G376500;TraesCS1A01G177600;TraesCS6D01G166400;TraesCS6B01G256400;TraesCS2B01G304900;TraesCS1A01G198400;TraesCS1B01G378000;TraesCS3D01G203400;TraesCS7B01G241900;TraesCS2D01G304000;TraesCS1D01G211600;TraesCS4D01G240700;TraesCS7A01G313900;TraesCS2B01G174600;TraesCS7D01G332300;TraesCS6B01G294700;TraesCS5A01G367700;TraesCS7A01G005100;TraesCS3D01G109700;TraesCS7B01G052900;TraesCS2B01G451100;TraesCS4A01G217700;TraesCS1B01G301500;TraesCS3B01G316500;TraesCS3B01G093800;TraesCS1A01G361400;TraesCS2D01G523100;TraesCS2B01G405200;TraesCS2B01G462400;TraesCS3A01G060300;TraesCS3D01G516300;TraesCS4A01G111600;TraesCS2A01G092400;TraesCS5A01G156400;TraesCS3A01G112800;TraesCS2A01G480500;TraesCS4A01G262900;TraesCS4A01G367700;TraesCS7D01G377200;TraesCS6A01G336800;TraesCS3D01G068100;TraesCS3D01G288000;TraesCS5D01G402300;TraesCS7D01G020700;TraesCS6A01G322400;TraesCS5D01G113700;TraesCS4D01G107000;TraesCS5B01G037500;TraesCS7D01G032800;TraesCS6D01G028400;TraesCS2A01G202600;TraesCS7D01G011800;TraesCS3B01G305600;TraesCS3B01G299300;TraesCS5D01G424400;TraesCS2B01G174700;TraesCS2A01G150000;TraesCS2D01G154600;TraesCS5D01G437600;TraesCSU01G131300;TraesCS2B01G185800;TraesCS5D01G005300;TraesCS1A01G172100;TraesCS7D01G123400;TraesCS6D01G147700;TraesCS7D01G190300;TraesCS6B01G304100;TraesCS3A01G538300;TraesCS3B01G607600;TraesCS5D01G087800;TraesCS7B01G269300;TraesCS3D01G091000;TraesCS7A01G062100;TraesCS3B01G141700;TraesCS7B01G236400;TraesCS2B01G604300;TraesCS6B01G117100;TraesCS7A01G226000;TraesCS5A01G113700;TraesCS3B01G269900;TraesCS7B01G446500;TraesCS1A01G314100;TraesCS5D01G480300;TraesCS7D01G386000;TraesCS2D01G594500;TraesCS5D01G098800;TraesCS1A01G129400;TraesCS6D01G028300;TraesCS6D01G121300;TraesCS1B01G259800;TraesCS4B01G252400;TraesCS5D01G525000;TraesCS6A01G360600;TraesCS2D01G479900;TraesCS2B01G307300;TraesCS3B01G224600;TraesCS6A01G184000;TraesCS1A01G260500;TraesCS5A01G032500;TraesCS5B01G155400;TraesCS5D01G428900;TraesCS3D01G285100;TraesCS3D01G411200;TraesCS5D01G219500;TraesCS5D01G162400;TraesCS6A01G268600;TraesCS6D01G077500;TraesCS7D01G150200;TraesCS5D01G359800;TraesCS2B01G229600;TraesCS7A01G148600;TraesCS5D01G528400;TraesCS6B01G113200;TraesCS1A01G292100;TraesCS4B01G186700;TraesCS5B01G156500;TraesCS5B01G431500;TraesCS6A01G153600;TraesCS6B01G226000;TraesCS6D01G180500;TraesCS5A01G467500;TraesCS3B01G408800;TraesCS3B01G131400;TraesCS6B01G233800;TraesCS6D01G236400;TraesCS2B01G597700;TraesCS4B01G126400;TraesCS4D01G133500;TraesCS3D01G169000;TraesCS6D01G320800;TraesCS7A01G088100;TraesCS3D01G019000;TraesCS6A01G379000;TraesCS2D01G565200;TraesCS5B01G415100;TraesCS3A01G122500;TraesCS4B01G090000;TraesCS2D01G248600;TraesCS7A01G321900;TraesCS6B01G174500;TraesCS2A01G299200;TraesCS7D01G265200;TraesCS2D01G440100;TraesCS6B01G039900;TraesCS4B01G171300;TraesCS6B01G056200;TraesCS2D01G291200;TraesCS3D01G275200;TraesCS5A01G305400;TraesCS2B01G263300;TraesCS3B01G568500;TraesCS3D01G345500;TraesCS2A01G103300;TraesCS7A01G417000;TraesCS4D01G359000;TraesCS1D01G055200;TraesCS2A01G579900;TraesCS1A01G016200;TraesCS2A01G330000;TraesCS3B01G246600;TraesCS6B01G231400;TraesCS5A01G547300;TraesCS1D01G020000;TraesCS5A01G491400;TraesCS7B01G052200;TraesCS2A01G187700;TraesCS3D01G188800;TraesCS5D01G206500;TraesCS7A01G491200;TraesCS4A01G494400;TraesCS5A01G466100;TraesCS2B01G342100;TraesCS1B01G326400;TraesCS3B01G555600;TraesCS2D01G362700;TraesCS3A01G275700;TraesCS3B01G214600;TraesCS4D01G096200;TraesCS5D01G332000;TraesCS3D01G237100;TraesCS6A01G103200;TraesCS7D01G083200;TraesCS3B01G309000;TraesCS4D01G212600;TraesCS7A01G335900;TraesCS3A01G238400;TraesCS5D01G505700;TraesCS7D01G278800;TraesCS5D01G312400;TraesCS2A01G344500;TraesCS7D01G035000;TraesCS1B01G478800;TraesCS3A01G085200;TraesCS1D01G443100;TraesCS5A01G411500;TraesCS7A01G235200;TraesCS7D01G072300;TraesCS4B01G160600;TraesCS3B01G374400;TraesCS6B01G365300;TraesCS6B01G393500;TraesCS5A01G191100;TraesCS5A01G101900;TraesCS5D01G040800;TraesCS4A01G387000;TraesCS5A01G088400;TraesCS2A01G095300;TraesCS3A01G264700;TraesCS4A01G452700;TraesCS4B01G170400;TraesCS2D01G303500;TraesCS7D01G200800;TraesCS7D01G410100;TraesCS2D01G301200;TraesCS4A01G110800;TraesCS6D01G259500;TraesCS4D01G089800;TraesCS6B01G307200;TraesCS1D01G352300;TraesCS4A01G051900;TraesCS3A01G200400;TraesCS5B01G199400;TraesCS1D01G151800;TraesCS3B01G564100;TraesCS4D01G004000;TraesCS5D01G399200;TraesCS5B01G509100;TraesCS1A01G313300;TraesCS6D01G210000;TraesCS7D01G123000;TraesCS3A01G391800;TraesCS6D01G247400;TraesCS3A01G376300;TraesCS4B01G211800;TraesCS2B01G229500;TraesCS4A01G090100;TraesCS4D01G214800;TraesCS5B01G504900;TraesCS3D01G217600;TraesCS5A01G387700;TraesCS6D01G363400;TraesCS2D01G568400;TraesCS4B01G276500;TraesCS5B01G397300;TraesCS2D01G545300;TraesCS1D01G298400;TraesCS5B01G395000;TraesCS4A01G216200;TraesCS4D01G298800;TraesCS7A01G239700;TraesCS1D01G125300;TraesCS6B01G342300;TraesCS5B01G075800;TraesCS7A01G279000;TraesCS4A01G059500;TraesCS5B01G477800;TraesCS6D01G246300;TraesCS3D01G446200;TraesCS3A01G241700;TraesCS3D01G264800;TraesCS3A01G212600;TraesCS6D01G173700;TraesCS3B01G083400;TraesCS1D01G426400;TraesCS5A01G092400;TraesCS4A01G111000;TraesCS3D01G384700;TraesCS5D01G081700;TraesCS7D01G454700;TraesCS3A01G313300;TraesCS6B01G371500;TraesCS2A01G392900;TraesCS5A01G024600;TraesCS7B01G393300;TraesCS1A01G388400;TraesCS4A01G092500;TraesCS2B01G505400;TraesCS2B01G528300;TraesCS3D01G513500;TraesCS4A01G101200;TraesCS6D01G357100;TraesCS7B01G181200;TraesCS4D01G147500;TraesCS3B01G426500;TraesCS6A01G269400;TraesCS1A01G418700;TraesCS2A01G302500;TraesCS2B01G385300;TraesCS5A01G429500;TraesCS7D01G486400;TraesCS3B01G161900;TraesCS5B01G102600;TraesCS2A01G149600;TraesCS2B01G415500;TraesCS3D01G182400;TraesCS6B01G181300;TraesCS7B01G182300;TraesCS2A01G290900;TraesCS6A01G171300;TraesCS2D01G487700;TraesCS6A01G312100;TraesCS3D01G275600;TraesCS2A01G007000;TraesCS2D01G310000;TraesCS1A01G086500;TraesCS1A01G145000;TraesCS4A01G264400;TraesCS2D01G385000;TraesCS3D01G124400;TraesCS7B01G393400;TraesCS1D01G178000;TraesCS6B01G035700;TraesCS3D01G294200;TraesCS2A01G430500;TraesCS2B01G018500;TraesCS7D01G218000;TraesCS4B01G138800;TraesCS7D01G004500;TraesCS4B01G144000;TraesCS4D01G193500;TraesCS6B01G285500;TraesCS3A01G068500;TraesCS6A01G200200;TraesCS3D01G196700;TraesCS1D01G144000;TraesCS5A01G157000;TraesCS7A01G235300;TraesCS5B01G529300;TraesCS7A01G149200;TraesCS6A01G186800;TraesCS2B01G411000;TraesCS2A01G149500;TraesCS2B01G157600;TraesCS5A01G212500;TraesCS5D01G417400;TraesCS3A01G220700;TraesCS7D01G476500;TraesCS1A01G035900;TraesCS6B01G076300;TraesCS3A01G023800;TraesCS5D01G258900;TraesCS3A01G184800;TraesCS2A01G521400;TraesCS5B01G155200;TraesCS3A01G161800;TraesCS4D01G194300;TraesCS2D01G288800;TraesCS6D01G091600;TraesCS3B01G291000;TraesCS7A01G480700;TraesCS7D01G452200;TraesCS5D01G078500;TraesCS1A01G315900;TraesCS1A01G249100;TraesCS2A01G226000;TraesCS2B01G107200;TraesCS3A01G275300;TraesCS6D01G245600;TraesCS5A01G548800;TraesCS2B01G307500;TraesCS2D01G167300;TraesCS2A01G387000;TraesCS5B01G344200;TraesCS6D01G302200;TraesCS2B01G198300;TraesCS6D01G174700;TraesCS4D01G092800;TraesCS4D01G172400;TraesCS3B01G309400;TraesCS3B01G491300;TraesCS6D01G221400;TraesCS2B01G217700;TraesCS6D01G315500;TraesCS3D01G068900;TraesCS6A01G078200;TraesCS7D01G457900;TraesCS5B01G511800;TraesCS2D01G249200;TraesCS7B01G421800;TraesCS6A01G267300;TraesCS2B01G318400;TraesCS7B01G169100;TraesCS3B01G322800;TraesCS5D01G231200;TraesCSU01G009200;TraesCS2A01G431900;TraesCS2B01G321700;TraesCS3A01G069900;TraesCS5D01G478900;TraesCS5B01G155100;TraesCS5A01G036600;TraesCS1B01G213300;TraesCS2D01G500600;TraesCS1A01G111100;TraesCS1D01G390500;TraesCS4A01G164900;TraesCS5A01G223700;TraesCS5B01G136500;TraesCS3A01G107900;TraesCS4B01G332300;TraesCS5D01G512300;TraesCS5D01G162500;TraesCS2B01G454000;TraesCS5B01G344300;TraesCS1B01G293500;TraesCS6B01G100000;TraesCS6D01G396700;TraesCS2B01G051500;TraesCS4D01G080700;TraesCS2D01G473500;TraesCS7B01G124100;TraesCS6D01G245500;TraesCS1A01G101300;TraesCS5D01G060900;TraesCS4D01G086000;TraesCS6B01G161800;TraesCS1A01G284300;TraesCS2A01G040000;TraesCS5B01G074200;TraesCS3B01G332500;TraesCS1A01G020500;TraesCS7B01G089500;TraesCS2B01G352300;TraesCS7D01G130500;TraesCS2B01G293400;TraesCS4B01G380800;TraesCS6A01G163500;TraesCS5A01G067300;TraesCS2B01G191800</t>
  </si>
  <si>
    <t>TraesCS2D01G399800;TraesCS7A01G466600;TraesCS1D01G264100;TraesCS6D01G337700;TraesCS1A01G264000;TraesCS1D01G092200;TraesCS3B01G423600;TraesCS1B01G049300;TraesCS5B01G339200;TraesCS1A01G254400;TraesCS2B01G592500;TraesCS2D01G362700;TraesCS1A01G086500;TraesCS1B01G274600;TraesCS3D01G273800;TraesCS2A01G392900;TraesCS2B01G227800;TraesCS2A01G467900;TraesCS4B01G288200;TraesCS5D01G504600;TraesCS7D01G454200;TraesCS3A01G091100;TraesCS3D01G091000;TraesCS2D01G208300;TraesCS4A01G120000;TraesCS4B01G091100;TraesCS1A01G100600;TraesCS5D01G429200;TraesCS7A01G323200;TraesCS1B01G110400;TraesCS5A01G472100;TraesCS6A01G343500;TraesCS2A01G200500</t>
  </si>
  <si>
    <t>meristem development</t>
  </si>
  <si>
    <t>TraesCS5B01G413400;TraesCS5A01G489100;TraesCS7A01G143900;TraesCS7B01G103100;TraesCS4D01G152000;TraesCS1A01G206600;TraesCS2A01G400900;TraesCS7D01G326000;TraesCS5A01G328900;TraesCS7B01G097000;TraesCS2B01G150400;TraesCS7B01G464900;TraesCS7A01G192000;TraesCS6B01G348700;TraesCS2A01G585800;TraesCS3B01G254200;TraesCS2D01G398400;TraesCS3D01G228900;TraesCS2B01G222600;TraesCSU01G132400;TraesCS2D01G202900;TraesCS2A01G128300;TraesCS2D01G237600;TraesCS7B01G092500;TraesCS7D01G193000</t>
  </si>
  <si>
    <t>trans-Golgi network</t>
  </si>
  <si>
    <t>TraesCS3D01G426300;TraesCS5D01G420300;TraesCS1D01G409700;TraesCS3A01G367000;TraesCS4A01G167000;TraesCS7D01G283600;TraesCS1B01G049300;TraesCS2B01G592500;TraesCS2D01G362700;TraesCS4B01G286700;TraesCS2D01G205900;TraesCS2D01G427900;TraesCS3B01G441000;TraesCS6A01G143300;TraesCS6D01G122800;TraesCS4D01G135000;TraesCS5A01G411500;TraesCS3B01G324500;TraesCS5D01G429200;TraesCS6A01G133100;TraesCS6A01G267300;TraesCS4B01G164800;TraesCS7A01G294200;TraesCS2A01G200500;TraesCS3A01G151100;TraesCS7B01G186500;TraesCS1A01G180200;TraesCS5B01G415100;TraesCS3D01G289600;TraesCS5A01G424400;TraesCS4B01G204500;TraesCS3A01G189400;TraesCS5A01G395200;TraesCS6D01G132500;TraesCS6D01G283300;TraesCS2B01G227800;TraesCS2D01G238600;TraesCS7D01G349600;TraesCS5B01G036800;TraesCS4B01G276500;TraesCS2D01G208300;TraesCS6B01G171600;TraesCS4B01G180100;TraesCS5B01G534400;TraesCS6A01G303800;TraesCS2B01G264100;TraesCS4B01G109700;TraesCS4B01G285000;TraesCS3A01G295400;TraesCS4A01G093100;TraesCS1B01G200300</t>
  </si>
  <si>
    <t>TraesCS1B01G255100;TraesCS5B01G270200;TraesCS6B01G470700;TraesCS5A01G484700;TraesCS6B01G089500;TraesCS2A01G193800;TraesCS1A01G206900;TraesCS2D01G118000;TraesCS5A01G114600;TraesCS3D01G359500;TraesCS1D01G210200;TraesCS3D01G514100;TraesCS4D01G220700;TraesCS2D01G194000;TraesCS1B01G220700;TraesCS6A01G418800;TraesCS4B01G220400;TraesCS2D01G136100;TraesCS1A01G007500;TraesCS4D01G025300;TraesCS6B01G192500;TraesCS7A01G239700;TraesCS2B01G325100;TraesCS4D01G003100;TraesCS6A01G158800;TraesCS5A01G030400;TraesCS3A01G191700;TraesCS3B01G219700;TraesCS2B01G157600</t>
  </si>
  <si>
    <t>plastid membrane</t>
  </si>
  <si>
    <t>TraesCS4B01G083600;TraesCS4A01G232300;TraesCS4D01G081600;TraesCS5A01G230400;TraesCS7A01G108600;TraesCS7B01G006600;TraesCS5B01G228900;TraesCS2B01G405600;TraesCS5D01G237400;TraesCS6D01G287300;TraesCS6A01G308100</t>
  </si>
  <si>
    <t>NAD(P)H dehydrogenase complex (plastoquinone)</t>
  </si>
  <si>
    <t>TraesCS3D01G384700;TraesCS3B01G423800;TraesCS6A01G311200;TraesCS6B01G341400;TraesCS7B01G111000;TraesCS3D01G205300;TraesCS7A01G204000;TraesCS3A01G391800;TraesCS7D01G207100</t>
  </si>
  <si>
    <t>TraesCS3B01G423800;TraesCS7B01G111000;TraesCS2A01G129900;TraesCS4A01G110800;TraesCS7A01G204000;TraesCS5D01G141200;TraesCS1D01G226500;TraesCS4D01G194300;TraesCS1B01G326400;TraesCS1B01G049300;TraesCS6B01G399000;TraesCS3D01G384700;TraesCS1A01G315900;TraesCS6B01G341400;TraesCS6D01G348000;TraesCS2B01G152100;TraesCS3A01G391800;TraesCS3A01G097200;TraesCS3A01G393400;TraesCS2D01G132100;TraesCS6A01G311200;TraesCS7D01G207100;TraesCS1D01G316200;TraesCS3B01G112900;TraesCS1D01G314600;TraesCS2A01G171900;TraesCS3D01G205300;TraesCS6A01G364300</t>
  </si>
  <si>
    <t>TraesCS3A01G151100;TraesCS3D01G426300;TraesCS3A01G367000;TraesCS7D01G283600;TraesCS4B01G204500;TraesCS1A01G195500;TraesCS4B01G154100;TraesCS2A01G193800;TraesCS5A01G324200;TraesCS6D01G344200;TraesCS6D01G132500;TraesCS1D01G199100;TraesCS6D01G283300;TraesCS2D01G194000;TraesCS1D01G086600;TraesCS2D01G238600;TraesCS6A01G143300;TraesCS4D01G153900;TraesCS5B01G036800;TraesCS6D01G122800;TraesCS1D01G303800;TraesCS3B01G185300;TraesCS6B01G171600;TraesCS1D01G316200;TraesCS2B01G297800;TraesCS4D01G135000;TraesCS1D01G423500;TraesCS3D01G228800;TraesCS6A01G303800;TraesCS3D01G083400;TraesCS2A01G280500;TraesCS5B01G324800;TraesCS6A01G133100;TraesCS6B01G393600;TraesCS2D01G279300;TraesCS3A01G082700;TraesCS5D01G459800;TraesCS6A01G267300;TraesCS1A01G416000;TraesCS4D01G160200;TraesCS3A01G224800</t>
  </si>
  <si>
    <t>TraesCS1B01G366400;TraesCS4A01G387000;TraesCS2A01G430500;TraesCS7A01G231700;TraesCS7D01G200800;TraesCS1A01G110900;TraesCS2B01G451100;TraesCS6D01G259500;TraesCS1A01G355200;TraesCS6A01G279100;TraesCS6B01G307200;TraesCS7B01G104400;TraesCS7D01G228500;TraesCS7A01G190500;TraesCS7A01G226000;TraesCS4A01G111000;TraesCS1B01G165500;TraesCS7D01G232000;TraesCS3A01G276100;TraesCS3B01G309700;TraesCS7A01G088100;TraesCS7D01G083200</t>
  </si>
  <si>
    <t>TraesCS1D01G264100;TraesCS3A01G023800;TraesCS4A01G194100;TraesCS5A01G396700;TraesCS1D01G226500;TraesCS2B01G271300;TraesCS3A01G270600;TraesCS2D01G362700;TraesCS2D01G251000;TraesCS1D01G013100;TraesCS5A01G548800;TraesCS2D01G118000;TraesCS2D01G205900;TraesCSU01G072700;TraesCS3D01G273800;TraesCS2A01G387000;TraesCS5D01G118200;TraesCS4D01G132900;TraesCS4D01G153900;TraesCS4B01G220400;TraesCS5B01G378700;TraesCS5D01G429200;TraesCS3B01G154900;TraesCS1B01G019300;TraesCS4D01G213800;TraesCS1B01G255100;TraesCS7A01G250500;TraesCS1A01G264000;TraesCS5D01G260600;TraesCS1A01G180200;TraesCS7A01G307000;TraesCS3A01G214000;TraesCS6A01G312100;TraesCS3D01G275600;TraesCS6D01G210000;TraesCS4D01G220700;TraesCS6D01G174500;TraesCS3A01G513500;TraesCS6A01G225200;TraesCS1D01G412600;TraesCS4D01G359000;TraesCS1B01G434400;TraesCS4A01G120000;TraesCS6B01G256400;TraesCS6B01G231600;TraesCS6B01G342300;TraesCS5D01G459800;TraesCS7B01G117600;TraesCS1B01G200300;TraesCS7B01G207300</t>
  </si>
  <si>
    <t>fruit development</t>
  </si>
  <si>
    <t>TraesCS1D01G264100;TraesCS3B01G423800;TraesCS6A01G360600;TraesCS3A01G184800;TraesCS7B01G111000;TraesCS2A01G129900;TraesCS1A01G260500;TraesCS1D01G260500;TraesCS5B01G171400;TraesCS1B01G326400;TraesCS3D01G384700;TraesCS6A01G268600;TraesCS3B01G214600;TraesCS1B01G274600;TraesCS7D01G454700;TraesCSU01G072700;TraesCS2B01G152100;TraesCS6B01G295700;TraesCS4A01G178600;TraesCS6A01G311200;TraesCS6A01G040200;TraesCS5D01G532100;TraesCS7D01G207100;TraesCS5B01G378700;TraesCS5A01G467500;TraesCS7A01G490900;TraesCS5B01G094600;TraesCS3B01G242700;TraesCS4A01G030400;TraesCS1B01G271100;TraesCS6B01G393500;TraesCS7A01G323200;TraesCS4D01G133500;TraesCS5B01G479200;TraesCS7A01G466900;TraesCS1A01G264000;TraesCS5B01G335500;TraesCS7A01G204000;TraesCS5B01G058200;TraesCS5A01G336500;TraesCS3A01G200400;TraesCS6B01G341400;TraesCS6D01G344100;TraesCS3A01G391800;TraesCS3A01G393400;TraesCS2D01G132100;TraesCS5D01G341200;TraesCS1D01G298400;TraesCS1D01G314600;TraesCS1D01G125300;TraesCS3D01G203400;TraesCS5D01G480300;TraesCS7B01G119300;TraesCS3D01G205300;TraesCS6D01G246300;TraesCS1A01G129400;TraesCS1A01G299500;TraesCS5D01G285200;TraesCS3D01G188800</t>
  </si>
  <si>
    <t>TraesCS3A01G151100;TraesCS6A01G146500;TraesCS7D01G227300;TraesCS2A01G517500;TraesCS1A01G180200;TraesCS1D01G396300;TraesCS5B01G155200;TraesCS6B01G454500;TraesCS3A01G212000;TraesCS2A01G309600;TraesCS4A01G164900;TraesCS1A01G254400;TraesCS5D01G162400;TraesCS5A01G324200;TraesCS4A01G226900;TraesCS7D01G349600;TraesCS2B01G528300;TraesCS3A01G100000;TraesCS4D01G153900;TraesCS7D01G280600;TraesCS4D01G135000;TraesCS5A01G157000;TraesCS7D01G407700;TraesCS5B01G324800;TraesCS6A01G408400;TraesCS6D01G135800;TraesCS1B01G200300</t>
  </si>
  <si>
    <t>regulation of localization</t>
  </si>
  <si>
    <t>TraesCS2B01G401900;TraesCS3A01G212600;TraesCS7B01G352800;TraesCS2A01G431900;TraesCS2B01G321700;TraesCS2D01G303500;TraesCS5B01G335500;TraesCS4A01G110800;TraesCS5D01G141200;TraesCS1D01G226500;TraesCS4D01G194300;TraesCS1B01G343100;TraesCS1B01G326400;TraesCS5A01G336500;TraesCS1B01G049300;TraesCS4B01G246900;TraesCS1A01G315900;TraesCS1A01G172100;TraesCS3A01G099300;TraesCS3B01G209400;TraesCS5D01G359800;TraesCS3A01G097200;TraesCS4A01G058000;TraesCS6D01G398100;TraesCS3A01G393400;TraesCS4D01G153900;TraesCS4A01G178600;TraesCS2A01G103300;TraesCS5D01G341200;TraesCS6B01G304100;TraesCS3B01G426500;TraesCS4B01G138800;TraesCS7D01G442100;TraesCS1D01G316200;TraesCS7A01G452800;TraesCS4D01G246300;TraesCS1D01G314600;TraesCS2A01G171900;TraesCS7A01G323200;TraesCS4D01G133500;TraesCS5A01G472100</t>
  </si>
  <si>
    <t>TraesCS1A01G323200;TraesCS3D01G426300;TraesCS7A01G223300;TraesCS2A01G404700;TraesCS2A01G246600;TraesCS5B01G249000;TraesCS6D01G165800;TraesCS3B01G222700;TraesCS5D01G388000;TraesCS3D01G273800;TraesCS5A01G378000;TraesCS5B01G239200;TraesCS2D01G427900;TraesCS5B01G143300;TraesCS4A01G134800;TraesCS5A01G106900;TraesCS4B01G288200;TraesCS2D01G014800;TraesCS1B01G197100;TraesCS6B01G161300;TraesCS5A01G144200;TraesCS6D01G334400;TraesCS7B01G240200;TraesCS7D01G083900;TraesCS3B01G185300;TraesCS4B01G117900;TraesCS4D01G135000;TraesCS5D01G429200;TraesCS5B01G171200;TraesCS2B01G004000;TraesCS7B01G117700;TraesCS3A01G151100;TraesCS5B01G381600;TraesCS7D01G336600;TraesCS3A01G075700;TraesCS7A01G307000;TraesCS4D01G292900;TraesCS4B01G204500;TraesCS4B01G397700;TraesCS2A01G203100;TraesCS3A01G192400;TraesCS4A01G197700;TraesCS6A01G105400;TraesCS4B01G158000;TraesCS1B01G254000;TraesCS3A01G513500;TraesCS5A01G251000;TraesCS3A01G530100;TraesCS4A01G197600;TraesCS7B01G129300;TraesCS1B01G336000;TraesCS1D01G412600;TraesCS2D01G212600;TraesCS4A01G015800;TraesCS4A01G120000;TraesCS4B01G373400;TraesCS7D01G224400;TraesCS3D01G196700;TraesCS6A01G303800;TraesCS2D01G443100;TraesCS5D01G178300;TraesCS3B01G221200;TraesCS3D01G220400;TraesCS3A01G310200;TraesCS1B01G447500;TraesCS1B01G462200;TraesCS6B01G239000;TraesCS3D01G075800;TraesCSU01G058200;TraesCS5B01G270200;TraesCS5D01G258900;TraesCS4A01G194100;TraesCS5A01G489100;TraesCS3A01G367000;TraesCS4A01G167000;TraesCS5B01G300100;TraesCS1B01G383200;TraesCS5B01G157500;TraesCS6B01G384900;TraesCS7D01G283600;TraesCS4D01G234800;TraesCS6A01G373200;TraesCS2D01G362700;TraesCS3D01G308500;TraesCS1A01G365600;TraesCS2D01G389900;TraesCS4D01G115600;TraesCS4A01G077600;TraesCS6D01G094200;TraesCS6A01G082800;TraesCS4D01G096200;TraesCS6A01G070700;TraesCS7A01G222800;TraesCS4A01G138800;TraesCS3B01G432600;TraesCS6D01G122600;TraesCS7D01G119700;TraesCS4D01G172400;TraesCS3D01G341200;TraesCS7B01G020100;TraesCS3A01G158500;TraesCS5A01G173800;TraesCS3A01G530000;TraesCS6B01G134800;TraesCS3D01G271800;TraesCS3A01G232700;TraesCS7D01G224900;TraesCS3B01G180600;TraesCS4B01G091100;TraesCS1B01G212500;TraesCS3A01G272200;TraesCS5A01G159800;TraesCS6A01G267300;TraesCS4B01G164800;TraesCS3A01G339900;TraesCS1A01G259700;TraesCS4B01G170400;TraesCS7A01G342800;TraesCS5D01G164800;TraesCS4D01G115500;TraesCS2B01G410100;TraesCS6D01G283300;TraesCS6D01G247400;TraesCS2D01G238600;TraesCS6A01G210200;TraesCS2B01G230200;TraesCS2D01G300400;TraesCS3A01G498300;TraesCS5B01G036800;TraesCS2A01G216100;TraesCS6B01G115200;TraesCS1B01G434400;TraesCS4B01G117800;TraesCS4A01G216200;TraesCS2B01G325100;TraesCS5B01G104800;TraesCS2D01G280900;TraesCS3B01G221400;TraesCS7B01G207300;TraesCS5D01G247600;TraesCS1A01G165700</t>
  </si>
  <si>
    <t>TraesCS6D01G016900;TraesCS1A01G323600;TraesCS7A01G036200;TraesCS5B01G484700;TraesCS5B01G249000;TraesCS2A01G246200;TraesCS5A01G200800;TraesCS4B01G397600;TraesCS3D01G271500;TraesCS4A01G226500;TraesCS1B01G146200;TraesCSU01G112400;TraesCS6B01G295700;TraesCS3B01G206600;TraesCS7D01G467500;TraesCS3B01G193200;TraesCS5B01G412400;TraesCS6B01G249700;TraesCS2A01G262700;TraesCS3A01G228000;TraesCS4B01G169900;TraesCS6B01G411900;TraesCS7D01G056800;TraesCS7A01G541200;TraesCS1A01G355200;TraesCS7B01G382800;TraesCS4B01G050200;TraesCS5D01G444700;TraesCS6B01G132300;TraesCS7B01G104400;TraesCS4D01G135000;TraesCS5B01G094600;TraesCS3B01G242700;TraesCS5A01G200900;TraesCS6B01G388800;TraesCS5A01G344100;TraesCS1D01G444900;TraesCS2A01G171900;TraesCS2A01G361100;TraesCS5A01G390000;TraesCS6D01G142900;TraesCS3D01G474000;TraesCS7A01G464600;TraesCS3A01G178900;TraesCS5B01G159100;TraesCS3A01G229100;TraesCS7B01G365100;TraesCS4D01G292900;TraesCS3A01G216100;TraesCS3A01G344300;TraesCS5D01G376600;TraesCS4D01G184400;TraesCS6B01G262800;TraesCS1B01G469400;TraesCS5D01G399800;TraesCS3A01G091100;TraesCS6B01G270400;TraesCS3B01G208800;TraesCS5A01G251000;TraesCS6A01G225200;TraesCS3A01G303800;TraesCS5B01G082400;TraesCS4D01G250100;TraesCS6D01G365100;TraesCS4A01G361100;TraesCS5B01G229300;TraesCS1A01G423100;TraesCS2D01G093700;TraesCS1A01G125000;TraesCS6B01G428300;TraesCS3B01G309700;TraesCS5A01G115000;TraesCS3B01G376200;TraesCS5D01G396300;TraesCSU01G111400;TraesCS5D01G420300;TraesCS6A01G245000;TraesCS1D01G396300;TraesCS6D01G161000;TraesCS1D01G260500;TraesCS2D01G322800;TraesCS5B01G171400;TraesCSU01G133300;TraesCS2A01G387400;TraesCS1B01G274600;TraesCS7B01G317000;TraesCS3D01G369100;TraesCS4A01G191500;TraesCS1A01G275400;TraesCS4D01G132900;TraesCS4D01G172000;TraesCS7B01G162300;TraesCS7D01G543200;TraesCS5D01G100800;TraesCS6B01G159800;TraesCS6A01G234000;TraesCS1B01G271100;TraesCS6A01G158300;TraesCS7A01G499600;TraesCS7B01G451700;TraesCS5B01G479200;TraesCS6A01G125400;TraesCS7A01G466900;TraesCS1B01G366400;TraesCS2D01G213100;TraesCS5D01G044700;TraesCS6B01G296700;TraesCS6D01G358500;TraesCS3D01G474200;TraesCS7A01G510900;TraesCS5A01G357400;TraesCS5D01G405400;TraesCS3A01G214000;TraesCS5D01G161800;TraesCS1A01G025900;TraesCS4D01G079200;TraesCS4D01G142600;TraesCS2B01G328500;TraesCS2D01G597600;TraesCS3B01G266900;TraesCS3D01G336200;TraesCS6D01G344100;TraesCS7D01G291200;TraesCS7D01G364400;TraesCS2A01G159900;TraesCS1D01G431700;TraesCS3B01G103500;TraesCS6A01G279100;TraesCS7B01G066000;TraesCS3A01G288200;TraesCS4B01G314600;TraesCS6D01G189700;TraesCS1D01G314600;TraesCS1D01G387600;TraesCS4A01G005000;TraesCS4A01G078800;TraesCS6B01G099900;TraesCS3A01G276100;TraesCS1A01G299500;TraesCS2A01G487500;TraesCS4D01G036500;TraesCS6B01G428100;TraesCS6D01G060400;TraesCS6D01G399000;TraesCS2D01G049500;TraesCS1D01G264100;TraesCS2D01G213200;TraesCS5D01G013100;TraesCS3B01G423800;TraesCS3B01G442200;TraesCS5B01G222600;TraesCS3B01G207300;TraesCS6B01G213100;TraesCS7D01G542200;TraesCS2B01G514800;TraesCS3B01G222700;TraesCS7A01G390300;TraesCS3A01G342300;TraesCS4A01G375000;TraesCS1D01G275000;TraesCSU01G158800;TraesCS4B01G050600;TraesCS4A01G134800;TraesCS2D01G310900;TraesCS5B01G539900;TraesCS6D01G227300;TraesCS4B01G138100;TraesCS4A01G178600;TraesCS5D01G366500;TraesCS3D01G217700;TraesCS4B01G140300;TraesCS1A01G110900;TraesCS3D01G507500;TraesCS4D01G252700;TraesCS6B01G174100;TraesCS7A01G264300;TraesCS1D01G316200;TraesCS7D01G228500;TraesCS1B01G348800;TraesCS5A01G050100;TraesCS5B01G154600;TraesCS6B01G199500;TraesCS2D01G015500;TraesCS6D01G007800;TraesCS7A01G076600;TraesCS3A01G484800;TraesCS6B01G141400;TraesCS3B01G299100;TraesCS3D01G241900;TraesCS1A01G264000;TraesCS4A01G177500;TraesCS7D01G040400;TraesCS5D01G141200;TraesCS5A01G054700;TraesCS2B01G462500;TraesCS3D01G282800;TraesCS6D01G216300;TraesCS2D01G198300;TraesCS3A01G282800;TraesCS5D01G261300;TraesCS3D01G298000;TraesCS2D01G362200;TraesCS5B01G537700;TraesCS3B01G254500;TraesCS7B01G005700;TraesCS7A01G004000;TraesCS1D01G219200;TraesCS3D01G376500;TraesCS1A01G177600;TraesCS6D01G166400;TraesCS6B01G256400;TraesCS2B01G304900;TraesCS1A01G198400;TraesCS1B01G378000;TraesCS3D01G203400;TraesCS7B01G241900;TraesCS2D01G304000;TraesCS1D01G211600;TraesCS4D01G240700;TraesCS7A01G313900;TraesCS2B01G174600;TraesCS7D01G332300;TraesCS6B01G294700;TraesCS5A01G367700;TraesCS7A01G005100;TraesCS3D01G109700;TraesCS7B01G052900;TraesCS2B01G451100;TraesCS4A01G217700;TraesCS1B01G301500;TraesCS3B01G316500;TraesCS3B01G093800;TraesCS1A01G361400;TraesCS2D01G523100;TraesCS2B01G405200;TraesCS2B01G462400;TraesCS3A01G060300;TraesCS3D01G516300;TraesCS4A01G111600;TraesCS2A01G092400;TraesCS5A01G156400;TraesCS3A01G112800;TraesCS2A01G480500;TraesCS4A01G262900;TraesCS4A01G367700;TraesCS7D01G377200;TraesCS6A01G336800;TraesCS3D01G068100;TraesCS3D01G288000;TraesCS5D01G402300;TraesCS7D01G020700;TraesCS6A01G322400;TraesCS5D01G113700;TraesCS4D01G107000;TraesCS5B01G037500;TraesCS7D01G032800;TraesCS6D01G028400;TraesCS2A01G202600;TraesCS7D01G011800;TraesCS3B01G305600;TraesCS3B01G299300;TraesCS5D01G424400;TraesCS2B01G174700;TraesCS2A01G150000;TraesCS2D01G154600;TraesCS5D01G437600;TraesCSU01G131300;TraesCS2B01G185800;TraesCS5D01G005300;TraesCS1A01G172100;TraesCS7D01G123400;TraesCS2A01G014300;TraesCS4A01G247300;TraesCS6D01G147700;TraesCS6A01G231900;TraesCS7D01G190300;TraesCS6B01G304100;TraesCS3A01G538300;TraesCS3B01G607600;TraesCS5D01G087800;TraesCS7B01G269300;TraesCS3D01G091000;TraesCS7A01G062100;TraesCS3B01G141700;TraesCS7B01G236400;TraesCS2B01G604300;TraesCS6B01G117100;TraesCS7A01G226000;TraesCS5A01G113700;TraesCS3B01G269900;TraesCS7B01G446500;TraesCS1A01G314100;TraesCS5D01G480300;TraesCS7D01G386000;TraesCS2D01G594500;TraesCS5D01G098800;TraesCS1A01G129400;TraesCS6D01G028300;TraesCS6D01G121300;TraesCS1B01G259800;TraesCS4B01G252400;TraesCS5D01G525000;TraesCS6A01G360600;TraesCS2A01G517500;TraesCS2D01G479900;TraesCS2B01G307300;TraesCS3B01G224600;TraesCS6A01G184000;TraesCS1A01G260500;TraesCS5A01G032500;TraesCS5B01G155400;TraesCS5D01G428900;TraesCS3D01G285100;TraesCS3D01G411200;TraesCS5D01G219500;TraesCS5D01G162400;TraesCS6A01G268600;TraesCS6D01G077500;TraesCS7D01G150200;TraesCS5D01G359800;TraesCS2B01G229600;TraesCS7A01G148600;TraesCS5D01G528400;TraesCS6B01G113200;TraesCS1A01G292100;TraesCS4B01G186700;TraesCS5B01G156500;TraesCS5B01G431500;TraesCS6A01G153600;TraesCS6B01G226000;TraesCS6D01G180500;TraesCS5A01G467500;TraesCS3B01G408800;TraesCS3B01G131400;TraesCS6B01G233800;TraesCS6D01G236400;TraesCS2B01G597700;TraesCS4B01G126400;TraesCS4D01G133500;TraesCS3D01G169000;TraesCS6D01G320800;TraesCS7A01G088100;TraesCS3D01G019000;TraesCS6A01G379000;TraesCS2D01G565200;TraesCS5B01G415100;TraesCS3A01G122500;TraesCS4B01G090000;TraesCS2D01G248600;TraesCS7A01G321900;TraesCS6B01G174500;TraesCS2A01G299200;TraesCS7D01G265200;TraesCS2D01G440100;TraesCS6B01G039900;TraesCS4B01G171300;TraesCS6B01G056200;TraesCS2D01G291200;TraesCS3D01G275200;TraesCS5A01G305400;TraesCS2B01G263300;TraesCS3B01G568500;TraesCS3D01G345500;TraesCS2A01G103300;TraesCS7A01G417000;TraesCS4D01G359000;TraesCS1D01G055200;TraesCS2A01G579900;TraesCS1A01G016200;TraesCS2A01G330000;TraesCS3B01G246600;TraesCS6B01G231400;TraesCS5A01G547300;TraesCS1D01G020000;TraesCS5A01G491400;TraesCS7B01G052200;TraesCS2A01G187700;TraesCS3D01G188800;TraesCS5D01G206500;TraesCS7A01G491200;TraesCS4A01G494400;TraesCS5A01G466100;TraesCS2B01G342100;TraesCS1B01G326400;TraesCS3B01G555600;TraesCS2D01G362700;TraesCS3A01G275700;TraesCS3B01G214600;TraesCS4D01G096200;TraesCS5D01G332000;TraesCS3D01G237100;TraesCS6A01G103200;TraesCS7D01G083200;TraesCS3B01G309000;TraesCS4D01G212600;TraesCS7A01G335900;TraesCS3A01G238400;TraesCS5D01G505700;TraesCS7D01G278800;TraesCS5D01G312400;TraesCS2A01G344500;TraesCS7D01G035000;TraesCS1B01G478800;TraesCS3A01G085200;TraesCS1D01G443100;TraesCS5A01G411500;TraesCS7A01G235200;TraesCS7D01G072300;TraesCS4B01G160600;TraesCS3B01G374400;TraesCS6B01G365300;TraesCS6B01G393500;TraesCS5A01G191100;TraesCS5A01G101900;TraesCS4D01G315200;TraesCS5D01G040800;TraesCS4A01G387000;TraesCS5A01G088400;TraesCS2A01G095300;TraesCS3A01G264700;TraesCS4A01G452700;TraesCS4B01G170400;TraesCS2D01G303500;TraesCS7D01G200800;TraesCS7D01G410100;TraesCS2D01G301200;TraesCS4A01G110800;TraesCS6D01G259500;TraesCS4D01G089800;TraesCS6B01G307200;TraesCS1D01G352300;TraesCS4A01G051900;TraesCS3A01G200400;TraesCS5B01G199400;TraesCS1D01G151800;TraesCS3B01G564100;TraesCS4D01G004000;TraesCS5D01G399200;TraesCS5B01G509100;TraesCS1A01G313300;TraesCS6D01G210000;TraesCS7D01G123000;TraesCS3A01G391800;TraesCS6D01G247400;TraesCS3A01G376300;TraesCS4B01G211800;TraesCS2B01G229500;TraesCS4A01G090100;TraesCS4D01G214800;TraesCS5B01G504900;TraesCS3D01G217600;TraesCS5A01G387700;TraesCS6D01G363400;TraesCS2D01G568400;TraesCS4B01G276500;TraesCS5B01G397300;TraesCS2D01G545300;TraesCS1D01G298400;TraesCS5B01G395000;TraesCS4A01G216200;TraesCS4D01G298800;TraesCS7A01G239700;TraesCS1D01G125300;TraesCS6B01G342300;TraesCS5B01G075800;TraesCS7A01G279000;TraesCS4A01G059500;TraesCS5B01G477800;TraesCS6D01G246300;TraesCS3D01G446200;TraesCS3A01G241700;TraesCS3D01G264800;TraesCS3A01G212600;TraesCS6D01G173700;TraesCS3B01G083400;TraesCS1D01G426400;TraesCS5A01G092400;TraesCS4A01G111000;TraesCS3D01G384700;TraesCS5D01G081700;TraesCS7D01G454700;TraesCS3A01G313300;TraesCS6B01G371500;TraesCS2A01G392900;TraesCS5A01G024600;TraesCS7B01G393300;TraesCS1A01G388400;TraesCS4A01G092500;TraesCS2B01G505400;TraesCS2B01G528300;TraesCS3D01G513500;TraesCS4A01G101200;TraesCS6D01G357100;TraesCS7B01G181200;TraesCS4D01G147500;TraesCS3B01G426500;TraesCS6A01G269400;TraesCS1A01G418700;TraesCS2A01G302500;TraesCS2B01G385300;TraesCS5A01G429500;TraesCS7D01G486400;TraesCS3B01G161900;TraesCS5B01G102600;TraesCS2A01G149600;TraesCS2B01G415500;TraesCS3D01G182400;TraesCS6B01G181300;TraesCS7B01G182300;TraesCS2A01G290900;TraesCS6A01G171300;TraesCS2D01G487700;TraesCS6A01G312100;TraesCS3D01G275600;TraesCS2A01G007000;TraesCS2D01G310000;TraesCS1A01G086500;TraesCS1A01G145000;TraesCS4A01G264400;TraesCS2D01G385000;TraesCS3D01G124400;TraesCS7B01G393400;TraesCS1D01G178000;TraesCS6B01G035700;TraesCS3D01G294200;TraesCS2A01G430500;TraesCS2B01G018500;TraesCS7D01G218000;TraesCS4B01G138800;TraesCS7D01G004500;TraesCS4B01G144000;TraesCS4D01G193500;TraesCS6B01G285500;TraesCS3A01G068500;TraesCS6A01G200200;TraesCS3D01G196700;TraesCS1D01G144000;TraesCS5A01G157000;TraesCS7A01G235300;TraesCS5B01G529300;TraesCS7A01G149200;TraesCS6A01G186800;TraesCS2B01G411000;TraesCS2A01G149500;TraesCS2B01G157600;TraesCS5A01G212500;TraesCS5D01G417400;TraesCS3A01G220700;TraesCS7D01G476500;TraesCS1A01G035900;TraesCS6B01G076300;TraesCS3A01G023800;TraesCS5D01G258900;TraesCS3A01G184800;TraesCS2A01G521400;TraesCS5B01G155200;TraesCS3A01G161800;TraesCS4D01G194300;TraesCS2D01G288800;TraesCS6D01G091600;TraesCS3B01G291000;TraesCS7A01G480700;TraesCS7D01G452200;TraesCS5D01G078500;TraesCS1A01G315900;TraesCS1A01G249100;TraesCS2A01G226000;TraesCS2B01G107200;TraesCS3A01G275300;TraesCS6D01G245600;TraesCS5A01G548800;TraesCS2B01G307500;TraesCS2D01G167300;TraesCS2A01G387000;TraesCS5B01G344200;TraesCS6D01G302200;TraesCS2B01G198300;TraesCS6D01G174700;TraesCS4D01G092800;TraesCS4D01G172400;TraesCS3B01G309400;TraesCS3B01G491300;TraesCS6D01G221400;TraesCS2B01G217700;TraesCS6D01G315500;TraesCS3D01G068900;TraesCS6A01G078200;TraesCS7D01G457900;TraesCS5B01G511800;TraesCS2D01G249200;TraesCS7B01G421800;TraesCS6A01G267300;TraesCS2B01G318400;TraesCS7B01G169100;TraesCS3B01G322800;TraesCS5D01G231200;TraesCSU01G009200;TraesCS2A01G431900;TraesCS2B01G321700;TraesCS3A01G069900;TraesCS5D01G478900;TraesCS5B01G155100;TraesCS5A01G036600;TraesCS1B01G213300;TraesCS2D01G500600;TraesCS1A01G111100;TraesCS1D01G390500;TraesCS4A01G164900;TraesCS5A01G223700;TraesCS5B01G136500;TraesCS3A01G107900;TraesCS4B01G332300;TraesCS5D01G512300;TraesCS5D01G162500;TraesCS2B01G454000;TraesCS5B01G344300;TraesCS1B01G293500;TraesCS6B01G100000;TraesCS6D01G396700;TraesCS2B01G051500;TraesCS4D01G080700;TraesCS2D01G473500;TraesCS7B01G124100;TraesCS6D01G245500;TraesCS1A01G101300;TraesCS5D01G060900;TraesCS4D01G086000;TraesCS6B01G161800;TraesCS1A01G284300;TraesCS2A01G040000;TraesCS5B01G074200;TraesCS3B01G332500;TraesCS1A01G020500;TraesCS7B01G089500;TraesCS2B01G352300;TraesCS7D01G130500;TraesCS2B01G293400;TraesCS4B01G380800;TraesCS6A01G163500;TraesCS5A01G067300;TraesCS2B01G191800</t>
  </si>
  <si>
    <t>TraesCS3D01G426300;TraesCS4A01G125000;TraesCS4A01G232300;TraesCS7B01G006600;TraesCS5B01G228900;TraesCS3A01G367000;TraesCS5D01G237400;TraesCS2A01G114400;TraesCS7D01G283600;TraesCS7D01G338600;TraesCS4B01G179400;TraesCS6A01G290600;TraesCS7A01G341000;TraesCS7A01G108600;TraesCS2B01G267100;TraesCS6D01G283300;TraesCS2D01G238700;TraesCS5B01G256400;TraesCS2B01G133500;TraesCS6D01G287300;TraesCS4B01G028100;TraesCS6A01G308100;TraesCS7D01G322000;TraesCS4B01G083600;TraesCS7B01G242200;TraesCS5A01G230400;TraesCS4B01G041900;TraesCS4D01G025700;TraesCS5A01G173800;TraesCS7D01G280600;TraesCS5B01G534400;TraesCS7A01G239700;TraesCS6A01G303800;TraesCS7B01G226100;TraesCS4D01G081600;TraesCS5B01G171200;TraesCS6A01G267300;TraesCS7A01G325400;TraesCS5D01G178300;TraesCS4A01G093100;TraesCS2A01G296400;TraesCS5D01G094000;TraesCS4A01G286700</t>
  </si>
  <si>
    <t>electron transport chain</t>
  </si>
  <si>
    <t>TraesCS1A01G323200;TraesCS3D01G426300;TraesCS7A01G223300;TraesCS2A01G246600;TraesCS5B01G249000;TraesCS2A01G007500;TraesCS6D01G165800;TraesCS3B01G222700;TraesCS5D01G388000;TraesCS2D01G009200;TraesCS3D01G273800;TraesCS5A01G378000;TraesCS5B01G239200;TraesCS2D01G427900;TraesCS5B01G143300;TraesCS5A01G106900;TraesCS4B01G288200;TraesCS2D01G014800;TraesCS6B01G161300;TraesCS5A01G144200;TraesCS7B01G240200;TraesCS7D01G083900;TraesCS3B01G185300;TraesCS4B01G117900;TraesCS4D01G135000;TraesCS5B01G171200;TraesCS2B01G004000;TraesCS7B01G117700;TraesCS3A01G151100;TraesCS5B01G381600;TraesCS7D01G336600;TraesCS3A01G075700;TraesCS7A01G307000;TraesCS4D01G292900;TraesCS4B01G204500;TraesCS4B01G397700;TraesCS2A01G203100;TraesCS3A01G192400;TraesCS4A01G197700;TraesCS6A01G105400;TraesCS1B01G254000;TraesCS3A01G513500;TraesCS5A01G251000;TraesCS3A01G530100;TraesCS4A01G197600;TraesCS7B01G129300;TraesCS1B01G336000;TraesCS1D01G412600;TraesCS2D01G212600;TraesCS4A01G015800;TraesCS4B01G373400;TraesCS7D01G224400;TraesCS3D01G196700;TraesCS6A01G303800;TraesCS2D01G443100;TraesCS5D01G178300;TraesCS3B01G221200;TraesCS3A01G310200;TraesCS1B01G447500;TraesCS1B01G462200;TraesCS6B01G239000;TraesCSU01G058200;TraesCS5B01G270200;TraesCS5D01G258900;TraesCS4A01G194100;TraesCS5A01G489100;TraesCS3A01G367000;TraesCS4A01G167000;TraesCS5B01G300100;TraesCS1B01G383200;TraesCS5B01G157500;TraesCS7D01G283600;TraesCS4D01G234800;TraesCS6A01G373200;TraesCS3D01G308500;TraesCS1A01G365600;TraesCS2D01G389900;TraesCS4D01G115600;TraesCS4A01G077600;TraesCS6D01G094200;TraesCS6A01G082800;TraesCS4D01G096200;TraesCS6A01G070700;TraesCS7A01G222800;TraesCS3B01G432600;TraesCS6D01G122600;TraesCS7D01G119700;TraesCS3D01G341200;TraesCS7B01G020100;TraesCS3A01G158500;TraesCS5A01G173800;TraesCS3A01G530000;TraesCS6B01G134800;TraesCS3D01G271800;TraesCS7D01G224900;TraesCS3B01G180600;TraesCS1B01G212500;TraesCS3A01G272200;TraesCS5A01G159800;TraesCS6A01G267300;TraesCS4B01G164800;TraesCS3A01G339900;TraesCS1A01G259700;TraesCS7A01G342800;TraesCS5D01G164800;TraesCS4D01G115500;TraesCS2B01G410100;TraesCS6D01G283300;TraesCS6D01G247400;TraesCS2D01G238600;TraesCS6A01G210200;TraesCS2B01G230200;TraesCS2D01G300400;TraesCS3A01G498300;TraesCS5B01G036800;TraesCS2A01G216100;TraesCS1B01G434400;TraesCS4B01G117800;TraesCS4A01G216200;TraesCS2B01G325100;TraesCS5B01G104800;TraesCS2D01G280900;TraesCS3B01G221400;TraesCS7B01G207300;TraesCS5D01G247600;TraesCS1A01G165700</t>
  </si>
  <si>
    <t>TraesCS7B01G097000;TraesCS4A01G283700;TraesCS5B01G142900;TraesCS7D01G188300;TraesCS5D01G148100;TraesCS7A01G192000;TraesCS6B01G348700;TraesCS1D01G376900;TraesCS5B01G320100;TraesCS5A01G143800;TraesCS5B01G255700;TraesCS4B01G029400;TraesCS7B01G092500;TraesCS7D01G193000</t>
  </si>
  <si>
    <t>pectin biosynthetic process</t>
  </si>
  <si>
    <t>TraesCS1B01G255100;TraesCS4B01G252400;TraesCS3A01G023800;TraesCS5D01G258900;TraesCS2A01G521400;TraesCS5A01G357400;TraesCS5B01G249000;TraesCS1D01G226500;TraesCS2B01G271300;TraesCS4A01G051900;TraesCS3D01G275600;TraesCS5D01G219500;TraesCS2D01G251000;TraesCS6D01G210000;TraesCS2A01G387000;TraesCS2A01G467900;TraesCS5D01G118200;TraesCS3A01G513500;TraesCS5A01G251000;TraesCS6A01G225200;TraesCS5D01G366500;TraesCS6B01G256400;TraesCS5B01G102600;TraesCS5D01G459800;TraesCS5A01G212500</t>
  </si>
  <si>
    <t>gynoecium development</t>
  </si>
  <si>
    <t>TraesCS1B01G255100;TraesCS4B01G252400;TraesCS2B01G174700;TraesCS3A01G023800;TraesCS5D01G258900;TraesCS6A01G379000;TraesCS2A01G521400;TraesCS5A01G357400;TraesCS5B01G249000;TraesCS1D01G226500;TraesCS2B01G271300;TraesCS4A01G051900;TraesCS3D01G275600;TraesCS5D01G219500;TraesCS2D01G251000;TraesCS4B01G286700;TraesCS6D01G210000;TraesCS2D01G148200;TraesCS2A01G387000;TraesCS2A01G467900;TraesCS5D01G118200;TraesCS5D01G504600;TraesCS3A01G091100;TraesCS3A01G513500;TraesCS5A01G251000;TraesCS6A01G225200;TraesCS5D01G366500;TraesCS3D01G091000;TraesCS1B01G365600;TraesCS6B01G256400;TraesCS4B01G109700;TraesCS5B01G102600;TraesCS5D01G459800;TraesCS2B01G247100;TraesCS2A01G149600;TraesCS5A01G212500</t>
  </si>
  <si>
    <t>floral whorl development</t>
  </si>
  <si>
    <t>TraesCS5D01G044700;TraesCS1A01G180200;TraesCS1D01G409700;TraesCS5D01G472300;TraesCS5A01G036600;TraesCS6A01G312100;TraesCS1B01G049300;TraesCS2B01G592500;TraesCS2D01G362700;TraesCS6B01G151900;TraesCS2B01G227800;TraesCS4A01G138800;TraesCS1B01G337800;TraesCS1D01G325500;TraesCS4B01G276500;TraesCS2D01G208300;TraesCS1A01G324800;TraesCS5A01G460600;TraesCS4B01G109700;TraesCS6B01G342300;TraesCS3A01G295400;TraesCS2B01G098800;TraesCS2B01G247100;TraesCS5B01G037500;TraesCS1B01G200300;TraesCS2A01G200500</t>
  </si>
  <si>
    <t>posttranscriptional gene silencing</t>
  </si>
  <si>
    <t>seed development</t>
  </si>
  <si>
    <t>chloroplast membrane</t>
  </si>
  <si>
    <t>TraesCS3D01G264800;TraesCS5B01G249000;TraesCS4A01G129200;TraesCS6B01G470700;TraesCS1D01G401900;TraesCS2A01G400900;TraesCS3D01G273800;TraesCS3D01G359500;TraesCS5B01G239200;TraesCS1D01G210200;TraesCS5A01G106900;TraesCS4B01G288200;TraesCS6B01G159200;TraesCS4A01G283700;TraesCS7D01G188300;TraesCS5D01G148100;TraesCS6A01G418800;TraesCS4B01G152900;TraesCS4B01G220400;TraesCS2B01G385300;TraesCS1D01G376900;TraesCS5A01G264400;TraesCS2D01G233900;TraesCS3B01G219700;TraesCS3D01G356400;TraesCS5B01G255700;TraesCS1B01G255100;TraesCS5B01G142900;TraesCS2D01G242100;TraesCS5A01G484700;TraesCS2A01G193800;TraesCS4B01G397700;TraesCS3A01G192400;TraesCS6B01G039900;TraesCS3A01G412600;TraesCS4D01G220700;TraesCS7A01G448800;TraesCS5A01G251000;TraesCS5D01G148400;TraesCS4A01G015800;TraesCS1A01G007500;TraesCS4D01G025300;TraesCS4B01G373400;TraesCS4D01G309500;TraesCS6A01G158800;TraesCS5A01G030400;TraesCS1B01G378000;TraesCS3A01G191700;TraesCS5A01G143800;TraesCS6D01G215100;TraesCS3B01G221200;TraesCS1A01G102300;TraesCS2B01G157600;TraesCS1B01G447500;TraesCS5B01G270200;TraesCS5D01G258900;TraesCS5A01G489100;TraesCS7A01G143900;TraesCS4D01G234800;TraesCS5B01G132600;TraesCS1D01G113900;TraesCS6B01G089500;TraesCS1A01G361400;TraesCS1A01G206900;TraesCS4A01G077600;TraesCS2D01G118000;TraesCS5A01G114600;TraesCS2D01G194000;TraesCS1B01G220700;TraesCS3D01G407300;TraesCS1B01G422200;TraesCS7A01G192000;TraesCS3A01G530000;TraesCS7A01G327600;TraesCS7D01G339600;TraesCS6B01G192500;TraesCS4D01G003100;TraesCS2B01G222600;TraesCS5A01G132300;TraesCS6A01G158300;TraesCS2D01G202900;TraesCS7D01G193000;TraesCS6B01G166400;TraesCS4B01G355100;TraesCS3A01G264700;TraesCS5B01G413400;TraesCS2A01G234200;TraesCS4A01G238100;TraesCS2D01G148200;TraesCS3D01G514100;TraesCS7B01G097000;TraesCS2A01G216100;TraesCS2D01G136100;TraesCS3A01G417000;TraesCS3D01G412500;TraesCS2D01G398400;TraesCS3A01G362600;TraesCS7D01G409000;TraesCS4D01G348600;TraesCS7A01G239700;TraesCS2B01G325100;TraesCS3A01G488100;TraesCS5B01G320100;TraesCS3B01G221400;TraesCS5A01G524400;TraesCS4B01G029400;TraesCS5D01G247600;TraesCS7B01G092500</t>
  </si>
  <si>
    <t>organelle membrane</t>
  </si>
  <si>
    <t>TraesCS3B01G385400;TraesCS3A01G212600;TraesCS7B01G352800;TraesCS1D01G396300;TraesCS1D01G226500;TraesCS4D01G194300;TraesCS1B01G343100;TraesCS1B01G326400;TraesCS1B01G049300;TraesCS3D01G065800;TraesCS3D01G323700;TraesCS3A01G330200;TraesCS1A01G315900;TraesCS1D01G277100;TraesCS3A01G099300;TraesCS3B01G209400;TraesCS5D01G359800;TraesCS3A01G097200;TraesCS4A01G058000;TraesCS1B01G377800;TraesCS6D01G398100;TraesCS1A01G388400;TraesCS2B01G198300;TraesCS4A01G178600;TraesCS3B01G426500;TraesCS3D01G507500;TraesCS7D01G442100;TraesCS1D01G316200;TraesCS3B01G112900;TraesCS4D01G246300;TraesCS1A01G278000;TraesCS2A01G171900;TraesCS7A01G323200;TraesCS4D01G133500;TraesCS4A01G227500;TraesCS6A01G203300;TraesCS2B01G401900;TraesCS2A01G431900;TraesCS2B01G321700;TraesCS2D01G303500;TraesCS5B01G335500;TraesCS6B01G112700;TraesCS1A01G027200;TraesCS2D01G565200;TraesCS4A01G110800;TraesCS5D01G141200;TraesCS1A01G130700;TraesCS5A01G336500;TraesCS2A01G022000;TraesCS4B01G246900;TraesCS2D01G022800;TraesCS3B01G564100;TraesCS1A01G172100;TraesCS1B01G293500;TraesCS1D01G178000;TraesCS6D01G149800;TraesCS2A01G103300;TraesCS5D01G341200;TraesCS6B01G304100;TraesCS1A01G284300;TraesCS4B01G138800;TraesCS7A01G452800;TraesCS4D01G085900;TraesCS1D01G314600;TraesCS6B01G189000;TraesCS4B01G088400;TraesCS3B01G309700;TraesCS3D01G482500</t>
  </si>
  <si>
    <t>TraesCS3D01G426300;TraesCS1D01G409700;TraesCS3A01G367000;TraesCS2A01G114400;TraesCS7D01G283600;TraesCS2B01G250000;TraesCS1B01G049300;TraesCS2B01G592500;TraesCS2D01G362700;TraesCS2A01G387000;TraesCS2D01G194000;TraesCS2B01G133500;TraesCS4A01G138800;TraesCS2A01G058700;TraesCS4A01G262900;TraesCS6B01G159200;TraesCS6A01G130900;TraesCS2A01G342600;TraesCS6A01G267300;TraesCS3A01G304900;TraesCS2D01G057900;TraesCS7D01G549100;TraesCS2A01G200500;TraesCS2A01G296400;TraesCS1B01G255100;TraesCS2B01G340300;TraesCS1A01G180200;TraesCS5A01G149000;TraesCS1B01G213300;TraesCS4B01G204500;TraesCS6A01G268900;TraesCS2A01G193800;TraesCS5B01G147600;TraesCS2D01G232300;TraesCS3D01G296900;TraesCS2B01G227800;TraesCS5B01G036800;TraesCS5A01G104800;TraesCS1D01G219200;TraesCS2B01G070700;TraesCS2B01G312600;TraesCS4B01G041900;TraesCS2A01G233300;TraesCS2D01G208300;TraesCS2D01G438800;TraesCS3B01G298400;TraesCS7A01G560200;TraesCS4B01G109700;TraesCS1A01G198400;TraesCS3A01G295400;TraesCS4A01G093100;TraesCS1B01G200300</t>
  </si>
  <si>
    <t>regulation of protein metabolic process</t>
  </si>
  <si>
    <t>carpel development</t>
  </si>
  <si>
    <t>TraesCS7A01G466600;TraesCS2A01G404700;TraesCS5B01G159600;TraesCS5A01G103100;TraesCS5B01G194600;TraesCS5D01G388000;TraesCS5B01G339200;TraesCS5D01G124400;TraesCS5D01G162400;TraesCS2D01G492600;TraesCS5A01G378000;TraesCS3A01G202000;TraesCS2A01G392900;TraesCS5D01G095200;TraesCS5D01G372500;TraesCS5A01G490800;TraesCS4D01G088200;TraesCS7B01G240200;TraesCSU01G142500;TraesCS2B01G234500;TraesCS6D01G057900;TraesCS5B01G381600;TraesCS3A01G103100;TraesCS7D01G336600;TraesCS2A01G102600;TraesCS5A01G189100;TraesCS7D01G483600;TraesCS3D01G289600;TraesCS2A01G203100;TraesCS1A01G086500;TraesCS5B01G197300;TraesCS2B01G286100;TraesCS6B01G039900;TraesCS3D01G124400;TraesCS3D01G298000;TraesCS7D01G326000;TraesCS7D01G454200;TraesCS3A01G091100;TraesCS7A01G555700;TraesCS6A01G382400;TraesCS5D01G230300;TraesCS6A01G420100;TraesCS3A01G303800;TraesCS4D01G120900;TraesCS5A01G157000;TraesCS1A01G102300;TraesCS2D01G304000;TraesCS5A01G472100;TraesCS1B01G447500;TraesCS2D01G237600;TraesCS7D01G231600;TraesCS7D01G554900;TraesCS7A01G143900;TraesCS5D01G470400;TraesCS2A01G521400;TraesCS5B01G155200;TraesCS5D01G166800;TraesCS2B01G348200;TraesCS2A01G557600;TraesCS6B01G182300;TraesCS1B01G352700;TraesCS5B01G107400;TraesCS6D01G174700;TraesCS4D01G317900;TraesCS3B01G229700;TraesCS7A01G327600;TraesCS2A01G585800;TraesCS3A01G292700;TraesCS6A01G110000;TraesCS6D01G405600;TraesCS4B01G091100;TraesCS7D01G339600;TraesCS6A01G026600;TraesCS4B01G321300;TraesCS5D01G201900;TraesCS6A01G158300;TraesCS2B01G520500;TraesCS2B01G315300;TraesCS4D01G175600;TraesCS4B01G244400;TraesCS7A01G342800;TraesCS5B01G375400;TraesCS5D01G161800;TraesCS2A01G492300;TraesCS2B01G185800;TraesCS1D01G117400;TraesCS6B01G104600;TraesCS7A01G182200;TraesCS2A01G159900;TraesCS2A01G455300;TraesCS3D01G091000;TraesCS2B01G477400;TraesCS3A01G417000;TraesCS3D01G412500;TraesCS6A01G077800;TraesCS5A01G222500;TraesCS6A01G154400;TraesCS7D01G000100;TraesCS6D01G238800;TraesCS2D01G296800</t>
  </si>
  <si>
    <t>TraesCS4B01G252400;TraesCS7A01G223300;TraesCS3A01G023800;TraesCS4A01G494400;TraesCS5B01G300100;TraesCS2A01G246200;TraesCS3D01G281100;TraesCS4D01G085700;TraesCS3A01G275700;TraesCS2D01G389900;TraesCS5A01G548800;TraesCS2D01G014800;TraesCS4D01G153900;TraesCS5D01G366500;TraesCS2A01G262700;TraesCS3B01G309400;TraesCS6A01G336800;TraesCS7B01G162300;TraesCS4B01G220400;TraesCS7D01G224900;TraesCS4D01G252700;TraesCS7A01G264300;TraesCS4A01G254100;TraesCS2D01G249200;TraesCS5B01G102600;TraesCS2B01G004000;TraesCS3A01G503200;TraesCS7A01G307000;TraesCS5A01G357400;TraesCS1A01G111100;TraesCS5B01G136500;TraesCS2D01G248600;TraesCS3D01G529200;TraesCS4A01G051900;TraesCS3D01G275600;TraesCS2B01G410100;TraesCS7D01G265200;TraesCS6D01G210000;TraesCS4D01G220700;TraesCS2B01G263300;TraesCS3A01G523700;TraesCS6A01G210200;TraesCS3B01G566600;TraesCS3A01G513500;TraesCS6A01G225200;TraesCS2A01G239200;TraesCS7A01G004000;TraesCS3A01G530100;TraesCS4D01G359000;TraesCS7D01G004500;TraesCS6B01G256400;TraesCS2B01G325100;TraesCS2B01G304900;TraesCS4A01G078800;TraesCS4B01G290300;TraesCS1D01G211600;TraesCS7B01G207300;TraesCS7D01G231600;TraesCS1B01G462200;TraesCS6B01G239000</t>
  </si>
  <si>
    <t>TraesCS3D01G426300;TraesCS7A01G223300;TraesCS2A01G246600;TraesCS5B01G249000;TraesCS6D01G165800;TraesCS3B01G222700;TraesCS5B01G239200;TraesCS5A01G106900;TraesCS2D01G014800;TraesCS7B01G240200;TraesCS7D01G083900;TraesCS4B01G152900;TraesCS3B01G185300;TraesCS4B01G117900;TraesCS4D01G135000;TraesCS5B01G171200;TraesCS2B01G004000;TraesCS7B01G117700;TraesCS3A01G151100;TraesCS3A01G075700;TraesCS7A01G307000;TraesCS4B01G204500;TraesCS4B01G397700;TraesCS3A01G192400;TraesCS4A01G197700;TraesCS6A01G105400;TraesCS1B01G254000;TraesCS3A01G513500;TraesCS5A01G251000;TraesCS3A01G530100;TraesCS4A01G197600;TraesCS1D01G412600;TraesCS4B01G373400;TraesCS3D01G196700;TraesCS6A01G303800;TraesCS5D01G178300;TraesCS3B01G221200;TraesCS3A01G310200;TraesCS1B01G447500;TraesCS1B01G462200;TraesCS6B01G239000;TraesCSU01G058200;TraesCS5D01G258900;TraesCS4A01G194100;TraesCS5A01G489100;TraesCS3A01G367000;TraesCS4A01G167000;TraesCS5B01G300100;TraesCS1B01G383200;TraesCS7D01G283600;TraesCS4D01G234800;TraesCS6A01G373200;TraesCS1A01G365600;TraesCS2D01G389900;TraesCS2A01G358000;TraesCS4D01G115600;TraesCS4A01G077600;TraesCS6D01G094200;TraesCS6A01G082800;TraesCS4D01G096200;TraesCS7D01G119700;TraesCS3D01G341200;TraesCS7B01G020100;TraesCS3A01G158500;TraesCS5A01G173800;TraesCS3A01G530000;TraesCS6B01G134800;TraesCS3D01G271800;TraesCS7D01G224900;TraesCS3B01G180600;TraesCS1B01G212500;TraesCS3A01G272200;TraesCS6A01G267300;TraesCS4B01G164800;TraesCS3A01G339900;TraesCS1A01G259700;TraesCS7A01G342800;TraesCS4D01G115500;TraesCS2B01G410100;TraesCS6D01G283300;TraesCS2D01G238600;TraesCS6A01G210200;TraesCS2D01G300400;TraesCS3A01G498300;TraesCS5B01G036800;TraesCS2A01G216100;TraesCS1B01G434400;TraesCS4B01G117800;TraesCS4A01G216200;TraesCS6D01G204700;TraesCS2B01G325100;TraesCS2D01G280900;TraesCS3B01G221400;TraesCS4A01G110400;TraesCS7B01G207300;TraesCS2B01G377300;TraesCS5D01G247600;TraesCS1A01G165700</t>
  </si>
  <si>
    <t>TraesCS3D01G426300;TraesCS7A01G223300;TraesCS5D01G258900;TraesCS4A01G194100;TraesCS5A01G489100;TraesCS3A01G367000;TraesCS4A01G167000;TraesCS2A01G246600;TraesCS5B01G300100;TraesCS1B01G383200;TraesCS5B01G249000;TraesCS6D01G165800;TraesCS3B01G222700;TraesCS7D01G283600;TraesCS4D01G234800;TraesCS6A01G373200;TraesCS1A01G365600;TraesCS2D01G389900;TraesCS4D01G115600;TraesCS4A01G077600;TraesCS6D01G094200;TraesCS6A01G082800;TraesCS4D01G096200;TraesCS5B01G239200;TraesCS5A01G106900;TraesCS2D01G014800;TraesCS7B01G240200;TraesCS7D01G119700;TraesCS3D01G341200;TraesCS7B01G020100;TraesCS3A01G158500;TraesCS5A01G173800;TraesCS3A01G530000;TraesCS6B01G134800;TraesCS7D01G083900;TraesCS3D01G271800;TraesCS3B01G185300;TraesCS7D01G224900;TraesCS3B01G180600;TraesCS4B01G117900;TraesCS1B01G212500;TraesCS3A01G272200;TraesCS4D01G135000;TraesCS5B01G171200;TraesCS6A01G267300;TraesCS2B01G004000;TraesCS7B01G117700;TraesCS4B01G164800;TraesCS3A01G339900;TraesCS1A01G259700;TraesCS3A01G151100;TraesCS3A01G075700;TraesCS7A01G307000;TraesCS7A01G342800;TraesCS4B01G204500;TraesCS4D01G115500;TraesCS4B01G397700;TraesCS3A01G192400;TraesCS2B01G410100;TraesCS6D01G283300;TraesCS4A01G197700;TraesCS2D01G238600;TraesCS6A01G105400;TraesCS6A01G210200;TraesCS2D01G300400;TraesCS1B01G254000;TraesCS3A01G498300;TraesCS3A01G513500;TraesCS5A01G251000;TraesCS5B01G036800;TraesCS3A01G530100;TraesCS4A01G197600;TraesCS2A01G216100;TraesCS1D01G412600;TraesCS1B01G434400;TraesCS4B01G117800;TraesCS4B01G373400;TraesCS4A01G216200;TraesCS3D01G196700;TraesCS2B01G325100;TraesCS6A01G303800;TraesCS2D01G280900;TraesCS3B01G221400;TraesCS5D01G178300;TraesCS3B01G221200;TraesCS3A01G310200;TraesCS1B01G447500;TraesCS7B01G207300;TraesCS5D01G247600;TraesCS1A01G165700;TraesCS1B01G462200;TraesCS6B01G239000;TraesCSU01G058200</t>
  </si>
  <si>
    <t>TraesCS4D01G213800;TraesCS1B01G255100;TraesCS1D01G264100;TraesCS1A01G264000;TraesCS3A01G023800;TraesCS4A01G194100;TraesCS1A01G180200;TraesCS7A01G307000;TraesCS5A01G396700;TraesCS1D01G226500;TraesCS3A01G214000;TraesCS6A01G312100;TraesCS2B01G271300;TraesCS3A01G270600;TraesCS2D01G362700;TraesCS3D01G275600;TraesCS2D01G251000;TraesCS1D01G013100;TraesCS5A01G548800;TraesCS1B01G274600;TraesCS2D01G118000;TraesCS2D01G205900;TraesCSU01G072700;TraesCS3D01G273800;TraesCS6D01G210000;TraesCS2A01G387000;TraesCS4D01G220700;TraesCS6D01G174500;TraesCS4D01G132900;TraesCS3A01G513500;TraesCS4D01G153900;TraesCS6A01G225200;TraesCS4B01G138200;TraesCS1D01G412600;TraesCS4D01G359000;TraesCS4B01G220400;TraesCS1B01G434400;TraesCS4A01G120000;TraesCS5B01G378700;TraesCS6B01G256400;TraesCS5D01G429200;TraesCS6B01G231600;TraesCS6B01G342300;TraesCS3B01G154900;TraesCS1B01G200300;TraesCS7B01G207300;TraesCS1B01G019300</t>
  </si>
  <si>
    <t>embryo development</t>
  </si>
  <si>
    <t>TraesCS2A01G066800;TraesCS5B01G132600;TraesCS5A01G424400;TraesCS2A01G066700;TraesCS4B01G204500;TraesCS5A01G165700;TraesCS2D01G148200;TraesCS6D01G287300;TraesCS5B01G162800;TraesCS6A01G308100;TraesCS5B01G036800;TraesCS2A01G067200;TraesCS5D01G169900;TraesCS5A01G165400;TraesCS7A01G327600;TraesCS5D01G169600;TraesCS2B01G264100;TraesCS2B01G079500;TraesCS2D01G065600;TraesCS5A01G132300;TraesCS2D01G233900;TraesCS2D01G065200;TraesCS2D01G065300;TraesCS2D01G065100;TraesCS2B01G079400;TraesCS2B01G079200;TraesCS2B01G079100</t>
  </si>
  <si>
    <t>photorespiration</t>
  </si>
  <si>
    <t>TraesCS2D01G399800;TraesCS7A01G466600;TraesCS1D01G264100;TraesCS6D01G337700;TraesCS1A01G264000;TraesCS1D01G092200;TraesCS3B01G423600;TraesCS1B01G049300;TraesCS5B01G339200;TraesCS1A01G254400;TraesCS2B01G592500;TraesCS1A01G086500;TraesCS1B01G274600;TraesCS3D01G273800;TraesCS2A01G392900;TraesCS2B01G227800;TraesCS2A01G467900;TraesCS4B01G288200;TraesCS5D01G504600;TraesCS7D01G454200;TraesCS3A01G091100;TraesCS3D01G091000;TraesCS2D01G208300;TraesCS4B01G091100;TraesCS1A01G100600;TraesCS1B01G110400;TraesCS2A01G200500</t>
  </si>
  <si>
    <t>meristem maintenance</t>
  </si>
  <si>
    <t>TraesCS1B01G255100;TraesCS3A01G513500;TraesCS4B01G252400;TraesCS5A01G251000;TraesCS6A01G225200;TraesCS3A01G023800;TraesCS5D01G258900;TraesCS5D01G366500;TraesCS5A01G357400;TraesCS5B01G249000;TraesCS1D01G226500;TraesCS2B01G271300;TraesCS4A01G051900;TraesCS3D01G275600;TraesCS5D01G219500;TraesCS6B01G256400;TraesCS2D01G251000;TraesCS5B01G102600;TraesCS5D01G459800;TraesCS6D01G210000;TraesCS2A01G387000;TraesCS5A01G212500;TraesCS2A01G467900;TraesCS5D01G118200</t>
  </si>
  <si>
    <t>plant ovule development</t>
  </si>
  <si>
    <t>plant-type ovary development</t>
  </si>
  <si>
    <t>TraesCS1A01G323200;TraesCS3D01G426300;TraesCS7A01G223300;TraesCS2A01G246600;TraesCS5B01G249000;TraesCS6D01G165800;TraesCS3B01G222700;TraesCS5D01G388000;TraesCS3D01G273800;TraesCS5A01G378000;TraesCS5B01G239200;TraesCS2D01G427900;TraesCS5B01G143300;TraesCS5A01G106900;TraesCS4B01G288200;TraesCS2D01G014800;TraesCS1B01G197100;TraesCS6B01G161300;TraesCS5A01G144200;TraesCS7B01G240200;TraesCS7D01G083900;TraesCS3B01G185300;TraesCS4B01G117900;TraesCS4D01G135000;TraesCS5B01G171200;TraesCS2B01G004000;TraesCS7B01G117700;TraesCS3A01G151100;TraesCS5B01G381600;TraesCS7D01G336600;TraesCS3A01G075700;TraesCS7A01G307000;TraesCS4D01G292900;TraesCS4B01G204500;TraesCS4B01G397700;TraesCS2A01G203100;TraesCS3A01G192400;TraesCS4A01G197700;TraesCS6A01G105400;TraesCS1B01G254000;TraesCS3A01G513500;TraesCS5A01G251000;TraesCS3A01G530100;TraesCS4A01G197600;TraesCS7B01G129300;TraesCS1B01G336000;TraesCS1D01G412600;TraesCS2D01G212600;TraesCS4A01G015800;TraesCS4B01G373400;TraesCS7D01G224400;TraesCS3D01G196700;TraesCS6A01G303800;TraesCS2D01G443100;TraesCS5D01G178300;TraesCS3B01G221200;TraesCS3A01G310200;TraesCS1B01G447500;TraesCS1B01G462200;TraesCS6B01G239000;TraesCS3D01G075800;TraesCSU01G058200;TraesCS5B01G270200;TraesCS5D01G258900;TraesCS4A01G194100;TraesCS5A01G489100;TraesCS3A01G367000;TraesCS4A01G167000;TraesCS5B01G300100;TraesCS1B01G383200;TraesCS5B01G157500;TraesCS7D01G283600;TraesCS4D01G234800;TraesCS6A01G373200;TraesCS3D01G308500;TraesCS1A01G365600;TraesCS2D01G389900;TraesCS4D01G115600;TraesCS4A01G077600;TraesCS6D01G094200;TraesCS6A01G082800;TraesCS4D01G096200;TraesCS6A01G070700;TraesCS7A01G222800;TraesCS3B01G432600;TraesCS6D01G122600;TraesCS7D01G119700;TraesCS3D01G341200;TraesCS7B01G020100;TraesCS3A01G158500;TraesCS5A01G173800;TraesCS3A01G530000;TraesCS6B01G134800;TraesCS3D01G271800;TraesCS7D01G224900;TraesCS3B01G180600;TraesCS1B01G212500;TraesCS3A01G272200;TraesCS5A01G159800;TraesCS6A01G267300;TraesCS4B01G164800;TraesCS3A01G339900;TraesCS1A01G259700;TraesCS7A01G342800;TraesCS5D01G164800;TraesCS4D01G115500;TraesCS2B01G410100;TraesCS6D01G283300;TraesCS6D01G247400;TraesCS2D01G238600;TraesCS6A01G210200;TraesCS2B01G230200;TraesCS2D01G300400;TraesCS3A01G498300;TraesCS5B01G036800;TraesCS2A01G216100;TraesCS1B01G434400;TraesCS4B01G117800;TraesCS4A01G216200;TraesCS2B01G325100;TraesCS5B01G104800;TraesCS2D01G280900;TraesCS3B01G221400;TraesCS7B01G207300;TraesCS5D01G247600;TraesCS1A01G165700</t>
  </si>
  <si>
    <t>TraesCS3D01G426300;TraesCS5D01G420300;TraesCS1D01G409700;TraesCS3A01G367000;TraesCS4A01G167000;TraesCS1D01G396300;TraesCS2A01G521400;TraesCS5B01G155200;TraesCS4B01G078900;TraesCS7D01G283600;TraesCS5A01G092400;TraesCS1B01G049300;TraesCS1D01G222700;TraesCS5B01G339200;TraesCS2B01G592500;TraesCS2D01G362700;TraesCS1B01G304500;TraesCS5D01G162400;TraesCS4B01G286700;TraesCS2D01G205900;TraesCS2D01G427900;TraesCS1A01G388400;TraesCS3B01G441000;TraesCS4A01G262900;TraesCS6A01G143300;TraesCS6D01G122800;TraesCS3B01G185300;TraesCS5A01G429300;TraesCS4D01G135000;TraesCS5A01G411500;TraesCS3B01G324500;TraesCS5D01G429200;TraesCS6A01G133100;TraesCS6A01G267300;TraesCS4B01G164800;TraesCS7A01G294200;TraesCS2A01G200500;TraesCS3A01G151100;TraesCS7B01G186500;TraesCS1A01G180200;TraesCS4D01G175600;TraesCS5B01G415100;TraesCS4B01G244400;TraesCS3D01G289600;TraesCS5A01G424400;TraesCS4B01G204500;TraesCS3A01G189400;TraesCS5B01G263800;TraesCS5A01G395200;TraesCS6D01G132500;TraesCS6D01G283300;TraesCS2B01G227800;TraesCS3D01G298000;TraesCS2D01G238600;TraesCS7D01G349600;TraesCS2D01G300400;TraesCS5B01G036800;TraesCS2A01G239200;TraesCS2B01G257300;TraesCS3A01G303800;TraesCS3A01G389100;TraesCS4B01G276500;TraesCS2D01G208300;TraesCS1A01G221100;TraesCS6B01G171600;TraesCS4B01G180100;TraesCS4D01G309500;TraesCS5B01G534400;TraesCS5A01G157000;TraesCS6A01G303800;TraesCS2B01G264100;TraesCS4B01G109700;TraesCS4B01G285000;TraesCS3A01G295400;TraesCS3A01G310200;TraesCS4A01G093100;TraesCS1B01G200300;TraesCS5D01G396300</t>
  </si>
  <si>
    <t>TraesCS2B01G174600;TraesCS2A01G095300;TraesCS3B01G423800;TraesCS7B01G111000;TraesCS2A01G129900;TraesCS4A01G110800;TraesCS7A01G204000;TraesCS5D01G141200;TraesCS1D01G226500;TraesCS4D01G194300;TraesCS1B01G049300;TraesCS6B01G399000;TraesCS3A01G200400;TraesCS3D01G384700;TraesCS1A01G315900;TraesCS6B01G341400;TraesCS6D01G348000;TraesCS2B01G152100;TraesCS3A01G391800;TraesCS5D01G359800;TraesCS3A01G393400;TraesCS4D01G153900;TraesCS2D01G132100;TraesCS3B01G252200;TraesCS6A01G311200;TraesCS7D01G207100;TraesCS1D01G316200;TraesCS3D01G203400;TraesCS2A01G171900;TraesCS2D01G093700;TraesCS3D01G205300;TraesCS2A01G149500;TraesCS5A01G472100;TraesCS6A01G364300</t>
  </si>
  <si>
    <t>TraesCS1D01G264100;TraesCS3A01G212600;TraesCS6D01G173700;TraesCS3B01G442200;TraesCS6A01G360600;TraesCS3B01G224600;TraesCS4A01G217700;TraesCS3D01G411200;TraesCS2D01G362700;TraesCS5A01G548800;TraesCS1B01G274600;TraesCS7D01G454700;TraesCS1B01G146200;TraesCS4A01G367700;TraesCS4A01G178600;TraesCS5D01G505700;TraesCS4D01G092800;TraesCS5D01G100800;TraesCS5B01G094600;TraesCS3B01G242700;TraesCS6A01G234000;TraesCS6B01G393500;TraesCS4D01G133500;TraesCS7A01G466900;TraesCS5A01G088400;TraesCS1A01G264000;TraesCS2B01G321700;TraesCS2D01G303500;TraesCS6A01G312100;TraesCS3A01G200400;TraesCS6B01G262800;TraesCS6D01G216300;TraesCS6D01G344100;TraesCS3B01G568500;TraesCS5B01G537700;TraesCS2A01G103300;TraesCS5B01G504900;TraesCS6B01G161800;TraesCS6B01G304100;TraesCS5A01G387700;TraesCS5D01G087800;TraesCS4B01G276500;TraesCS4D01G359000;TraesCS4B01G138800;TraesCS1D01G298400;TraesCS1D01G125300;TraesCS3D01G203400;TraesCS6B01G342300;TraesCS6A01G186800;TraesCS1A01G129400;TraesCS1A01G299500</t>
  </si>
  <si>
    <t>TraesCS4D01G213800;TraesCS1B01G255100;TraesCS1D01G264100;TraesCS1A01G264000;TraesCS3A01G023800;TraesCS4A01G194100;TraesCS1A01G180200;TraesCS7A01G307000;TraesCS5A01G396700;TraesCS1D01G226500;TraesCS3A01G214000;TraesCS6A01G312100;TraesCS2B01G271300;TraesCS3A01G270600;TraesCS2D01G362700;TraesCS3D01G275600;TraesCS2D01G251000;TraesCS1D01G013100;TraesCS5A01G548800;TraesCS2D01G118000;TraesCS2D01G205900;TraesCSU01G072700;TraesCS3D01G273800;TraesCS6D01G210000;TraesCS2A01G387000;TraesCS4D01G220700;TraesCS6D01G174500;TraesCS4D01G132900;TraesCS3A01G513500;TraesCS4D01G153900;TraesCS6A01G225200;TraesCS1D01G412600;TraesCS4D01G359000;TraesCS4B01G220400;TraesCS1B01G434400;TraesCS4A01G120000;TraesCS5B01G378700;TraesCS6B01G256400;TraesCS5D01G429200;TraesCS6B01G231600;TraesCS6B01G342300;TraesCS3B01G154900;TraesCS1B01G200300;TraesCS7B01G207300;TraesCS1B01G019300</t>
  </si>
  <si>
    <t>embryo development ending in seed dormancy</t>
  </si>
  <si>
    <t>TraesCS7D01G554900;TraesCS3A01G289900;TraesCS5D01G470400;TraesCS7D01G294300;TraesCS7B01G093800;TraesCS3A01G202000;TraesCS2D01G102100;TraesCS6B01G182300;TraesCS5A01G490800;TraesCS4D01G088200;TraesCS4D01G317900;TraesCS3B01G229700;TraesCS2D01G356700;TraesCS1A01G116200;TraesCS3A01G292700;TraesCSU01G142500;TraesCS6D01G405600;TraesCS7D01G117800;TraesCS4B01G091100;TraesCS4B01G321300;TraesCS3B01G324500;TraesCS5D01G517200;TraesCS1D01G146600;TraesCS2B01G491700;TraesCS2B01G119700;TraesCS1D01G341100;TraesCS7A01G120300;TraesCS7A01G518200;TraesCS4A01G355000;TraesCS5B01G517500;TraesCS1B01G368500;TraesCS7A01G189000;TraesCS2A01G102600;TraesCS4A01G446700;TraesCS1D01G356900;TraesCS3D01G289600;TraesCS7D01G508100;TraesCS1D01G117400;TraesCS6B01G104600;TraesCS1B01G167200;TraesCS7A01G555700;TraesCS5D01G230300;TraesCS6A01G420100;TraesCS4B01G383000;TraesCS1A01G339300;TraesCS6A01G077800;TraesCS5A01G222500;TraesCS6A01G154400;TraesCS2A01G468800</t>
  </si>
  <si>
    <t>TraesCS5B01G201700;TraesCS5A01G489100;TraesCS3D01G231200;TraesCS2A01G521400;TraesCS5B01G171400;TraesCS5B01G339200;TraesCS1D01G401900;TraesCS1A01G206900;TraesCSU01G072700;TraesCS1D01G210200;TraesCS3A01G097200;TraesCS4B01G238900;TraesCS4D01G318200;TraesCS1B01G220700;TraesCS1D01G433300;TraesCS6A01G143300;TraesCS1B01G422200;TraesCS2B01G150400;TraesCS5D01G366500;TraesCS5D01G551200;TraesCS1D01G030500;TraesCS2A01G585800;TraesCS4A01G315700;TraesCS5B01G378700;TraesCS1A01G076000;TraesCS5B01G563800;TraesCS3D01G083400;TraesCS4B01G321500;TraesCS2A01G280500;TraesCS2D01G279300;TraesCS7A01G323200;TraesCS3A01G151100;TraesCS4B01G193400;TraesCS5B01G335500;TraesCS4A01G062200;TraesCS5A01G149000;TraesCS5A01G357400;TraesCS5A01G336500;TraesCS3D01G114000;TraesCS1A01G195500;TraesCS6D01G132500;TraesCS1D01G199100;TraesCS5A01G490500;TraesCS5B01G147600;TraesCS5B01G409700;TraesCS3D01G514100;TraesCS7D01G326000;TraesCS5B01G036800;TraesCS5D01G341200;TraesCS5A01G123700;TraesCS6B01G171600;TraesCS2B01G297800;TraesCSU01G132400;TraesCS3A01G082700;TraesCS5D01G459800;TraesCS5A01G472100;TraesCS2A01G128300;TraesCS5D01G094000</t>
  </si>
  <si>
    <t>cell differentiation</t>
  </si>
  <si>
    <t>regulation of cellular protein metabolic process</t>
  </si>
  <si>
    <t>TraesCS3A01G151100;TraesCS2D01G236100;TraesCS3D01G426300;TraesCS4B01G193400;TraesCS3A01G405300;TraesCS3A01G367000;TraesCS5A01G128300;TraesCS7D01G283600;TraesCS6A01G188100;TraesCS4B01G204500;TraesCS4B01G154100;TraesCS5B01G476900;TraesCS6D01G132500;TraesCS6A01G321600;TraesCS6D01G283300;TraesCS5D01G135900;TraesCS2D01G238600;TraesCS5A01G305400;TraesCS4B01G028100;TraesCS6B01G352400;TraesCS6A01G143300;TraesCS5B01G036800;TraesCS6D01G122800;TraesCS5D01G312400;TraesCS1D01G303800;TraesCS4D01G025700;TraesCS6B01G171600;TraesCS4A01G105500;TraesCS6A01G269700;TraesCS4D01G120900;TraesCS4D01G199300;TraesCS4D01G135000;TraesCS1D01G423500;TraesCS6A01G303800;TraesCS6B01G173500;TraesCS5B01G127300;TraesCS6A01G133100;TraesCS4A01G005000;TraesCS6A01G267300;TraesCS1A01G416000;TraesCS2D01G549100;TraesCS4D01G160200;TraesCS4A01G286700;TraesCS6D01G301300</t>
  </si>
  <si>
    <t>organic hydroxy compound biosynthetic process</t>
  </si>
  <si>
    <t>TraesCS3A01G210000;TraesCS7B01G006600;TraesCS7B01G186500;TraesCS5B01G228900;TraesCS3A01G052700;TraesCS1D01G396300;TraesCS4B01G244400;TraesCS5D01G237400;TraesCS2A01G150000;TraesCS3D01G436100;TraesCS3A01G443700;TraesCS5B01G256400;TraesCS6D01G287300;TraesCS1A01G388400;TraesCS6A01G308100;TraesCS5B01G227900;TraesCS5A01G230400;TraesCS2B01G312600;TraesCS1D01G030500;TraesCS3A01G530000;TraesCS2B01G272300;TraesCS4D01G025300;TraesCS7D01G339600;TraesCS2A01G252600;TraesCS4A01G005000;TraesCS1A01G102300;TraesCS4A01G093100;TraesCS7A01G294200;TraesCS2A01G296400;TraesCS4D01G131700</t>
  </si>
  <si>
    <t>TraesCS1A01G323200;TraesCS3D01G426300;TraesCS7A01G223300;TraesCS2A01G246600;TraesCS5B01G249000;TraesCS6D01G165800;TraesCS3B01G222700;TraesCS5D01G388000;TraesCS3D01G273800;TraesCS5A01G378000;TraesCS5B01G239200;TraesCS2D01G427900;TraesCS5B01G143300;TraesCS5A01G106900;TraesCS4B01G288200;TraesCS2D01G014800;TraesCS6B01G161300;TraesCS5A01G144200;TraesCS7B01G240200;TraesCS7D01G083900;TraesCS3B01G185300;TraesCS4B01G117900;TraesCS4D01G135000;TraesCS5B01G171200;TraesCS2B01G004000;TraesCS7B01G117700;TraesCS3A01G151100;TraesCS5B01G381600;TraesCS7D01G336600;TraesCS3A01G075700;TraesCS7A01G307000;TraesCS4D01G292900;TraesCS4B01G204500;TraesCS4B01G397700;TraesCS2A01G203100;TraesCS3A01G192400;TraesCS4A01G197700;TraesCS6A01G105400;TraesCS1B01G254000;TraesCS3A01G513500;TraesCS5A01G251000;TraesCS3A01G530100;TraesCS4A01G197600;TraesCS7B01G129300;TraesCS1B01G336000;TraesCS1D01G412600;TraesCS2D01G212600;TraesCS4A01G015800;TraesCS4B01G373400;TraesCS7D01G224400;TraesCS3D01G196700;TraesCS6A01G303800;TraesCS2D01G443100;TraesCS5D01G178300;TraesCS3B01G221200;TraesCS3A01G310200;TraesCS1B01G447500;TraesCS1B01G462200;TraesCS6B01G239000;TraesCSU01G058200;TraesCS5B01G270200;TraesCS5D01G258900;TraesCS4A01G194100;TraesCS5A01G489100;TraesCS3A01G367000;TraesCS4A01G167000;TraesCS5B01G300100;TraesCS1B01G383200;TraesCS5B01G157500;TraesCS7D01G283600;TraesCS4D01G234800;TraesCS6A01G373200;TraesCS3D01G308500;TraesCS1A01G365600;TraesCS2D01G389900;TraesCS4D01G115600;TraesCS4A01G077600;TraesCS6D01G094200;TraesCS6A01G082800;TraesCS4D01G096200;TraesCS6A01G070700;TraesCS7A01G222800;TraesCS3B01G432600;TraesCS6D01G122600;TraesCS7D01G119700;TraesCS3D01G341200;TraesCS7B01G020100;TraesCS3A01G158500;TraesCS5A01G173800;TraesCS3A01G530000;TraesCS6B01G134800;TraesCS3D01G271800;TraesCS7D01G224900;TraesCS3B01G180600;TraesCS1B01G212500;TraesCS3A01G272200;TraesCS5A01G159800;TraesCS6A01G267300;TraesCS4B01G164800;TraesCS3A01G339900;TraesCS1A01G259700;TraesCS7A01G342800;TraesCS5D01G164800;TraesCS4D01G115500;TraesCS2B01G410100;TraesCS6D01G283300;TraesCS6D01G247400;TraesCS2D01G238600;TraesCS6A01G210200;TraesCS2B01G230200;TraesCS2D01G300400;TraesCS3A01G498300;TraesCS5B01G036800;TraesCS2A01G216100;TraesCS1B01G434400;TraesCS4B01G117800;TraesCS4A01G216200;TraesCS2B01G325100;TraesCS5B01G104800;TraesCS2D01G280900;TraesCS3B01G221400;TraesCS7B01G207300;TraesCS5D01G247600;TraesCS1A01G165700</t>
  </si>
  <si>
    <t>TraesCS3A01G178600;TraesCS3D01G426300;TraesCS3A01G367000;TraesCS7D01G283600;TraesCS1D01G401900;TraesCS4B01G154100;TraesCS5D01G099800;TraesCS6A01G321600;TraesCS5D01G135900;TraesCS6B01G352400;TraesCS6A01G143300;TraesCS1B01G422200;TraesCS1D01G003700;TraesCS6D01G122800;TraesCS5D01G312400;TraesCS2B01G602100;TraesCS4D01G199300;TraesCS4D01G135000;TraesCS1D01G423500;TraesCS5B01G324800;TraesCS6A01G133100;TraesCS6A01G267300;TraesCS1A01G416000;TraesCS4A01G286700;TraesCS2B01G352000;TraesCS6D01G301300;TraesCS3A01G151100;TraesCS2D01G236100;TraesCS2B01G315300;TraesCS4B01G193400;TraesCS3A01G405300;TraesCS5A01G128300;TraesCS6A01G188100;TraesCS4B01G204500;TraesCS5A01G324200;TraesCS5B01G476900;TraesCS6D01G132500;TraesCS6D01G283300;TraesCS2D01G238600;TraesCS5A01G305400;TraesCS4B01G028100;TraesCS3A01G393400;TraesCS6A01G386600;TraesCS5B01G036800;TraesCS1D01G303800;TraesCS4D01G025700;TraesCS6A01G200600;TraesCS6B01G171600;TraesCS4A01G105500;TraesCS6A01G269700;TraesCS4D01G120900;TraesCS6A01G303800;TraesCS6B01G173500;TraesCS5B01G127300;TraesCS4A01G005000;TraesCS2D01G549100;TraesCS4D01G160200;TraesCS4A01G059500;TraesCS2A01G330200;TraesCS2D01G296800</t>
  </si>
  <si>
    <t>TraesCS2A01G517900;TraesCS5B01G270200;TraesCS3A01G023800;TraesCS1D01G449000;TraesCS6A01G312100;TraesCS2D01G310000;TraesCS2B01G328500;TraesCS3A01G137000;TraesCS1A01G206900;TraesCS2D01G118000;TraesCS5B01G409700;TraesCS7A01G222800;TraesCS1D01G210200;TraesCS5D01G229900;TraesCS2D01G519500;TraesCS1B01G220700;TraesCS4A01G101500;TraesCS4D01G204000;TraesCS5A01G119300;TraesCS7B01G129300;TraesCS3D01G137800;TraesCS7D01G224400;TraesCS1A01G133500;TraesCS6B01G342300;TraesCS5B01G220900;TraesCS3D01G421500</t>
  </si>
  <si>
    <t>mRNA modification</t>
  </si>
  <si>
    <t>TraesCS3A01G151100;TraesCS2B01G401900;TraesCS5B01G335500;TraesCS5A01G149000;TraesCS5A01G336500;TraesCS6A01G188100;TraesCS1A01G195500;TraesCS1A01G206900;TraesCS6D01G132500;TraesCSU01G072700;TraesCS1D01G199100;TraesCS5B01G147600;TraesCS5B01G409700;TraesCS1D01G210200;TraesCS3D01G514100;TraesCS1B01G220700;TraesCS6A01G143300;TraesCS1A01G246800;TraesCS5B01G036800;TraesCS5D01G551200;TraesCS5D01G341200;TraesCS1D01G030500;TraesCS2D01G356700;TraesCS4A01G315700;TraesCS6B01G171600;TraesCS4A01G120000;TraesCS5B01G378700;TraesCS2B01G297800;TraesCS5B01G563800;TraesCS4D01G135000;TraesCS3D01G083400;TraesCS2A01G280500;TraesCS5D01G429200;TraesCS2D01G279300;TraesCS3A01G082700;TraesCS7A01G323200;TraesCS3B01G154900;TraesCS5A01G472100;TraesCS5D01G094000</t>
  </si>
  <si>
    <t>leaf development</t>
  </si>
  <si>
    <t>TraesCS4B01G252400;TraesCS5D01G420300;TraesCS2A01G286500;TraesCS3A01G023800;TraesCS4A01G494400;TraesCS5A01G466100;TraesCS1D01G396300;TraesCS2B01G307300;TraesCS2A01G246200;TraesCS2D01G288800;TraesCS3A01G275700;TraesCS4A01G354500;TraesCS7A01G480700;TraesCS1D01G149900;TraesCS2B01G107200;TraesCS2B01G303300;TraesCS2A01G092400;TraesCS3D01G237100;TraesCS1A01G388400;TraesCS5A01G089900;TraesCS6D01G065600;TraesCS2B01G528300;TraesCS7D01G467500;TraesCS5D01G366500;TraesCS2A01G262700;TraesCS3B01G309400;TraesCS3D01G341200;TraesCS6A01G336800;TraesCS7B01G162300;TraesCS3D01G238700;TraesCS5B01G084600;TraesCS2D01G136200;TraesCS7B01G382800;TraesCS7A01G350000;TraesCS4D01G252700;TraesCS7A01G264300;TraesCS2A01G134000;TraesCS5D01G517600;TraesCS5A01G411500;TraesCS1D01G400600;TraesCS2D01G249200;TraesCS5B01G102600;TraesCS3A01G484800;TraesCS5B01G517900;TraesCS6A01G102500;TraesCS2B01G279400;TraesCS3A01G394600;TraesCS4A01G364400;TraesCS2A01G431900;TraesCS2A01G290900;TraesCS5D01G478900;TraesCS5B01G415100;TraesCS4A01G276300;TraesCS4D01G292900;TraesCS5A01G357400;TraesCS6D01G091100;TraesCS2D01G500600;TraesCS1A01G111100;TraesCS1D01G390500;TraesCS5B01G136500;TraesCS2A01G041400;TraesCS2D01G248600;TraesCS4A01G051900;TraesCS2D01G261300;TraesCS3D01G275600;TraesCS1A01G172100;TraesCS5B01G509100;TraesCS7D01G265200;TraesCS6D01G210000;TraesCS3D01G388400;TraesCS2B01G263300;TraesCS4B01G341300;TraesCS6A01G225200;TraesCS7B01G005700;TraesCS7A01G004000;TraesCS4A01G013500;TraesCS7D01G004500;TraesCS6A01G153500;TraesCS4B01G314600;TraesCS5B01G110000;TraesCS6B01G256400;TraesCS2B01G304900;TraesCS4A01G078800;TraesCS2A01G500400;TraesCS5B01G477800;TraesCS2B01G157600;TraesCS1D01G211600;TraesCS4D01G240700;TraesCS2A01G187700</t>
  </si>
  <si>
    <t>TraesCS5D01G336000;TraesCS7A01G466600;TraesCS5D01G124800;TraesCS1D01G107300;TraesCS1B01G290800;TraesCS4A01G257800;TraesCS1D01G280900;TraesCS3D01G281100;TraesCS4D01G085700;TraesCS7D01G288700;TraesCS4D01G115600;TraesCS2D01G383800;TraesCS2B01G221800;TraesCS2D01G118000;TraesCS5A01G114600;TraesCS6B01G238600;TraesCS6D01G130500;TraesCS6A01G070700;TraesCS2A01G387000;TraesCS5A01G416400;TraesCS6B01G169300;TraesCS6B01G159200;TraesCS5B01G418700;TraesCS6A01G130900;TraesCS4B01G056700;TraesCS4B01G117900;TraesCS1B01G212500;TraesCS3D01G326900;TraesCS6D01G055600;TraesCS5B01G450400;TraesCS3A01G220000;TraesCS1A01G116000;TraesCS4D01G057000;TraesCS2A01G185500;TraesCS5A01G006100;TraesCS1B01G255100;TraesCS1A01G243700;TraesCS1A01G350200;TraesCS5A01G445100;TraesCS5D01G424400;TraesCS4A01G276300;TraesCS6A01G192800;TraesCS6A01G209800;TraesCS4D01G115500;TraesCS5B01G509500;TraesCS1A01G258800;TraesCS1D01G258800;TraesCS2A01G488400;TraesCS3B01G237500;TraesCS5A01G416700;TraesCS2A01G444100;TraesCS4A01G197700;TraesCS7D01G454200;TraesCS1A01G099400;TraesCS3A01G498300;TraesCS6D01G193000;TraesCS4A01G197600;TraesCS1D01G412600;TraesCS3B01G363500;TraesCS4A01G013500;TraesCS2D01G488700;TraesCS1D01G353100;TraesCS2B01G404600;TraesCS1B01G434400;TraesCS2D01G524500;TraesCS3D01G414600;TraesCS4B01G117800;TraesCS4A01G149800;TraesCS1A01G281700;TraesCS2D01G202200;TraesCS1B01G269400;TraesCS7D01G000100;TraesCS5D01G006100;TraesCSU01G058200</t>
  </si>
  <si>
    <t>TraesCS5B01G036800;TraesCS6D01G122800;TraesCS7B01G186500;TraesCS4D01G135000;TraesCS6A01G303800;TraesCS4B01G285000;TraesCS6A01G133100;TraesCS6B01G393600;TraesCS6D01G344200;TraesCS6A01G267300;TraesCS6D01G283300;TraesCS4A01G093100;TraesCS7A01G294200</t>
  </si>
  <si>
    <t>stromule</t>
  </si>
  <si>
    <t>TraesCS3A01G289900;TraesCS5D01G470400;TraesCS7D01G294300;TraesCS2A01G102600;TraesCS3D01G289600;TraesCS3A01G189400;TraesCS4A01G166900;TraesCS1D01G101200;TraesCS1D01G117400;TraesCS6B01G104600;TraesCS1B01G167200;TraesCS7A01G182200;TraesCS4B01G211800;TraesCS2D01G102100;TraesCS4D01G151900;TraesCS4A01G092500;TraesCS4D01G212600;TraesCS5D01G230300;TraesCS3A01G417000;TraesCS1A01G116200;TraesCS3D01G412500;TraesCSU01G142500;TraesCS7D01G409000;TraesCS6A01G077800;TraesCS3B01G324500;TraesCS5A01G222500;TraesCS5D01G517200;TraesCS1A01G092700;TraesCS1D01G146600;TraesCS2B01G119700;TraesCS4A01G355000;TraesCS5B01G517500</t>
  </si>
  <si>
    <t>TraesCS5D01G336000;TraesCS3D01G426300;TraesCS1D01G155100;TraesCS3A01G212600;TraesCS2A01G404700;TraesCS7D01G449900;TraesCS1D01G226500;TraesCS1B01G343100;TraesCS5A01G092400;TraesCS1B01G049300;TraesCS3D01G323700;TraesCS3A01G330200;TraesCS4A01G163400;TraesCS5D01G162400;TraesCS1D01G119400;TraesCS3D01G273800;TraesCS3A01G099300;TraesCS4B01G173500;TraesCS5D01G359800;TraesCS4B01G288200;TraesCS1B01G377800;TraesCS6D01G398100;TraesCS7A01G146700;TraesCS1A01G388400;TraesCS2A01G455200;TraesCS4A01G178600;TraesCS3A01G228000;TraesCS3B01G426500;TraesCS4B01G152900;TraesCS2B01G477300;TraesCS2D01G079600;TraesCS1A01G324800;TraesCS3D01G507500;TraesCS4B01G050200;TraesCS6B01G253900;TraesCS3D01G150400;TraesCS1D01G316200;TraesCS3B01G112900;TraesCS4D01G135000;TraesCS4D01G246300;TraesCS5B01G132900;TraesCS5D01G429200;TraesCS3A01G134100;TraesCS2A01G171900;TraesCS7A01G323200;TraesCS4D01G133500;TraesCS2A01G200500;TraesCS2D01G162900;TraesCS3A01G151100;TraesCS6A01G203300;TraesCS7B01G054900;TraesCS2B01G401900;TraesCS7D01G250100;TraesCS3A01G478800;TraesCS6A01G203700;TraesCS1A01G180200;TraesCS5B01G335500;TraesCS6B01G112700;TraesCS1A01G027200;TraesCS2D01G565200;TraesCS5D01G141200;TraesCS1A01G130700;TraesCS5A01G336500;TraesCS5A01G424400;TraesCS2A01G022000;TraesCS4B01G246900;TraesCS4B01G204500;TraesCS5B01G263800;TraesCS1A01G086500;TraesCS5B01G476900;TraesCS2B01G326800;TraesCS1B01G408600;TraesCS2B01G227800;TraesCS3D01G298000;TraesCS1D01G178000;TraesCS7D01G349600;TraesCS6D01G149800;TraesCS2B01G257300;TraesCS2A01G103300;TraesCS3A01G303800;TraesCS5B01G082400;TraesCS4A01G015800;TraesCS4B01G138800;TraesCS7D01G339300;TraesCS4A01G120000;TraesCS7B01G049200;TraesCS5A01G157000;TraesCS6A01G303800;TraesCS2B01G264100;TraesCS4B01G109700;TraesCS4D01G085900;TraesCS3B01G140800;TraesCS4B01G178900;TraesCS3B01G309700;TraesCS7B01G117600;TraesCS1B01G200300;TraesCS5D01G396300;TraesCS2B01G153800;TraesCS3B01G385400;TraesCS7B01G352800;TraesCS5D01G166000;TraesCS6A01G113000;TraesCS1D01G409700;TraesCS3A01G367000;TraesCS1D01G396300;TraesCS2A01G521400;TraesCS5B01G155200;TraesCS4D01G194300;TraesCS7D01G283600;TraesCS1B01G326400;TraesCS3B01G423600;TraesCS3D01G065800;TraesCS2B01G592500;TraesCS2D01G362700;TraesCS6A01G290600;TraesCS1A01G315900;TraesCS1B01G304500;TraesCS1D01G277100;TraesCS3D01G162700;TraesCS6A01G070700;TraesCS3B01G209400;TraesCS3A01G097200;TraesCS4A01G058000;TraesCS4A01G138800;TraesCS1D01G325500;TraesCS4A01G262900;TraesCS3A01G100000;TraesCS2B01G198300;TraesCS5D01G551200;TraesCS1A01G382900;TraesCS5A01G131600;TraesCS7D01G148200;TraesCS4A01G315700;TraesCS6B01G216800;TraesCS7D01G442100;TraesCS5A01G161200;TraesCS1B01G212500;TraesCS5B01G563800;TraesCS1A01G278000;TraesCS6A01G267300;TraesCS4A01G131100;TraesCS4A01G227500;TraesCS2D01G401600;TraesCS7A01G252000;TraesCS2D01G133500;TraesCS4B01G193400;TraesCS2A01G431900;TraesCS2B01G321700;TraesCS2D01G303500;TraesCS4D01G175600;TraesCS4A01G110800;TraesCS4B01G244400;TraesCS4A01G238100;TraesCS2A01G150000;TraesCS6A01G188100;TraesCS2D01G022800;TraesCS3B01G564100;TraesCS1A01G172100;TraesCS1B01G293500;TraesCS6B01G151900;TraesCS6D01G283300;TraesCS2B01G246200;TraesCS2D01G238600;TraesCS7B01G242800;TraesCS2B01G154700;TraesCS1B01G337800;TraesCS2D01G300400;TraesCS5B01G036800;TraesCS2A01G132200;TraesCS2A01G239200;TraesCS5D01G341200;TraesCS6B01G304100;TraesCS1A01G284300;TraesCS2D01G208300;TraesCS5B01G158500;TraesCS5D01G140200;TraesCS3B01G332500;TraesCS7B01G049000;TraesCS7D01G280600;TraesCS7A01G452800;TraesCS2D01G308000;TraesCS1D01G314600;TraesCS3A01G295400;TraesCS6B01G189000;TraesCS7D01G000100;TraesCS3D01G123500;TraesCS4B01G088400;TraesCS3D01G482500</t>
  </si>
  <si>
    <t>TraesCS3D01G426300;TraesCS6D01G122800;TraesCS2A01G239200;TraesCS2B01G257300;TraesCS6B01G218700;TraesCS2B01G297800;TraesCS3D01G289600;TraesCS6A01G290600;TraesCS2A01G193800;TraesCS2A01G280500;TraesCS6A01G133100;TraesCS2D01G279300;TraesCS5B01G476900;TraesCS3A01G191700;TraesCS2D01G194000</t>
  </si>
  <si>
    <t>regulation of lipid metabolic process</t>
  </si>
  <si>
    <t>TraesCS5D01G336000;TraesCS7A01G466600;TraesCS5D01G124800;TraesCS1D01G107300;TraesCS1B01G290800;TraesCS4A01G257800;TraesCS1D01G280900;TraesCS3D01G281100;TraesCS4D01G085700;TraesCS7D01G288700;TraesCS4D01G115600;TraesCS2D01G383800;TraesCS2B01G221800;TraesCS2D01G118000;TraesCS5A01G114600;TraesCS6B01G238600;TraesCS6D01G130500;TraesCS6A01G070700;TraesCS2A01G387000;TraesCS5A01G416400;TraesCS6B01G169300;TraesCS6B01G159200;TraesCS5B01G418700;TraesCS6A01G130900;TraesCS4B01G056700;TraesCS4B01G117900;TraesCS1B01G212500;TraesCS3D01G326900;TraesCS6D01G055600;TraesCS5B01G450400;TraesCS3A01G220000;TraesCS1A01G116000;TraesCS4D01G057000;TraesCS2A01G185500;TraesCS5A01G006100;TraesCS1B01G255100;TraesCS1A01G243700;TraesCS1A01G350200;TraesCS5A01G445100;TraesCS5D01G424400;TraesCS4A01G276300;TraesCS6A01G192800;TraesCS6A01G209800;TraesCS4D01G115500;TraesCS5B01G509500;TraesCS1A01G258800;TraesCS1D01G258800;TraesCS2A01G488400;TraesCS3B01G237500;TraesCS5A01G416700;TraesCS2A01G444100;TraesCS4A01G197700;TraesCS7D01G454200;TraesCS1A01G099400;TraesCS3A01G498300;TraesCS6D01G193000;TraesCS4A01G197600;TraesCS1D01G412600;TraesCS3B01G363500;TraesCS4A01G013500;TraesCS2D01G488700;TraesCS1D01G353100;TraesCS2B01G404600;TraesCS1B01G434400;TraesCS3D01G414600;TraesCS4B01G117800;TraesCS4A01G149800;TraesCS1A01G281700;TraesCS2D01G202200;TraesCS1B01G269400;TraesCS7D01G000100;TraesCS5D01G006100;TraesCSU01G058200</t>
  </si>
  <si>
    <t>TraesCS3A01G151100;TraesCS3D01G426300;TraesCS3A01G367000;TraesCS7D01G283600;TraesCS4B01G204500;TraesCS1A01G195500;TraesCS4B01G154100;TraesCS2A01G193800;TraesCS5A01G324200;TraesCS6D01G344200;TraesCS6D01G132500;TraesCS1D01G199100;TraesCS6D01G283300;TraesCS2D01G194000;TraesCS1D01G086600;TraesCS2D01G238600;TraesCS6A01G143300;TraesCS4D01G153900;TraesCS5B01G036800;TraesCS6D01G122800;TraesCS1D01G303800;TraesCS3B01G185300;TraesCS6B01G171600;TraesCS1D01G316200;TraesCS2B01G297800;TraesCS4D01G135000;TraesCS1D01G423500;TraesCS3D01G228800;TraesCS6A01G303800;TraesCS3D01G083400;TraesCS2A01G280500;TraesCS5B01G324800;TraesCS6A01G133100;TraesCS6B01G393600;TraesCS2D01G279300;TraesCS3A01G082700;TraesCS6A01G267300;TraesCS1A01G416000;TraesCS4D01G160200;TraesCS3A01G224800</t>
  </si>
  <si>
    <t>TraesCS1D01G264100;TraesCS1A01G264000;TraesCS4A01G178600;TraesCS6A01G360600;TraesCS1D01G298400;TraesCS5D01G532100;TraesCS3A01G200400;TraesCS5B01G094600;TraesCS3B01G242700;TraesCS1D01G125300;TraesCS3D01G203400;TraesCS1B01G274600;TraesCS7D01G454700;TraesCS6B01G393500;TraesCS6D01G344100;TraesCS4D01G133500;TraesCS1A01G129400;TraesCS1A01G299500;TraesCS7A01G466900</t>
  </si>
  <si>
    <t>DNA geometric change</t>
  </si>
  <si>
    <t>TraesCS3A01G210000;TraesCS7B01G006600;TraesCS7B01G186500;TraesCS5B01G228900;TraesCS3A01G052700;TraesCS4B01G244400;TraesCS5D01G237400;TraesCS2A01G150000;TraesCS3D01G436100;TraesCS3A01G443700;TraesCS5B01G256400;TraesCS6D01G287300;TraesCS6A01G308100;TraesCS5B01G227900;TraesCS5A01G230400;TraesCS2B01G312600;TraesCS1D01G030500;TraesCS3A01G530000;TraesCS2B01G272300;TraesCS4D01G025300;TraesCS7D01G339600;TraesCS2A01G252600;TraesCS4A01G005000;TraesCS1A01G102300;TraesCS4A01G093100;TraesCS7A01G294200;TraesCS2A01G296400;TraesCS4D01G131700</t>
  </si>
  <si>
    <t>TraesCS2D01G586200;TraesCS3A01G212600;TraesCS7B01G006600;TraesCS2B01G313700;TraesCS5B01G228900;TraesCS1D01G396300;TraesCS5D01G237400;TraesCS6A01G220100;TraesCS1D01G226500;TraesCS4D01G194300;TraesCS2B01G348600;TraesCS3D01G436100;TraesCS3A01G418400;TraesCS2A01G220100;TraesCS2D01G295500;TraesCS1A01G388400;TraesCS6A01G308100;TraesCS7D01G121800;TraesCS5B01G227900;TraesCS7A01G278800;TraesCS1A01G099500;TraesCS7D01G278600;TraesCS1D01G030500;TraesCS3A01G530000;TraesCS1A01G355200;TraesCS2B01G272300;TraesCS1D01G316200;TraesCS7D01G339600;TraesCS7D01G051700;TraesCS1A01G427400;TraesCS7A01G294200;TraesCS2A01G296400;TraesCS1B01G462300;TraesCS1B01G366400;TraesCS3A01G210000;TraesCS1D01G107400;TraesCS7B01G186500;TraesCS3A01G052700;TraesCS3B01G251600;TraesCS3D01G231300;TraesCS3D01G516800;TraesCS4A01G110800;TraesCS4B01G244400;TraesCS2D01G225800;TraesCS5B01G111800;TraesCS2A01G150000;TraesCS6B01G301300;TraesCS5A01G110300;TraesCS7D01G150300;TraesCS3A01G443700;TraesCS3A01G143000;TraesCS1D01G067500;TraesCS5B01G256400;TraesCS2A01G297500;TraesCS2B01G154700;TraesCS6D01G287300;TraesCS4A01G247300;TraesCS5D01G118500;TraesCS2A01G132200;TraesCS5A01G230400;TraesCS2B01G312600;TraesCS4D01G025300;TraesCS2A01G575500;TraesCS2B01G245600;TraesCS2A01G252600;TraesCS7D01G051800;TraesCS6B01G261500;TraesCS4A01G005000;TraesCS6B01G197100;TraesCS6D01G215100;TraesCS1A01G102300;TraesCS3A01G276100;TraesCS3B01G309700;TraesCS4A01G093100;TraesCS4D01G131700</t>
  </si>
  <si>
    <t>TraesCS7A01G466600;TraesCS1D01G264100;TraesCS5B01G117800;TraesCS6D01G121300;TraesCS1D01G101200;TraesCS2D01G492600;TraesCS5A01G513500;TraesCS5B01G141000;TraesCS3B01G398000;TraesCS4B01G213600;TraesCS4D01G342400;TraesCS2B01G528300;TraesCS6D01G357100;TraesCS5A01G192000;TraesCS5A01G014400;TraesCS5A01G119300;TraesCS4D01G214300;TraesCS3B01G185300;TraesCS7B01G104400;TraesCS5B01G324800;TraesCS1A01G092700;TraesCS7A01G088100;TraesCS3A01G151100;TraesCS1A01G264000;TraesCS1A01G180200;TraesCS6A01G354500;TraesCS7D01G174700;TraesCS6A01G119800;TraesCS3D01G527700;TraesCS5B01G476900;TraesCS5A01G305400;TraesCS7D01G454200;TraesCS2A01G430500;TraesCS5A01G014500;TraesCS3D01G414600;TraesCS3D01G203400;TraesCS3A01G398000;TraesCS2B01G201700;TraesCS3A01G077600;TraesCS7B01G117600;TraesCS1B01G200300;TraesCS1B01G447500;TraesCS4A01G091100;TraesCS3B01G425900;TraesCS4A01G062100;TraesCS5A01G489100;TraesCS5D01G067600;TraesCS2B01G451100;TraesCS6A01G314100;TraesCS7B01G176200;TraesCS1B01G290800;TraesCS1D01G280900;TraesCS5D01G149900;TraesCS3D01G311800;TraesCS2A01G123800;TraesCS1B01G274600;TraesCS4B01G068500;TraesCS6A01G101700;TraesCS4D01G339700;TraesCS7D01G083200;TraesCS2A01G289800;TraesCS2D01G182700;TraesCS4D01G067600;TraesCS5D01G312400;TraesCS6B01G159800;TraesCS5A01G056400;TraesCS6B01G176600;TraesCS2D01G249600;TraesCS6A01G158300;TraesCS6B01G344100;TraesCS7D01G386100;TraesCS2B01G520500;TraesCS2D01G126600;TraesCS1D01G134300;TraesCS4A01G387000;TraesCS2B01G315300;TraesCS4D01G175600;TraesCS7D01G200800;TraesCS6D01G259500;TraesCS7A01G390400;TraesCS4A01G164900;TraesCS2B01G145700;TraesCS3A01G200400;TraesCS2A01G492300;TraesCS2B01G185800;TraesCS3B01G430000;TraesCS5A01G324200;TraesCS7B01G124100;TraesCS2A01G467900;TraesCS3A01G521600;TraesCS2A01G159900;TraesCS6A01G279100;TraesCS7D01G373100;TraesCS7A01G226000;TraesCS1A01G281700;TraesCS7D01G130500;TraesCS5D01G178500;TraesCS6D01G238800;TraesCS2D01G296800</t>
  </si>
  <si>
    <t>cytosol</t>
  </si>
  <si>
    <t>TraesCS1B01G261700;TraesCS5B01G201700;TraesCS3A01G103100;TraesCS6D01G121300;TraesCS1B01G368500;TraesCS4B01G084800;TraesCS5D01G401900;TraesCS6D01G364400;TraesCS4A01G078900;TraesCS5D01G107900;TraesCS1D01G356900;TraesCS3D01G289600;TraesCS2B01G145700;TraesCS6A01G379800;TraesCS6B01G418400;TraesCS4D01G082700;TraesCS2A01G123800;TraesCS2B01G185800;TraesCS2A01G400900;TraesCS5A01G095200;TraesCS5D01G504600;TraesCS5B01G101400;TraesCS1D01G250700;TraesCS2A01G159900;TraesCS7B01G097000;TraesCS4A01G231200;TraesCS5D01G230300;TraesCS7A01G192000;TraesCS6B01G348700;TraesCS4B01G245400;TraesCS6B01G159800;TraesCS3A01G251200;TraesCS4B01G180100;TraesCS2D01G398400;TraesCS7D01G409000;TraesCS3B01G324500;TraesCS5A01G222500;TraesCS5B01G396900;TraesCS5D01G459800;TraesCS4D01G244000;TraesCS5A01G392000;TraesCS7D01G193000;TraesCS2D01G126600</t>
  </si>
  <si>
    <t>DNA duplex unwinding</t>
  </si>
  <si>
    <t>TraesCS2B01G174600;TraesCS2A01G095300;TraesCS2B01G174700;TraesCS6A01G360600;TraesCS7B01G352800;TraesCS1D01G226500;TraesCS2B01G250000;TraesCS1B01G049300;TraesCS2A01G226000;TraesCS1B01G293500;TraesCS6D01G344100;TraesCS2D01G232300;TraesCS5D01G171100;TraesCS3B01G252200;TraesCS5A01G020800;TraesCS2A01G233300;TraesCS3A01G389100;TraesCS1A01G284300;TraesCS5B01G378700;TraesCS7D01G442100;TraesCS6B01G190300;TraesCS7A01G452800;TraesCS2D01G059400;TraesCS4B01G109700;TraesCS5D01G429200;TraesCS5A01G166800;TraesCS2D01G093700;TraesCS6A01G161200;TraesCS6B01G393500;TraesCS2A01G149500;TraesCS2A01G149600</t>
  </si>
  <si>
    <t>regulation of cell cycle process</t>
  </si>
  <si>
    <t>TraesCS7B01G217500;TraesCS4D01G153900;TraesCS1B01G396800;TraesCS4D01G359000;TraesCS5A01G396700;TraesCS1A01G376400;TraesCS2B01G297800;TraesCS2D01G310000;TraesCS1D01G198700;TraesCS2A01G193800;TraesCS2B01G328500;TraesCS2A01G280500;TraesCS2D01G279300;TraesCS5A01G548800;TraesCS5D01G026000;TraesCS5B01G409700;TraesCS1D01G383500;TraesCS2D01G194000;TraesCS7A01G316700;TraesCS6D01G047400;TraesCS1B01G462200</t>
  </si>
  <si>
    <t>phosphatidylglycerol biosynthetic process</t>
  </si>
  <si>
    <t>phosphatidylglycerol metabolic process</t>
  </si>
  <si>
    <t>TraesCS1B01G366400;TraesCS3A01G210000;TraesCS7B01G006600;TraesCS7B01G186500;TraesCS5B01G228900;TraesCS3A01G052700;TraesCS1D01G396300;TraesCS4B01G244400;TraesCS5D01G237400;TraesCS1D01G226500;TraesCS2A01G150000;TraesCS3D01G436100;TraesCS3A01G443700;TraesCS5B01G256400;TraesCS6D01G287300;TraesCS1A01G388400;TraesCS6A01G308100;TraesCS5B01G227900;TraesCS5A01G230400;TraesCS2B01G312600;TraesCS1D01G030500;TraesCS3A01G530000;TraesCS1A01G355200;TraesCS2B01G272300;TraesCS4D01G025300;TraesCS7D01G339600;TraesCS2A01G252600;TraesCS4A01G005000;TraesCS1A01G102300;TraesCS3A01G276100;TraesCS3B01G309700;TraesCS4A01G093100;TraesCS7A01G294200;TraesCS2A01G296400;TraesCS4D01G131700</t>
  </si>
  <si>
    <t>TraesCS2B01G174600;TraesCS1D01G264100;TraesCS2A01G095300;TraesCS2D01G213200;TraesCS1A01G264000;TraesCS6A01G360600;TraesCS6A01G379000;TraesCS2D01G154600;TraesCS1B01G049300;TraesCS1D01G222700;TraesCS3A01G200400;TraesCS5D01G078500;TraesCS1B01G274600;TraesCS6D01G344100;TraesCS2D01G427900;TraesCS3B01G252200;TraesCS1A01G221100;TraesCS1D01G298400;TraesCS5A01G091200;TraesCS3D01G203400;TraesCS2D01G093700;TraesCS6B01G393500;TraesCS2B01G247100;TraesCS2A01G149500;TraesCS1A01G299500;TraesCS3D01G182400</t>
  </si>
  <si>
    <t>cytokinesis by cell plate formation</t>
  </si>
  <si>
    <t>TraesCS5B01G142900;TraesCS5B01G413400;TraesCS4A01G062100;TraesCS5A01G489100;TraesCS7A01G143900;TraesCS7B01G103100;TraesCS4A01G238100;TraesCS4D01G152000;TraesCS4D01G234800;TraesCS2A01G201200;TraesCS3D01G311800;TraesCS1A01G206600;TraesCS4A01G077600;TraesCS2A01G400900;TraesCS3A01G192400;TraesCS7D01G326000;TraesCS5A01G328900;TraesCS7B01G097000;TraesCS2B01G150400;TraesCS4A01G283700;TraesCS7D01G188300;TraesCS5D01G148100;TraesCS7B01G464900;TraesCS7A01G192000;TraesCS6B01G348700;TraesCS2A01G585800;TraesCS3B01G254200;TraesCS4B01G373400;TraesCS2D01G398400;TraesCS3A01G362600;TraesCS1D01G376900;TraesCS3D01G228900;TraesCS2B01G222600;TraesCSU01G132400;TraesCS3A01G488100;TraesCS5B01G320100;TraesCS3B01G221400;TraesCS5A01G143800;TraesCS3D01G356400;TraesCS3B01G221200;TraesCS5B01G255700;TraesCS2D01G202900;TraesCS4B01G029400;TraesCS2A01G128300;TraesCS2D01G237600;TraesCS7B01G092500;TraesCS7D01G193000;TraesCS6B01G166400</t>
  </si>
  <si>
    <t>TraesCS2D01G586200;TraesCS7B01G006600;TraesCS2B01G313700;TraesCS5B01G228900;TraesCS5D01G237400;TraesCS6A01G220100;TraesCS3D01G436100;TraesCS3A01G418400;TraesCS2A01G220100;TraesCS2D01G295500;TraesCS6A01G308100;TraesCS7D01G121800;TraesCS5B01G227900;TraesCS7A01G278800;TraesCS1A01G099500;TraesCS7D01G278600;TraesCS1D01G030500;TraesCS3A01G530000;TraesCS1A01G355200;TraesCS2B01G272300;TraesCS7D01G339600;TraesCS7D01G051700;TraesCS1A01G427400;TraesCS7A01G294200;TraesCS2A01G296400;TraesCS1B01G462300;TraesCS1B01G366400;TraesCS3A01G210000;TraesCS1D01G107400;TraesCS7B01G186500;TraesCS3A01G052700;TraesCS3B01G251600;TraesCS3D01G231300;TraesCS3D01G516800;TraesCS4B01G244400;TraesCS2D01G225800;TraesCS5B01G111800;TraesCS2A01G150000;TraesCS6B01G301300;TraesCS5A01G110300;TraesCS7D01G150300;TraesCS3A01G443700;TraesCS3A01G143000;TraesCS1D01G067500;TraesCS5B01G256400;TraesCS2A01G297500;TraesCS2B01G154700;TraesCS6D01G287300;TraesCS4A01G247300;TraesCS5D01G118500;TraesCS2A01G132200;TraesCS5A01G230400;TraesCS2B01G312600;TraesCS4D01G025300;TraesCS2A01G575500;TraesCS2B01G245600;TraesCS2A01G252600;TraesCS7D01G051800;TraesCS6B01G261500;TraesCS4A01G005000;TraesCS6B01G197100;TraesCS6D01G215100;TraesCS3A01G276100;TraesCS3B01G309700;TraesCS4A01G093100;TraesCS4D01G131700</t>
  </si>
  <si>
    <t>TraesCS2B01G174600;TraesCS1D01G264100;TraesCS2A01G095300;TraesCS2D01G213200;TraesCS1A01G264000;TraesCS6A01G360600;TraesCS6A01G379000;TraesCS3D01G281100;TraesCS2D01G154600;TraesCS1B01G049300;TraesCS1D01G222700;TraesCS3A01G200400;TraesCS5D01G078500;TraesCS1B01G274600;TraesCS6D01G344100;TraesCS2D01G427900;TraesCS3B01G252200;TraesCS1A01G221100;TraesCS1D01G298400;TraesCS5A01G091200;TraesCS3D01G203400;TraesCS2D01G093700;TraesCS6B01G393500;TraesCS2B01G247100;TraesCS2A01G149500;TraesCS1A01G299500;TraesCS3D01G182400</t>
  </si>
  <si>
    <t>mitotic cytokinetic process</t>
  </si>
  <si>
    <t>cytokinetic process</t>
  </si>
  <si>
    <t>TraesCS6D01G121300;TraesCS2A01G215100;TraesCS5D01G219500;TraesCS2A01G123800;TraesCS5A01G108000;TraesCS1D01G313800;TraesCS2A01G222600;TraesCS3D01G391900;TraesCS7D01G083200;TraesCS2B01G528300;TraesCS5A01G014400;TraesCS1A01G355200;TraesCS4D01G107400;TraesCS6B01G159800;TraesCS4D01G212000;TraesCS7B01G104400;TraesCS7D01G228500;TraesCS2B01G222600;TraesCS1B01G325100;TraesCS5B01G324800;TraesCS6A01G158300;TraesCS2D01G233900;TraesCS2D01G202900;TraesCS7A01G088100;TraesCS3B01G410400;TraesCS5B01G146700;TraesCS2D01G126600;TraesCS1B01G366400;TraesCS4A01G387000;TraesCS1B01G368500;TraesCS3A01G159900;TraesCS7D01G200800;TraesCS6D01G259500;TraesCS6B01G307200;TraesCS1D01G356900;TraesCS2B01G145700;TraesCS3B01G430000;TraesCS5A01G324200;TraesCS1A01G313300;TraesCS2B01G248100;TraesCS2B01G240100;TraesCS4A01G247300;TraesCS5A01G014500;TraesCS5B01G036800;TraesCS4A01G206400;TraesCS6A01G279100;TraesCS4D01G065600;TraesCS7A01G226000;TraesCS5D01G144600;TraesCS4B01G109900;TraesCS4A01G307900;TraesCS3A01G398000;TraesCS3A01G276100;TraesCS3B01G309700;TraesCS5A01G212500;TraesCS4A01G093100;TraesCS4A01G248200</t>
  </si>
  <si>
    <t>TraesCS5D01G336000;TraesCS7A01G466600;TraesCS5D01G124800;TraesCS1D01G107300;TraesCS1B01G290800;TraesCS4A01G257800;TraesCS1D01G280900;TraesCS3D01G281100;TraesCS4D01G085700;TraesCS7D01G288700;TraesCS3A01G380100;TraesCS4D01G115600;TraesCS2D01G383800;TraesCS2B01G221800;TraesCS2D01G118000;TraesCS5A01G114600;TraesCS6B01G238600;TraesCS6D01G130500;TraesCS6A01G070700;TraesCS2A01G387000;TraesCS5A01G416400;TraesCS6B01G169300;TraesCS6B01G159200;TraesCS5B01G418700;TraesCS6A01G130900;TraesCS4B01G056700;TraesCS4B01G117900;TraesCS1B01G212500;TraesCS3D01G326900;TraesCS6D01G055600;TraesCS5B01G450400;TraesCS3A01G220000;TraesCS1A01G116000;TraesCS4D01G057000;TraesCS2A01G185500;TraesCS5A01G006100;TraesCS1B01G255100;TraesCS1A01G243700;TraesCS1A01G350200;TraesCS5A01G445100;TraesCS5D01G424400;TraesCS3D01G373300;TraesCS4A01G276300;TraesCS6A01G192800;TraesCS6A01G209800;TraesCS4D01G115500;TraesCS5B01G509500;TraesCS1A01G258800;TraesCS1D01G258800;TraesCS2A01G488400;TraesCS3B01G237500;TraesCS5A01G416700;TraesCS2A01G444100;TraesCS4A01G197700;TraesCS7D01G454200;TraesCS1A01G099400;TraesCS3A01G498300;TraesCS6D01G193000;TraesCS4A01G197600;TraesCS1D01G412600;TraesCS3B01G363500;TraesCS4A01G013500;TraesCS2D01G488700;TraesCS1D01G353100;TraesCS2B01G404600;TraesCS1B01G434400;TraesCS2D01G524500;TraesCS3D01G414600;TraesCS4B01G117800;TraesCS4A01G149800;TraesCS1A01G281700;TraesCS2D01G202200;TraesCS1B01G269400;TraesCS7D01G000100;TraesCS5D01G006100;TraesCS3B01G412600;TraesCSU01G058200</t>
  </si>
  <si>
    <t>TraesCS3A01G151100;TraesCS2B01G401900;TraesCS5A01G149000;TraesCS1A01G195500;TraesCS1A01G206900;TraesCS6D01G132500;TraesCS1D01G199100;TraesCS5B01G147600;TraesCS5B01G409700;TraesCS1D01G210200;TraesCS3D01G514100;TraesCS1B01G220700;TraesCS6A01G143300;TraesCS1A01G246800;TraesCS5B01G036800;TraesCS5D01G551200;TraesCS1D01G030500;TraesCS4A01G315700;TraesCS6B01G171600;TraesCS5B01G378700;TraesCS2B01G297800;TraesCS5B01G563800;TraesCS3D01G083400;TraesCS2A01G280500;TraesCS2D01G279300;TraesCS3A01G082700;TraesCS3B01G154900;TraesCS5A01G472100;TraesCS5D01G094000</t>
  </si>
  <si>
    <t>leaf morphogenesis</t>
  </si>
  <si>
    <t>TraesCS7A01G466600;TraesCS6A01G146500;TraesCS6D01G121300;TraesCS2D01G097800;TraesCS4D01G127100;TraesCS7A01G231700;TraesCS7B01G103100;TraesCS5D01G067600;TraesCS5A01G495100;TraesCS2B01G451100;TraesCS2A01G343600;TraesCS2A01G343500;TraesCS2B01G342200;TraesCS2D01G322900;TraesCS5B01G132600;TraesCS4A01G164900;TraesCS5D01G298700;TraesCS4A01G111000;TraesCS5D01G219500;TraesCS1B01G165500;TraesCS6B01G174700;TraesCS7D01G232000;TraesCS7B01G124100;TraesCS4D01G180300;TraesCS5B01G290300;TraesCS2B01G248100;TraesCS2A01G222600;TraesCS7D01G454200;TraesCS2A01G430500;TraesCS5B01G036800;TraesCS2A01G098400;TraesCS1A01G110900;TraesCS2A01G344600;TraesCS3B01G185300;TraesCS6B01G159800;TraesCS4D01G212000;TraesCS5A01G056400;TraesCS7A01G190500;TraesCS2B01G222600;TraesCS4B01G178700;TraesCS5A01G132300;TraesCS6D01G135800;TraesCS2D01G202900;TraesCS4B01G323000;TraesCS5A01G212500;TraesCS4A01G093100;TraesCS3B01G410400;TraesCS4D01G319400</t>
  </si>
  <si>
    <t>TraesCS2B01G174600;TraesCS1D01G264100;TraesCS2A01G095300;TraesCS2D01G213200;TraesCS1A01G264000;TraesCS6A01G360600;TraesCS6A01G379000;TraesCS3D01G281100;TraesCS2D01G154600;TraesCS1B01G049300;TraesCS1D01G222700;TraesCS3A01G200400;TraesCS5D01G078500;TraesCS1B01G274600;TraesCS6D01G344100;TraesCS2D01G427900;TraesCS3B01G252200;TraesCS1A01G221100;TraesCS5B01G074200;TraesCS1D01G298400;TraesCS5A01G091200;TraesCS3D01G203400;TraesCS2D01G093700;TraesCS6B01G393500;TraesCS2B01G247100;TraesCS2A01G149500;TraesCS1A01G299500;TraesCS3D01G182400</t>
  </si>
  <si>
    <t>cytoskeleton-dependent cytokinesis</t>
  </si>
  <si>
    <t>mitotic cytokinesis</t>
  </si>
  <si>
    <t>TraesCS7D01G292000;TraesCS5B01G484700;TraesCS5B01G249000;TraesCS2A01G007500;TraesCS3A01G472400;TraesCS6B01G215800;TraesCS6D01G165800;TraesCS2A01G366900;TraesCS2A01G444600;TraesCS2D01G009200;TraesCS3D01G273800;TraesCS5A01G378000;TraesCS5B01G239200;TraesCS2D01G427900;TraesCS3D01G168600;TraesCS2D01G014800;TraesCS1D01G051300;TraesCS4D01G147100;TraesCS6D01G334400;TraesCS7B01G240200;TraesCS2B01G087600;TraesCS6B01G411900;TraesCS4D01G135000;TraesCS5B01G324800;TraesCS5B01G171200;TraesCS7B01G117700;TraesCS5B01G163700;TraesCS5B01G381600;TraesCS7B01G186500;TraesCS4D01G292900;TraesCS5A01G149000;TraesCS4B01G397700;TraesCS6B01G262800;TraesCS7D01G326000;TraesCS6D01G287300;TraesCS5A01G251000;TraesCS5B01G380500;TraesCS3A01G288400;TraesCS5A01G093200;TraesCS4B01G373400;TraesCS3A01G458000;TraesCS6B01G192600;TraesCS7D01G224400;TraesCS5D01G293100;TraesCS5D01G178300;TraesCS1A01G102300;TraesCS3A01G310200;TraesCS1B01G447500;TraesCS6D01G047400;TraesCS4A01G062100;TraesCS5D01G166000;TraesCS3D01G136800;TraesCS4A01G167000;TraesCS1D01G396300;TraesCS7A01G240000;TraesCS7D01G283600;TraesCS6A01G373200;TraesCS3A01G418800;TraesCS4A01G077600;TraesCS7A01G222800;TraesCS4A01G138800;TraesCS1D01G048200;TraesCS6A01G212200;TraesCS2D01G422000;TraesCS2D01G508800;TraesCS2D01G266600;TraesCS3A01G381200;TraesCS6A01G234000;TraesCS3A01G161300;TraesCS6D01G228200;TraesCS6D01G358500;TraesCS4D01G175600;TraesCS5B01G549200;TraesCS6A01G245100;TraesCS1A01G254400;TraesCS2D01G009100;TraesCS4D01G079200;TraesCS6D01G367300;TraesCS6B01G421600;TraesCS2A01G467900;TraesCS5B01G036800;TraesCS6D01G233800;TraesCS5A01G230400;TraesCS4A01G088600;TraesCS3A01G288200;TraesCS2B01G325100;TraesCS2D01G280900;TraesCS4A01G005000;TraesCS5D01G098400;TraesCS3B01G192400;TraesCS4D01G131700;TraesCS5D01G247600;TraesCS5D01G013100;TraesCS3D01G241800;TraesCS2A01G246600;TraesCS3B01G222700;TraesCS4A01G129200;TraesCS5B01G339200;TraesCS6B01G470700;TraesCS4A01G134800;TraesCS4B01G288200;TraesCS2B01G410600;TraesCS2A01G455200;TraesCS7A01G381700;TraesCS3B01G185300;TraesCS7D01G203100;TraesCS2D01G447800;TraesCS5B01G198300;TraesCS1A01G092700;TraesCS2A01G223600;TraesCS2A01G200500;TraesCS3B01G229100;TraesCS3A01G151100;TraesCS3A01G075700;TraesCS7A01G307000;TraesCS3A01G052700;TraesCS4A01G083100;TraesCS2D01G269700;TraesCS5A01G424400;TraesCS2D01G242100;TraesCS5A01G484700;TraesCS3A01G189400;TraesCS5B01G197300;TraesCS5D01G242900;TraesCS6D01G216300;TraesCS7B01G129300;TraesCS1A01G047200;TraesCS4D01G025300;TraesCS6D01G166400;TraesCS2B01G264100;TraesCS1A01G198400;TraesCS2D01G138200;TraesCS2D01G443100;TraesCS4B01G153500;TraesCS1D01G211600;TraesCS3D01G205700;TraesCS6D01G177400;TraesCS3D01G075800;TraesCS5A01G489100;TraesCS7B01G006600;TraesCS7B01G052900;TraesCS1B01G171600;TraesCS5D01G237400;TraesCS6A01G265800;TraesCS3D01G308500;TraesCS2A01G358000;TraesCS2D01G523100;TraesCS6D01G094200;TraesCS2A01G278000;TraesCS6D01G191600;TraesCS3A01G135800;TraesCS3B01G432600;TraesCS6A01G252600;TraesCS6A01G308100;TraesCS5D01G551200;TraesCS7D01G377200;TraesCS6B01G134800;TraesCS3D01G271800;TraesCS3D01G288000;TraesCS5D01G165300;TraesCS2A01G342600;TraesCS2A01G585800;TraesCS5B01G563800;TraesCS5D01G404600;TraesCS6B01G279200;TraesCS4D01G003100;TraesCS2B01G222600;TraesCS5A01G159800;TraesCS6D01G238500;TraesCS1A01G201600;TraesCS3B01G211500;TraesCS4B01G164800;TraesCS1D01G383500;TraesCS4B01G233300;TraesCS1A01G259700;TraesCS1D01G194000;TraesCS4D01G154300;TraesCS4B01G244400;TraesCS2A01G150000;TraesCS5A01G542600;TraesCS6B01G236600;TraesCS6D01G283300;TraesCS5A01G087700;TraesCS5B01G256400;TraesCS4A01G247300;TraesCS2B01G230200;TraesCS3B01G153900;TraesCS2A01G270600;TraesCS3B01G607600;TraesCS4A01G141000;TraesCS3B01G141700;TraesCS3B01G328800;TraesCS6B01G363500;TraesCS3B01G221400;TraesCS4D01G292300;TraesCS5D01G170900;TraesCS2A01G424700;TraesCS4A01G093100;TraesCS4A01G110400;TraesCS3D01G186300;TraesCS1A01G165700;TraesCS4A01G125000;TraesCS2A01G517500;TraesCS2A01G404700;TraesCS6B01G267800;TraesCS1D01G413600;TraesCS5D01G388000;TraesCS1A01G044800;TraesCS3D01G285100;TraesCS5D01G162400;TraesCS1D01G101200;TraesCS5B01G143300;TraesCS1B01G197100;TraesCS6B01G159200;TraesCS5B01G227900;TraesCS6B01G161300;TraesCS2B01G469400;TraesCS5A01G144200;TraesCS6A01G418800;TraesCS4B01G152900;TraesCS5A01G181500;TraesCS2A01G233800;TraesCS4B01G117900;TraesCS2D01G417300;TraesCS2B01G457300;TraesCS2A01G357400;TraesCS7A01G294200;TraesCS7D01G549100;TraesCS2A01G424200;TraesCS1B01G255100;TraesCS3A01G210000;TraesCS7D01G336600;TraesCS6A01G119800;TraesCS7B01G364800;TraesCS3A01G192400;TraesCS4B01G399200;TraesCS6A01G105400;TraesCS4B01G158000;TraesCS6A01G382400;TraesCS1D01G185600;TraesCS1B01G254000;TraesCS3A01G513500;TraesCS2B01G070700;TraesCS1D01G412600;TraesCS2D01G212600;TraesCS3A01G181500;TraesCS4A01G015800;TraesCS6A01G208200;TraesCS4D01G365800;TraesCS2D01G363800;TraesCS6A01G303800;TraesCS5A01G030400;TraesCS6A01G188700;TraesCS3B01G221200;TraesCS1B01G462200;TraesCS6B01G239000;TraesCSU01G058200;TraesCS5B01G270200;TraesCS4A01G194100;TraesCS5B01G228900;TraesCS5B01G300100;TraesCS3B01G498200;TraesCS6B01G384900;TraesCS6A01G245800;TraesCS3D01G311800;TraesCS1A01G365600;TraesCS2D01G389900;TraesCS3B01G250800;TraesCS4D01G096200;TraesCS2A01G448600;TraesCS6D01G122600;TraesCS7B01G135600;TraesCS1B01G396800;TraesCS3D01G341200;TraesCS3A01G158500;TraesCS5A01G173800;TraesCS2B01G272300;TraesCS7D01G224900;TraesCS1B01G212500;TraesCS3A01G272200;TraesCS2B01G159600;TraesCS5D01G536100;TraesCS5B01G387600;TraesCS2D01G202900;TraesCS3A01G264700;TraesCS4B01G170400;TraesCS1D01G151800;TraesCS3A01G294200;TraesCS6D01G247400;TraesCS2D01G238600;TraesCS1A01G049300;TraesCS3A01G498300;TraesCSU01G117300;TraesCS2B01G312600;TraesCS2D01G208300;TraesCS6B01G115200;TraesCS4B01G117800;TraesCS4A01G216200;TraesCS6D01G204700;TraesCS7D01G409000;TraesCS3D01G414400;TraesCS1A01G133500;TraesCS5B01G534400;TraesCS7A01G239700;TraesCS6B01G342300;TraesCS4B01G239100;TraesCS7B01G042600;TraesCS2B01G377300;TraesCS3D01G264800;TraesCS1A01G323200;TraesCS3D01G426300;TraesCS1A01G182400;TraesCS7A01G223300;TraesCS1A01G075700;TraesCS2B01G376600;TraesCS3D01G436100;TraesCS5A01G395300;TraesCS3D01G359500;TraesCS5D01G372500;TraesCS5A01G106900;TraesCS1A01G388400;TraesCS2A01G058700;TraesCS2B01G528300;TraesCS7D01G083900;TraesCS2B01G477300;TraesCS1A01G376400;TraesCS7A01G358000;TraesCS3B01G161900;TraesCS2B01G295400;TraesCS2B01G004000;TraesCS6A01G257300;TraesCS3A01G241600;TraesCS6B01G315800;TraesCS2B01G340300;TraesCS2B01G050600;TraesCS6A01G312100;TraesCS1B01G198500;TraesCS1B01G215800;TraesCS4B01G204500;TraesCS2A01G203100;TraesCS3A01G443700;TraesCS2B01G227800;TraesCS4A01G197700;TraesCS6B01G272300;TraesCS5D01G504600;TraesCS3A01G530100;TraesCS4A01G197600;TraesCS1B01G336000;TraesCS3D01G196700;TraesCS2A01G252600;TraesCS5A01G157000;TraesCS7A01G560200;TraesCS7A01G149200;TraesCS6D01G248800;TraesCS7A01G187800;TraesCS3D01G220400;TraesCS6B01G242800;TraesCS5D01G258900;TraesCS3A01G367000;TraesCS7A01G200100;TraesCS1B01G383200;TraesCS2A01G521400;TraesCS5B01G155200;TraesCS5B01G157500;TraesCS4D01G108900;TraesCS4D01G234800;TraesCS3B01G291000;TraesCS4B01G179400;TraesCS4D01G115600;TraesCS6A01G082800;TraesCS6A01G070700;TraesCS2A01G387000;TraesCS2A01G557600;TraesCS1D01G086600;TraesCS7D01G119700;TraesCS4D01G172400;TraesCS7B01G020100;TraesCS1D01G030500;TraesCS3A01G530000;TraesCS3A01G232700;TraesCS4A01G315700;TraesCS3B01G180600;TraesCS5A01G161200;TraesCS7D01G339600;TraesCS2D01G229600;TraesCS2B01G273900;TraesCS6D01G186800;TraesCS6A01G267300;TraesCS2D01G057900;TraesCS3A01G339900;TraesCS2A01G296400;TraesCS5A01G235800;TraesCS7A01G342800;TraesCS5D01G105500;TraesCS1B01G213300;TraesCS2B01G273700;TraesCS3A01G191000;TraesCS5D01G164800;TraesCS4D01G115500;TraesCS3D01G294000;TraesCS2B01G454000;TraesCS5A01G324200;TraesCS2B01G410100;TraesCS5B01G147600;TraesCS2B01G246200;TraesCS6A01G210200;TraesCS6D01G195400;TraesCS2D01G300400;TraesCS2A01G216100;TraesCS7D01G188800;TraesCS5B01G158500;TraesCS1B01G434400;TraesCS5B01G104800;TraesCS7B01G207300</t>
  </si>
  <si>
    <t>TraesCS3A01G289900;TraesCS5D01G470400;TraesCS7D01G294300;TraesCS2A01G102600;TraesCS3D01G289600;TraesCS3A01G189400;TraesCS4A01G166900;TraesCS3B01G430000;TraesCS1D01G101200;TraesCS1D01G117400;TraesCS6B01G104600;TraesCS1B01G167200;TraesCS7A01G182200;TraesCS3D01G391900;TraesCS4B01G211800;TraesCS2D01G102100;TraesCS4D01G151900;TraesCS4A01G092500;TraesCS4D01G212600;TraesCS5D01G230300;TraesCS3A01G417000;TraesCS1A01G116200;TraesCS3D01G412500;TraesCSU01G142500;TraesCS4D01G065600;TraesCS7D01G409000;TraesCS6A01G077800;TraesCS3B01G324500;TraesCS5A01G222500;TraesCS5D01G517200;TraesCS1A01G092700;TraesCS3A01G398000;TraesCS1D01G146600;TraesCS2B01G119700;TraesCS4A01G248200;TraesCS4A01G355000;TraesCS5B01G517500</t>
  </si>
  <si>
    <t>TraesCS2B01G174600;TraesCS2A01G095300;TraesCS5D01G171100;TraesCS2B01G174700;TraesCS3B01G252200;TraesCS6A01G360600;TraesCS7B01G352800;TraesCS3A01G389100;TraesCS1A01G284300;TraesCS5B01G378700;TraesCS7D01G442100;TraesCS6B01G190300;TraesCS7A01G452800;TraesCS2D01G059400;TraesCS4B01G109700;TraesCS2A01G226000;TraesCS1B01G293500;TraesCS5A01G166800;TraesCS2D01G093700;TraesCS6A01G161200;TraesCS6B01G393500;TraesCS6D01G344100;TraesCS2A01G149500;TraesCS2A01G149600</t>
  </si>
  <si>
    <t>regulation of cell cycle phase transition</t>
  </si>
  <si>
    <t>regulation of mitotic cell cycle phase transition</t>
  </si>
  <si>
    <t>TraesCS1A01G099400;TraesCS2A01G159900;TraesCS2D01G399800;TraesCS2B01G150400;TraesCS1B01G261600;TraesCS1A01G180200;TraesCS1D01G107300;TraesCS3D01G091000;TraesCS1A01G095200;TraesCS5A01G059900;TraesCS6B01G176600;TraesCS2B01G185800;TraesCS4B01G321500;TraesCS5A01G490500;TraesCS1B01G200300;TraesCS2B01G375700;TraesCS2A01G128300;TraesCS4D01G318200;TraesCS3A01G091100</t>
  </si>
  <si>
    <t>TraesCS2B01G174600;TraesCS4B01G355100;TraesCS2A01G095300;TraesCS3B01G423800;TraesCS7B01G111000;TraesCS2A01G129900;TraesCS4A01G110800;TraesCS6B01G470900;TraesCS7A01G204000;TraesCS5D01G141200;TraesCS1D01G226500;TraesCS4D01G194300;TraesCS1B01G049300;TraesCS6B01G399000;TraesCS3A01G200400;TraesCS3D01G384700;TraesCS6B01G089500;TraesCS1A01G315900;TraesCS6B01G341400;TraesCS6D01G348000;TraesCS5A01G114600;TraesCS2B01G152100;TraesCS3A01G391800;TraesCS5D01G359800;TraesCS3A01G393400;TraesCS4D01G153900;TraesCS2D01G132100;TraesCS3B01G252200;TraesCS6A01G311200;TraesCS7D01G207100;TraesCS1D01G316200;TraesCS2B01G385300;TraesCS4D01G348600;TraesCS3D01G203400;TraesCS2A01G171900;TraesCS2D01G093700;TraesCS3D01G205300;TraesCS2A01G149500;TraesCS5A01G524400;TraesCS5A01G472100;TraesCS1D01G211600;TraesCS6A01G364300</t>
  </si>
  <si>
    <t>TraesCS3A01G151100;TraesCS3D01G426300;TraesCS5D01G258900;TraesCS5B01G484700;TraesCS2A01G521400;TraesCS5B01G155200;TraesCS5B01G249000;TraesCS6B01G454500;TraesCS3A01G212000;TraesCS5A01G092400;TraesCS4A01G164900;TraesCS2A01G437700;TraesCS2D01G362700;TraesCS6A01G290600;TraesCS5D01G162400;TraesCS7B01G124100;TraesCS3D01G273800;TraesCS7B01G189500;TraesCS4A01G262900;TraesCS6B01G159200;TraesCS2B01G528300;TraesCS2D01G300400;TraesCS5A01G251000;TraesCS5B01G036800;TraesCS6B01G253900;TraesCS4A01G120000;TraesCS7D01G280600;TraesCS4D01G135000;TraesCS5A01G157000;TraesCS7A01G560200;TraesCS2B01G457600;TraesCS5D01G429200;TraesCS6A01G267300;TraesCS6A01G408400;TraesCS4A01G093100;TraesCS7D01G549100</t>
  </si>
  <si>
    <t>response to red or far red light</t>
  </si>
  <si>
    <t>TraesCS4B01G252400;TraesCS3A01G023800;TraesCS5D01G258900;TraesCS3D01G231200;TraesCS2A01G521400;TraesCS5B01G249000;TraesCS1D01G226500;TraesCS5B01G171400;TraesCS2B01G271300;TraesCS1B01G049300;TraesCS5D01G219500;TraesCS2D01G251000;TraesCS4B01G286700;TraesCS2A01G387000;TraesCS2A01G392900;TraesCS5D01G118200;TraesCS4D01G318200;TraesCS5D01G171100;TraesCS5D01G366500;TraesCS6B01G253900;TraesCS5B01G378700;TraesCS1B01G365600;TraesCS4B01G321500;TraesCS5B01G102600;TraesCS5D01G429200;TraesCS5A01G166800;TraesCS2A01G149600;TraesCS1B01G255100;TraesCS2B01G174700;TraesCS6A01G379000;TraesCS5A01G357400;TraesCS1D01G331000;TraesCS4A01G051900;TraesCS3D01G275600;TraesCS1B01G293500;TraesCS6D01G210000;TraesCS2D01G148200;TraesCS5A01G490500;TraesCS2A01G467900;TraesCS5D01G504600;TraesCS3A01G091100;TraesCS3A01G393400;TraesCS2A01G455300;TraesCS3A01G513500;TraesCS5A01G251000;TraesCS6A01G225200;TraesCS3D01G091000;TraesCS1A01G284300;TraesCS2B01G477400;TraesCS6B01G256400;TraesCS4B01G109700;TraesCS5D01G459800;TraesCS2B01G247100;TraesCS5A01G212500;TraesCS5A01G472100</t>
  </si>
  <si>
    <t>reproductive shoot system development</t>
  </si>
  <si>
    <t>TraesCS3A01G210000;TraesCS7B01G006600;TraesCS7B01G186500;TraesCS5B01G228900;TraesCS3A01G052700;TraesCS4B01G244400;TraesCS5D01G237400;TraesCS2A01G150000;TraesCS3D01G436100;TraesCS3A01G443700;TraesCS5B01G256400;TraesCS6D01G287300;TraesCS6A01G308100;TraesCS5B01G227900;TraesCS5A01G230400;TraesCS2B01G312600;TraesCS1D01G030500;TraesCS3A01G530000;TraesCS2B01G272300;TraesCS4D01G025300;TraesCS7D01G339600;TraesCS2A01G252600;TraesCS4A01G005000;TraesCS4A01G093100;TraesCS7A01G294200;TraesCS2A01G296400;TraesCS4D01G131700</t>
  </si>
  <si>
    <t>TraesCS7A01G466600;TraesCS4A01G062100;TraesCS5A01G489100;TraesCS7A01G143900;TraesCS7B01G103100;TraesCS1D01G396300;TraesCS4D01G234800;TraesCS6A01G373200;TraesCS3D01G311800;TraesCS4B01G154100;TraesCS4A01G077600;TraesCS2A01G400900;TraesCS5B01G407500;TraesCS5A01G328900;TraesCS2B01G150400;TraesCS4A01G283700;TraesCS7D01G188300;TraesCS5D01G148100;TraesCS7A01G192000;TraesCS3A01G530000;TraesCS4B01G152900;TraesCS6B01G348700;TraesCS7A01G327600;TraesCS2A01G585800;TraesCS5A01G181500;TraesCS3B01G254200;TraesCS1A01G076000;TraesCS7D01G339600;TraesCS1D01G376900;TraesCS3D01G228900;TraesCS2B01G222600;TraesCS3D01G356400;TraesCS5B01G255700;TraesCS2D01G202900;TraesCS7D01G193000;TraesCS6B01G166400;TraesCS5B01G142900;TraesCS5B01G413400;TraesCS7D01G313600;TraesCS4A01G238100;TraesCS4D01G152000;TraesCS2A01G201200;TraesCS1A01G206600;TraesCS3A01G192400;TraesCS6A01G321700;TraesCS2B01G179800;TraesCS7D01G326000;TraesCS7D01G454200;TraesCS5D01G412700;TraesCS7B01G097000;TraesCS7B01G464900;TraesCS3A01G417000;TraesCS3D01G412500;TraesCS4B01G180100;TraesCS4B01G373400;TraesCS2D01G398400;TraesCS3A01G362600;TraesCS7D01G409000;TraesCS4D01G120900;TraesCSU01G132400;TraesCS3A01G488100;TraesCS5B01G320100;TraesCS5D01G157300;TraesCS3B01G221400;TraesCS4D01G160200;TraesCS5A01G143800;TraesCS3B01G221200;TraesCS4B01G029400;TraesCS7B01G117600;TraesCS2A01G128300;TraesCS2D01G237600;TraesCS7B01G092500;TraesCS6D01G301400</t>
  </si>
  <si>
    <t>TraesCS3A01G151100;TraesCS2B01G528300;TraesCS6A01G146500;TraesCS3A01G100000;TraesCS4D01G153900;TraesCS7D01G227300;TraesCS1A01G180200;TraesCS5B01G155200;TraesCS6B01G454500;TraesCS3A01G212000;TraesCS2A01G309600;TraesCS7D01G280600;TraesCS1A01G254400;TraesCS4D01G135000;TraesCS5A01G157000;TraesCS7D01G407700;TraesCS5D01G162400;TraesCS4A01G226900;TraesCS6A01G408400;TraesCS6D01G135800;TraesCS1B01G200300</t>
  </si>
  <si>
    <t>regulation of proton transport</t>
  </si>
  <si>
    <t>TraesCS3D01G264800;TraesCS5D01G013100;TraesCS2A01G286500;TraesCS5A01G092400;TraesCS1B01G049300;TraesCS1D01G401900;TraesCS1D01G149900;TraesCS2D01G014800;TraesCS5A01G123800;TraesCS5A01G467500;TraesCS3B01G161900;TraesCS5D01G056900;TraesCS4A01G187100;TraesCS5B01G324800;TraesCS1A01G060100;TraesCS3A01G134100;TraesCS2B01G004000;TraesCS2A01G223600;TraesCS7A01G120300;TraesCS5A01G004200;TraesCS1B01G368500;TraesCS7D01G313600;TraesCS6A01G201800;TraesCS1D01G155800;TraesCS7B01G197000;TraesCS1D01G331000;TraesCS6D01G186000;TraesCS1D01G241800;TraesCS2B01G369600;TraesCS2D01G242100;TraesCS4B01G204500;TraesCS6B01G257900;TraesCS1A01G340400;TraesCS3A01G412600;TraesCS6D01G172500;TraesCS4A01G013500;TraesCS7A01G415500;TraesCS6A01G303800;TraesCS3D01G220400;TraesCS2A01G460000;TraesCS2A01G128300;TraesCS2B01G207000;TraesCS7B01G241500;TraesCS7D01G332300;TraesCS2D01G349600;TraesCS7B01G006600;TraesCS7B01G103100;TraesCS3A01G367000;TraesCS3B01G308200;TraesCS1B01G253500;TraesCS7A01G139800;TraesCS1B01G290800;TraesCS1D01G280900;TraesCS1B01G304500;TraesCS2B01G107200;TraesCS2B01G303300;TraesCS6D01G212000;TraesCS2A01G092400;TraesCS2A01G222600;TraesCS3D01G237100;TraesCS7A01G293200;TraesCS1B01G352700;TraesCS3D01G407300;TraesCS1D01G342400;TraesCS1B01G422200;TraesCS2B01G150400;TraesCS3D01G341200;TraesCS2D01G356700;TraesCS3A01G232700;TraesCS2D01G520000;TraesCS4B01G091100;TraesCS1B01G478800;TraesCS3D01G228900;TraesCS2D01G229600;TraesCS2B01G273900;TraesCS5A01G046600;TraesCS6B01G166400;TraesCS3A01G264700;TraesCS4A01G364400;TraesCS6B01G223200;TraesCS4A01G276300;TraesCS1D01G356900;TraesCS4A01G164900;TraesCS5A01G324200;TraesCS5B01G509100;TraesCS7B01G124100;TraesCS6D01G283300;TraesCS2B01G248100;TraesCS4A01G193700;TraesCS4A01G124000;TraesCS1A01G158500;TraesCS3A01G417000;TraesCS3D01G412500;TraesCS7D01G409000;TraesCS5A01G221800;TraesCS1A01G281700;TraesCSU01G132400;TraesCS3A01G274600;TraesCS3A01G488100;TraesCS4A01G005000;TraesCS6D01G238800</t>
  </si>
  <si>
    <t>TraesCS2D01G132100;TraesCS3B01G423800;TraesCS6A01G311200;TraesCS7B01G111000;TraesCS2A01G129900;TraesCS7A01G204000;TraesCS7D01G207100;TraesCS1B01G326400;TraesCS3D01G384700;TraesCS1D01G314600;TraesCS6B01G341400;TraesCS2B01G152100;TraesCS3D01G205300;TraesCS3A01G391800</t>
  </si>
  <si>
    <t>TraesCS1D01G264100;TraesCS2A01G095300;TraesCS1A01G264000;TraesCS2B01G174700;TraesCS6A01G360600;TraesCS7B01G352800;TraesCS6A01G379000;TraesCS1D01G331000;TraesCS4A01G164900;TraesCS1B01G049300;TraesCS2B01G122500;TraesCS2D01G362700;TraesCS3A01G200400;TraesCS1B01G293500;TraesCS1B01G274600;TraesCS7B01G124100;TraesCSU01G072700;TraesCS3D01G273800;TraesCS6D01G344100;TraesCS5A01G490500;TraesCS7A01G220600;TraesCS4B01G288200;TraesCS4D01G318200;TraesCS3A01G393400;TraesCS5D01G171100;TraesCS2A01G455300;TraesCS1A01G284300;TraesCS2B01G477400;TraesCS1D01G298400;TraesCS4A01G120000;TraesCS5B01G378700;TraesCS7D01G442100;TraesCS7A01G115400;TraesCS7A01G452800;TraesCS2D01G059400;TraesCS4B01G109700;TraesCS4B01G321500;TraesCS3D01G203400;TraesCS5D01G429200;TraesCS5A01G166800;TraesCS2D01G093700;TraesCS6B01G393500;TraesCS1A01G299500;TraesCS2A01G149600;TraesCS2D01G105300</t>
  </si>
  <si>
    <t>regulation of multicellular organismal development</t>
  </si>
  <si>
    <t>TraesCS3B01G083400;TraesCS1D01G226500;TraesCS3A01G478100;TraesCS4A01G310600;TraesCS2B01G240000;TraesCS1D01G119400;TraesCS2A01G247300;TraesCS4B01G286700;TraesCS3A01G202000;TraesCS4A01G226500;TraesCS5A01G490800;TraesCS6D01G357100;TraesCS5A01G014400;TraesCS2D01G220800;TraesCS7B01G104400;TraesCS5B01G378700;TraesCS6B01G342400;TraesCS7D01G290500;TraesCS1A01G060100;TraesCS2D01G233900;TraesCS7A01G088100;TraesCS3A01G394600;TraesCS1B01G263400;TraesCS3D01G266200;TraesCS1A01G130700;TraesCS4B01G090000;TraesCS7A01G242000;TraesCS2B01G267500;TraesCS6D01G237400;TraesCS1B01G408600;TraesCS3A01G412600;TraesCS7A01G555700;TraesCS4B01G341300;TraesCS4A01G101500;TraesCS5A01G014500;TraesCS6D01G149800;TraesCS6D01G172500;TraesCS4D01G204000;TraesCS6A01G420100;TraesCS2A01G027000;TraesCS1A01G225100;TraesCS3B01G435900;TraesCS7B01G363600;TraesCS3A01G266100;TraesCS3B01G140800;TraesCS2B01G157600;TraesCS1B01G462200;TraesCS7A01G313900;TraesCS7D01G332300;TraesCS7D01G554900;TraesCS6A01G312200;TraesCS7B01G142700;TraesCS5D01G474200;TraesCS3B01G299400;TraesCS3D01G065800;TraesCS4B01G150300;TraesCS6B01G182300;TraesCS3D01G407300;TraesCS7D01G083200;TraesCS3A01G402500;TraesCS4D01G317900;TraesCS1A01G382900;TraesCS3B01G229700;TraesCS1A01G137000;TraesCS7D01G450700;TraesCS3A01G292700;TraesCS6B01G216800;TraesCS6D01G405600;TraesCS6D01G291600;TraesCS4B01G321300;TraesCS2A01G254600;TraesCS4A01G387000;TraesCS2A01G215000;TraesCS2A01G234200;TraesCS7D01G200800;TraesCS7A01G504900;TraesCS6D01G259500;TraesCS3D01G304800;TraesCS2D01G248400;TraesCS1D01G352300;TraesCS6B01G151900;TraesCS2D01G148200;TraesCS2D01G255100;TraesCS3D01G388400;TraesCS4A01G193700;TraesCS6D01G147700;TraesCS4D01G086000;TraesCS1B01G155600;TraesCS3A01G417000;TraesCS6A01G279100;TraesCS3D01G412500;TraesCS4B01G203100;TraesCS2B01G270300;TraesCS5B01G110000;TraesCS7D01G409000;TraesCS7A01G226000;TraesCS3B01G426600;TraesCS4D01G160000;TraesCS6B01G173500;TraesCS7D01G130500;TraesCS5A01G222500;TraesCS6A01G154400;TraesCS6B01G189000;TraesCS7D01G000100;TraesCS3D01G123500;TraesCS4D01G110500;TraesCS6A01G163500;TraesCS4D01G003600</t>
  </si>
  <si>
    <t>TraesCS3D01G426300;TraesCS7A01G223300;TraesCS5D01G258900;TraesCS4A01G194100;TraesCS5A01G489100;TraesCS3A01G367000;TraesCS4A01G167000;TraesCS5B01G300100;TraesCS5B01G249000;TraesCS3B01G222700;TraesCS7D01G283600;TraesCS2D01G389900;TraesCS4D01G115600;TraesCS6D01G094200;TraesCS4D01G096200;TraesCS2D01G014800;TraesCS7B01G240200;TraesCS3D01G341200;TraesCS5A01G173800;TraesCS6B01G134800;TraesCS3D01G271800;TraesCS7D01G224900;TraesCS4B01G117900;TraesCS3A01G272200;TraesCS4D01G135000;TraesCS5B01G171200;TraesCS6A01G267300;TraesCS2B01G004000;TraesCS4B01G164800;TraesCS1A01G259700;TraesCS3A01G151100;TraesCS3A01G075700;TraesCS7A01G307000;TraesCS7A01G342800;TraesCS4B01G204500;TraesCS4D01G115500;TraesCS4B01G397700;TraesCS2B01G410100;TraesCS6D01G283300;TraesCS4A01G197700;TraesCS2D01G238600;TraesCS6A01G105400;TraesCS6A01G210200;TraesCS2D01G300400;TraesCS1B01G254000;TraesCS3A01G498300;TraesCS3A01G513500;TraesCS5A01G251000;TraesCS5B01G036800;TraesCS3A01G530100;TraesCS4A01G197600;TraesCS2A01G216100;TraesCS1D01G412600;TraesCS1B01G434400;TraesCS4B01G117800;TraesCS4A01G216200;TraesCS3D01G196700;TraesCS2B01G325100;TraesCS6A01G303800;TraesCS5D01G178300;TraesCS3A01G310200;TraesCS1B01G447500;TraesCS7B01G207300;TraesCS1A01G165700;TraesCS1B01G462200;TraesCS6B01G239000;TraesCSU01G058200</t>
  </si>
  <si>
    <t>TraesCS1B01G366400;TraesCS3A01G210000;TraesCS7B01G006600;TraesCS7B01G186500;TraesCS5B01G228900;TraesCS3A01G052700;TraesCS4B01G244400;TraesCS5D01G237400;TraesCS2A01G150000;TraesCS3D01G436100;TraesCS3A01G443700;TraesCS5B01G256400;TraesCS6D01G287300;TraesCS6A01G308100;TraesCS5B01G227900;TraesCS5A01G230400;TraesCS2B01G312600;TraesCS1D01G030500;TraesCS3A01G530000;TraesCS1A01G355200;TraesCS2B01G272300;TraesCS4D01G025300;TraesCS7D01G339600;TraesCS2A01G252600;TraesCS4A01G005000;TraesCS3A01G276100;TraesCS3B01G309700;TraesCS4A01G093100;TraesCS7A01G294200;TraesCS2A01G296400;TraesCS4D01G131700</t>
  </si>
  <si>
    <t>TraesCS1B01G255100;TraesCS3D01G426300;TraesCS2B01G340300;TraesCS3A01G367000;TraesCS2A01G114400;TraesCS5A01G149000;TraesCS1B01G213300;TraesCS7D01G283600;TraesCS2B01G250000;TraesCS4B01G204500;TraesCS6A01G268900;TraesCS2A01G193800;TraesCS5B01G147600;TraesCS2A01G387000;TraesCS2D01G232300;TraesCS3D01G296900;TraesCS2D01G194000;TraesCS2B01G133500;TraesCS2A01G058700;TraesCS5B01G036800;TraesCS2B01G070700;TraesCS2B01G312600;TraesCS4B01G041900;TraesCS2A01G233300;TraesCS2A01G342600;TraesCS2D01G438800;TraesCS7A01G560200;TraesCS1A01G198400;TraesCS6A01G267300;TraesCS3A01G304900;TraesCS2D01G057900;TraesCS4A01G093100;TraesCS7D01G549100;TraesCS2A01G296400</t>
  </si>
  <si>
    <t>regulation of protein modification process</t>
  </si>
  <si>
    <t>flower development</t>
  </si>
  <si>
    <t>regulation of post-embryonic development</t>
  </si>
  <si>
    <t>TraesCS6D01G142200;TraesCS1B01G261600;TraesCS3A01G184800;TraesCS6B01G139000;TraesCS7B01G199200;TraesCS4D01G047300;TraesCS6A01G314100;TraesCS1A01G260500;TraesCS2A01G343500;TraesCS1D01G260500;TraesCS5B01G171400;TraesCS7D01G283600;TraesCS2A01G234900;TraesCS4A01G166900;TraesCS2B01G456200;TraesCS6A01G268600;TraesCS7A01G175300;TraesCS2A01G501600;TraesCS3B01G214600;TraesCS1D01G329100;TraesCS7A01G222800;TraesCS4D01G283800;TraesCS5A01G328900;TraesCS6B01G295700;TraesCS7B01G131400;TraesCS4A01G036500;TraesCS5A01G467500;TraesCS7A01G286700;TraesCS7A01G419600;TraesCS4A01G267000;TraesCS5B01G324800;TraesCS1B01G271100;TraesCS5B01G479200;TraesCS6B01G344100;TraesCS3A01G151100;TraesCS7A01G277700;TraesCS2A01G097600;TraesCS7B01G153100;TraesCS2D01G380900;TraesCS5A01G229400;TraesCS2A01G343600;TraesCS7B01G451500;TraesCS5D01G298700;TraesCS6D01G293100;TraesCS5A01G324200;TraesCS5B01G263800;TraesCS5D01G189500;TraesCS1A01G036200;TraesCS5B01G419300;TraesCS5B01G290300;TraesCS2D01G238600;TraesCS4D01G151900;TraesCS4B01G047300;TraesCS7B01G076500;TraesCS3A01G322500;TraesCS7B01G129300;TraesCS2D01G096900;TraesCS1D01G024800;TraesCS1A01G007500;TraesCS1A01G024700;TraesCS7D01G224400;TraesCS4B01G285000;TraesCS7A01G288900;TraesCS7D01G233100;TraesCS5D01G480300;TraesCS7B01G119300;TraesCS1D01G037900;TraesCS6D01G246300;TraesCS6D01G238800;TraesCS5B01G182500;TraesCS5D01G285200;TraesCS2D01G237600;TraesCS2D01G239700;TraesCS3D01G188800</t>
  </si>
  <si>
    <t>TraesCS1D01G264100;TraesCS2D01G477200;TraesCS6A01G360600;TraesCS7B01G352800;TraesCS5A01G229500;TraesCS4D01G278500;TraesCS1B01G049300;TraesCS1B01G375300;TraesCS1B01G274600;TraesCS3A01G336100;TraesCS3A01G097200;TraesCS4A01G023500;TraesCS4D01G318200;TraesCS5D01G171100;TraesCS7D01G442100;TraesCS2D01G059400;TraesCS4B01G321500;TraesCS5A01G166800;TraesCS6B01G393500;TraesCS5B01G037500;TraesCS2A01G149600;TraesCS2A01G563500;TraesCS2A01G095300;TraesCS2B01G401900;TraesCS5D01G193000;TraesCS5D01G044700;TraesCS1A01G264000;TraesCS2B01G174700;TraesCS6A01G379000;TraesCS1A01G358800;TraesCS1D01G331000;TraesCS5A01G036600;TraesCS4A01G164900;TraesCS3A01G200400;TraesCS7B01G124100;TraesCS6D01G344100;TraesCS5A01G490500;TraesCS7A01G220600;TraesCS5B01G185700;TraesCS3B01G252200;TraesCS5A01G104800;TraesCS5D01G230300;TraesCS2A01G478000;TraesCS1D01G298400;TraesCS6B01G190300;TraesCS7A01G452800;TraesCS2A01G382000;TraesCS4B01G109700;TraesCS3D01G203400;TraesCS2D01G093700;TraesCS6A01G161200;TraesCS2B01G247100;TraesCS1A01G299500;TraesCS2B01G501300</t>
  </si>
  <si>
    <t>TraesCS1D01G264100;TraesCS6A01G360600;TraesCS7B01G352800;TraesCS2D01G397800;TraesCS1B01G049300;TraesCS2D01G362700;TraesCS1B01G274600;TraesCSU01G072700;TraesCS3D01G273800;TraesCS4B01G288200;TraesCS4D01G318200;TraesCS5D01G171100;TraesCS5B01G378700;TraesCS7D01G442100;TraesCS7A01G115400;TraesCS2D01G059400;TraesCS4B01G321500;TraesCS5D01G429200;TraesCS5A01G166800;TraesCS6B01G393500;TraesCS2A01G149600;TraesCS4B01G191300;TraesCS2A01G095300;TraesCS1A01G264000;TraesCS2B01G174700;TraesCS6A01G379000;TraesCS1D01G331000;TraesCS4A01G164900;TraesCS2B01G122500;TraesCS3A01G200400;TraesCS1B01G293500;TraesCS7B01G124100;TraesCS6D01G344100;TraesCS5A01G490500;TraesCS7A01G220600;TraesCS3A01G393400;TraesCS2A01G455300;TraesCS1A01G284300;TraesCS2B01G477400;TraesCS1D01G298400;TraesCS4A01G120000;TraesCS7A01G452800;TraesCS6B01G173500;TraesCS4B01G109700;TraesCS5B01G094300;TraesCS3D01G203400;TraesCS2D01G093700;TraesCS1A01G299500;TraesCS2D01G105300</t>
  </si>
  <si>
    <t>regulation of multicellular organismal process</t>
  </si>
  <si>
    <t>TraesCS1B01G255100;TraesCS3A01G023800;TraesCS4A01G194100;TraesCS7A01G307000;TraesCS4B01G015600;TraesCS5B01G300100;TraesCS5A01G396700;TraesCS2B01G271300;TraesCS3D01G275600;TraesCS1A01G195500;TraesCS2D01G251000;TraesCS5A01G548800;TraesCS6D01G210000;TraesCS1D01G199100;TraesCS2A01G387000;TraesCS4D01G220700;TraesCS1B01G254000;TraesCS3A01G513500;TraesCS4D01G153900;TraesCS6A01G225200;TraesCS1D01G412600;TraesCS4D01G359000;TraesCS3D01G288000;TraesCS4A01G298100;TraesCS4B01G220400;TraesCS3A01G288200;TraesCS1B01G434400;TraesCS4D01G013900;TraesCS6B01G256400;TraesCS3D01G083400;TraesCS3A01G082700;TraesCS7B01G207300</t>
  </si>
  <si>
    <t>TraesCS7A01G466600;TraesCS1A01G350200;TraesCS5B01G418700;TraesCS3B01G363500;TraesCS1D01G353100;TraesCS4B01G056700;TraesCS4A01G257800;TraesCS3D01G326900;TraesCS2D01G202200;TraesCS1B01G269400;TraesCS1A01G258800;TraesCS1D01G258800;TraesCS5D01G429200;TraesCS2B01G221800;TraesCS6D01G130500;TraesCS4D01G057000;TraesCS5A01G416400;TraesCS6B01G169300;TraesCS7D01G454200;TraesCS2A01G185500</t>
  </si>
  <si>
    <t>TraesCS2A01G095300;TraesCS5D01G044700;TraesCS1A01G180200;TraesCS1D01G409700;TraesCS5D01G472300;TraesCS6A01G379000;TraesCS1D01G331000;TraesCS5A01G036600;TraesCS6A01G312100;TraesCS1B01G049300;TraesCS2B01G592500;TraesCS2D01G362700;TraesCS3A01G200400;TraesCS6B01G151900;TraesCSU01G072700;TraesCS5A01G490500;TraesCS2B01G227800;TraesCS4A01G138800;TraesCS4D01G318200;TraesCS1B01G337800;TraesCS1D01G325500;TraesCS3B01G252200;TraesCS4B01G276500;TraesCS2D01G208300;TraesCS1A01G324800;TraesCS5B01G378700;TraesCS6B01G190300;TraesCS5A01G460600;TraesCS2D01G059400;TraesCS4B01G109700;TraesCS4B01G321500;TraesCS3D01G203400;TraesCS6B01G342300;TraesCS2D01G093700;TraesCS3A01G295400;TraesCS6A01G161200;TraesCS2B01G098800;TraesCS2B01G247100;TraesCS5B01G037500;TraesCS1B01G200300;TraesCS2A01G200500</t>
  </si>
  <si>
    <t>regulation of gene expression, epigenetic</t>
  </si>
  <si>
    <t>TraesCS2D01G049500;TraesCS6D01G121300;TraesCS5D01G258900;TraesCS7A01G036200;TraesCS5B01G300100;TraesCS7B01G199200;TraesCS5B01G249000;TraesCS6A01G314100;TraesCS2D01G546500;TraesCS3A01G386400;TraesCS7D01G283600;TraesCS5D01G219500;TraesCS1A01G361400;TraesCS4B01G397600;TraesCS7A01G175300;TraesCS7A01G222800;TraesCS6B01G371500;TraesCS3B01G432600;TraesCS5A01G328900;TraesCS6B01G249700;TraesCS7D01G056800;TraesCS6B01G159800;TraesCS7A01G286700;TraesCS7A01G419600;TraesCS2D01G249600;TraesCS5D01G113700;TraesCS6B01G344100;TraesCS7D01G216000;TraesCS6D01G320800;TraesCS7D01G032800;TraesCS1D01G217600;TraesCS5A01G101900;TraesCS3A01G151100;TraesCS4A01G452700;TraesCS4B01G193400;TraesCS7A01G277700;TraesCSU01G009200;TraesCS7B01G153100;TraesCS1A01G180200;TraesCS5A01G229400;TraesCS4A01G164900;TraesCS6D01G293100;TraesCS2D01G310000;TraesCS2B01G328500;TraesCS5B01G263800;TraesCS1A01G145000;TraesCS7B01G124100;TraesCS7D01G364400;TraesCS1D01G178400;TraesCS6A01G231900;TraesCS5A01G251000;TraesCS7B01G129300;TraesCS7B01G269300;TraesCS7A01G062100;TraesCS4D01G250100;TraesCS7B01G066000;TraesCS1A01G007500;TraesCS2A01G545600;TraesCS7D01G224400;TraesCS1D01G144000;TraesCS1B01G378000;TraesCS5A01G115000;TraesCS5A01G212500;TraesCS1B01G200300;TraesCS2D01G237600;TraesCS2D01G239700</t>
  </si>
  <si>
    <t>TraesCS1D01G264100;TraesCS2A01G095300;TraesCS1A01G264000;TraesCS2B01G174700;TraesCS6A01G360600;TraesCS7B01G352800;TraesCS6A01G379000;TraesCS1D01G331000;TraesCS4A01G164900;TraesCS1B01G049300;TraesCS2D01G362700;TraesCS3A01G200400;TraesCS1B01G293500;TraesCS1B01G274600;TraesCS7B01G124100;TraesCSU01G072700;TraesCS3D01G273800;TraesCS6D01G344100;TraesCS5A01G490500;TraesCS7A01G220600;TraesCS4B01G288200;TraesCS4D01G318200;TraesCS3A01G393400;TraesCS5D01G171100;TraesCS2A01G455300;TraesCS1A01G284300;TraesCS2B01G477400;TraesCS1D01G298400;TraesCS4A01G120000;TraesCS5B01G378700;TraesCS7D01G442100;TraesCS7A01G115400;TraesCS7A01G452800;TraesCS2D01G059400;TraesCS4B01G109700;TraesCS4B01G321500;TraesCS3D01G203400;TraesCS5D01G429200;TraesCS5A01G166800;TraesCS2D01G093700;TraesCS6B01G393500;TraesCS1A01G299500;TraesCS2A01G149600</t>
  </si>
  <si>
    <t>regulation of shoot system development</t>
  </si>
  <si>
    <t>TraesCS6A01G173900;TraesCS3B01G014900;TraesCS6B01G221000;TraesCS2D01G139700;TraesCS6B01G454500;TraesCS2A01G007500;TraesCS3A01G472400;TraesCS6B01G215800;TraesCS6B01G191500;TraesCS2A01G444600;TraesCS2A01G247300;TraesCS2A01G400900;TraesCS2D01G009200;TraesCS5A01G378000;TraesCS6B01G421700;TraesCS3D01G168600;TraesCS3B01G470500;TraesCS3B01G193200;TraesCS6D01G334400;TraesCS7B01G240200;TraesCS2B01G087600;TraesCS1D01G376900;TraesCS4B01G350400;TraesCS7B01G113100;TraesCS2B01G220100;TraesCS5B01G163700;TraesCS6D01G234900;TraesCS5B01G381600;TraesCS5B01G142900;TraesCS5B01G184300;TraesCS6A01G045800;TraesCS2B01G233400;TraesCS2A01G193800;TraesCS7D01G022700;TraesCS2D01G448500;TraesCS7B01G114100;TraesCS1B01G469400;TraesCS4D01G220700;TraesCS7D01G326000;TraesCS3A01G091100;TraesCS7B01G215000;TraesCS5B01G380500;TraesCS6A01G420100;TraesCS7B01G189900;TraesCS1A01G095600;TraesCS6A01G319700;TraesCS2A01G365600;TraesCS4B01G016300;TraesCS3A01G458000;TraesCS4D01G120900;TraesCS6D01G265400;TraesCS5D01G106000;TraesCS5B01G171100;TraesCS5D01G293100;TraesCS3B01G240500;TraesCS3B01G517900;TraesCS4A01G456400;TraesCS4D01G160200;TraesCS7B01G174700;TraesCS1A01G102300;TraesCS5D01G396300;TraesCS4A01G248200;TraesCS5A01G229300;TraesCS3D01G136800;TraesCS7A01G269900;TraesCS6D01G178800;TraesCS7D01G270400;TraesCS4A01G159500;TraesCS1A01G403800;TraesCS6D01G287400;TraesCS1D01G048200;TraesCS3D01G407300;TraesCS4D01G172000;TraesCS2D01G422000;TraesCS2D01G356700;TraesCS7A01G327600;TraesCS1B01G216300;TraesCS1B01G432400;TraesCS2D01G508800;TraesCS5A01G186200;TraesCS2D01G191000;TraesCS3A01G438700;TraesCS5D01G375800;TraesCS4A01G464200;TraesCS3A01G161300;TraesCS5A01G155600;TraesCS5D01G117100;TraesCS6B01G166400;TraesCS6D01G228200;TraesCS5B01G310600;TraesCS5B01G413400;TraesCS5B01G549200;TraesCS5D01G161800;TraesCS1A01G254400;TraesCS1B01G379800;TraesCS4D01G079200;TraesCS3B01G344200;TraesCS6D01G367300;TraesCS3D01G336200;TraesCS7D01G291200;TraesCS3B01G308700;TraesCS4B01G089500;TraesCS3B01G413700;TraesCS6B01G421600;TraesCS4A01G193700;TraesCS4B01G123900;TraesCS5D01G412700;TraesCS2A01G159900;TraesCS6D01G233800;TraesCS4A01G088600;TraesCS6D01G309000;TraesCS2B01G477400;TraesCS6B01G451100;TraesCS2B01G325100;TraesCS4A01G005000;TraesCS5D01G157300;TraesCS5D01G209000;TraesCS7D01G292300;TraesCS5D01G098400;TraesCS3B01G192400;TraesCS7B01G092500;TraesCS6D01G301400;TraesCS5D01G013100;TraesCS3A01G157900;TraesCS4D01G175300;TraesCS7D01G227300;TraesCS4B01G040800;TraesCS7A01G565000;TraesCS7D01G187200;TraesCS6B01G470700;TraesCS1D01G401900;TraesCS5D01G095200;TraesCS4A01G134800;TraesCS6A01G103400;TraesCS5B01G539900;TraesCS7A01G276400;TraesCS2D01G600700;TraesCS2A01G455200;TraesCS4B01G220400;TraesCS3D01G431100;TraesCS2A01G268400;TraesCS5B01G265100;TraesCS7D01G203100;TraesCS5B01G322900;TraesCS5B01G154600;TraesCS5B01G198300;TraesCS3B01G324500;TraesCS3A01G381000;TraesCS5D01G218800;TraesCS2A01G187200;TraesCS5A01G004200;TraesCS5A01G153100;TraesCS3D01G241900;TraesCS3A01G075700;TraesCS1A01G224700;TraesCS3A01G052700;TraesCS4A01G083100;TraesCS3D01G266200;TraesCS7D01G483600;TraesCS2D01G267400;TraesCS2D01G269700;TraesCS5A01G484700;TraesCS5B01G197300;TraesCS1B01G170600;TraesCS3A01G412600;TraesCS4A01G134900;TraesCS7B01G229800;TraesCS6A01G229400;TraesCS4D01G025300;TraesCS6D01G166400;TraesCS5D01G238300;TraesCS2B01G245600;TraesCS2D01G138200;TraesCS2D01G443100;TraesCS3A01G266100;TraesCS1A01G362700;TraesCS4A01G131400;TraesCS2A01G128300;TraesCS5D01G094000;TraesCS6D01G177400;TraesCS3D01G075800;TraesCS7B01G052900;TraesCS5D01G470400;TraesCS2D01G320900;TraesCS5B01G132600;TraesCS3B01G299400;TraesCS4A01G294500;TraesCS1B01G190000;TraesCS5B01G501200;TraesCS3B01G262000;TraesCS2B01G223700;TraesCS2D01G523100;TraesCS7B01G320800;TraesCS4A01G111600;TraesCS2D01G194000;TraesCS3A01G135800;TraesCS2B01G150400;TraesCS4D01G157900;TraesCS7D01G377200;TraesCS3B01G439000;TraesCS5D01G165300;TraesCS2A01G342600;TraesCS2A01G585800;TraesCS6A01G110000;TraesCS6D01G405600;TraesCS3B01G275200;TraesCS6B01G279200;TraesCS4D01G003100;TraesCS2B01G222600;TraesCS5A01G159800;TraesCS6D01G238500;TraesCS5A01G132300;TraesCS1A01G201600;TraesCS3B01G211500;TraesCS7B01G186300;TraesCS4B01G233300;TraesCS2A01G202600;TraesCS1D01G194000;TraesCS2D01G401600;TraesCS7A01G294000;TraesCS4B01G244400;TraesCS2B01G185800;TraesCS5A01G542600;TraesCS1D01G117400;TraesCS2B01G267700;TraesCS5A01G087700;TraesCS5B01G256400;TraesCS2B01G230200;TraesCS2A01G455300;TraesCS1D01G164600;TraesCS2D01G214700;TraesCS3B01G153900;TraesCS2A01G270600;TraesCS3B01G607600;TraesCS3D01G091000;TraesCS6A01G191500;TraesCS3B01G141700;TraesCS3D01G412500;TraesCS5D01G329200;TraesCS3B01G269900;TraesCS6A01G077800;TraesCS3B01G328800;TraesCS1A01G198600;TraesCS4D01G292300;TraesCS5D01G170900;TraesCS3D01G186300;TraesCS3D01G165500;TraesCS2A01G517500;TraesCS1D01G411300;TraesCS2A01G404700;TraesCS6B01G267800;TraesCS1D01G413600;TraesCS5D01G388000;TraesCS1A01G044800;TraesCS3D01G285100;TraesCS4B01G019000;TraesCS7A01G238400;TraesCS7D01G150200;TraesCS5A01G213200;TraesCS1D01G226100;TraesCS5B01G407500;TraesCS3B01G453500;TraesCS4B01G043000;TraesCS7A01G148600;TraesCS1B01G197100;TraesCS5B01G227900;TraesCS6A01G418800;TraesCSU01G064900;TraesCS7D01G276300;TraesCS3D01G196400;TraesCSU01G142500;TraesCS5A01G181500;TraesCS1A01G416000;TraesCS2A01G357400;TraesCS2A01G206200;TraesCS3D01G356400;TraesCS7D01G231300;TraesCS7A01G355800;TraesCS2A01G424200;TraesCS3A01G210000;TraesCS3B01G362500;TraesCS7D01G336600;TraesCS7D01G311300;TraesCS7D01G313600;TraesCS2D01G429500;TraesCS2D01G565200;TraesCS2D01G225800;TraesCS3D01G289600;TraesCS6A01G289200;TraesCS1A01G340400;TraesCS4B01G399200;TraesCS4B01G171300;TraesCS5A01G454300;TraesCS6A01G382400;TraesCS1D01G185600;TraesCS4D01G017400;TraesCS5D01G230300;TraesCS2D01G212600;TraesCS3A01G181500;TraesCS4D01G365800;TraesCS2A01G550300;TraesCS5A01G030400;TraesCS2A01G330000;TraesCS1D01G125500;TraesCS6A01G188700;TraesCS4D01G038200;TraesCS7B01G052200;TraesCS3D01G400200;TraesCS7A01G491200;TraesCS4B01G170300;TraesCS6B01G384900;TraesCS3B01G555600;TraesCS6A01G245800;TraesCS3B01G105200;TraesCS7A01G192000;TraesCS1A01G154400;TraesCS2B01G272300;TraesCS1D01G423500;TraesCS2B01G159600;TraesCS2D01G311100;TraesCS5D01G536100;TraesCS3B01G374400;TraesCS2A01G380200;TraesCS2D01G202900;TraesCS2A01G183200;TraesCS4D01G315200;TraesCS4B01G355100;TraesCS6A01G253400;TraesCS6D01G091900;TraesCS4B01G170400;TraesCS4A01G238100;TraesCS3D01G159100;TraesCS2D01G248400;TraesCS1B01G211400;TraesCS3A01G294200;TraesCS5B01G409700;TraesCS6D01G247400;TraesCS5D01G357600;TraesCS4B01G211800;TraesCS5B01G145700;TraesCS7B01G135500;TraesCS5D01G095800;TraesCS2B01G312600;TraesCS3D01G397100;TraesCS3A01G417000;TraesCS6B01G115200;TraesCS4D01G065600;TraesCS4B01G180100;TraesCS2D01G398400;TraesCS3A01G362600;TraesCS7D01G409000;TraesCS4D01G086400;TraesCS7A01G239700;TraesCS4B01G239100;TraesCS4A01G319000;TraesCS2D01G200700;TraesCS1D01G104500;TraesCS5B01G089400;TraesCS3A01G241700;TraesCS1A01G323200;TraesCS3D01G426300;TraesCS1A01G182400;TraesCS1A01G075700;TraesCS7B01G021400;TraesCS7D01G277000;TraesCS3B01G072500;TraesCS5B01G138900;TraesCS1D01G124600;TraesCS3B01G300400;TraesCS2B01G376600;TraesCS3B01G046100;TraesCS4A01G226900;TraesCS3D01G359500;TraesCS3B01G438500;TraesCS5D01G372500;TraesCS4A01G092500;TraesCS2B01G477300;TraesCS1A01G418700;TraesCS2B01G385300;TraesCS7A01G358000;TraesCS6B01G194600;TraesCS6D01G181200;TraesCS3B01G161900;TraesCS2B01G329600;TraesCS1A01G060100;TraesCS3A01G134100;TraesCS6A01G257300;TraesCS1A01G033500;TraesCS7D01G237800;TraesCS2B01G340300;TraesCS6A01G196600;TraesCS2A01G102600;TraesCS3B01G331600;TraesCS1B01G198500;TraesCS6B01G301300;TraesCS1B01G215800;TraesCS4B01G204500;TraesCS6A01G285000;TraesCS2A01G203100;TraesCS1D01G411000;TraesCS6B01G272300;TraesCS5A01G173700;TraesCS6D01G172500;TraesCS1B01G336000;TraesCS1D01G303800;TraesCS7D01G374900;TraesCS2A01G252600;TraesCS7A01G149200;TraesCS6D01G248800;TraesCS7A01G239900;TraesCS2D01G294300;TraesCS7A01G187800;TraesCS3D01G220400;TraesCS2A01G460000;TraesCS2B01G415600;TraesCS3A01G266900;TraesCS1B01G317500;TraesCS3B01G308200;TraesCS7A01G200100;TraesCS6A01G220100;TraesCS2A01G521400;TraesCS3A01G161800;TraesCS1D01G264700;TraesCS1A01G264500;TraesCS3B01G291000;TraesCS6A01G290600;TraesCS6B01G089500;TraesCS4B01G154100;TraesCS5A01G140600;TraesCS5A01G265400;TraesCS2A01G557600;TraesCS1B01G422200;TraesCS4D01G172400;TraesCS3A01G232700;TraesCS6B01G319000;TraesCS1B01G365600;TraesCS7D01G339600;TraesCS7D01G457900;TraesCS6D01G186800;TraesCS6D01G104100;TraesCS2A01G523600;TraesCS6A01G408400;TraesCS4A01G324400;TraesCS7A01G277000;TraesCS2B01G318400;TraesCS2A01G296400;TraesCS7D01G193000;TraesCS6D01G299200;TraesCS3A01G405300;TraesCS6D01G152700;TraesCS7A01G342800;TraesCS2A01G380500;TraesCS3A01G191000;TraesCS5D01G164800;TraesCS2B01G454000;TraesCS7A01G314100;TraesCS6B01G104600;TraesCS2B01G246200;TraesCS1D01G367600;TraesCS5A01G418200;TraesCS7B01G097000;TraesCS7D01G188800;TraesCS2B01G270300;TraesCS4D01G348600;TraesCS2B01G352300;TraesCS5B01G320100;TraesCS5A01G524400;TraesCS2A01G149700</t>
  </si>
  <si>
    <t>TraesCS3A01G200400;TraesCS1D01G264100;TraesCS1A01G264000;TraesCS6A01G360600;TraesCS1D01G125300;TraesCS3D01G203400;TraesCS1B01G274600;TraesCS6B01G393500;TraesCS6D01G344100;TraesCS1A01G299500;TraesCS1D01G298400</t>
  </si>
  <si>
    <t>DNA unwinding involved in DNA replication</t>
  </si>
  <si>
    <t>TraesCS3D01G426300;TraesCS4A01G125000;TraesCS4A01G232300;TraesCS7B01G006600;TraesCS5B01G228900;TraesCS3A01G367000;TraesCS5D01G237400;TraesCS2A01G114400;TraesCS7D01G283600;TraesCS7D01G338600;TraesCS4B01G179400;TraesCS6A01G290600;TraesCS7A01G341000;TraesCS7A01G108600;TraesCS6D01G283300;TraesCS2D01G238700;TraesCS5B01G256400;TraesCS2B01G133500;TraesCS6D01G287300;TraesCS6A01G308100;TraesCS4B01G083600;TraesCS7B01G242200;TraesCS5A01G230400;TraesCS4B01G041900;TraesCS5A01G173800;TraesCS7D01G280600;TraesCS5B01G534400;TraesCS7A01G239700;TraesCS6A01G303800;TraesCS4D01G081600;TraesCS5B01G171200;TraesCS6A01G267300;TraesCS5D01G178300;TraesCS4A01G093100;TraesCS2A01G296400;TraesCS5D01G094000</t>
  </si>
  <si>
    <t>photosynthetic electron transport chain</t>
  </si>
  <si>
    <t>TraesCS1B01G290800;TraesCS1D01G280900;TraesCS2A01G066800;TraesCS5B01G132600;TraesCS3A01G084400;TraesCS5A01G424400;TraesCS2A01G066700;TraesCS4B01G204500;TraesCS4A01G354500;TraesCS5A01G165700;TraesCS6B01G257900;TraesCS3D01G084300;TraesCS6D01G212000;TraesCS2D01G148200;TraesCS6D01G287300;TraesCS5B01G162800;TraesCS6A01G308100;TraesCS5B01G036800;TraesCS2A01G067200;TraesCS6B01G251600;TraesCS5D01G169900;TraesCS5A01G165400;TraesCS7A01G327600;TraesCS5D01G169600;TraesCS6D01G204800;TraesCS5D01G517600;TraesCS1A01G281700;TraesCS2B01G264100;TraesCS2B01G079500;TraesCS2D01G065600;TraesCS5A01G132300;TraesCS2D01G233900;TraesCS2D01G065200;TraesCS2D01G065300;TraesCS5B01G517900;TraesCS2D01G065100;TraesCS2B01G079400;TraesCS6A01G230100;TraesCS2B01G079200;TraesCS2B01G079100</t>
  </si>
  <si>
    <t>TraesCS5D01G336000;TraesCS6D01G016900;TraesCS5D01G124800;TraesCS1A01G323600;TraesCS7A01G036200;TraesCS1D01G107300;TraesCS5B01G484700;TraesCS5B01G249000;TraesCS2A01G246200;TraesCS5A01G200800;TraesCS4B01G397600;TraesCS3D01G271500;TraesCS4A01G226500;TraesCS1B01G146200;TraesCSU01G112400;TraesCS6B01G295700;TraesCS3B01G206600;TraesCS7D01G467500;TraesCS3B01G193200;TraesCS5B01G412400;TraesCS2A01G262700;TraesCS3A01G228000;TraesCS4B01G169900;TraesCS6B01G411900;TraesCS7D01G056800;TraesCS7A01G541200;TraesCS1A01G355200;TraesCS7B01G382800;TraesCS4B01G050200;TraesCS5D01G444700;TraesCS6B01G132300;TraesCS7B01G104400;TraesCS4D01G135000;TraesCS5B01G094600;TraesCS3B01G242700;TraesCS5A01G200900;TraesCS6B01G388800;TraesCS5A01G344100;TraesCS1D01G444900;TraesCS2A01G171900;TraesCS2A01G361100;TraesCS5A01G390000;TraesCS6D01G142900;TraesCS3D01G474000;TraesCS1A01G243700;TraesCS7A01G464600;TraesCS3A01G178900;TraesCS5B01G159100;TraesCS3A01G229100;TraesCS7B01G365100;TraesCS4D01G292900;TraesCS3A01G216100;TraesCS3A01G344300;TraesCS5D01G376600;TraesCS2A01G488400;TraesCS4D01G184400;TraesCS6B01G262800;TraesCS1B01G469400;TraesCS5D01G399800;TraesCS7D01G454200;TraesCS3A01G091100;TraesCS6B01G270400;TraesCS3B01G208800;TraesCS5A01G251000;TraesCS6A01G225200;TraesCS3A01G303800;TraesCS5B01G082400;TraesCS4D01G250100;TraesCS6D01G365100;TraesCS4A01G361100;TraesCS5B01G229300;TraesCS1A01G423100;TraesCS2D01G093700;TraesCS1A01G125000;TraesCS6B01G428300;TraesCS3B01G309700;TraesCS5A01G115000;TraesCS3B01G376200;TraesCS5D01G396300;TraesCSU01G111400;TraesCS5D01G420300;TraesCS6A01G245000;TraesCS1D01G396300;TraesCS6D01G161000;TraesCS1D01G260500;TraesCS2D01G322800;TraesCS5B01G171400;TraesCS3D01G281100;TraesCSU01G133300;TraesCS2A01G387400;TraesCS2D01G383800;TraesCS1B01G274600;TraesCS6B01G238600;TraesCS5A01G416400;TraesCS7B01G317000;TraesCS3D01G369100;TraesCS4A01G191500;TraesCS1A01G275400;TraesCS4D01G132900;TraesCS4D01G172000;TraesCS7B01G162300;TraesCS7D01G543200;TraesCS5D01G100800;TraesCS6B01G159800;TraesCS6A01G234000;TraesCS1B01G271100;TraesCS6A01G158300;TraesCS7A01G499600;TraesCS7B01G451700;TraesCS5B01G479200;TraesCS6A01G125400;TraesCS7A01G466900;TraesCS1B01G366400;TraesCS2D01G213100;TraesCS5D01G044700;TraesCS6B01G296700;TraesCS6D01G358500;TraesCS3D01G474200;TraesCS7A01G510900;TraesCS5A01G357400;TraesCS5D01G405400;TraesCS3A01G214000;TraesCS5D01G161800;TraesCS1A01G025900;TraesCS4D01G079200;TraesCS4D01G142600;TraesCS2B01G328500;TraesCS2D01G597600;TraesCS3B01G266900;TraesCS3D01G336200;TraesCS6D01G344100;TraesCS7D01G291200;TraesCS7D01G364400;TraesCS2A01G159900;TraesCS1D01G431700;TraesCS3B01G103500;TraesCS6A01G279100;TraesCS7B01G066000;TraesCS3A01G288200;TraesCS4B01G314600;TraesCS4A01G149800;TraesCS6D01G189700;TraesCS2D01G202200;TraesCS1D01G314600;TraesCS1D01G387600;TraesCS4A01G005000;TraesCS4A01G078800;TraesCS6B01G099900;TraesCS3A01G276100;TraesCS5D01G006100;TraesCS1A01G299500;TraesCS2A01G487500;TraesCS4D01G036500;TraesCS6B01G428100;TraesCS6D01G060400;TraesCS6D01G399000;TraesCS2D01G049500;TraesCS1D01G264100;TraesCS2D01G213200;TraesCS5D01G013100;TraesCS3B01G423800;TraesCS3B01G442200;TraesCS5B01G222600;TraesCS3B01G207300;TraesCS6B01G213100;TraesCS7D01G542200;TraesCS2B01G514800;TraesCS3B01G222700;TraesCS7A01G390300;TraesCS3A01G342300;TraesCS4A01G375000;TraesCS7D01G288700;TraesCS1D01G275000;TraesCSU01G158800;TraesCS4B01G050600;TraesCS4A01G134800;TraesCS2D01G310900;TraesCS5B01G539900;TraesCS6D01G227300;TraesCS4B01G138100;TraesCS4A01G178600;TraesCS5D01G366500;TraesCS3D01G217700;TraesCS4B01G140300;TraesCS1A01G110900;TraesCS3D01G507500;TraesCS4D01G252700;TraesCS6B01G174100;TraesCS7A01G264300;TraesCS1D01G316200;TraesCS7D01G228500;TraesCS1B01G348800;TraesCS5A01G050100;TraesCS5B01G154600;TraesCS3A01G220000;TraesCS6B01G199500;TraesCS6D01G007800;TraesCS7A01G076600;TraesCS3A01G484800;TraesCS6B01G141400;TraesCS3B01G299100;TraesCS3D01G241900;TraesCS1A01G264000;TraesCS4A01G177500;TraesCS7D01G040400;TraesCS5D01G141200;TraesCS6A01G192800;TraesCS6A01G209800;TraesCS5A01G054700;TraesCS1A01G258800;TraesCS2B01G462500;TraesCS3D01G282800;TraesCS6D01G216300;TraesCS2D01G198300;TraesCS3A01G282800;TraesCS5D01G261300;TraesCS2A01G444100;TraesCS3D01G298000;TraesCS2D01G362200;TraesCS5B01G537700;TraesCS3B01G254500;TraesCS7B01G005700;TraesCS7A01G004000;TraesCS1D01G219200;TraesCS3D01G376500;TraesCS1A01G177600;TraesCS6D01G166400;TraesCS6B01G256400;TraesCS2B01G304900;TraesCS1A01G198400;TraesCS1B01G378000;TraesCS3D01G203400;TraesCS7B01G241900;TraesCS2D01G304000;TraesCS1D01G211600;TraesCS4D01G240700;TraesCS7A01G313900;TraesCS2B01G174600;TraesCS7D01G332300;TraesCS6B01G294700;TraesCS5A01G367700;TraesCS7A01G005100;TraesCS3D01G109700;TraesCS7B01G052900;TraesCS2B01G451100;TraesCS4A01G217700;TraesCS1B01G290800;TraesCS1B01G301500;TraesCS3B01G316500;TraesCS4D01G085700;TraesCS3B01G093800;TraesCS1A01G361400;TraesCS2D01G523100;TraesCS2B01G405200;TraesCS2B01G462400;TraesCS3A01G060300;TraesCS3D01G516300;TraesCS4A01G111600;TraesCS2A01G092400;TraesCS5A01G156400;TraesCS3A01G112800;TraesCS2A01G480500;TraesCS4A01G262900;TraesCS4A01G367700;TraesCS7D01G377200;TraesCS6A01G336800;TraesCS3D01G068100;TraesCS3D01G288000;TraesCS5D01G402300;TraesCS7D01G020700;TraesCS6A01G322400;TraesCS5D01G113700;TraesCS1A01G116000;TraesCS4D01G107000;TraesCS4D01G057000;TraesCS5B01G037500;TraesCS7D01G032800;TraesCS6D01G028400;TraesCS2A01G202600;TraesCS7D01G011800;TraesCS3B01G305600;TraesCS3B01G299300;TraesCS5A01G445100;TraesCS5D01G424400;TraesCS2B01G174700;TraesCS2A01G150000;TraesCS2D01G154600;TraesCS5D01G437600;TraesCSU01G131300;TraesCS1D01G258800;TraesCS2B01G185800;TraesCS5D01G005300;TraesCS1A01G172100;TraesCS5A01G416700;TraesCS7D01G123400;TraesCS6D01G147700;TraesCS7D01G190300;TraesCS6B01G304100;TraesCS3A01G538300;TraesCS3B01G607600;TraesCS5D01G087800;TraesCS7B01G269300;TraesCS3D01G091000;TraesCS7A01G062100;TraesCS3B01G141700;TraesCS7B01G236400;TraesCS2B01G604300;TraesCS6B01G117100;TraesCS7A01G226000;TraesCS1A01G281700;TraesCS5A01G113700;TraesCS3B01G269900;TraesCS7B01G446500;TraesCS1A01G314100;TraesCS5D01G480300;TraesCS7D01G386000;TraesCS2D01G594500;TraesCS5D01G098800;TraesCS1A01G129400;TraesCS6D01G028300;TraesCS6D01G121300;TraesCS1B01G259800;TraesCS4B01G252400;TraesCS5D01G525000;TraesCS6A01G360600;TraesCS2D01G479900;TraesCS2B01G307300;TraesCS3B01G224600;TraesCS6A01G184000;TraesCS1A01G260500;TraesCS4A01G257800;TraesCS5A01G032500;TraesCS5B01G155400;TraesCS5D01G428900;TraesCS3D01G285100;TraesCS3D01G411200;TraesCS5D01G219500;TraesCS5D01G162400;TraesCS6A01G268600;TraesCS6D01G077500;TraesCS7D01G150200;TraesCS5D01G359800;TraesCS2B01G229600;TraesCS7A01G148600;TraesCS6B01G159200;TraesCS5D01G528400;TraesCS6B01G113200;TraesCS1A01G292100;TraesCS4B01G186700;TraesCS5B01G156500;TraesCS5B01G431500;TraesCS6A01G153600;TraesCS6B01G226000;TraesCS6D01G180500;TraesCS4B01G117900;TraesCS5A01G467500;TraesCS6D01G055600;TraesCS3B01G408800;TraesCS3B01G131400;TraesCS6B01G233800;TraesCS6D01G236400;TraesCS2B01G597700;TraesCS4B01G126400;TraesCS4D01G133500;TraesCS3D01G169000;TraesCS6D01G320800;TraesCS7A01G088100;TraesCS5A01G006100;TraesCS1B01G255100;TraesCS1A01G350200;TraesCS3D01G019000;TraesCS6A01G379000;TraesCS2D01G565200;TraesCS5B01G415100;TraesCS3A01G122500;TraesCS4B01G090000;TraesCS2D01G248600;TraesCS7A01G321900;TraesCS6B01G174500;TraesCS2A01G299200;TraesCS7D01G265200;TraesCS2D01G440100;TraesCS6B01G039900;TraesCS4B01G171300;TraesCS6B01G056200;TraesCS2D01G291200;TraesCS3D01G275200;TraesCS5A01G305400;TraesCS2B01G263300;TraesCS3B01G568500;TraesCS1A01G099400;TraesCS3D01G345500;TraesCS2A01G103300;TraesCS1D01G412600;TraesCS7A01G417000;TraesCS4D01G359000;TraesCS4A01G013500;TraesCS3D01G414600;TraesCS1D01G055200;TraesCS2A01G579900;TraesCS1A01G016200;TraesCS2A01G330000;TraesCS3B01G246600;TraesCS6B01G231400;TraesCS5A01G547300;TraesCS1D01G020000;TraesCS5A01G491400;TraesCS7B01G052200;TraesCS2A01G187700;TraesCS3D01G188800;TraesCSU01G058200;TraesCS5D01G206500;TraesCS7A01G491200;TraesCS4A01G494400;TraesCS5A01G466100;TraesCS2B01G342100;TraesCS1B01G326400;TraesCS1D01G280900;TraesCS3B01G555600;TraesCS2D01G362700;TraesCS3A01G275700;TraesCS3B01G214600;TraesCS2B01G221800;TraesCS2D01G118000;TraesCS5A01G114600;TraesCS4D01G096200;TraesCS5D01G332000;TraesCS3D01G237100;TraesCS6A01G103200;TraesCS7D01G083200;TraesCS3B01G309000;TraesCS4D01G212600;TraesCS7A01G335900;TraesCS3A01G238400;TraesCS5D01G505700;TraesCS7D01G278800;TraesCS5D01G312400;TraesCS2A01G344500;TraesCS7D01G035000;TraesCS1B01G212500;TraesCS1B01G478800;TraesCS3A01G085200;TraesCS1D01G443100;TraesCS5A01G411500;TraesCS7A01G235200;TraesCS7D01G072300;TraesCS4B01G160600;TraesCS3B01G374400;TraesCS6B01G365300;TraesCS6B01G393500;TraesCS5A01G191100;TraesCS5A01G101900;TraesCS2A01G185500;TraesCS5D01G040800;TraesCS4A01G387000;TraesCS5A01G088400;TraesCS2A01G095300;TraesCS3A01G264700;TraesCS4A01G452700;TraesCS4B01G170400;TraesCS2D01G303500;TraesCS7D01G200800;TraesCS7D01G410100;TraesCS2D01G301200;TraesCS4A01G110800;TraesCS6D01G259500;TraesCS4D01G089800;TraesCS6B01G307200;TraesCS1D01G352300;TraesCS4A01G051900;TraesCS3A01G200400;TraesCS5B01G199400;TraesCS1D01G151800;TraesCS3B01G564100;TraesCS4D01G004000;TraesCS5D01G399200;TraesCS5B01G509100;TraesCS1A01G313300;TraesCS6D01G210000;TraesCS7D01G123000;TraesCS3A01G391800;TraesCS6D01G247400;TraesCS3A01G376300;TraesCS4B01G211800;TraesCS2B01G229500;TraesCS4A01G090100;TraesCS3A01G498300;TraesCS4D01G214800;TraesCS5B01G504900;TraesCS3D01G217600;TraesCS5A01G387700;TraesCS6D01G363400;TraesCS3B01G363500;TraesCS2D01G568400;TraesCS4B01G276500;TraesCS2D01G488700;TraesCS5B01G397300;TraesCS2D01G545300;TraesCS1D01G298400;TraesCS5B01G395000;TraesCS4B01G117800;TraesCS4A01G216200;TraesCS4D01G298800;TraesCS7A01G239700;TraesCS1D01G125300;TraesCS6B01G342300;TraesCS5B01G075800;TraesCS7A01G279000;TraesCS4A01G059500;TraesCS5B01G477800;TraesCS6D01G246300;TraesCS3D01G446200;TraesCS3A01G241700;TraesCS3D01G264800;TraesCS7A01G466600;TraesCS3A01G212600;TraesCS6D01G173700;TraesCS3B01G083400;TraesCS1D01G426400;TraesCS5A01G092400;TraesCS4A01G111000;TraesCS3D01G384700;TraesCS5D01G081700;TraesCS7D01G454700;TraesCS3A01G313300;TraesCS6B01G371500;TraesCS2A01G392900;TraesCS5A01G024600;TraesCS7B01G393300;TraesCS6B01G169300;TraesCS1A01G388400;TraesCS4A01G092500;TraesCS2B01G505400;TraesCS2B01G528300;TraesCS3D01G513500;TraesCS4A01G101200;TraesCS6D01G357100;TraesCS7B01G181200;TraesCS4D01G147500;TraesCS3B01G426500;TraesCS6A01G130900;TraesCS6A01G269400;TraesCS1A01G418700;TraesCS4B01G056700;TraesCS2A01G302500;TraesCS2B01G385300;TraesCS5A01G429500;TraesCS7D01G486400;TraesCS3B01G161900;TraesCS5B01G450400;TraesCS5B01G102600;TraesCS2A01G149600;TraesCS2B01G415500;TraesCS3D01G182400;TraesCS6B01G181300;TraesCS7B01G182300;TraesCS2A01G290900;TraesCS6A01G171300;TraesCS2D01G487700;TraesCS6A01G312100;TraesCS3D01G275600;TraesCS2A01G007000;TraesCS2D01G310000;TraesCS1A01G086500;TraesCS3B01G237500;TraesCS1A01G145000;TraesCS4A01G264400;TraesCS2D01G385000;TraesCS3D01G124400;TraesCS4A01G197700;TraesCS7B01G393400;TraesCS1D01G178000;TraesCS6B01G035700;TraesCS3D01G294200;TraesCS2A01G430500;TraesCS4A01G197600;TraesCS2B01G018500;TraesCS7D01G218000;TraesCS4B01G138800;TraesCS7D01G004500;TraesCS2B01G404600;TraesCS4B01G144000;TraesCS4D01G193500;TraesCS6B01G285500;TraesCS3A01G068500;TraesCS6A01G200200;TraesCS3D01G196700;TraesCS1D01G144000;TraesCS5A01G157000;TraesCS7A01G235300;TraesCS5B01G529300;TraesCS7A01G149200;TraesCS6A01G186800;TraesCS2B01G411000;TraesCS2A01G149500;TraesCS2B01G157600;TraesCS5A01G212500;TraesCS5D01G417400;TraesCS3A01G220700;TraesCS7D01G476500;TraesCS1A01G035900;TraesCS6B01G076300;TraesCS3A01G023800;TraesCS5D01G258900;TraesCS3A01G184800;TraesCS2A01G521400;TraesCS5B01G155200;TraesCS3A01G161800;TraesCS4D01G194300;TraesCS2D01G288800;TraesCS6D01G091600;TraesCS3B01G291000;TraesCS7A01G480700;TraesCS7D01G452200;TraesCS5D01G078500;TraesCS1A01G315900;TraesCS1A01G249100;TraesCS2A01G226000;TraesCS2B01G107200;TraesCS4D01G115600;TraesCS3A01G275300;TraesCS6D01G245600;TraesCS5A01G548800;TraesCS2B01G307500;TraesCS2D01G167300;TraesCS6D01G130500;TraesCS6A01G070700;TraesCS2A01G387000;TraesCS5B01G344200;TraesCS6D01G302200;TraesCS2B01G198300;TraesCS5B01G418700;TraesCS6D01G174700;TraesCS4D01G092800;TraesCS4D01G172400;TraesCS3B01G309400;TraesCS3B01G491300;TraesCS6D01G221400;TraesCS2B01G217700;TraesCS6D01G315500;TraesCS3D01G068900;TraesCS3D01G326900;TraesCS6A01G078200;TraesCS7D01G457900;TraesCS5B01G511800;TraesCS2D01G249200;TraesCS7B01G421800;TraesCS6A01G267300;TraesCS2B01G318400;TraesCS7B01G169100;TraesCS3B01G322800;TraesCS5D01G231200;TraesCSU01G009200;TraesCS2A01G431900;TraesCS2B01G321700;TraesCS3A01G069900;TraesCS5D01G478900;TraesCS5B01G155100;TraesCS4A01G276300;TraesCS5A01G036600;TraesCS1B01G213300;TraesCS2D01G500600;TraesCS1A01G111100;TraesCS1D01G390500;TraesCS4A01G164900;TraesCS5A01G223700;TraesCS5B01G136500;TraesCS3A01G107900;TraesCS4B01G332300;TraesCS5D01G512300;TraesCS4D01G115500;TraesCS5B01G509500;TraesCS5D01G162500;TraesCS2B01G454000;TraesCS5B01G344300;TraesCS1B01G293500;TraesCS6B01G100000;TraesCS6D01G396700;TraesCS2B01G051500;TraesCS4D01G080700;TraesCS2D01G473500;TraesCS7B01G124100;TraesCS6D01G245500;TraesCS1A01G101300;TraesCS5D01G060900;TraesCS4D01G086000;TraesCS6D01G193000;TraesCS6B01G161800;TraesCS1A01G284300;TraesCS2A01G040000;TraesCS1D01G353100;TraesCS5B01G074200;TraesCS3B01G332500;TraesCS1B01G434400;TraesCS1A01G020500;TraesCS7B01G089500;TraesCS1B01G269400;TraesCS2B01G352300;TraesCS7D01G130500;TraesCS2B01G293400;TraesCS7D01G000100;TraesCS4B01G380800;TraesCS6A01G163500;TraesCS5A01G067300;TraesCS2B01G191800</t>
  </si>
  <si>
    <t>TraesCS3D01G426300;TraesCS5D01G258900;TraesCS7D01G227300;TraesCS5B01G484700;TraesCS2A01G521400;TraesCS5B01G155200;TraesCS5B01G249000;TraesCS6B01G454500;TraesCS3A01G212000;TraesCS5A01G092400;TraesCS2A01G437700;TraesCS5B01G339200;TraesCS2D01G362700;TraesCS6A01G290600;TraesCS5D01G162400;TraesCS4A01G226900;TraesCS3D01G273800;TraesCS2D01G194000;TraesCS4A01G138800;TraesCS4A01G262900;TraesCS6B01G159200;TraesCS2B01G528300;TraesCS3A01G100000;TraesCS6D01G122800;TraesCS5D01G551200;TraesCS2A01G342600;TraesCS6B01G253900;TraesCS4A01G315700;TraesCS2B01G234500;TraesCS7A01G115400;TraesCS5B01G563800;TraesCS4D01G135000;TraesCS2A01G280500;TraesCS3A01G381000;TraesCS5D01G429200;TraesCS6A01G133100;TraesCS2D01G279300;TraesCS6A01G267300;TraesCS3B01G370200;TraesCS6A01G408400;TraesCS5B01G387600;TraesCS7D01G549100;TraesCS3A01G151100;TraesCS6A01G203300;TraesCS6A01G146500;TraesCS2B01G340300;TraesCS4B01G193400;TraesCS1A01G180200;TraesCS2A01G309600;TraesCS4A01G164900;TraesCS1A01G254400;TraesCS2A01G193800;TraesCS4D01G080700;TraesCS7B01G124100;TraesCS7B01G189500;TraesCS2D01G300400;TraesCS5A01G251000;TraesCS5B01G036800;TraesCS2A01G480200;TraesCS4A01G120000;TraesCS2B01G297800;TraesCS7D01G280600;TraesCS5A01G157000;TraesCS7A01G560200;TraesCS2B01G457600;TraesCS3A01G191700;TraesCS6D01G135800;TraesCS7D01G000100;TraesCS4A01G093100;TraesCS5D01G285200;TraesCS1B01G200300</t>
  </si>
  <si>
    <t>response to light stimulus</t>
  </si>
  <si>
    <t>TraesCS3D01G426300;TraesCS5D01G258900;TraesCS7D01G227300;TraesCS5B01G484700;TraesCS2A01G521400;TraesCS5B01G155200;TraesCS5B01G249000;TraesCS6B01G454500;TraesCS4D01G194300;TraesCS3A01G212000;TraesCS5A01G092400;TraesCS1B01G049300;TraesCS2A01G437700;TraesCS5B01G339200;TraesCS2D01G362700;TraesCS6A01G290600;TraesCS5D01G162400;TraesCS4A01G226900;TraesCS3D01G273800;TraesCS2D01G194000;TraesCS4A01G138800;TraesCS4A01G262900;TraesCS6B01G159200;TraesCS2B01G528300;TraesCS3A01G100000;TraesCS6D01G122800;TraesCS5D01G551200;TraesCS2A01G342600;TraesCS6B01G253900;TraesCS4A01G315700;TraesCS1D01G316200;TraesCS2B01G234500;TraesCS7A01G115400;TraesCS5B01G563800;TraesCS4D01G135000;TraesCS2A01G280500;TraesCS3A01G381000;TraesCS5D01G429200;TraesCS6A01G133100;TraesCS2D01G279300;TraesCS6A01G267300;TraesCS3B01G370200;TraesCS6A01G408400;TraesCS5B01G387600;TraesCS7D01G549100;TraesCS3A01G151100;TraesCS6A01G203300;TraesCS6A01G146500;TraesCS2B01G340300;TraesCS4B01G193400;TraesCS1A01G180200;TraesCS4A01G110800;TraesCS5D01G141200;TraesCS2A01G309600;TraesCS4A01G164900;TraesCS1A01G254400;TraesCS2A01G193800;TraesCS4D01G080700;TraesCS7B01G124100;TraesCS7B01G189500;TraesCS2D01G300400;TraesCS5A01G251000;TraesCS5B01G036800;TraesCS2A01G480200;TraesCS4A01G120000;TraesCS2B01G297800;TraesCS7D01G280600;TraesCS5A01G157000;TraesCS7A01G560200;TraesCS2B01G457600;TraesCS3A01G191700;TraesCS6D01G135800;TraesCS7D01G000100;TraesCS4A01G093100;TraesCS5D01G285200;TraesCS1B01G200300</t>
  </si>
  <si>
    <t>response to radiation</t>
  </si>
  <si>
    <t>regulation of flower development</t>
  </si>
  <si>
    <t>TraesCS1D01G264100;TraesCS2D01G477200;TraesCS6A01G360600;TraesCS7B01G352800;TraesCS4D01G278500;TraesCS1B01G049300;TraesCS1B01G274600;TraesCS3D01G273800;TraesCS3A01G336100;TraesCS3A01G097200;TraesCS4A01G023500;TraesCS4D01G318200;TraesCS5D01G171100;TraesCS5A01G119300;TraesCS5B01G378700;TraesCS7D01G442100;TraesCS1A01G263400;TraesCS2D01G059400;TraesCS4B01G321500;TraesCS5A01G166800;TraesCS6B01G393500;TraesCS5B01G037500;TraesCS2A01G149600;TraesCS2A01G563500;TraesCS2A01G095300;TraesCS2B01G401900;TraesCS5D01G193000;TraesCS5D01G044700;TraesCS1A01G264000;TraesCS2B01G174700;TraesCS6A01G379000;TraesCS1D01G331000;TraesCS5A01G036600;TraesCS4A01G164900;TraesCS3A01G200400;TraesCS1B01G293500;TraesCS7B01G124100;TraesCS6D01G344100;TraesCS5A01G490500;TraesCS7A01G220600;TraesCS5B01G185700;TraesCS3A01G393400;TraesCS2A01G455300;TraesCS3B01G252200;TraesCS2A01G478000;TraesCS1A01G284300;TraesCS2B01G477400;TraesCS1D01G298400;TraesCS6B01G190300;TraesCS7A01G452800;TraesCS2A01G382000;TraesCS4B01G109700;TraesCS3D01G203400;TraesCS2D01G093700;TraesCS6A01G161200;TraesCS2B01G247100;TraesCS1A01G299500;TraesCS2B01G501300</t>
  </si>
  <si>
    <t>histone modification</t>
  </si>
  <si>
    <t>TraesCS5D01G336000;TraesCS6D01G016900;TraesCS5D01G124800;TraesCS1A01G323600;TraesCS7A01G036200;TraesCS1D01G107300;TraesCS5B01G484700;TraesCS5B01G249000;TraesCS2A01G246200;TraesCS5A01G200800;TraesCS4B01G397600;TraesCS3D01G271500;TraesCS4A01G226500;TraesCS1B01G146200;TraesCSU01G112400;TraesCS6B01G295700;TraesCS3B01G206600;TraesCS7D01G467500;TraesCS3B01G193200;TraesCS5B01G412400;TraesCS2A01G262700;TraesCS3A01G228000;TraesCS4B01G169900;TraesCS6B01G411900;TraesCS7D01G056800;TraesCS7A01G541200;TraesCS1A01G355200;TraesCS7B01G382800;TraesCS4B01G050200;TraesCS5D01G444700;TraesCS6B01G132300;TraesCS7B01G104400;TraesCS4D01G135000;TraesCS5B01G094600;TraesCS3B01G242700;TraesCS5A01G200900;TraesCS6B01G388800;TraesCS5A01G344100;TraesCS1D01G444900;TraesCS2A01G171900;TraesCS2A01G361100;TraesCS5A01G390000;TraesCS6D01G142900;TraesCS3D01G474000;TraesCS5D01G044900;TraesCS1A01G243700;TraesCS7A01G464600;TraesCS3A01G178900;TraesCS5B01G159100;TraesCS3A01G229100;TraesCS7B01G365100;TraesCS4D01G292900;TraesCS3A01G216100;TraesCS3A01G344300;TraesCS5D01G376600;TraesCS2A01G488400;TraesCS4D01G184400;TraesCS6B01G262800;TraesCS1B01G469400;TraesCS5D01G399800;TraesCS7D01G454200;TraesCS3A01G091100;TraesCS6B01G270400;TraesCS3B01G208800;TraesCS5A01G251000;TraesCS6A01G225200;TraesCS3A01G303800;TraesCS5B01G082400;TraesCS4D01G250100;TraesCS6D01G365100;TraesCS4A01G361100;TraesCS5B01G229300;TraesCS1A01G423100;TraesCS2D01G093700;TraesCS1A01G125000;TraesCS6B01G428300;TraesCS3B01G309700;TraesCS5A01G115000;TraesCS3B01G376200;TraesCS5D01G396300;TraesCSU01G111400;TraesCS2A01G168400;TraesCS5D01G420300;TraesCS6A01G245000;TraesCS1D01G396300;TraesCS6D01G161000;TraesCS1D01G260500;TraesCS2D01G322800;TraesCS5B01G171400;TraesCS3D01G281100;TraesCSU01G133300;TraesCS2A01G387400;TraesCS2D01G383800;TraesCS1B01G274600;TraesCS6B01G238600;TraesCS5A01G416400;TraesCS7B01G317000;TraesCS3D01G369100;TraesCS4A01G191500;TraesCS1A01G275400;TraesCS4D01G132900;TraesCS4D01G172000;TraesCS7B01G162300;TraesCS7D01G543200;TraesCS5D01G100800;TraesCS6B01G159800;TraesCS6A01G234000;TraesCS1B01G271100;TraesCS6A01G158300;TraesCS7A01G499600;TraesCS7B01G451700;TraesCS5B01G479200;TraesCS6A01G125400;TraesCS7A01G466900;TraesCS1B01G366400;TraesCS2D01G213100;TraesCS5D01G044700;TraesCS6B01G296700;TraesCS6D01G358500;TraesCS3D01G474200;TraesCS7A01G510900;TraesCS5A01G357400;TraesCS5D01G405400;TraesCS3A01G214000;TraesCS2D01G175900;TraesCS5D01G161800;TraesCS1A01G025900;TraesCS4D01G079200;TraesCS4D01G142600;TraesCS2B01G328500;TraesCS2D01G597600;TraesCS3B01G266900;TraesCS3D01G336200;TraesCS6D01G344100;TraesCS7D01G291200;TraesCS7D01G364400;TraesCS2A01G159900;TraesCS1D01G431700;TraesCS3B01G103500;TraesCS6A01G279100;TraesCS7B01G066000;TraesCS3A01G288200;TraesCS4B01G314600;TraesCS4A01G149800;TraesCS6D01G189700;TraesCS2D01G202200;TraesCS1D01G314600;TraesCS1D01G387600;TraesCS4A01G005000;TraesCS4A01G078800;TraesCS6B01G099900;TraesCS3A01G276100;TraesCS5D01G006100;TraesCS1A01G299500;TraesCS2A01G487500;TraesCS4D01G036500;TraesCS6B01G428100;TraesCS6D01G060400;TraesCS6D01G399000;TraesCS2D01G049500;TraesCS1D01G264100;TraesCS2D01G213200;TraesCS5D01G013100;TraesCS3B01G423800;TraesCS3B01G442200;TraesCS5B01G222600;TraesCS3B01G207300;TraesCS6B01G213100;TraesCS7D01G542200;TraesCS2B01G514800;TraesCS3B01G222700;TraesCS7A01G390300;TraesCS3A01G342300;TraesCS4A01G375000;TraesCS7D01G288700;TraesCS1D01G275000;TraesCSU01G158800;TraesCS4B01G050600;TraesCS4A01G134800;TraesCS2D01G310900;TraesCS5B01G539900;TraesCS6D01G227300;TraesCS4B01G138100;TraesCS4A01G178600;TraesCS5D01G366500;TraesCS3D01G217700;TraesCS4B01G140300;TraesCS1A01G110900;TraesCS3D01G507500;TraesCS4D01G252700;TraesCS6B01G174100;TraesCS7A01G264300;TraesCS1D01G316200;TraesCS7D01G228500;TraesCS1B01G348800;TraesCS5A01G050100;TraesCS5B01G154600;TraesCS3A01G220000;TraesCS6B01G199500;TraesCS6D01G007800;TraesCS7A01G076600;TraesCS3A01G484800;TraesCS6B01G141400;TraesCS3B01G299100;TraesCS3D01G241900;TraesCS1A01G264000;TraesCS4A01G177500;TraesCS7D01G040400;TraesCS5D01G141200;TraesCS6A01G192800;TraesCS6A01G209800;TraesCS5A01G424400;TraesCS5A01G054700;TraesCS1A01G258800;TraesCS2B01G462500;TraesCS3D01G282800;TraesCS6D01G216300;TraesCS2D01G198300;TraesCS3A01G282800;TraesCS5D01G261300;TraesCS2A01G444100;TraesCS3D01G298000;TraesCS2D01G362200;TraesCS5B01G537700;TraesCS3B01G254500;TraesCS7B01G005700;TraesCS7A01G004000;TraesCS1D01G219200;TraesCS3D01G376500;TraesCS1A01G177600;TraesCS6D01G166400;TraesCS6B01G256400;TraesCS2B01G264100;TraesCS2B01G304900;TraesCS1A01G198400;TraesCS1B01G378000;TraesCS3D01G203400;TraesCS7B01G241900;TraesCS2D01G304000;TraesCS1D01G211600;TraesCS4D01G240700;TraesCS7A01G313900;TraesCS2B01G174600;TraesCS7D01G332300;TraesCS6B01G294700;TraesCS5A01G367700;TraesCS7A01G005100;TraesCS3D01G109700;TraesCS7B01G052900;TraesCS2B01G451100;TraesCS4A01G217700;TraesCS1B01G290800;TraesCS1B01G301500;TraesCS3B01G316500;TraesCS4D01G085700;TraesCS3B01G093800;TraesCS1A01G361400;TraesCS2D01G523100;TraesCS2B01G405200;TraesCS2B01G462400;TraesCS3A01G060300;TraesCS3D01G516300;TraesCS4A01G111600;TraesCS2A01G092400;TraesCS5A01G156400;TraesCS3A01G112800;TraesCS2A01G480500;TraesCS4A01G262900;TraesCS4A01G367700;TraesCS7D01G377200;TraesCS6A01G336800;TraesCS3D01G068100;TraesCS3D01G288000;TraesCS5D01G402300;TraesCS7D01G020700;TraesCS6A01G322400;TraesCS5D01G113700;TraesCS1A01G116000;TraesCS4D01G107000;TraesCS4D01G057000;TraesCS5B01G037500;TraesCS7D01G032800;TraesCS6D01G028400;TraesCS2A01G202600;TraesCS7D01G011800;TraesCS3B01G305600;TraesCS3B01G299300;TraesCS5A01G445100;TraesCS5D01G424400;TraesCS2B01G174700;TraesCS2A01G234200;TraesCS2A01G150000;TraesCS2D01G154600;TraesCS5D01G437600;TraesCSU01G131300;TraesCS1D01G258800;TraesCS2B01G185800;TraesCS5D01G005300;TraesCS1A01G172100;TraesCS5A01G416700;TraesCS7D01G123400;TraesCS6D01G147700;TraesCS7D01G190300;TraesCS6B01G304100;TraesCS3A01G538300;TraesCS3B01G607600;TraesCS5D01G087800;TraesCS7B01G269300;TraesCS3D01G091000;TraesCS7A01G062100;TraesCS3B01G141700;TraesCS7B01G236400;TraesCS2B01G604300;TraesCS6B01G117100;TraesCS7A01G226000;TraesCS1A01G281700;TraesCS5A01G113700;TraesCS3B01G269900;TraesCS7B01G446500;TraesCS1A01G314100;TraesCS5D01G480300;TraesCS7D01G386000;TraesCS2D01G594500;TraesCS5D01G098800;TraesCS1A01G129400;TraesCS6D01G028300;TraesCS6D01G121300;TraesCS1B01G259800;TraesCS4B01G252400;TraesCS5D01G525000;TraesCS6A01G360600;TraesCS2D01G479900;TraesCS2B01G307300;TraesCS3B01G224600;TraesCS6A01G184000;TraesCS1A01G260500;TraesCS4A01G257800;TraesCS5A01G032500;TraesCS5B01G155400;TraesCS5D01G428900;TraesCS3D01G285100;TraesCS3D01G411200;TraesCS5D01G219500;TraesCS5D01G162400;TraesCS6A01G268600;TraesCS6D01G077500;TraesCS7D01G150200;TraesCS5D01G359800;TraesCS2B01G229600;TraesCS7A01G148600;TraesCS6B01G159200;TraesCS5D01G528400;TraesCS6B01G113200;TraesCS1A01G292100;TraesCS4B01G186700;TraesCS5B01G156500;TraesCS5B01G431500;TraesCS6A01G153600;TraesCS6B01G226000;TraesCS6D01G180500;TraesCS4B01G117900;TraesCS5A01G467500;TraesCS6D01G055600;TraesCS3B01G408800;TraesCS3B01G131400;TraesCS6B01G233800;TraesCS6D01G236400;TraesCS2B01G597700;TraesCS4B01G126400;TraesCS4D01G133500;TraesCS3D01G169000;TraesCS6D01G320800;TraesCS7A01G088100;TraesCS5A01G006100;TraesCS1B01G255100;TraesCS1A01G350200;TraesCS3D01G019000;TraesCS6A01G379000;TraesCS2D01G565200;TraesCS5B01G415100;TraesCS3A01G122500;TraesCS4B01G090000;TraesCS2D01G248600;TraesCS7A01G321900;TraesCS6B01G174500;TraesCS2A01G299200;TraesCS7D01G265200;TraesCS2D01G440100;TraesCS6B01G039900;TraesCS4B01G171300;TraesCS6B01G056200;TraesCS2D01G291200;TraesCS3D01G275200;TraesCS5A01G305400;TraesCS2B01G263300;TraesCS3B01G568500;TraesCS1A01G099400;TraesCS3D01G345500;TraesCS2A01G103300;TraesCS1D01G412600;TraesCS7A01G417000;TraesCS4D01G359000;TraesCS4A01G013500;TraesCS3D01G414600;TraesCS1D01G055200;TraesCS2A01G579900;TraesCS1A01G016200;TraesCS2A01G330000;TraesCS3B01G246600;TraesCS6B01G231400;TraesCS5A01G547300;TraesCS1D01G020000;TraesCS5A01G491400;TraesCS7B01G052200;TraesCS2A01G187700;TraesCS3D01G188800;TraesCSU01G058200;TraesCS5D01G206500;TraesCS7A01G491200;TraesCS4A01G494400;TraesCS5A01G466100;TraesCS2B01G342100;TraesCS1B01G326400;TraesCS1D01G280900;TraesCS3B01G555600;TraesCS2D01G362700;TraesCS3A01G275700;TraesCS3B01G214600;TraesCS2B01G221800;TraesCS2D01G118000;TraesCS5A01G114600;TraesCS4D01G096200;TraesCS5D01G332000;TraesCS3D01G237100;TraesCS6A01G103200;TraesCS7D01G083200;TraesCS3B01G309000;TraesCS4D01G212600;TraesCS7A01G335900;TraesCS3A01G238400;TraesCS5D01G505700;TraesCS7D01G278800;TraesCS5D01G312400;TraesCS2B01G259100;TraesCS2A01G344500;TraesCS7D01G035000;TraesCS1B01G212500;TraesCS1B01G478800;TraesCS3A01G085200;TraesCS1D01G443100;TraesCS5A01G411500;TraesCS7A01G235200;TraesCS7D01G072300;TraesCS4B01G160600;TraesCS3B01G374400;TraesCS6B01G365300;TraesCS6B01G393500;TraesCS5A01G191100;TraesCS5A01G101900;TraesCS2A01G185500;TraesCS5D01G040800;TraesCS4A01G387000;TraesCS5A01G088400;TraesCS2A01G095300;TraesCS3A01G264700;TraesCS4A01G452700;TraesCS4B01G170400;TraesCS2D01G303500;TraesCS7D01G200800;TraesCS7D01G410100;TraesCS2D01G301200;TraesCS4A01G110800;TraesCS6D01G259500;TraesCS4D01G089800;TraesCS6B01G307200;TraesCS1D01G352300;TraesCS4A01G051900;TraesCS3A01G200400;TraesCS5B01G199400;TraesCS1D01G151800;TraesCS3B01G564100;TraesCS4D01G004000;TraesCS5D01G399200;TraesCS5B01G509100;TraesCS1A01G313300;TraesCS5B01G038400;TraesCS6D01G210000;TraesCS7D01G123000;TraesCS3A01G391800;TraesCS6D01G247400;TraesCS3A01G376300;TraesCS4B01G211800;TraesCS2B01G229500;TraesCS4A01G090100;TraesCS3A01G498300;TraesCS4D01G214800;TraesCS5B01G504900;TraesCS3D01G217600;TraesCS5A01G387700;TraesCS6D01G363400;TraesCS3B01G363500;TraesCS2D01G568400;TraesCS4B01G276500;TraesCS2D01G488700;TraesCS5B01G397300;TraesCS2D01G545300;TraesCS1D01G298400;TraesCS5B01G395000;TraesCS4B01G117800;TraesCS4A01G216200;TraesCS4D01G298800;TraesCS7A01G239700;TraesCS1D01G125300;TraesCS6B01G342300;TraesCS5B01G075800;TraesCS7A01G279000;TraesCS4A01G059500;TraesCS5B01G477800;TraesCS6D01G246300;TraesCS3D01G446200;TraesCS3A01G241700;TraesCS3D01G264800;TraesCS7A01G466600;TraesCS3A01G212600;TraesCS6D01G173700;TraesCS3B01G083400;TraesCS1D01G426400;TraesCS5A01G092400;TraesCS4A01G111000;TraesCS3D01G384700;TraesCS5D01G081700;TraesCS7D01G454700;TraesCS3A01G313300;TraesCS6B01G371500;TraesCS2A01G392900;TraesCS5A01G024600;TraesCS7B01G393300;TraesCS6B01G169300;TraesCS1A01G388400;TraesCS4A01G092500;TraesCS2B01G505400;TraesCS2B01G528300;TraesCS3D01G513500;TraesCS4A01G101200;TraesCS6D01G357100;TraesCS7B01G181200;TraesCS4D01G147500;TraesCS3B01G426500;TraesCS6A01G130900;TraesCS6A01G269400;TraesCS1A01G418700;TraesCS4B01G056700;TraesCS2A01G302500;TraesCS2B01G385300;TraesCS5A01G429500;TraesCS7D01G486400;TraesCS3B01G161900;TraesCS5B01G450400;TraesCS5B01G102600;TraesCS2A01G149600;TraesCS2B01G415500;TraesCS3D01G182400;TraesCS6B01G181300;TraesCS7B01G182300;TraesCS2A01G290900;TraesCS6A01G171300;TraesCS2D01G487700;TraesCS6A01G312100;TraesCS3D01G275600;TraesCS2A01G007000;TraesCS2D01G310000;TraesCS1A01G086500;TraesCS3B01G237500;TraesCS1A01G145000;TraesCS4A01G264400;TraesCS2D01G385000;TraesCS3D01G124400;TraesCS4A01G197700;TraesCS7B01G393400;TraesCS1D01G178000;TraesCS6B01G035700;TraesCS3D01G294200;TraesCS2A01G430500;TraesCS4A01G197600;TraesCS2B01G018500;TraesCS7D01G218000;TraesCS4B01G138800;TraesCS7D01G004500;TraesCS2B01G404600;TraesCS4B01G144000;TraesCS4D01G193500;TraesCS6B01G285500;TraesCS3A01G068500;TraesCS6A01G200200;TraesCS3D01G196700;TraesCS1D01G144000;TraesCS5A01G157000;TraesCS7A01G235300;TraesCS5B01G529300;TraesCS7A01G149200;TraesCS6A01G186800;TraesCS2B01G411000;TraesCS5D01G432900;TraesCS2A01G149500;TraesCS2B01G157600;TraesCS5A01G212500;TraesCS5D01G417400;TraesCS3A01G220700;TraesCS7D01G476500;TraesCS1A01G035900;TraesCS6B01G076300;TraesCS3A01G023800;TraesCS5D01G258900;TraesCS3A01G184800;TraesCS2A01G521400;TraesCS5B01G155200;TraesCS3A01G161800;TraesCS4D01G194300;TraesCS2D01G288800;TraesCS6D01G091600;TraesCS3B01G291000;TraesCS7A01G480700;TraesCS7D01G452200;TraesCS5D01G078500;TraesCS1A01G315900;TraesCS1A01G249100;TraesCS2A01G226000;TraesCS2B01G107200;TraesCS4D01G115600;TraesCS3A01G275300;TraesCS6D01G245600;TraesCS5A01G548800;TraesCS2B01G307500;TraesCS2D01G167300;TraesCS6D01G130500;TraesCS6A01G070700;TraesCS2A01G387000;TraesCS5B01G344200;TraesCS6D01G302200;TraesCS2B01G198300;TraesCS5B01G418700;TraesCS6D01G174700;TraesCS4D01G092800;TraesCS4D01G172400;TraesCS3B01G309400;TraesCS3B01G491300;TraesCS6D01G221400;TraesCS2B01G217700;TraesCS6D01G315500;TraesCS3D01G068900;TraesCS3D01G326900;TraesCS6A01G078200;TraesCS7D01G457900;TraesCS5B01G511800;TraesCS2D01G249200;TraesCS7B01G421800;TraesCS6A01G267300;TraesCS2B01G318400;TraesCS7B01G169100;TraesCS3B01G322800;TraesCS5D01G231200;TraesCSU01G009200;TraesCS2A01G431900;TraesCS2B01G321700;TraesCS3A01G069900;TraesCS5D01G478900;TraesCS5B01G155100;TraesCS4A01G276300;TraesCS5A01G036600;TraesCS1B01G213300;TraesCS2D01G500600;TraesCS1A01G111100;TraesCS1D01G390500;TraesCS4A01G164900;TraesCS5A01G223700;TraesCS5B01G136500;TraesCS3A01G107900;TraesCS4B01G332300;TraesCS5D01G512300;TraesCS4D01G115500;TraesCS5B01G509500;TraesCS5D01G162500;TraesCS2B01G454000;TraesCS5B01G344300;TraesCS1B01G293500;TraesCS6B01G100000;TraesCS6D01G396700;TraesCS2B01G051500;TraesCS4D01G080700;TraesCS2D01G473500;TraesCS7B01G124100;TraesCS6D01G245500;TraesCS1A01G101300;TraesCS5D01G060900;TraesCS4D01G086000;TraesCS6D01G193000;TraesCS6B01G161800;TraesCS1A01G284300;TraesCS2A01G040000;TraesCS1D01G353100;TraesCS5B01G074200;TraesCS3B01G332500;TraesCS1B01G434400;TraesCS1A01G020500;TraesCS7B01G089500;TraesCS1B01G269400;TraesCS2B01G352300;TraesCS7D01G130500;TraesCS2B01G293400;TraesCS7D01G000100;TraesCS4B01G380800;TraesCS6A01G163500;TraesCS5A01G067300;TraesCS2B01G191800;TraesCS6B01G464800</t>
  </si>
  <si>
    <t>TraesCS4A01G236700;TraesCS6A01G314900;TraesCS1D01G409700;TraesCS3A01G367000;TraesCS5A01G396700;TraesCS2B01G250000;TraesCS5B01G339200;TraesCS5D01G219500;TraesCS2A01G123800;TraesCS6A01G290600;TraesCS1D01G119400;TraesCS4B01G129700;TraesCS2A01G387000;TraesCS4B01G173500;TraesCS6B01G371500;TraesCS1A01G445800;TraesCS4D01G153900;TraesCS6B01G249700;TraesCS1D01G030500;TraesCS1A01G382900;TraesCS4D01G021400;TraesCS3D01G288000;TraesCS3A01G232700;TraesCS4B01G115800;TraesCS2A01G245100;TraesCS6B01G216800;TraesCS4D01G135000;TraesCS3A01G381000;TraesCS3A01G304900;TraesCS4D01G076900;TraesCS1D01G454500;TraesCS6D01G320800;TraesCS5D01G321900;TraesCS5B01G146700;TraesCS2D01G126600;TraesCS2D01G133500;TraesCS5A01G315800;TraesCS4D01G175600;TraesCS7B01G197000;TraesCS4D01G194400;TraesCS2A01G309600;TraesCS2B01G145700;TraesCS4A01G290400;TraesCS4B01G204500;TraesCS6A01G268900;TraesCS2D01G310000;TraesCS3D01G271200;TraesCS2B01G328500;TraesCS5B01G409700;TraesCS2D01G232300;TraesCS3D01G296900;TraesCS2B01G154700;TraesCS5B01G112100;TraesCS5D01G121100;TraesCS6A01G231900;TraesCS5B01G036800;TraesCS2A01G132200;TraesCS4B01G379300;TraesCS2A01G233300;TraesCS4A01G067400;TraesCS6A01G221400;TraesCS7B01G066000;TraesCSU01G129600;TraesCS2D01G438800;TraesCS3A01G288200;TraesCS3A01G271600;TraesCS4D01G122800;TraesCS5A01G545600;TraesCS6D01G213800;TraesCS3D01G123500;TraesCS3D01G220400;TraesCS4D01G003600;TraesCS5A01G212500;TraesCS4A01G093100;TraesCS4A01G355100;TraesCS5B01G517400</t>
  </si>
  <si>
    <t>TraesCS7B01G350400;TraesCS4A01G091100;TraesCS4A01G167000;TraesCS7D01G439900;TraesCS3D01G268700;TraesCS6B01G450500;TraesCS3D01G325800;TraesCS4A01G144500;TraesCS3A01G332300;TraesCS5D01G481500;TraesCS6D01G094200;TraesCS5D01G099800;TraesCS5A01G513500;TraesCS6D01G390000;TraesCS5B01G531900;TraesCS5D01G504600;TraesCS6A01G105400;TraesCS4B01G213600;TraesCS4D01G132900;TraesCS4D01G339700;TraesCS6B01G331800;TraesCS5D01G530200;TraesCS1B01G254000;TraesCS5B01G036800;TraesCS4A01G342800;TraesCS4B01G138200;TraesCS4B01G041900;TraesCS6B01G134800;TraesCS4D01G214300;TraesCS5B01G481100;TraesCS7A01G450600;TraesCS3B01G131400;TraesCS3A01G268600;TraesCS4B01G164800</t>
  </si>
  <si>
    <t>rRNA binding</t>
  </si>
  <si>
    <t>TraesCS6B01G294700;TraesCS3A01G367000;TraesCS5A01G165400;TraesCS5D01G169600;TraesCS5A01G324200;TraesCS5A01G165700;TraesCS5B01G324800;TraesCS6A01G267300;TraesCS1A01G313300;TraesCS4A01G093100;TraesCS2B01G079400;TraesCS2D01G238600;TraesCS5B01G162800</t>
  </si>
  <si>
    <t>reductive pentose-phosphate cycle</t>
  </si>
  <si>
    <t>photosynthesis, dark reaction</t>
  </si>
  <si>
    <t>TraesCS5D01G336000;TraesCS6D01G016900;TraesCS5D01G124800;TraesCS1A01G323600;TraesCS7A01G036200;TraesCS1D01G107300;TraesCS5B01G484700;TraesCS5B01G249000;TraesCS2A01G246200;TraesCS5A01G200800;TraesCS4B01G397600;TraesCS3D01G271500;TraesCS4A01G226500;TraesCS1B01G146200;TraesCSU01G112400;TraesCS6B01G295700;TraesCS3B01G206600;TraesCS7D01G467500;TraesCS3B01G193200;TraesCS5B01G412400;TraesCS6B01G249700;TraesCS2A01G262700;TraesCS3A01G228000;TraesCS4B01G169900;TraesCS6B01G411900;TraesCS7D01G056800;TraesCS7A01G541200;TraesCS1A01G355200;TraesCS7B01G382800;TraesCS4B01G050200;TraesCS5D01G444700;TraesCS6B01G132300;TraesCS7B01G104400;TraesCS4D01G135000;TraesCS5B01G094600;TraesCS3B01G242700;TraesCS5A01G200900;TraesCS6B01G388800;TraesCS5A01G344100;TraesCS1D01G444900;TraesCS2A01G171900;TraesCS2A01G361100;TraesCS5A01G390000;TraesCS6D01G142900;TraesCS3D01G474000;TraesCS1A01G243700;TraesCS7A01G464600;TraesCS3A01G178900;TraesCS5B01G159100;TraesCS3A01G229100;TraesCS7B01G365100;TraesCS4D01G292900;TraesCS3A01G216100;TraesCS3A01G344300;TraesCS5D01G376600;TraesCS2A01G488400;TraesCS4D01G184400;TraesCS6B01G262800;TraesCS1B01G469400;TraesCS5D01G399800;TraesCS7D01G454200;TraesCS3A01G091100;TraesCS6B01G270400;TraesCS3B01G208800;TraesCS5A01G251000;TraesCS6A01G225200;TraesCS3A01G303800;TraesCS5B01G082400;TraesCS4D01G250100;TraesCS6D01G365100;TraesCS4A01G361100;TraesCS5B01G229300;TraesCS1A01G423100;TraesCS2D01G093700;TraesCS1A01G125000;TraesCS6B01G428300;TraesCS3B01G309700;TraesCS5A01G115000;TraesCS3B01G376200;TraesCS5D01G396300;TraesCSU01G111400;TraesCS5D01G420300;TraesCS6A01G245000;TraesCS1D01G396300;TraesCS6D01G161000;TraesCS1D01G260500;TraesCS2D01G322800;TraesCS5B01G171400;TraesCS3D01G281100;TraesCSU01G133300;TraesCS2A01G387400;TraesCS2D01G383800;TraesCS1B01G274600;TraesCS6B01G238600;TraesCS5A01G416400;TraesCS7B01G317000;TraesCS3D01G369100;TraesCS4A01G191500;TraesCS1A01G275400;TraesCS4D01G132900;TraesCS4D01G172000;TraesCS7B01G162300;TraesCS7D01G543200;TraesCS5D01G100800;TraesCS6B01G159800;TraesCS6A01G234000;TraesCS1B01G271100;TraesCS6A01G158300;TraesCS7A01G499600;TraesCS7B01G451700;TraesCS5B01G479200;TraesCS6A01G125400;TraesCS7A01G466900;TraesCS1B01G366400;TraesCS2D01G213100;TraesCS5D01G044700;TraesCS6B01G296700;TraesCS6D01G358500;TraesCS3D01G474200;TraesCS7A01G510900;TraesCS5A01G357400;TraesCS5D01G405400;TraesCS3A01G214000;TraesCS5D01G161800;TraesCS1A01G025900;TraesCS4D01G079200;TraesCS4D01G142600;TraesCS2B01G328500;TraesCS2D01G597600;TraesCS3B01G266900;TraesCS3D01G336200;TraesCS6D01G344100;TraesCS7D01G291200;TraesCS7D01G364400;TraesCS2A01G159900;TraesCS1D01G431700;TraesCS3B01G103500;TraesCS6A01G279100;TraesCS7B01G066000;TraesCS3A01G288200;TraesCS4B01G314600;TraesCS4A01G149800;TraesCS6D01G189700;TraesCS2D01G202200;TraesCS1D01G314600;TraesCS1D01G387600;TraesCS4A01G005000;TraesCS4A01G078800;TraesCS6B01G099900;TraesCS3A01G276100;TraesCS5D01G006100;TraesCS1A01G299500;TraesCS2A01G487500;TraesCS4D01G036500;TraesCS6B01G428100;TraesCS6D01G060400;TraesCS6D01G399000;TraesCS2D01G049500;TraesCS1D01G264100;TraesCS2D01G213200;TraesCS5D01G013100;TraesCS3B01G423800;TraesCS3B01G442200;TraesCS5B01G222600;TraesCS3B01G207300;TraesCS6B01G213100;TraesCS7D01G542200;TraesCS2B01G514800;TraesCS3B01G222700;TraesCS7A01G390300;TraesCS3A01G342300;TraesCS4A01G375000;TraesCS7D01G288700;TraesCS1D01G275000;TraesCSU01G158800;TraesCS4B01G050600;TraesCS4A01G134800;TraesCS2D01G310900;TraesCS5B01G539900;TraesCS6D01G227300;TraesCS4B01G138100;TraesCS4A01G178600;TraesCS5D01G366500;TraesCS3D01G217700;TraesCS4B01G140300;TraesCS1A01G110900;TraesCS3D01G507500;TraesCS4D01G252700;TraesCS6B01G174100;TraesCS7A01G264300;TraesCS1D01G316200;TraesCS7D01G228500;TraesCS1B01G348800;TraesCS5A01G050100;TraesCS5B01G154600;TraesCS3A01G220000;TraesCS6B01G199500;TraesCS2D01G015500;TraesCS6D01G007800;TraesCS7A01G076600;TraesCS3A01G484800;TraesCS6B01G141400;TraesCS3B01G299100;TraesCS3D01G241900;TraesCS1A01G264000;TraesCS4A01G177500;TraesCS7D01G040400;TraesCS5D01G141200;TraesCS6A01G192800;TraesCS6A01G209800;TraesCS5A01G054700;TraesCS1A01G258800;TraesCS2B01G462500;TraesCS3D01G282800;TraesCS6D01G216300;TraesCS2D01G198300;TraesCS3A01G282800;TraesCS5D01G261300;TraesCS2A01G444100;TraesCS3D01G298000;TraesCS2D01G362200;TraesCS5B01G537700;TraesCS3B01G254500;TraesCS7B01G005700;TraesCS7A01G004000;TraesCS1D01G219200;TraesCS3D01G376500;TraesCS1A01G177600;TraesCS6D01G166400;TraesCS6B01G256400;TraesCS2B01G304900;TraesCS1A01G198400;TraesCS1B01G378000;TraesCS3D01G203400;TraesCS7B01G241900;TraesCS2D01G304000;TraesCS1D01G211600;TraesCS4D01G240700;TraesCS7A01G313900;TraesCS2B01G174600;TraesCS7D01G332300;TraesCS6B01G294700;TraesCS5A01G367700;TraesCS7A01G005100;TraesCS3D01G109700;TraesCS7B01G052900;TraesCS2B01G451100;TraesCS4A01G217700;TraesCS1B01G290800;TraesCS1B01G301500;TraesCS3B01G316500;TraesCS4D01G085700;TraesCS3B01G093800;TraesCS1A01G361400;TraesCS2D01G523100;TraesCS2B01G405200;TraesCS2B01G462400;TraesCS3A01G060300;TraesCS3D01G516300;TraesCS4A01G111600;TraesCS2A01G092400;TraesCS5A01G156400;TraesCS3A01G112800;TraesCS2A01G480500;TraesCS4A01G262900;TraesCS4A01G367700;TraesCS7D01G377200;TraesCS6A01G336800;TraesCS3D01G068100;TraesCS3D01G288000;TraesCS5D01G402300;TraesCS7D01G020700;TraesCS6A01G322400;TraesCS5D01G113700;TraesCS1A01G116000;TraesCS4D01G107000;TraesCS4D01G057000;TraesCS5B01G037500;TraesCS7D01G032800;TraesCS6D01G028400;TraesCS2A01G202600;TraesCS7D01G011800;TraesCS3B01G305600;TraesCS3B01G299300;TraesCS5A01G445100;TraesCS5D01G424400;TraesCS2B01G174700;TraesCS2A01G150000;TraesCS2D01G154600;TraesCS5D01G437600;TraesCSU01G131300;TraesCS1D01G258800;TraesCS2B01G185800;TraesCS5D01G005300;TraesCS1A01G172100;TraesCS5A01G416700;TraesCS7D01G123400;TraesCS2A01G014300;TraesCS4A01G247300;TraesCS6D01G147700;TraesCS6A01G231900;TraesCS7D01G190300;TraesCS6B01G304100;TraesCS3A01G538300;TraesCS3B01G607600;TraesCS5D01G087800;TraesCS7B01G269300;TraesCS3D01G091000;TraesCS7A01G062100;TraesCS3B01G141700;TraesCS7B01G236400;TraesCS2B01G604300;TraesCS6B01G117100;TraesCS7A01G226000;TraesCS1A01G281700;TraesCS5A01G113700;TraesCS3B01G269900;TraesCS7B01G446500;TraesCS1A01G314100;TraesCS5D01G480300;TraesCS7D01G386000;TraesCS2D01G594500;TraesCS5D01G098800;TraesCS1A01G129400;TraesCS6D01G028300;TraesCS6D01G121300;TraesCS1B01G259800;TraesCS4B01G252400;TraesCS5D01G525000;TraesCS6A01G360600;TraesCS2A01G517500;TraesCS2D01G479900;TraesCS2B01G307300;TraesCS3B01G224600;TraesCS6A01G184000;TraesCS1A01G260500;TraesCS4A01G257800;TraesCS5A01G032500;TraesCS5B01G155400;TraesCS5D01G428900;TraesCS3D01G285100;TraesCS3D01G411200;TraesCS5D01G219500;TraesCS5D01G162400;TraesCS6A01G268600;TraesCS6D01G077500;TraesCS7D01G150200;TraesCS5D01G359800;TraesCS2B01G229600;TraesCS7A01G148600;TraesCS6B01G159200;TraesCS5D01G528400;TraesCS6B01G113200;TraesCS1A01G292100;TraesCS4B01G186700;TraesCS5B01G156500;TraesCS5B01G431500;TraesCS6A01G153600;TraesCS6B01G226000;TraesCS6D01G180500;TraesCS4B01G117900;TraesCS5A01G467500;TraesCS6D01G055600;TraesCS3B01G408800;TraesCS3B01G131400;TraesCS6B01G233800;TraesCS6D01G236400;TraesCS2B01G597700;TraesCS4B01G126400;TraesCS4D01G133500;TraesCS3D01G169000;TraesCS6D01G320800;TraesCS7A01G088100;TraesCS5A01G006100;TraesCS1B01G255100;TraesCS1A01G350200;TraesCS3D01G019000;TraesCS6A01G379000;TraesCS2D01G565200;TraesCS5B01G415100;TraesCS3A01G122500;TraesCS4B01G090000;TraesCS2D01G248600;TraesCS7A01G321900;TraesCS6B01G174500;TraesCS2A01G299200;TraesCS7D01G265200;TraesCS2D01G440100;TraesCS6B01G039900;TraesCS4B01G171300;TraesCS6B01G056200;TraesCS2D01G291200;TraesCS3D01G275200;TraesCS5A01G305400;TraesCS2B01G263300;TraesCS3B01G568500;TraesCS1A01G099400;TraesCS3D01G345500;TraesCS2A01G103300;TraesCS1D01G412600;TraesCS7A01G417000;TraesCS4D01G359000;TraesCS4A01G013500;TraesCS3D01G414600;TraesCS1D01G055200;TraesCS2A01G579900;TraesCS1A01G016200;TraesCS2A01G330000;TraesCS3B01G246600;TraesCS6B01G231400;TraesCS5A01G547300;TraesCS1D01G020000;TraesCS5A01G491400;TraesCS7B01G052200;TraesCS2A01G187700;TraesCS3D01G188800;TraesCSU01G058200;TraesCS5D01G206500;TraesCS7A01G491200;TraesCS4A01G494400;TraesCS5A01G466100;TraesCS2B01G342100;TraesCS1B01G326400;TraesCS1D01G280900;TraesCS3B01G555600;TraesCS2D01G362700;TraesCS3A01G275700;TraesCS3B01G214600;TraesCS2B01G221800;TraesCS2D01G118000;TraesCS5A01G114600;TraesCS4D01G096200;TraesCS5D01G332000;TraesCS3D01G237100;TraesCS6A01G103200;TraesCS7D01G083200;TraesCS3B01G309000;TraesCS4D01G212600;TraesCS7A01G335900;TraesCS3A01G238400;TraesCS5D01G505700;TraesCS7D01G278800;TraesCS5D01G312400;TraesCS2A01G344500;TraesCS7D01G035000;TraesCS1B01G212500;TraesCS1B01G478800;TraesCS3A01G085200;TraesCS1D01G443100;TraesCS5A01G411500;TraesCS7A01G235200;TraesCS7D01G072300;TraesCS4B01G160600;TraesCS3B01G374400;TraesCS6B01G365300;TraesCS6B01G393500;TraesCS5A01G191100;TraesCS5A01G101900;TraesCS2A01G185500;TraesCS4D01G315200;TraesCS5D01G040800;TraesCS4A01G387000;TraesCS5A01G088400;TraesCS2A01G095300;TraesCS3A01G264700;TraesCS4A01G452700;TraesCS4B01G170400;TraesCS2D01G303500;TraesCS7D01G200800;TraesCS7D01G410100;TraesCS2D01G301200;TraesCS4A01G110800;TraesCS6D01G259500;TraesCS4D01G089800;TraesCS6B01G307200;TraesCS1D01G352300;TraesCS4A01G051900;TraesCS3A01G200400;TraesCS5B01G199400;TraesCS1D01G151800;TraesCS3B01G564100;TraesCS4D01G004000;TraesCS5D01G399200;TraesCS5B01G509100;TraesCS1A01G313300;TraesCS6D01G210000;TraesCS7D01G123000;TraesCS3A01G391800;TraesCS6D01G247400;TraesCS3A01G376300;TraesCS4B01G211800;TraesCS2B01G229500;TraesCS4A01G090100;TraesCS3A01G498300;TraesCS4D01G214800;TraesCS5B01G504900;TraesCS3D01G217600;TraesCS5A01G387700;TraesCS6D01G363400;TraesCS3B01G363500;TraesCS2D01G568400;TraesCS4B01G276500;TraesCS2D01G488700;TraesCS5B01G397300;TraesCS2D01G545300;TraesCS1D01G298400;TraesCS5B01G395000;TraesCS4B01G117800;TraesCS4A01G216200;TraesCS4D01G298800;TraesCS7A01G239700;TraesCS1D01G125300;TraesCS6B01G342300;TraesCS5B01G075800;TraesCS7A01G279000;TraesCS4A01G059500;TraesCS5B01G477800;TraesCS6D01G246300;TraesCS3D01G446200;TraesCS3A01G241700;TraesCS3D01G264800;TraesCS7A01G466600;TraesCS3A01G212600;TraesCS6D01G173700;TraesCS3B01G083400;TraesCS1D01G426400;TraesCS5A01G092400;TraesCS4A01G111000;TraesCS3D01G384700;TraesCS5D01G081700;TraesCS7D01G454700;TraesCS3A01G313300;TraesCS6B01G371500;TraesCS2A01G392900;TraesCS5A01G024600;TraesCS7B01G393300;TraesCS6B01G169300;TraesCS1A01G388400;TraesCS4A01G092500;TraesCS2B01G505400;TraesCS2B01G528300;TraesCS3D01G513500;TraesCS4A01G101200;TraesCS6D01G357100;TraesCS7B01G181200;TraesCS4D01G147500;TraesCS3B01G426500;TraesCS6A01G130900;TraesCS6A01G269400;TraesCS1A01G418700;TraesCS4B01G056700;TraesCS2A01G302500;TraesCS2B01G385300;TraesCS5A01G429500;TraesCS7D01G486400;TraesCS3B01G161900;TraesCS5B01G450400;TraesCS5B01G102600;TraesCS2A01G149600;TraesCS2B01G415500;TraesCS3D01G182400;TraesCS6B01G181300;TraesCS7B01G182300;TraesCS2A01G290900;TraesCS6A01G171300;TraesCS2D01G487700;TraesCS6A01G312100;TraesCS3D01G275600;TraesCS2A01G007000;TraesCS2D01G310000;TraesCS1A01G086500;TraesCS3B01G237500;TraesCS1A01G145000;TraesCS4A01G264400;TraesCS2D01G385000;TraesCS3D01G124400;TraesCS4A01G197700;TraesCS7B01G393400;TraesCS1D01G178000;TraesCS6B01G035700;TraesCS3D01G294200;TraesCS2A01G430500;TraesCS4A01G197600;TraesCS2B01G018500;TraesCS7D01G218000;TraesCS4B01G138800;TraesCS7D01G004500;TraesCS2B01G404600;TraesCS4B01G144000;TraesCS4D01G193500;TraesCS6B01G285500;TraesCS3A01G068500;TraesCS6A01G200200;TraesCS3D01G196700;TraesCS1D01G144000;TraesCS5A01G157000;TraesCS7A01G235300;TraesCS5B01G529300;TraesCS7A01G149200;TraesCS6A01G186800;TraesCS2B01G411000;TraesCS2A01G149500;TraesCS2B01G157600;TraesCS5A01G212500;TraesCS5D01G417400;TraesCS3A01G220700;TraesCS7D01G476500;TraesCS1A01G035900;TraesCS6B01G076300;TraesCS3A01G023800;TraesCS5D01G258900;TraesCS3A01G184800;TraesCS2A01G521400;TraesCS5B01G155200;TraesCS3A01G161800;TraesCS4D01G194300;TraesCS2D01G288800;TraesCS6D01G091600;TraesCS3B01G291000;TraesCS7A01G480700;TraesCS7D01G452200;TraesCS5D01G078500;TraesCS1A01G315900;TraesCS1A01G249100;TraesCS2A01G226000;TraesCS2B01G107200;TraesCS4D01G115600;TraesCS3A01G275300;TraesCS6D01G245600;TraesCS5A01G548800;TraesCS2B01G307500;TraesCS2D01G167300;TraesCS6D01G130500;TraesCS6A01G070700;TraesCS2A01G387000;TraesCS5B01G344200;TraesCS6D01G302200;TraesCS2B01G198300;TraesCS5B01G418700;TraesCS6D01G174700;TraesCS4D01G092800;TraesCS4D01G172400;TraesCS3B01G309400;TraesCS3B01G491300;TraesCS6D01G221400;TraesCS2B01G217700;TraesCS6D01G315500;TraesCS3D01G068900;TraesCS3D01G326900;TraesCS6A01G078200;TraesCS7D01G457900;TraesCS5B01G511800;TraesCS2D01G249200;TraesCS7B01G421800;TraesCS6A01G267300;TraesCS2B01G318400;TraesCS7B01G169100;TraesCS3B01G322800;TraesCS5D01G231200;TraesCSU01G009200;TraesCS2A01G431900;TraesCS2B01G321700;TraesCS3A01G069900;TraesCS5D01G478900;TraesCS5B01G155100;TraesCS4A01G276300;TraesCS5A01G036600;TraesCS1B01G213300;TraesCS2D01G500600;TraesCS1A01G111100;TraesCS1D01G390500;TraesCS4A01G164900;TraesCS5A01G223700;TraesCS5B01G136500;TraesCS3A01G107900;TraesCS4B01G332300;TraesCS5D01G512300;TraesCS4D01G115500;TraesCS5B01G509500;TraesCS5D01G162500;TraesCS2B01G454000;TraesCS5B01G344300;TraesCS1B01G293500;TraesCS6B01G100000;TraesCS6D01G396700;TraesCS2B01G051500;TraesCS4D01G080700;TraesCS2D01G473500;TraesCS7B01G124100;TraesCS6D01G245500;TraesCS1A01G101300;TraesCS5D01G060900;TraesCS4D01G086000;TraesCS6D01G193000;TraesCS6B01G161800;TraesCS1A01G284300;TraesCS2A01G040000;TraesCS1D01G353100;TraesCS5B01G074200;TraesCS3B01G332500;TraesCS1B01G434400;TraesCS1A01G020500;TraesCS7B01G089500;TraesCS1B01G269400;TraesCS2B01G352300;TraesCS7D01G130500;TraesCS2B01G293400;TraesCS7D01G000100;TraesCS4B01G380800;TraesCS6A01G163500;TraesCS5A01G067300;TraesCS2B01G191800</t>
  </si>
  <si>
    <t>TraesCS1B01G261700;TraesCS3A01G103100;TraesCS4B01G084800;TraesCS5D01G401900;TraesCS6D01G364400;TraesCS4A01G078900;TraesCS5D01G107900;TraesCS3D01G289600;TraesCS6A01G379800;TraesCS6B01G418400;TraesCS4D01G082700;TraesCS5A01G095200;TraesCS5D01G504600;TraesCS5B01G101400;TraesCS1D01G250700;TraesCS7B01G097000;TraesCS4A01G231200;TraesCS5D01G230300;TraesCS7A01G192000;TraesCS6B01G348700;TraesCS4B01G245400;TraesCS3A01G251200;TraesCS4B01G180100;TraesCS3B01G324500;TraesCS5A01G222500;TraesCS5B01G396900;TraesCS4D01G244000;TraesCS5A01G392000;TraesCS7D01G193000</t>
  </si>
  <si>
    <t>TraesCS2A01G067200;TraesCS5D01G169900;TraesCS5A01G165400;TraesCS5D01G169600;TraesCS2A01G066800;TraesCS2A01G066700;TraesCS2B01G079500;TraesCS2D01G065600;TraesCS5A01G165700;TraesCS2D01G065200;TraesCS2D01G065300;TraesCS2D01G065100;TraesCS2B01G079400;TraesCS2B01G079200;TraesCS2B01G079100;TraesCS5B01G162800</t>
  </si>
  <si>
    <t>ribulose-bisphosphate carboxylase activity</t>
  </si>
  <si>
    <t>TraesCS5D01G336000;TraesCS6D01G016900;TraesCS5D01G124800;TraesCS1A01G323600;TraesCS7A01G036200;TraesCS1D01G107300;TraesCS5B01G484700;TraesCS5B01G249000;TraesCS2A01G246200;TraesCS5A01G200800;TraesCS4B01G397600;TraesCS3D01G271500;TraesCS4A01G226500;TraesCS1B01G146200;TraesCSU01G112400;TraesCS6B01G295700;TraesCS3B01G206600;TraesCS7D01G467500;TraesCS3B01G193200;TraesCS5B01G412400;TraesCS2A01G262700;TraesCS3A01G228000;TraesCS4B01G169900;TraesCS6B01G411900;TraesCS7D01G056800;TraesCS7A01G541200;TraesCS1A01G355200;TraesCS7B01G382800;TraesCS4B01G050200;TraesCS5D01G444700;TraesCS6B01G132300;TraesCS7B01G104400;TraesCS4D01G135000;TraesCS5B01G094600;TraesCS3B01G242700;TraesCS5A01G200900;TraesCS6B01G388800;TraesCS5A01G344100;TraesCS1D01G444900;TraesCS2A01G171900;TraesCS2A01G361100;TraesCS5A01G390000;TraesCS6D01G142900;TraesCS3D01G474000;TraesCS5D01G044900;TraesCS1A01G243700;TraesCS7A01G464600;TraesCS3A01G178900;TraesCS5B01G159100;TraesCS3A01G229100;TraesCS7B01G365100;TraesCS4D01G292900;TraesCS3A01G216100;TraesCS3A01G344300;TraesCS5D01G376600;TraesCS2A01G488400;TraesCS4D01G184400;TraesCS6B01G262800;TraesCS1B01G469400;TraesCS5D01G399800;TraesCS7D01G454200;TraesCS3A01G091100;TraesCS6B01G270400;TraesCS3B01G208800;TraesCS5A01G251000;TraesCS6A01G225200;TraesCS3A01G303800;TraesCS5B01G082400;TraesCS4D01G250100;TraesCS6D01G365100;TraesCS4A01G361100;TraesCS5B01G229300;TraesCS1A01G423100;TraesCS2D01G093700;TraesCS1A01G125000;TraesCS6B01G428300;TraesCS3B01G309700;TraesCS5A01G115000;TraesCS3A01G310200;TraesCS3B01G376200;TraesCS5D01G396300;TraesCSU01G111400;TraesCS2A01G168400;TraesCS5D01G420300;TraesCS6A01G245000;TraesCS1D01G396300;TraesCS6D01G161000;TraesCS1D01G260500;TraesCS2D01G322800;TraesCS5B01G171400;TraesCS3D01G281100;TraesCSU01G133300;TraesCS3A01G380100;TraesCS2A01G387400;TraesCS2D01G383800;TraesCS1B01G274600;TraesCS6B01G238600;TraesCS5A01G416400;TraesCS7B01G317000;TraesCS3A01G223700;TraesCS3D01G369100;TraesCS4A01G191500;TraesCS1A01G275400;TraesCS4D01G132900;TraesCS4D01G172000;TraesCS7B01G162300;TraesCS7D01G543200;TraesCS5D01G100800;TraesCS6B01G159800;TraesCS6A01G234000;TraesCS1B01G271100;TraesCS6A01G158300;TraesCS7A01G499600;TraesCS7B01G451700;TraesCS5B01G479200;TraesCS6A01G125400;TraesCS7A01G466900;TraesCS1B01G366400;TraesCS2D01G213100;TraesCS5D01G044700;TraesCS6B01G296700;TraesCS6D01G358500;TraesCS3D01G474200;TraesCS7A01G510900;TraesCS5A01G357400;TraesCS5D01G405400;TraesCS3A01G214000;TraesCS2D01G175900;TraesCS5D01G161800;TraesCS1A01G025900;TraesCS4D01G079200;TraesCS4D01G142600;TraesCS2B01G328500;TraesCS2D01G597600;TraesCS3B01G266900;TraesCS3D01G336200;TraesCS6D01G344100;TraesCS7D01G291200;TraesCS7D01G364400;TraesCS2A01G159900;TraesCS1D01G431700;TraesCS3B01G103500;TraesCS6A01G279100;TraesCS7B01G066000;TraesCS3A01G288200;TraesCS4B01G314600;TraesCS4A01G149800;TraesCS6D01G189700;TraesCS2D01G202200;TraesCS1D01G314600;TraesCS1D01G387600;TraesCS4A01G005000;TraesCS4A01G078800;TraesCS6B01G099900;TraesCS3A01G276100;TraesCS5D01G006100;TraesCS1A01G299500;TraesCS2A01G487500;TraesCS4D01G036500;TraesCS6B01G428100;TraesCS3B01G412600;TraesCS6D01G060400;TraesCS6D01G399000;TraesCS2D01G049500;TraesCS1D01G264100;TraesCS2D01G213200;TraesCS5D01G013100;TraesCS3B01G423800;TraesCS3B01G442200;TraesCS5B01G222600;TraesCS3B01G207300;TraesCS6B01G213100;TraesCS7D01G542200;TraesCS2B01G514800;TraesCS3B01G222700;TraesCS7A01G390300;TraesCS3A01G342300;TraesCS4A01G375000;TraesCS7D01G288700;TraesCS1D01G275000;TraesCS3D01G229800;TraesCSU01G158800;TraesCS4B01G050600;TraesCS4A01G134800;TraesCS2D01G310900;TraesCS5B01G539900;TraesCS6D01G227300;TraesCS4B01G138100;TraesCS4A01G178600;TraesCS5D01G366500;TraesCS3D01G217700;TraesCS4B01G140300;TraesCS1A01G110900;TraesCS3D01G507500;TraesCS4D01G252700;TraesCS6B01G174100;TraesCS7A01G264300;TraesCS1D01G316200;TraesCS7D01G228500;TraesCS1B01G348800;TraesCS5A01G050100;TraesCS5B01G154600;TraesCS3A01G220000;TraesCS6B01G199500;TraesCS4A01G187100;TraesCS6D01G007800;TraesCS7A01G076600;TraesCS3A01G484800;TraesCS6B01G141400;TraesCS3B01G299100;TraesCS3D01G241900;TraesCS1A01G264000;TraesCS4A01G177500;TraesCS7D01G040400;TraesCS5D01G141200;TraesCS6A01G192800;TraesCS6A01G209800;TraesCS5A01G424400;TraesCS5A01G054700;TraesCS1A01G258800;TraesCS2B01G462500;TraesCS3D01G282800;TraesCS6D01G216300;TraesCS2D01G198300;TraesCS3A01G282800;TraesCS5D01G261300;TraesCS2A01G444100;TraesCS3D01G298000;TraesCS2D01G362200;TraesCS5B01G537700;TraesCS3B01G254500;TraesCS7B01G005700;TraesCS7A01G004000;TraesCS1D01G219200;TraesCS3D01G376500;TraesCS1A01G177600;TraesCS6D01G166400;TraesCS6B01G256400;TraesCS2B01G264100;TraesCS2B01G304900;TraesCS1A01G198400;TraesCS1B01G378000;TraesCS3D01G203400;TraesCS7B01G241900;TraesCS2D01G304000;TraesCS1D01G211600;TraesCS4D01G240700;TraesCS7A01G313900;TraesCS2B01G174600;TraesCS7D01G332300;TraesCS6B01G294700;TraesCS5A01G367700;TraesCS7A01G005100;TraesCS3D01G109700;TraesCS7B01G052900;TraesCS2B01G451100;TraesCS4A01G217700;TraesCS1B01G290800;TraesCS1B01G301500;TraesCS3B01G316500;TraesCS4D01G085700;TraesCS3B01G093800;TraesCS1A01G361400;TraesCS2D01G523100;TraesCS2B01G405200;TraesCS2B01G462400;TraesCS3A01G060300;TraesCS3D01G516300;TraesCS4A01G111600;TraesCS2A01G092400;TraesCS5A01G156400;TraesCS3A01G112800;TraesCS2A01G480500;TraesCS4A01G262900;TraesCS4A01G367700;TraesCS7D01G377200;TraesCS6A01G336800;TraesCS3D01G068100;TraesCS3D01G288000;TraesCS5D01G402300;TraesCS7D01G020700;TraesCS6A01G322400;TraesCS5D01G113700;TraesCS1A01G116000;TraesCS4D01G107000;TraesCS4D01G057000;TraesCS5B01G037500;TraesCS7D01G032800;TraesCS6D01G028400;TraesCS2A01G202600;TraesCS7D01G011800;TraesCS3B01G305600;TraesCS3B01G299300;TraesCS5A01G445100;TraesCS5D01G424400;TraesCS2B01G174700;TraesCS2A01G234200;TraesCS3D01G373300;TraesCS2A01G150000;TraesCS2D01G154600;TraesCS5D01G437600;TraesCSU01G131300;TraesCS1D01G258800;TraesCS2B01G185800;TraesCS5D01G005300;TraesCS1A01G172100;TraesCS5A01G416700;TraesCS7D01G123400;TraesCS6D01G147700;TraesCS7D01G190300;TraesCS6B01G304100;TraesCS3A01G538300;TraesCS3B01G607600;TraesCS5D01G087800;TraesCS7B01G269300;TraesCS3D01G091000;TraesCS7A01G062100;TraesCS3B01G141700;TraesCS7B01G236400;TraesCS2B01G604300;TraesCS6B01G117100;TraesCS7A01G226000;TraesCS1A01G281700;TraesCS5A01G113700;TraesCS3B01G269900;TraesCS7B01G446500;TraesCS1A01G314100;TraesCS5D01G480300;TraesCS7D01G386000;TraesCS2D01G594500;TraesCS5D01G098800;TraesCS1A01G129400;TraesCS6D01G028300;TraesCS6D01G121300;TraesCS1B01G259800;TraesCS4B01G252400;TraesCS5D01G525000;TraesCS6A01G360600;TraesCS2D01G479900;TraesCS2B01G307300;TraesCS3B01G224600;TraesCS6A01G184000;TraesCS1A01G260500;TraesCS4A01G257800;TraesCS5A01G032500;TraesCS5B01G155400;TraesCS5D01G428900;TraesCS3D01G285100;TraesCS3D01G411200;TraesCS5D01G219500;TraesCS5D01G162400;TraesCS6A01G268600;TraesCS6D01G077500;TraesCS7D01G150200;TraesCS5D01G359800;TraesCS2B01G229600;TraesCS7A01G148600;TraesCS6B01G159200;TraesCS5D01G528400;TraesCS6B01G113200;TraesCS1A01G292100;TraesCS4B01G186700;TraesCS5B01G156500;TraesCS5B01G431500;TraesCS6A01G153600;TraesCS6B01G226000;TraesCS6D01G180500;TraesCS4B01G117900;TraesCS5A01G467500;TraesCS6D01G055600;TraesCS3B01G408800;TraesCS3B01G131400;TraesCS6B01G233800;TraesCS6D01G236400;TraesCS2B01G597700;TraesCS4B01G126400;TraesCS4D01G133500;TraesCS3D01G169000;TraesCS6D01G320800;TraesCS7A01G088100;TraesCS5A01G006100;TraesCS1B01G255100;TraesCS1A01G350200;TraesCS3D01G019000;TraesCS6A01G379000;TraesCS2D01G565200;TraesCS5B01G415100;TraesCS3A01G122500;TraesCS4B01G090000;TraesCS2D01G248600;TraesCS7A01G321900;TraesCS6B01G174500;TraesCS2A01G299200;TraesCS7D01G265200;TraesCS2D01G440100;TraesCS6B01G039900;TraesCS4B01G171300;TraesCS6B01G056200;TraesCS2D01G291200;TraesCS3D01G275200;TraesCS5A01G305400;TraesCS2B01G263300;TraesCS3B01G568500;TraesCS1A01G099400;TraesCS3D01G345500;TraesCS2A01G103300;TraesCS1D01G412600;TraesCS7A01G417000;TraesCS4D01G359000;TraesCS4A01G013500;TraesCS3D01G414600;TraesCS1D01G055200;TraesCS2A01G579900;TraesCS1A01G016200;TraesCS2A01G330000;TraesCS3B01G246600;TraesCS6B01G231400;TraesCS5A01G547300;TraesCS1D01G020000;TraesCS5A01G491400;TraesCS7B01G052200;TraesCS2A01G187700;TraesCS3D01G188800;TraesCSU01G058200;TraesCS5D01G206500;TraesCS7A01G491200;TraesCS4A01G494400;TraesCS5A01G466100;TraesCS2B01G342100;TraesCS1B01G326400;TraesCS1D01G280900;TraesCS3B01G555600;TraesCS2D01G362700;TraesCS3A01G275700;TraesCS3B01G214600;TraesCS2B01G221800;TraesCS2D01G118000;TraesCS5A01G114600;TraesCS4D01G096200;TraesCS5D01G332000;TraesCS3D01G237100;TraesCS6A01G103200;TraesCS7D01G083200;TraesCS3B01G309000;TraesCS4D01G212600;TraesCS7A01G335900;TraesCS3A01G238400;TraesCS5D01G505700;TraesCS7D01G278800;TraesCS5D01G312400;TraesCS2B01G259100;TraesCS2A01G344500;TraesCS7D01G035000;TraesCS1B01G212500;TraesCS1B01G478800;TraesCS3A01G085200;TraesCS1D01G443100;TraesCS5A01G411500;TraesCS7A01G235200;TraesCS7D01G072300;TraesCS4B01G160600;TraesCS3B01G374400;TraesCS6B01G365300;TraesCS6B01G393500;TraesCS5A01G191100;TraesCS5A01G101900;TraesCS2A01G185500;TraesCS5D01G040800;TraesCS4A01G387000;TraesCS5A01G088400;TraesCS2A01G095300;TraesCS3A01G264700;TraesCS4A01G452700;TraesCS4B01G170400;TraesCS2D01G303500;TraesCS7D01G200800;TraesCS7D01G410100;TraesCS2D01G301200;TraesCS4A01G110800;TraesCS6D01G259500;TraesCS4D01G089800;TraesCS6B01G307200;TraesCS1D01G352300;TraesCS4A01G051900;TraesCS3A01G200400;TraesCS5B01G199400;TraesCS1D01G151800;TraesCS3B01G564100;TraesCS4D01G004000;TraesCS5D01G399200;TraesCS5B01G509100;TraesCS1A01G313300;TraesCS5B01G038400;TraesCS6D01G210000;TraesCS7D01G123000;TraesCS3A01G391800;TraesCS6D01G247400;TraesCS3A01G376300;TraesCS4B01G211800;TraesCS2B01G229500;TraesCS4A01G090100;TraesCS3A01G498300;TraesCS4D01G214800;TraesCS5B01G504900;TraesCS3D01G217600;TraesCS5A01G387700;TraesCS6D01G363400;TraesCS3B01G363500;TraesCS2D01G568400;TraesCS4B01G276500;TraesCS2D01G488700;TraesCS5B01G397300;TraesCS2D01G545300;TraesCS1D01G298400;TraesCS5B01G395000;TraesCS2D01G524500;TraesCS4B01G117800;TraesCS4A01G216200;TraesCS4D01G298800;TraesCS7A01G239700;TraesCS1D01G125300;TraesCS6B01G342300;TraesCS5B01G075800;TraesCS7A01G279000;TraesCS4A01G059500;TraesCS5B01G477800;TraesCS6D01G246300;TraesCS3D01G446200;TraesCS3A01G241700;TraesCS3D01G264800;TraesCS7A01G466600;TraesCS3A01G212600;TraesCS6D01G173700;TraesCS3B01G083400;TraesCS1D01G426400;TraesCS5A01G092400;TraesCS4A01G111000;TraesCS3D01G384700;TraesCS5D01G081700;TraesCS7D01G454700;TraesCS3A01G313300;TraesCS6B01G371500;TraesCS2A01G392900;TraesCS5A01G024600;TraesCS7B01G393300;TraesCS6B01G169300;TraesCS1A01G388400;TraesCS4A01G092500;TraesCS2B01G505400;TraesCS2B01G528300;TraesCS3D01G513500;TraesCS4A01G101200;TraesCS6D01G357100;TraesCS7B01G181200;TraesCS4D01G147500;TraesCS3B01G426500;TraesCS6A01G130900;TraesCS6A01G269400;TraesCS1A01G418700;TraesCS4B01G056700;TraesCS2A01G302500;TraesCS2B01G385300;TraesCS5A01G429500;TraesCS7D01G486400;TraesCS3B01G161900;TraesCS5B01G450400;TraesCS5B01G102600;TraesCS2A01G149600;TraesCS2B01G415500;TraesCS3D01G182400;TraesCS6B01G181300;TraesCS7B01G182300;TraesCS2A01G290900;TraesCS6A01G171300;TraesCS2D01G487700;TraesCS6A01G312100;TraesCS3D01G275600;TraesCS2A01G007000;TraesCS2D01G310000;TraesCS1A01G086500;TraesCS3B01G237500;TraesCS1A01G145000;TraesCS4A01G264400;TraesCS2D01G385000;TraesCS3D01G124400;TraesCS4A01G197700;TraesCS7B01G393400;TraesCS1D01G178000;TraesCS6B01G035700;TraesCS3D01G294200;TraesCS2A01G430500;TraesCS4A01G197600;TraesCS2B01G018500;TraesCS7D01G218000;TraesCS4B01G138800;TraesCS7D01G004500;TraesCS2B01G404600;TraesCS4B01G144000;TraesCS4D01G193500;TraesCS6B01G285500;TraesCS3A01G068500;TraesCS6A01G200200;TraesCS3D01G196700;TraesCS1D01G144000;TraesCS5A01G157000;TraesCS7A01G235300;TraesCS5B01G529300;TraesCS7A01G149200;TraesCS6A01G186800;TraesCS2B01G411000;TraesCS5D01G432900;TraesCS2A01G149500;TraesCS2B01G157600;TraesCS5A01G212500;TraesCS5D01G417400;TraesCS3A01G220700;TraesCS7D01G476500;TraesCS1A01G035900;TraesCS6B01G076300;TraesCS3A01G023800;TraesCS5D01G258900;TraesCS3A01G184800;TraesCS2A01G521400;TraesCS5B01G155200;TraesCS3A01G161800;TraesCS4D01G194300;TraesCS2D01G288800;TraesCS6D01G091600;TraesCS3B01G291000;TraesCS7A01G480700;TraesCS7D01G452200;TraesCS5D01G078500;TraesCS1A01G315900;TraesCS1A01G249100;TraesCS2A01G226000;TraesCS2B01G107200;TraesCS4D01G115600;TraesCS3A01G275300;TraesCS6D01G245600;TraesCS5A01G548800;TraesCS2B01G307500;TraesCS2D01G167300;TraesCS6D01G130500;TraesCS6A01G070700;TraesCS2A01G387000;TraesCS5B01G344200;TraesCS6D01G302200;TraesCS2B01G198300;TraesCS5B01G418700;TraesCS6D01G174700;TraesCS4D01G092800;TraesCS4D01G172400;TraesCS3B01G309400;TraesCS3B01G491300;TraesCS6D01G221400;TraesCS2B01G217700;TraesCS6D01G315500;TraesCS3D01G068900;TraesCS3D01G326900;TraesCS6A01G078200;TraesCS7D01G457900;TraesCS5B01G511800;TraesCS2D01G249200;TraesCS7B01G421800;TraesCS6A01G267300;TraesCS2B01G318400;TraesCS7B01G169100;TraesCS3B01G322800;TraesCS5D01G231200;TraesCSU01G009200;TraesCS2A01G431900;TraesCS2B01G321700;TraesCS3A01G069900;TraesCS5D01G478900;TraesCS5B01G155100;TraesCS4A01G276300;TraesCS5A01G036600;TraesCS1B01G213300;TraesCS2D01G500600;TraesCS1A01G111100;TraesCS1D01G390500;TraesCS4A01G164900;TraesCS5A01G223700;TraesCS5B01G136500;TraesCS3A01G107900;TraesCS4B01G332300;TraesCS5D01G512300;TraesCS4D01G115500;TraesCS5B01G509500;TraesCS5D01G162500;TraesCS2B01G454000;TraesCS5B01G344300;TraesCS1B01G293500;TraesCS6B01G100000;TraesCS6D01G396700;TraesCS2B01G051500;TraesCS4D01G080700;TraesCS2D01G473500;TraesCS7B01G124100;TraesCS6D01G245500;TraesCS1A01G101300;TraesCS5D01G060900;TraesCS4D01G086000;TraesCS6D01G193000;TraesCS6B01G161800;TraesCS1A01G284300;TraesCS2A01G040000;TraesCS1D01G353100;TraesCS5B01G074200;TraesCS3B01G332500;TraesCS1B01G434400;TraesCS1A01G020500;TraesCS7B01G089500;TraesCS1B01G269400;TraesCS2B01G352300;TraesCS7D01G130500;TraesCS2B01G293400;TraesCS7D01G000100;TraesCS4B01G380800;TraesCS6A01G163500;TraesCS5A01G067300;TraesCS2B01G191800;TraesCS6B01G464800</t>
  </si>
  <si>
    <t>TraesCS6D01G016900;TraesCS1A01G323600;TraesCS1D01G107300;TraesCS5B01G484700;TraesCS5B01G249000;TraesCS5A01G059300;TraesCS6D01G344200;TraesCS3B01G206600;TraesCS3B01G193200;TraesCS5B01G412400;TraesCS7D01G056800;TraesCS7A01G541200;TraesCS1A01G355200;TraesCS7B01G382800;TraesCS7B01G104400;TraesCS5B01G094600;TraesCS3B01G242700;TraesCS5A01G200900;TraesCS5A01G344100;TraesCS2A01G171900;TraesCS2A01G361100;TraesCS5A01G390000;TraesCS5D01G044900;TraesCS7B01G186500;TraesCS3A01G216100;TraesCS5D01G376600;TraesCS2A01G488400;TraesCS2B01G267100;TraesCS3A01G091100;TraesCS3B01G208800;TraesCS5A01G251000;TraesCS6A01G225200;TraesCS5B01G082400;TraesCS4D01G250100;TraesCS6D01G365100;TraesCS5B01G174600;TraesCS2D01G093700;TraesCS3B01G309700;TraesCSU01G111400;TraesCS6A01G245000;TraesCS2D01G322800;TraesCS2D01G383800;TraesCS1B01G274600;TraesCS6B01G238600;TraesCS3D01G369100;TraesCS1A01G275400;TraesCS4D01G132900;TraesCS7B01G162300;TraesCS7D01G543200;TraesCS1B01G271100;TraesCS6A01G158300;TraesCS7A01G499600;TraesCS7B01G451700;TraesCS6A01G125400;TraesCS7A01G466900;TraesCS1B01G366400;TraesCS2B01G315300;TraesCS5D01G044700;TraesCS6B01G296700;TraesCS7A01G510900;TraesCS5A01G357400;TraesCS5D01G405400;TraesCS2D01G175900;TraesCS1A01G025900;TraesCS2D01G597600;TraesCS3B01G266900;TraesCS3D01G336200;TraesCS7D01G291200;TraesCS1D01G431700;TraesCS3B01G103500;TraesCS7B01G066000;TraesCS3A01G288200;TraesCS3A01G366400;TraesCS6D01G189700;TraesCS4A01G005000;TraesCS4A01G078800;TraesCS5D01G077600;TraesCS6B01G099900;TraesCS2A01G487500;TraesCS6D01G060400;TraesCS1D01G264100;TraesCS2D01G213200;TraesCS3A01G178600;TraesCS5D01G013100;TraesCS3B01G423800;TraesCS5B01G222600;TraesCS3B01G207300;TraesCS6A01G018600;TraesCS6B01G213100;TraesCS3B01G222700;TraesCS7A01G390300;TraesCS4A01G375000;TraesCS7D01G288700;TraesCS1D01G275000;TraesCS4A01G134800;TraesCS5D01G374000;TraesCS5B01G539900;TraesCS4A01G178600;TraesCS3D01G217700;TraesCS4B01G140300;TraesCS1A01G110900;TraesCS3D01G507500;TraesCS4D01G252700;TraesCS7A01G115400;TraesCS1B01G348800;TraesCS5A01G050100;TraesCS5B01G154600;TraesCS3A01G220000;TraesCS6B01G199500;TraesCS6D01G007800;TraesCS7A01G076600;TraesCS5A01G096100;TraesCS4A01G177500;TraesCS7D01G040400;TraesCS5D01G141200;TraesCS6A01G192800;TraesCS6A01G209800;TraesCS5A01G054700;TraesCS1A01G036200;TraesCS2B01G462500;TraesCS6D01G216300;TraesCS5D01G261300;TraesCS3D01G298000;TraesCS2D01G362200;TraesCS5B01G537700;TraesCS3B01G254500;TraesCS7B01G005700;TraesCS3D01G376500;TraesCS1A01G177600;TraesCS6D01G166400;TraesCS6B01G256400;TraesCS1B01G378000;TraesCS1D01G211600;TraesCS4D01G240700;TraesCS7A01G313900;TraesCS2B01G174600;TraesCS7D01G332300;TraesCS6B01G294700;TraesCS7B01G052900;TraesCS4A01G217700;TraesCS1B01G301500;TraesCS5B01G132600;TraesCS3B01G093800;TraesCS2D01G523100;TraesCS2A01G092400;TraesCS3A01G112800;TraesCS2A01G480500;TraesCS4A01G262900;TraesCS7D01G377200;TraesCS6A01G336800;TraesCS3D01G068100;TraesCS3D01G288000;TraesCS5D01G402300;TraesCS6A01G322400;TraesCS1A01G116000;TraesCS4D01G107000;TraesCS5A01G132300;TraesCS7D01G032800;TraesCS5D01G424400;TraesCS2D01G070400;TraesCS2D01G154600;TraesCS2B01G185800;TraesCS5D01G005300;TraesCS1A01G172100;TraesCS5A01G416700;TraesCS7D01G190300;TraesCS3B01G607600;TraesCS5D01G087800;TraesCS7B01G236400;TraesCS2B01G604300;TraesCS1A01G281700;TraesCS4D01G189600;TraesCS7B01G446500;TraesCS5D01G480300;TraesCS2D01G594500;TraesCS6D01G028300;TraesCS6D01G121300;TraesCS1B01G259800;TraesCS4B01G252400;TraesCS5D01G525000;TraesCS2D01G479900;TraesCS2B01G307300;TraesCS6A01G184000;TraesCS1A01G260500;TraesCS4A01G257800;TraesCS5D01G428900;TraesCS3D01G411200;TraesCS5D01G219500;TraesCS5D01G162400;TraesCS6D01G077500;TraesCS7D01G150200;TraesCS2B01G229600;TraesCS1A01G099500;TraesCS1A01G292100;TraesCS4B01G226100;TraesCS4B01G186700;TraesCS4B01G117900;TraesCS5A01G467500;TraesCS6D01G057900;TraesCS3B01G408800;TraesCS2B01G597700;TraesCS4B01G126400;TraesCS3D01G169000;TraesCS5A01G006100;TraesCS1A01G350200;TraesCS3D01G019000;TraesCS2D01G565200;TraesCS5B01G415100;TraesCS3A01G122500;TraesCS2D01G248600;TraesCS6B01G174500;TraesCS2A01G299200;TraesCS7D01G265200;TraesCS7A01G448800;TraesCS2D01G291200;TraesCS2A01G071600;TraesCS3D01G275200;TraesCS2B01G263300;TraesCS3D01G345500;TraesCS7A01G417000;TraesCS4A01G013500;TraesCS4B01G069300;TraesCS2A01G330000;TraesCS1D01G020000;TraesCS5A01G491400;TraesCS2A01G187700;TraesCS3D01G188800;TraesCS5B01G201700;TraesCS7A01G491200;TraesCS4A01G494400;TraesCS2B01G342100;TraesCS1B01G326400;TraesCS2D01G362700;TraesCS2D01G118000;TraesCS4D01G096200;TraesCS5D01G332000;TraesCS3D01G237100;TraesCS6A01G103200;TraesCS7D01G083200;TraesCS3A01G238400;TraesCS5D01G312400;TraesCS1B01G212500;TraesCS1B01G478800;TraesCS5A01G411500;TraesCS7A01G235200;TraesCS7D01G072300;TraesCS6B01G393500;TraesCS5A01G191100;TraesCS5A01G101900;TraesCS2A01G185500;TraesCS5A01G088400;TraesCS2A01G095300;TraesCS3A01G264700;TraesCS2D01G303500;TraesCS4A01G110800;TraesCS1D01G094400;TraesCS6B01G026900;TraesCS5A01G395200;TraesCS1A01G313300;TraesCS5B01G038400;TraesCS7D01G123000;TraesCS3A01G391800;TraesCS6D01G247400;TraesCS1D01G067500;TraesCS4A01G090100;TraesCS6D01G363400;TraesCS5B01G395000;TraesCS4A01G216200;TraesCS5B01G366700;TraesCS6B01G342300;TraesCS5B01G075800;TraesCS7A01G279000;TraesCS4A01G059500;TraesCS5B01G477800;TraesCS6D01G246300;TraesCS7A01G466600;TraesCS6D01G173700;TraesCS3B01G083400;TraesCS4A01G111000;TraesCS3D01G384700;TraesCS3A01G313300;TraesCS6B01G371500;TraesCS2A01G392900;TraesCS5A01G024600;TraesCS7B01G393300;TraesCS6B01G169300;TraesCS1A01G388400;TraesCS4A01G092500;TraesCS2B01G505400;TraesCS2B01G528300;TraesCS4A01G101200;TraesCS6D01G357100;TraesCS7B01G181200;TraesCS6A01G269400;TraesCS1A01G418700;TraesCS4B01G056700;TraesCS7D01G486400;TraesCS5B01G102600;TraesCS5B01G349800;TraesCS2A01G149600;TraesCS2B01G415500;TraesCS3D01G182400;TraesCS7B01G182300;TraesCS6A01G171300;TraesCS2D01G487700;TraesCS3D01G275600;TraesCS2A01G007000;TraesCS2D01G310000;TraesCS1A01G145000;TraesCS4A01G197700;TraesCS3B01G566600;TraesCS7D01G218000;TraesCS4B01G138800;TraesCS5D01G108700;TraesCS2B01G404600;TraesCS4B01G144000;TraesCS4D01G193500;TraesCS6B01G285500;TraesCS5A01G157000;TraesCS7A01G149200;TraesCS6A01G186800;TraesCS5A01G212500;TraesCS5D01G417400;TraesCS3A01G220700;TraesCS1A01G035900;TraesCS6B01G076300;TraesCS5D01G258900;TraesCS3A01G184800;TraesCS2A01G521400;TraesCS6D01G091600;TraesCS7A01G480700;TraesCS7D01G452200;TraesCS1A01G315900;TraesCS1A01G249100;TraesCS2A01G226000;TraesCS2B01G107200;TraesCS4D01G115600;TraesCS6D01G245600;TraesCS2B01G307500;TraesCS6A01G070700;TraesCS6D01G302200;TraesCS4D01G172400;TraesCS6D01G221400;TraesCS6D01G315500;TraesCS6A01G078200;TraesCS7D01G457900;TraesCS7B01G421800;TraesCS6A01G307700;TraesCS2B01G318400;TraesCS5D01G138500;TraesCS7B01G169100;TraesCS5D01G231200;TraesCS2A01G431900;TraesCS3A01G069900;TraesCS5B01G155100;TraesCS4A01G276300;TraesCS5A01G036600;TraesCS1D01G390500;TraesCS4B01G332300;TraesCS5D01G512300;TraesCS2B01G454000;TraesCS5B01G344300;TraesCS1B01G293500;TraesCS6B01G100000;TraesCS6D01G396700;TraesCS4D01G080700;TraesCS2D01G473500;TraesCS5D01G060900;TraesCS4D01G086000;TraesCS6B01G161800;TraesCS1A01G284300;TraesCS2A01G040000;TraesCS1D01G353100;TraesCS3B01G332500;TraesCS1B01G434400;TraesCS1B01G269400;TraesCS2B01G352300;TraesCS5A01G348400;TraesCS4B01G380800;TraesCS6A01G163500;TraesCS5A01G067300;TraesCS2B01G191800;TraesCS5D01G336000;TraesCS5D01G124800;TraesCS7A01G036200;TraesCS2A01G261600;TraesCS2A01G246200;TraesCS5A01G200800;TraesCS4B01G397600;TraesCS3D01G271500;TraesCS4A01G226500;TraesCS1B01G146200;TraesCSU01G112400;TraesCS3B01G398000;TraesCS6B01G295700;TraesCS7D01G467500;TraesCS2A01G262700;TraesCS3A01G228000;TraesCS4B01G169900;TraesCS6B01G411900;TraesCS5D01G181600;TraesCS4B01G050200;TraesCS5D01G444700;TraesCS6B01G132300;TraesCS4D01G135000;TraesCS6B01G388800;TraesCS1D01G444900;TraesCS6D01G142900;TraesCS3D01G474000;TraesCS1A01G243700;TraesCS7A01G464600;TraesCS1D01G107400;TraesCS3A01G178900;TraesCS5B01G159100;TraesCS3A01G229100;TraesCS5A01G128300;TraesCS7B01G365100;TraesCS4D01G292900;TraesCS4D01G068100;TraesCS3A01G344300;TraesCS4D01G184400;TraesCS6B01G262800;TraesCS1B01G469400;TraesCS5D01G399800;TraesCS7D01G454200;TraesCS6B01G270400;TraesCS3A01G303800;TraesCS4A01G361100;TraesCS5B01G229300;TraesCS1A01G423100;TraesCS1A01G125000;TraesCS6B01G428300;TraesCS5A01G115000;TraesCS3B01G376200;TraesCS5D01G396300;TraesCS2A01G168400;TraesCS5D01G420300;TraesCS1D01G396300;TraesCS6D01G161000;TraesCS1D01G260500;TraesCS5B01G171400;TraesCS3D01G281100;TraesCS3D01G434800;TraesCSU01G133300;TraesCS2A01G387400;TraesCS5A01G416400;TraesCS7B01G317000;TraesCS4A01G191500;TraesCS2B01G280600;TraesCS4D01G172000;TraesCS5D01G100800;TraesCS6B01G159800;TraesCS6A01G234000;TraesCS5B01G479200;TraesCS5B01G102000;TraesCS2D01G213100;TraesCS6D01G358500;TraesCS3D01G474200;TraesCS3A01G214000;TraesCS5D01G161800;TraesCS4D01G079200;TraesCS4D01G142600;TraesCS2B01G328500;TraesCS6D01G344100;TraesCS7D01G364400;TraesCS2B01G154700;TraesCS2A01G159900;TraesCS7D01G438100;TraesCS2A01G132200;TraesCS6A01G279100;TraesCS4B01G314600;TraesCS4A01G149800;TraesCS2D01G202200;TraesCS1D01G314600;TraesCS1D01G387600;TraesCS6B01G336300;TraesCS3A01G276100;TraesCS5D01G006100;TraesCS1A01G299500;TraesCS4D01G036500;TraesCS6B01G428100;TraesCS6D01G399000;TraesCS2D01G049500;TraesCS3B01G442200;TraesCS7D01G542200;TraesCS2B01G514800;TraesCS3A01G342300;TraesCSU01G158800;TraesCS4B01G050600;TraesCS2D01G310900;TraesCS6D01G227300;TraesCS4B01G138100;TraesCS5D01G366500;TraesCS6B01G174100;TraesCS7A01G264300;TraesCS1D01G316200;TraesCS7D01G228500;TraesCS4A01G116000;TraesCS3A01G484800;TraesCS6B01G141400;TraesCS3B01G299100;TraesCS3D01G241900;TraesCS1A01G264000;TraesCS5A01G365100;TraesCS5A01G424400;TraesCS1A01G258800;TraesCS3D01G282800;TraesCS2D01G198300;TraesCS3A01G282800;TraesCS2A01G444100;TraesCS7A01G004000;TraesCS1D01G219200;TraesCS7A01G509200;TraesCS2B01G264100;TraesCS2B01G304900;TraesCS5B01G127300;TraesCS1A01G198400;TraesCS3D01G203400;TraesCS3B01G206100;TraesCS7B01G241900;TraesCS2D01G304000;TraesCS5A01G367700;TraesCS7A01G005100;TraesCS3D01G109700;TraesCS2B01G451100;TraesCS1B01G290800;TraesCS3B01G316500;TraesCS4D01G085700;TraesCS1A01G361400;TraesCS2B01G405200;TraesCS2B01G462400;TraesCS3A01G060300;TraesCS3D01G516300;TraesCS4A01G111600;TraesCS5D01G135900;TraesCS5A01G156400;TraesCS4A01G367700;TraesCS7D01G020700;TraesCS5D01G113700;TraesCS3A01G503200;TraesCS4D01G057000;TraesCS5B01G037500;TraesCS6D01G028400;TraesCS2A01G202600;TraesCS7D01G011800;TraesCS3B01G305600;TraesCS3B01G299300;TraesCS5A01G445100;TraesCS2B01G174700;TraesCS2A01G234200;TraesCS2A01G150000;TraesCS5D01G437600;TraesCSU01G131300;TraesCS1D01G258800;TraesCS7D01G123400;TraesCS6D01G147700;TraesCS6B01G304100;TraesCS3A01G538300;TraesCS7B01G269300;TraesCS3D01G091000;TraesCS7A01G062100;TraesCS3B01G141700;TraesCS6B01G117100;TraesCS7A01G226000;TraesCS5A01G113700;TraesCS3B01G269900;TraesCS1A01G314100;TraesCS7D01G386000;TraesCS5D01G098800;TraesCS1A01G129400;TraesCS4A01G246100;TraesCS6A01G360600;TraesCS3B01G224600;TraesCS5A01G032500;TraesCS5B01G155400;TraesCS3D01G285100;TraesCS6A01G268600;TraesCS5D01G359800;TraesCS7A01G148600;TraesCS6B01G159200;TraesCS5D01G528400;TraesCS6B01G113200;TraesCS5B01G156500;TraesCS5B01G431500;TraesCS6A01G153600;TraesCS6B01G226000;TraesCS6D01G180500;TraesCS6D01G055600;TraesCS3B01G131400;TraesCS6B01G233800;TraesCS6D01G236400;TraesCS4D01G133500;TraesCS6D01G320800;TraesCS7A01G088100;TraesCS1B01G255100;TraesCS6A01G379000;TraesCS4B01G090000;TraesCS7A01G321900;TraesCS2D01G440100;TraesCS6B01G039900;TraesCS4B01G171300;TraesCS6B01G056200;TraesCS5A01G305400;TraesCS3B01G568500;TraesCS1A01G099400;TraesCS2A01G103300;TraesCS1D01G412600;TraesCS4D01G359000;TraesCS3D01G414600;TraesCS1D01G055200;TraesCS2A01G579900;TraesCS6B01G393600;TraesCS1A01G016200;TraesCS3B01G246600;TraesCS6B01G231400;TraesCS5A01G547300;TraesCS7B01G052200;TraesCSU01G058200;TraesCS5D01G206500;TraesCS5A01G466100;TraesCS1D01G280900;TraesCS3B01G555600;TraesCS3A01G275700;TraesCS3B01G214600;TraesCS2B01G221800;TraesCS5A01G114600;TraesCS3B01G309000;TraesCS4D01G212600;TraesCS7A01G335900;TraesCS5D01G505700;TraesCS7D01G278800;TraesCS2B01G259100;TraesCS2A01G344500;TraesCS7D01G035000;TraesCS3A01G085200;TraesCS1D01G443100;TraesCS4B01G160600;TraesCS3B01G374400;TraesCS6B01G365300;TraesCS5D01G040800;TraesCS4A01G387000;TraesCS4A01G452700;TraesCS4B01G170400;TraesCS7D01G200800;TraesCS7D01G410100;TraesCS2D01G301200;TraesCS6D01G259500;TraesCS4D01G089800;TraesCS6B01G307200;TraesCS1D01G352300;TraesCS4A01G051900;TraesCS3A01G200400;TraesCS5B01G199400;TraesCS1D01G151800;TraesCS3B01G564100;TraesCS4D01G004000;TraesCS5D01G399200;TraesCS5B01G509100;TraesCS6D01G210000;TraesCS3A01G376300;TraesCS4B01G211800;TraesCS2B01G229500;TraesCS3A01G498300;TraesCS4D01G214800;TraesCS5B01G504900;TraesCS3D01G217600;TraesCS5A01G387700;TraesCS3B01G363500;TraesCS2D01G568400;TraesCS4B01G276500;TraesCS2D01G488700;TraesCS5B01G397300;TraesCS2D01G545300;TraesCS1D01G298400;TraesCS4B01G117800;TraesCS4D01G298800;TraesCS7A01G239700;TraesCS1D01G125300;TraesCS3D01G182100;TraesCS3D01G446200;TraesCS3A01G241700;TraesCS2D01G296800;TraesCS3D01G264800;TraesCS3A01G212600;TraesCS1D01G426400;TraesCS5A01G092400;TraesCS5D01G081700;TraesCS7D01G454700;TraesCS3D01G513500;TraesCS4D01G147500;TraesCS3B01G426500;TraesCS6A01G130900;TraesCS2A01G302500;TraesCS2B01G385300;TraesCS2D01G543700;TraesCS5A01G429500;TraesCS3B01G161900;TraesCS5B01G450400;TraesCS6B01G181300;TraesCS2A01G290900;TraesCS6A01G312100;TraesCS6B01G301300;TraesCS1A01G086500;TraesCS3B01G237500;TraesCS4A01G264400;TraesCS2D01G385000;TraesCS3D01G124400;TraesCS7B01G393400;TraesCS1D01G178000;TraesCS6B01G035700;TraesCS3D01G294200;TraesCS2A01G430500;TraesCS4A01G197600;TraesCS2B01G018500;TraesCS7D01G004500;TraesCS3A01G068500;TraesCS6A01G200200;TraesCS3D01G196700;TraesCS1D01G144000;TraesCS7A01G235300;TraesCS5B01G529300;TraesCS2B01G411000;TraesCS5D01G432900;TraesCS2A01G149500;TraesCS2B01G157600;TraesCS7D01G476500;TraesCS3D01G259000;TraesCS3A01G023800;TraesCS5B01G155200;TraesCS3A01G161800;TraesCS4D01G194300;TraesCS2D01G288800;TraesCS3B01G291000;TraesCS5D01G078500;TraesCS3A01G275300;TraesCS5A01G548800;TraesCS2D01G167300;TraesCS6D01G130500;TraesCS2A01G387000;TraesCS5B01G344200;TraesCS2B01G198300;TraesCS5B01G418700;TraesCS6D01G174700;TraesCS4D01G092800;TraesCS3B01G309400;TraesCS3B01G491300;TraesCS2B01G217700;TraesCS2D01G262400;TraesCS3D01G068900;TraesCS3D01G326900;TraesCS5B01G511800;TraesCS2D01G249200;TraesCS6A01G267300;TraesCS3B01G322800;TraesCSU01G009200;TraesCS2B01G321700;TraesCS5D01G478900;TraesCS1B01G213300;TraesCS2D01G500600;TraesCS1A01G111100;TraesCS4A01G164900;TraesCS5A01G223700;TraesCS5B01G136500;TraesCS3A01G107900;TraesCS7B01G348600;TraesCS4D01G115500;TraesCS5B01G509500;TraesCS5D01G162500;TraesCS2B01G051500;TraesCS7B01G124100;TraesCS6D01G245500;TraesCS1A01G101300;TraesCS6D01G193000;TraesCS5B01G074200;TraesCS5D01G070800;TraesCS1A01G020500;TraesCS7B01G089500;TraesCS7D01G130500;TraesCS2B01G293400;TraesCS7D01G000100;TraesCS6B01G464800</t>
  </si>
  <si>
    <t>TraesCS1D01G264100;TraesCS2D01G477200;TraesCS6A01G360600;TraesCS7B01G352800;TraesCS5D01G472300;TraesCS4D01G278500;TraesCS1B01G049300;TraesCS2D01G362700;TraesCS1B01G274600;TraesCS3D01G273800;TraesCS3A01G336100;TraesCS3A01G097200;TraesCS4A01G023500;TraesCS4D01G318200;TraesCS5D01G171100;TraesCS5A01G119300;TraesCS5B01G378700;TraesCS7D01G442100;TraesCS1A01G263400;TraesCS2D01G059400;TraesCS4B01G321500;TraesCS5A01G166800;TraesCS6B01G393500;TraesCS5B01G037500;TraesCS2A01G149600;TraesCS2A01G563500;TraesCS2A01G095300;TraesCS2B01G401900;TraesCS5D01G193000;TraesCS5D01G044700;TraesCS1A01G264000;TraesCS2B01G174700;TraesCS6A01G379000;TraesCS1D01G331000;TraesCS5A01G036600;TraesCS4A01G164900;TraesCS3A01G200400;TraesCS1B01G293500;TraesCS7B01G124100;TraesCS6D01G344100;TraesCS5A01G490500;TraesCS7A01G220600;TraesCS5B01G185700;TraesCS3A01G393400;TraesCS2A01G455300;TraesCS3B01G252200;TraesCS2A01G478000;TraesCS1A01G284300;TraesCS2B01G477400;TraesCS1D01G298400;TraesCS6B01G190300;TraesCS7A01G452800;TraesCS5A01G460600;TraesCS2A01G382000;TraesCS4B01G109700;TraesCS3D01G203400;TraesCS2D01G093700;TraesCS6A01G161200;TraesCS2B01G247100;TraesCS1A01G299500;TraesCS2B01G501300</t>
  </si>
  <si>
    <t>covalent chromatin modification</t>
  </si>
  <si>
    <t>TraesCS4A01G236700;TraesCS6A01G314900;TraesCS1D01G409700;TraesCS3A01G367000;TraesCS5A01G396700;TraesCS5B01G155200;TraesCS2B01G250000;TraesCS5B01G339200;TraesCS5D01G219500;TraesCS2A01G123800;TraesCS6A01G290600;TraesCS5D01G162400;TraesCS1D01G119400;TraesCS4B01G129700;TraesCS2A01G387000;TraesCS4B01G173500;TraesCS6B01G371500;TraesCS1A01G445800;TraesCS4D01G153900;TraesCS6B01G249700;TraesCS1D01G030500;TraesCS1A01G382900;TraesCS4D01G021400;TraesCS3D01G288000;TraesCS3A01G232700;TraesCS4B01G115800;TraesCS2A01G245100;TraesCS6B01G216800;TraesCS4D01G135000;TraesCS3A01G381000;TraesCS3A01G304900;TraesCS4D01G076900;TraesCS1D01G454500;TraesCS6D01G320800;TraesCS5D01G321900;TraesCS5B01G146700;TraesCS2D01G126600;TraesCS2D01G133500;TraesCS5A01G315800;TraesCS4D01G175600;TraesCS7B01G197000;TraesCS4D01G194400;TraesCS2A01G309600;TraesCS2B01G145700;TraesCS4A01G290400;TraesCS4B01G204500;TraesCS6A01G268900;TraesCS2D01G310000;TraesCS3D01G271200;TraesCS2B01G328500;TraesCS5B01G409700;TraesCS2D01G232300;TraesCS3D01G296900;TraesCS2B01G154700;TraesCS5B01G112100;TraesCS5D01G121100;TraesCS6A01G231900;TraesCS5B01G036800;TraesCS2A01G132200;TraesCS4B01G379300;TraesCS2A01G233300;TraesCS4A01G067400;TraesCS6A01G221400;TraesCS7B01G066000;TraesCSU01G129600;TraesCS2D01G438800;TraesCS3A01G288200;TraesCS3A01G271600;TraesCS4D01G122800;TraesCS5A01G157000;TraesCS5A01G545600;TraesCS6D01G213800;TraesCS3D01G123500;TraesCS3D01G220400;TraesCS4D01G003600;TraesCS5A01G212500;TraesCS4A01G093100;TraesCS4A01G355100;TraesCS5B01G517400</t>
  </si>
  <si>
    <t>regulation of molecular function</t>
  </si>
  <si>
    <t>TraesCS7A01G466600;TraesCS1D01G124600;TraesCS2A01G400900;TraesCS3D01G273800;TraesCS2D01G427900;TraesCS5B01G407500;TraesCS4B01G288200;TraesCS1D01G051300;TraesCS4A01G283700;TraesCS7D01G188300;TraesCS5D01G148100;TraesCS4B01G152900;TraesCS3D01G150400;TraesCS5A01G181500;TraesCS1A01G076000;TraesCS3B01G401100;TraesCS1D01G376900;TraesCS1A01G060100;TraesCS3A01G134100;TraesCS3D01G356400;TraesCS5B01G255700;TraesCS5B01G142900;TraesCS3D01G495100;TraesCS7D01G313600;TraesCS5B01G415100;TraesCS6A01G201800;TraesCS3D01G266200;TraesCS6D01G186000;TraesCS2A01G201200;TraesCS3A01G189400;TraesCS1A01G206600;TraesCS2A01G203100;TraesCS3A01G192400;TraesCS5D01G242900;TraesCS6B01G039900;TraesCS3A01G412600;TraesCS7D01G326000;TraesCS7D01G454200;TraesCS6D01G168300;TraesCS6D01G172500;TraesCS2D01G094400;TraesCS7B01G464900;TraesCS1D01G303800;TraesCS4A01G015800;TraesCS4B01G373400;TraesCS4D01G120900;TraesCS7A01G415500;TraesCS7D01G153000;TraesCS3A01G266100;TraesCS4D01G160200;TraesCS5A01G143800;TraesCS6D01G215100;TraesCS4B01G153500;TraesCS3B01G221200;TraesCS7B01G117600;TraesCS2A01G128300;TraesCS2D01G237600;TraesCS5D01G420300;TraesCS4A01G062100;TraesCS5A01G489100;TraesCS7A01G143900;TraesCS7B01G103100;TraesCS1D01G396300;TraesCS2D01G546500;TraesCS4D01G234800;TraesCS3B01G299400;TraesCS6A01G373200;TraesCS6B01G282200;TraesCS5B01G501200;TraesCS3D01G311800;TraesCS3B01G105200;TraesCS4B01G154100;TraesCS4A01G077600;TraesCS2A01G557600;TraesCS1B01G352700;TraesCS3D01G407300;TraesCS5A01G328900;TraesCS2B01G150400;TraesCS4D01G157900;TraesCS7A01G192000;TraesCS3A01G530000;TraesCS6B01G348700;TraesCS2D01G356700;TraesCS7A01G327600;TraesCS2A01G585800;TraesCS3B01G254200;TraesCS7D01G339600;TraesCS3D01G228900;TraesCS5A01G411500;TraesCS2B01G222600;TraesCS6D01G104100;TraesCS2D01G202900;TraesCS7D01G193000;TraesCS6B01G166400;TraesCS4B01G193400;TraesCS5A01G235800;TraesCS5B01G310600;TraesCS5B01G413400;TraesCS4D01G154300;TraesCS4D01G175600;TraesCS6B01G223200;TraesCS5A01G296200;TraesCS4A01G238100;TraesCS3D01G159100;TraesCS4D01G152000;TraesCS6A01G321700;TraesCS2B01G179800;TraesCS2B01G267700;TraesCS4A01G193700;TraesCS5A01G418200;TraesCS5D01G412700;TraesCS1A01G049300;TraesCS7B01G097000;TraesCS3A01G389100;TraesCS4A01G141000;TraesCS3A01G417000;TraesCS3D01G412500;TraesCS2A01G545600;TraesCS4B01G180100;TraesCS2D01G398400;TraesCS3A01G362600;TraesCS7D01G409000;TraesCSU01G132400;TraesCS3A01G488100;TraesCS5B01G320100;TraesCS5D01G157300;TraesCS3B01G221400;TraesCS7D01G000100;TraesCS4B01G029400;TraesCS7B01G092500;TraesCS3D01G165500;TraesCS6D01G301400</t>
  </si>
  <si>
    <t>TraesCS6D01G016900;TraesCS5B01G484700;TraesCS5A01G200800;TraesCS1A01G369600;TraesCS1D01G210200;TraesCS4B01G213600;TraesCS2D01G014800;TraesCS3B01G206600;TraesCS4D01G153900;TraesCS3B01G193200;TraesCS5A01G014400;TraesCS5B01G412400;TraesCS3A01G228000;TraesCS4B01G169900;TraesCS6B01G411900;TraesCS7A01G541200;TraesCS1A01G355200;TraesCS4B01G050200;TraesCS5D01G444700;TraesCS7B01G104400;TraesCS2B01G234500;TraesCS4D01G135000;TraesCS5B01G324800;TraesCS6A01G133100;TraesCS5B01G171200;TraesCS2D01G233900;TraesCS6D01G142900;TraesCS3A01G205100;TraesCS4A01G286700;TraesCS3A01G178900;TraesCS4B01G017400;TraesCS3A01G216100;TraesCS3A01G344300;TraesCS2A01G193800;TraesCS5D01G376600;TraesCS5D01G026000;TraesCS1B01G469400;TraesCS6D01G390000;TraesCS3A01G091100;TraesCS6D01G287300;TraesCS6B01G270400;TraesCS5A01G014500;TraesCSU01G068800;TraesCS4D01G025700;TraesCS5B01G082400;TraesCS2D01G092500;TraesCS5A01G093200;TraesCS4D01G015900;TraesCS5B01G174600;TraesCS4A01G361100;TraesCS7D01G224400;TraesCS2B01G201700;TraesCS2D01G093700;TraesCS5D01G178300;TraesCS1A01G125000;TraesCS2A01G313000;TraesCS3B01G309700;TraesCS3B01G376200;TraesCS2B01G207000;TraesCS6D01G047400;TraesCS3D01G210300;TraesCS6A01G245000;TraesCS6D01G161000;TraesCS7D01G283600;TraesCS3D01G434800;TraesCS2D01G251000;TraesCS1B01G274600;TraesCS2B01G303300;TraesCS7A01G222800;TraesCS7B01G317000;TraesCS7A01G316700;TraesCS3D01G369100;TraesCS4A01G191500;TraesCS1A01G275400;TraesCS3D01G407300;TraesCS4D01G132900;TraesCS6A01G212200;TraesCS4D01G172000;TraesCS7D01G543200;TraesCS6D01G252400;TraesCS6B01G159800;TraesCS7A01G190500;TraesCS4D01G081600;TraesCS6A01G158300;TraesCS6A01G125400;TraesCS5D01G321900;TraesCS1B01G366400;TraesCS2D01G213100;TraesCS5A01G315800;TraesCS6B01G296700;TraesCS6D01G358500;TraesCS7A01G510900;TraesCS5D01G161800;TraesCS1A01G025900;TraesCS1A01G254400;TraesCS1A01G195500;TraesCS2B01G328500;TraesCS2D01G597600;TraesCS3D01G336200;TraesCS7D01G291200;TraesCS2B01G154700;TraesCS4A01G193700;TraesCS2A01G159900;TraesCS7B01G217500;TraesCS5B01G036800;TraesCS2A01G132200;TraesCS5A01G230400;TraesCS4B01G041900;TraesCS3B01G103500;TraesCS6A01G279100;TraesCS3A01G288200;TraesCS1A01G024700;TraesCS3D01G379000;TraesCS6D01G189700;TraesCS3A01G082700;TraesCS4A01G005000;TraesCS6B01G099900;TraesCS3A01G276100;TraesCS4D01G003600;TraesCS4D01G036500;TraesCS1D01G264100;TraesCS5D01G013100;TraesCS3A01G478100;TraesCS7A01G390300;TraesCS3A01G342300;TraesCS1D01G275000;TraesCS5D01G481500;TraesCSU01G158800;TraesCS5A01G089900;TraesCS5B01G539900;TraesCS1D01G265200;TraesCS6D01G227300;TraesCS6A01G143300;TraesCS6A01G147900;TraesCS4B01G138100;TraesCS5A01G119300;TraesCS3D01G217700;TraesCS5A01G123800;TraesCS1A01G110900;TraesCS4D01G214300;TraesCS4A01G052600;TraesCS4D01G212000;TraesCS6B01G174100;TraesCS7A01G115400;TraesCS7D01G228500;TraesCS1B01G348800;TraesCS5A01G050100;TraesCS5B01G154600;TraesCS6B01G199500;TraesCS2A01G280500;TraesCS6D01G007800;TraesCS2A01G093700;TraesCS2A01G223600;TraesCS6B01G141400;TraesCS5A01G004200;TraesCS3A01G151100;TraesCS3D01G241900;TraesCS1A01G264000;TraesCS4D01G129300;TraesCS1D01G155800;TraesCS6D01G186000;TraesCS2A01G309600;TraesCS2D01G242100;TraesCS5A01G054700;TraesCS7A01G341000;TraesCS3D01G282800;TraesCS5B01G419300;TraesCS2D01G198300;TraesCS3A01G282800;TraesCS5D01G261300;TraesCS7B01G189500;TraesCS3A01G412600;TraesCS2D01G362200;TraesCS3B01G254500;TraesCS3B01G252200;TraesCS1D01G219200;TraesCS7B01G129300;TraesCS3D01G376500;TraesCS4D01G122800;TraesCS5D01G144600;TraesCS7D01G407700;TraesCS1A01G198400;TraesCS3D01G203400;TraesCS4B01G151200;TraesCS3A01G191700;TraesCS7B01G241900;TraesCS7D01G332300;TraesCS6B01G294700;TraesCS5A01G367700;TraesCS3D01G109700;TraesCS7B01G006600;TraesCS2B01G451100;TraesCS5D01G237400;TraesCS6B01G470900;TraesCS1B01G290800;TraesCS1B01G301500;TraesCS3B01G316500;TraesCS3A01G084400;TraesCS3B01G093800;TraesCS2A01G175400;TraesCS4A01G354500;TraesCS3A01G060300;TraesCS6D01G094200;TraesCS4B01G129700;TraesCS6D01G212000;TraesCS4A01G111600;TraesCS2D01G194000;TraesCS4D01G283800;TraesCS5A01G156400;TraesCS1B01G220700;TraesCS6A01G308100;TraesCS4A01G262900;TraesCS1D01G003700;TraesCS5D01G551200;TraesCS6B01G134800;TraesCS3D01G288000;TraesCS5D01G402300;TraesCS2B01G602100;TraesCS5B01G563800;TraesCS6B01G176600;TraesCS7A01G450600;TraesCS4D01G199300;TraesCS4D01G003100;TraesCS3D01G083400;TraesCS2D01G279300;TraesCS4D01G107000;TraesCS1D01G383500;TraesCS5B01G517900;TraesCS1A01G259700;TraesCS2A01G202600;TraesCS7D01G011800;TraesCS6A01G146500;TraesCS4A01G364400;TraesCS2B01G174700;TraesCS6B01G223200;TraesCS2A01G150000;TraesCS6A01G188100;TraesCS2B01G185800;TraesCS5D01G005300;TraesCS6D01G283300;TraesCS7D01G123400;TraesCS5B01G256400;TraesCS7D01G343300;TraesCS4A01G247300;TraesCS7A01G335600;TraesCS1A01G265000;TraesCS3A01G538300;TraesCS7D01G169500;TraesCS3D01G091000;TraesCS7B01G236400;TraesCS2B01G604300;TraesCS4B01G131800;TraesCS6B01G117100;TraesCS7A01G226000;TraesCS1A01G281700;TraesCS4B01G109900;TraesCS3B01G269900;TraesCS1D01G198700;TraesCS7B01G421100;TraesCS7B01G446500;TraesCS7D01G132000;TraesCS7D01G386000;TraesCS4A01G093100;TraesCS6A01G272300;TraesCS6D01G121300;TraesCS5D01G525000;TraesCS4A01G125000;TraesCS6A01G184000;TraesCS2A01G234900;TraesCS5D01G219500;TraesCS5A01G108000;TraesCS5D01G162400;TraesCS3D01G359900;TraesCS7D01G150200;TraesCS5A01G513500;TraesCS2B01G229600;TraesCS7A01G148600;TraesCS6B01G159200;TraesCS5D01G528400;TraesCS1A01G292100;TraesCS3A01G181600;TraesCS6A01G153600;TraesCS6B01G226000;TraesCS6D01G180500;TraesCS5A01G467500;TraesCS5D01G517600;TraesCS3B01G408800;TraesCS6D01G236400;TraesCS3D01G169000;TraesCS5B01G121500;TraesCS7A01G088100;TraesCS7D01G549100;TraesCS5B01G146700;TraesCS7B01G350400;TraesCS6A01G201800;TraesCS2A01G299200;TraesCS6B01G257900;TraesCS6B01G039900;TraesCS4B01G171300;TraesCS6B01G056200;TraesCS2B01G330100;TraesCS2D01G291200;TraesCS5A01G305400;TraesCS6A01G105400;TraesCS3D01G345500;TraesCS1B01G254000;TraesCS3A01G513500;TraesCS2D01G587100;TraesCS2B01G070700;TraesCS1D01G412600;TraesCS6D01G147900;TraesCS7A01G417000;TraesCS4D01G359000;TraesCS4A01G013500;TraesCS6A01G303800;TraesCS4B01G285000;TraesCS2A01G330000;TraesCS6B01G231400;TraesCS6D01G135800;TraesCS5A01G491400;TraesCS7B01G052200;TraesCS1B01G462200;TraesCS6B01G239000;TraesCS2D01G154100;TraesCS4A01G091100;TraesCS5D01G206500;TraesCS7A01G491200;TraesCS5B01G228900;TraesCS5B01G300100;TraesCS7D01G439900;TraesCS1D01G092200;TraesCS1D01G280900;TraesCS3B01G555600;TraesCS2A01G437700;TraesCS2D01G389900;TraesCS1A01G206900;TraesCS2A01G222600;TraesCS3D01G237100;TraesCS4D01G339700;TraesCS7D01G083200;TraesCS5A01G150700;TraesCS4D01G212600;TraesCS4B01G083600;TraesCS1B01G396800;TraesCS5D01G312400;TraesCS5A01G173800;TraesCS4D01G107400;TraesCS2D01G520000;TraesCS1B01G478800;TraesCS1D01G443100;TraesCS4B01G069200;TraesCS7A01G235200;TraesCS3B01G374400;TraesCS4A01G387000;TraesCS2A01G095300;TraesCS3A01G264700;TraesCS7B01G455500;TraesCS7D01G200800;TraesCS7D01G410100;TraesCS2D01G301200;TraesCS4A01G110800;TraesCS6D01G259500;TraesCS6B01G307200;TraesCS4A01G290400;TraesCS3A01G200400;TraesCS3A01G202700;TraesCS5B01G199400;TraesCS1D01G151800;TraesCS5D01G399200;TraesCS5B01G509100;TraesCS6D01G132500;TraesCS1A01G313300;TraesCS3D01G258900;TraesCS5B01G409700;TraesCS2B01G248100;TraesCS3A01G376300;TraesCS4B01G211800;TraesCS2D01G238600;TraesCS1D01G242400;TraesCS4A01G206400;TraesCS2B01G312600;TraesCS3D01G217600;TraesCS1D01G024800;TraesCS5B01G397300;TraesCS1A01G133500;TraesCS4D01G298800;TraesCS5B01G534400;TraesCS1A01G100600;TraesCS5B01G075800;TraesCS4A01G059500;TraesCS3A01G241700;TraesCS5D01G155800;TraesCS3D01G264800;TraesCS3D01G426300;TraesCS2A01G286500;TraesCS1D01G426400;TraesCS5A01G092400;TraesCS2B01G271300;TraesCS7D01G338600;TraesCS4A01G111000;TraesCS1D01G149900;TraesCS3D01G436100;TraesCS5D01G081700;TraesCS4B01G286700;TraesCS3A01G313300;TraesCS2A01G392900;TraesCS6B01G299800;TraesCS2A01G058700;TraesCS4A01G092500;TraesCS2B01G528300;TraesCS6D01G122800;TraesCS4D01G021400;TraesCS6A01G269400;TraesCS1A01G418700;TraesCS2A01G302500;TraesCS1A01G376400;TraesCS2B01G385300;TraesCS4B01G354600;TraesCS1B01G325100;TraesCS5B01G102600;TraesCS1A01G060100;TraesCS3A01G134100;TraesCS2B01G004000;TraesCS2A01G149600;TraesCS2B01G415500;TraesCS5B01G180300;TraesCS6B01G315800;TraesCS3D01G182400;TraesCS6B01G181300;TraesCS7B01G182300;TraesCS2D01G236100;TraesCS1A01G180200;TraesCS6A01G171300;TraesCS1D01G331000;TraesCS2B01G050600;TraesCS3D01G529200;TraesCS4B01G204500;TraesCS2D01G310000;TraesCS7D01G232000;TraesCS1A01G086500;TraesCS3A01G443700;TraesCS7B01G393400;TraesCS3A01G523700;TraesCS4B01G028100;TraesCS2A01G430500;TraesCS6D01G172500;TraesCS7B01G242200;TraesCS7D01G218000;TraesCS4D01G193500;TraesCS2B01G297800;TraesCS6A01G200200;TraesCS5A01G157000;TraesCS7A01G560200;TraesCS2B01G457600;TraesCS4A01G296200;TraesCS5B01G529300;TraesCS2B01G411000;TraesCS1B01G110400;TraesCS2A01G460000;TraesCS5A01G212500;TraesCS5D01G417400;TraesCS3D01G312200;TraesCS6B01G242800;TraesCS1B01G200300;TraesCS7D01G476500;TraesCS4A01G232300;TraesCS3A01G367000;TraesCS2A01G114400;TraesCS5A01G396700;TraesCS5B01G155200;TraesCS3A01G161800;TraesCS4D01G194300;TraesCS6B01G450500;TraesCS4B01G179400;TraesCS6A01G290600;TraesCS2A01G226000;TraesCS6D01G245600;TraesCS1D01G313800;TraesCS5A01G548800;TraesCS2D01G167300;TraesCS2A01G387000;TraesCS2B01G133500;TraesCS2D01G182700;TraesCS3A01G100000;TraesCS6D01G174700;TraesCS2B01G217700;TraesCS4A01G315700;TraesCS6D01G315500;TraesCS6A01G078200;TraesCS7D01G457900;TraesCS2D01G229600;TraesCS2B01G273900;TraesCS5B01G511800;TraesCS7B01G421800;TraesCS6A01G267300;TraesCS2A01G523600;TraesCS2B01G318400;TraesCS2D01G057900;TraesCS2A01G296400;TraesCS3A01G405300;TraesCS4A01G276300;TraesCS5D01G105500;TraesCS1B01G213300;TraesCS4D01G194400;TraesCS4A01G164900;TraesCS3A01G107900;TraesCS5D01G512300;TraesCS5A01G324200;TraesCS2B01G051500;TraesCS4D01G080700;TraesCS2B01G410100;TraesCS7B01G124100;TraesCS6D01G245500;TraesCS1D01G199100;TraesCS5D01G208300;TraesCS6A01G210200;TraesCS6D01G195400;TraesCS5D01G060900;TraesCS4A01G124000;TraesCS1A01G158500;TraesCS5B01G481100;TraesCS6B01G171600;TraesCS1B01G434400;TraesCS4A01G105500;TraesCS2B01G108200;TraesCS2B01G352300;TraesCS2B01G191800</t>
  </si>
  <si>
    <t>TraesCS1D01G264100;TraesCS2A01G095300;TraesCS1A01G264000;TraesCS2B01G174700;TraesCS6A01G360600;TraesCS7B01G352800;TraesCS6A01G379000;TraesCS1D01G331000;TraesCS4A01G164900;TraesCS1B01G049300;TraesCS5B01G339200;TraesCS2B01G122500;TraesCS2D01G362700;TraesCS3A01G200400;TraesCS1B01G293500;TraesCS1B01G274600;TraesCS7B01G124100;TraesCSU01G072700;TraesCS3D01G273800;TraesCS6D01G344100;TraesCS5A01G490500;TraesCS7A01G220600;TraesCS4B01G288200;TraesCS5D01G118200;TraesCS4D01G318200;TraesCS3A01G393400;TraesCS5D01G171100;TraesCS2A01G455300;TraesCS1A01G284300;TraesCS2B01G477400;TraesCS1D01G298400;TraesCS4A01G120000;TraesCS5B01G378700;TraesCS7D01G442100;TraesCS7A01G115400;TraesCS7A01G452800;TraesCS2D01G059400;TraesCS4B01G109700;TraesCS4B01G321500;TraesCS5B01G094300;TraesCS3D01G203400;TraesCS5D01G429200;TraesCS5A01G166800;TraesCS2D01G093700;TraesCS6B01G393500;TraesCS1A01G299500;TraesCS2A01G149600;TraesCS2D01G105300</t>
  </si>
  <si>
    <t>regulation of reproductive process</t>
  </si>
  <si>
    <t>TraesCS1B01G255100;TraesCS3D01G426300;TraesCS2B01G340300;TraesCS3A01G367000;TraesCS2A01G114400;TraesCS5A01G149000;TraesCS1B01G213300;TraesCS7D01G283600;TraesCS2B01G250000;TraesCS4B01G204500;TraesCS2A01G193800;TraesCS5B01G147600;TraesCS2A01G387000;TraesCS2D01G232300;TraesCS3D01G296900;TraesCS2D01G194000;TraesCS2B01G133500;TraesCS2A01G058700;TraesCS5B01G036800;TraesCS2A01G239200;TraesCS2B01G257300;TraesCS2B01G070700;TraesCS2B01G312600;TraesCS4B01G041900;TraesCS2A01G233300;TraesCS2A01G342600;TraesCS7A01G560200;TraesCS1A01G198400;TraesCS6A01G267300;TraesCS3A01G304900;TraesCS2D01G057900;TraesCS4A01G093100;TraesCS7D01G549100;TraesCS2A01G296400</t>
  </si>
  <si>
    <t>regulation of phosphate metabolic process</t>
  </si>
  <si>
    <t>regulation of phosphorus metabolic process</t>
  </si>
  <si>
    <t>TraesCS4B01G252400;TraesCS3A01G023800;TraesCS5D01G258900;TraesCS2A01G521400;TraesCS5B01G249000;TraesCS1D01G226500;TraesCS5B01G171400;TraesCS2B01G271300;TraesCS1B01G049300;TraesCS5D01G219500;TraesCS2D01G251000;TraesCS4B01G286700;TraesCS2A01G387000;TraesCS5D01G118200;TraesCS4D01G318200;TraesCS5D01G171100;TraesCS5D01G366500;TraesCS5B01G378700;TraesCS1B01G365600;TraesCS4B01G321500;TraesCS5B01G102600;TraesCS5D01G429200;TraesCS5A01G166800;TraesCS2A01G149600;TraesCS1B01G255100;TraesCS2B01G174700;TraesCS6A01G379000;TraesCS5A01G357400;TraesCS1D01G331000;TraesCS4A01G051900;TraesCS3D01G275600;TraesCS1B01G293500;TraesCS6D01G210000;TraesCS2D01G148200;TraesCS5A01G490500;TraesCS2A01G467900;TraesCS5D01G504600;TraesCS3A01G091100;TraesCS3A01G393400;TraesCS2A01G455300;TraesCS3A01G513500;TraesCS5A01G251000;TraesCS6A01G225200;TraesCS3D01G091000;TraesCS1A01G284300;TraesCS2B01G477400;TraesCS6B01G256400;TraesCS4B01G109700;TraesCS5D01G459800;TraesCS2B01G247100;TraesCS5A01G212500;TraesCS5A01G472100</t>
  </si>
  <si>
    <t>floral organ development</t>
  </si>
  <si>
    <t>TraesCS7D01G554900;TraesCS3A01G289900;TraesCS5D01G470400;TraesCS7D01G294300;TraesCS7B01G093800;TraesCS7B01G320800;TraesCS3A01G202000;TraesCS2D01G102100;TraesCS6B01G182300;TraesCS5A01G490800;TraesCS7D01G303100;TraesCS4A01G283700;TraesCS4D01G088200;TraesCS7D01G188300;TraesCS5D01G148100;TraesCS4D01G317900;TraesCS7A01G192000;TraesCS3B01G229700;TraesCS1A01G116200;TraesCS3A01G292700;TraesCSU01G142500;TraesCS6D01G405600;TraesCS7D01G117800;TraesCS4B01G091100;TraesCS1D01G376900;TraesCS5D01G056900;TraesCS4B01G321300;TraesCS3B01G324500;TraesCS5D01G517200;TraesCS1D01G146600;TraesCS2B01G491700;TraesCS2B01G119700;TraesCS5B01G255700;TraesCS5A01G046600;TraesCS1D01G341100;TraesCS7A01G120300;TraesCS7A01G518200;TraesCS4A01G355000;TraesCS5B01G517500;TraesCS7D01G193000;TraesCS1B01G368500;TraesCS5B01G142900;TraesCS7A01G189000;TraesCS2A01G102600;TraesCS4A01G446700;TraesCS1A01G094000;TraesCS1D01G356900;TraesCS3D01G289600;TraesCS7D01G508100;TraesCS1D01G117400;TraesCS6B01G104600;TraesCS1B01G167200;TraesCS7A01G555700;TraesCS7B01G097000;TraesCS5D01G230300;TraesCS6A01G420100;TraesCS1A01G339300;TraesCS6A01G077800;TraesCS3A01G488100;TraesCS5A01G222500;TraesCS6A01G154400;TraesCS5B01G320100;TraesCS5A01G143800;TraesCS4B01G029400;TraesCS1A01G064000;TraesCS7B01G092500;TraesCS2A01G468800</t>
  </si>
  <si>
    <t>TraesCS5A01G088400;TraesCS1D01G264100;TraesCS3A01G212600;TraesCS1A01G264000;TraesCS6A01G360600;TraesCS2B01G321700;TraesCS2D01G303500;TraesCS3B01G224600;TraesCS3A01G200400;TraesCS1B01G274600;TraesCS7D01G454700;TraesCS6D01G344100;TraesCS1B01G146200;TraesCS4A01G178600;TraesCS2A01G103300;TraesCS6B01G304100;TraesCS5D01G100800;TraesCS4B01G138800;TraesCS1D01G298400;TraesCS5B01G094600;TraesCS3B01G242700;TraesCS1D01G125300;TraesCS3D01G203400;TraesCS6B01G393500;TraesCS4D01G133500;TraesCS1A01G129400;TraesCS1A01G299500;TraesCS7A01G466900</t>
  </si>
  <si>
    <t>TraesCS6A01G173900;TraesCS3B01G014900;TraesCS6B01G221000;TraesCS2D01G139700;TraesCS6B01G454500;TraesCS2A01G007500;TraesCS3A01G472400;TraesCS6B01G215800;TraesCS6B01G191500;TraesCS6B01G418400;TraesCS2A01G444600;TraesCS2A01G247300;TraesCS2A01G400900;TraesCS2D01G009200;TraesCS5A01G378000;TraesCS6B01G421700;TraesCS3D01G168600;TraesCS3B01G470500;TraesCS3B01G193200;TraesCS6D01G334400;TraesCS7B01G240200;TraesCS2B01G087600;TraesCS1D01G376900;TraesCS4B01G350400;TraesCS7B01G113100;TraesCS2B01G220100;TraesCS5B01G163700;TraesCS6D01G234900;TraesCS5B01G381600;TraesCS5B01G142900;TraesCS5B01G184300;TraesCS6A01G045800;TraesCS2B01G233400;TraesCS6A01G379800;TraesCS2A01G193800;TraesCS7D01G022700;TraesCS2D01G448500;TraesCS7B01G114100;TraesCS1B01G469400;TraesCS4D01G220700;TraesCS7D01G326000;TraesCS3A01G091100;TraesCS7B01G215000;TraesCS5B01G380500;TraesCS6A01G420100;TraesCS7B01G189900;TraesCS1A01G095600;TraesCS6A01G319700;TraesCS2A01G365600;TraesCS4B01G016300;TraesCS3A01G458000;TraesCS4D01G120900;TraesCS6D01G265400;TraesCS5D01G106000;TraesCS5B01G171100;TraesCS5D01G293100;TraesCS3B01G240500;TraesCS3B01G517900;TraesCS4A01G456400;TraesCS4D01G160200;TraesCS7B01G174700;TraesCS1A01G102300;TraesCS5D01G396300;TraesCS4A01G248200;TraesCS5A01G229300;TraesCS3D01G136800;TraesCS7A01G269900;TraesCS4D01G082700;TraesCS6D01G178800;TraesCS7D01G270400;TraesCS4A01G159500;TraesCS1A01G403800;TraesCS6D01G287400;TraesCS1D01G048200;TraesCS3D01G407300;TraesCS4D01G172000;TraesCS2D01G422000;TraesCS2D01G356700;TraesCS7A01G327600;TraesCS1B01G216300;TraesCS1B01G432400;TraesCS2D01G508800;TraesCS5A01G186200;TraesCS2D01G191000;TraesCS3A01G438700;TraesCS5D01G375800;TraesCS4A01G464200;TraesCS3A01G161300;TraesCS5A01G155600;TraesCS5D01G117100;TraesCS6B01G166400;TraesCS6D01G228200;TraesCS5B01G310600;TraesCS5B01G413400;TraesCS5B01G549200;TraesCS5D01G161800;TraesCS1A01G254400;TraesCS1B01G379800;TraesCS4D01G079200;TraesCS3B01G344200;TraesCS6D01G367300;TraesCS3D01G336200;TraesCS7D01G291200;TraesCS3B01G308700;TraesCS4B01G089500;TraesCS3B01G413700;TraesCS6B01G421600;TraesCS4A01G193700;TraesCS4B01G123900;TraesCS5D01G412700;TraesCS2A01G159900;TraesCS6D01G233800;TraesCS4A01G088600;TraesCS6D01G309000;TraesCS2B01G477400;TraesCS6B01G451100;TraesCS2B01G325100;TraesCS4A01G005000;TraesCS5D01G157300;TraesCS5D01G209000;TraesCS7D01G292300;TraesCS5D01G098400;TraesCS3B01G192400;TraesCS7B01G092500;TraesCS6D01G301400;TraesCS5D01G013100;TraesCS3A01G157900;TraesCS4D01G175300;TraesCS7D01G227300;TraesCS4B01G040800;TraesCS7A01G565000;TraesCS7D01G187200;TraesCS6B01G470700;TraesCS1D01G401900;TraesCS5D01G095200;TraesCS4A01G134800;TraesCS6A01G103400;TraesCS5B01G539900;TraesCS7A01G276400;TraesCS2D01G600700;TraesCS2A01G455200;TraesCS4B01G220400;TraesCS3D01G431100;TraesCS2A01G268400;TraesCS5B01G265100;TraesCS7D01G203100;TraesCS5B01G322900;TraesCS5B01G154600;TraesCS5B01G198300;TraesCS3B01G324500;TraesCS5B01G396900;TraesCS3A01G381000;TraesCS5D01G218800;TraesCS2A01G187200;TraesCS5A01G004200;TraesCS5A01G153100;TraesCS3D01G241900;TraesCS3A01G075700;TraesCS1A01G224700;TraesCS3A01G052700;TraesCS4A01G083100;TraesCS3D01G266200;TraesCS7D01G483600;TraesCS2D01G267400;TraesCS2D01G269700;TraesCS5A01G484700;TraesCS5B01G197300;TraesCS1B01G170600;TraesCS2B01G286100;TraesCS3A01G412600;TraesCS4A01G134900;TraesCS7B01G229800;TraesCS6A01G229400;TraesCS4D01G025300;TraesCS6D01G166400;TraesCS5D01G238300;TraesCS2B01G245600;TraesCS2D01G138200;TraesCS2D01G443100;TraesCS3A01G266100;TraesCS1A01G362700;TraesCS4A01G131400;TraesCS2A01G128300;TraesCS5D01G094000;TraesCS6D01G177400;TraesCS3D01G075800;TraesCS7B01G052900;TraesCS5D01G470400;TraesCS2D01G320900;TraesCS5B01G132600;TraesCS3B01G299400;TraesCS4A01G294500;TraesCS1B01G190000;TraesCS5B01G501200;TraesCS3B01G262000;TraesCS2B01G223700;TraesCS2D01G523100;TraesCS5A01G095200;TraesCS7B01G320800;TraesCS4A01G111600;TraesCS2D01G194000;TraesCS3A01G135800;TraesCS2B01G150400;TraesCS4D01G157900;TraesCS7D01G377200;TraesCS3B01G439000;TraesCS5D01G165300;TraesCS2A01G342600;TraesCS2A01G585800;TraesCS6A01G110000;TraesCS6D01G405600;TraesCS3B01G275200;TraesCS6B01G279200;TraesCS4D01G003100;TraesCS2B01G222600;TraesCS5A01G159800;TraesCS6D01G238500;TraesCS5A01G132300;TraesCS1A01G201600;TraesCS3B01G211500;TraesCS7B01G186300;TraesCS4B01G233300;TraesCS2A01G202600;TraesCS1D01G194000;TraesCS2D01G401600;TraesCS7A01G294000;TraesCS4B01G244400;TraesCS2B01G185800;TraesCS5A01G542600;TraesCS1D01G117400;TraesCS2B01G267700;TraesCS5A01G087700;TraesCS5B01G256400;TraesCS2B01G230200;TraesCS2A01G455300;TraesCS1D01G164600;TraesCS2D01G214700;TraesCS3B01G153900;TraesCS2A01G270600;TraesCS3B01G607600;TraesCS3D01G091000;TraesCS6A01G191500;TraesCS3B01G141700;TraesCS3D01G412500;TraesCS5D01G329200;TraesCS3B01G269900;TraesCS6A01G077800;TraesCS3B01G328800;TraesCS1A01G198600;TraesCS4D01G292300;TraesCS5D01G170900;TraesCS3D01G186300;TraesCS3D01G165500;TraesCS2A01G517500;TraesCS1D01G411300;TraesCS2A01G404700;TraesCS6B01G267800;TraesCS1D01G413600;TraesCS5D01G107900;TraesCS5D01G388000;TraesCS1A01G044800;TraesCS3D01G285100;TraesCS4B01G019000;TraesCS7A01G238400;TraesCS7D01G150200;TraesCS5A01G213200;TraesCS1D01G226100;TraesCS5B01G407500;TraesCS3B01G453500;TraesCS4B01G043000;TraesCS7A01G148600;TraesCS1B01G197100;TraesCS5B01G227900;TraesCS6A01G418800;TraesCSU01G064900;TraesCS7D01G276300;TraesCS3D01G196400;TraesCSU01G142500;TraesCS5A01G181500;TraesCS1A01G416000;TraesCS2A01G357400;TraesCS2A01G206200;TraesCS3D01G356400;TraesCS7D01G231300;TraesCS7A01G355800;TraesCS2A01G424200;TraesCS3A01G210000;TraesCS3B01G362500;TraesCS7D01G336600;TraesCS4B01G084800;TraesCS7D01G311300;TraesCS7D01G313600;TraesCS2D01G429500;TraesCS2D01G565200;TraesCS2D01G225800;TraesCS3D01G289600;TraesCS6A01G289200;TraesCS1A01G340400;TraesCS4B01G399200;TraesCS4B01G171300;TraesCS5A01G454300;TraesCS6A01G382400;TraesCS1D01G185600;TraesCS4D01G017400;TraesCS5D01G230300;TraesCS2D01G212600;TraesCS3A01G181500;TraesCS4D01G365800;TraesCS2A01G550300;TraesCS5A01G030400;TraesCS2A01G330000;TraesCS1D01G125500;TraesCS6A01G188700;TraesCS4D01G038200;TraesCS7B01G052200;TraesCS3D01G400200;TraesCS7A01G491200;TraesCS4B01G170300;TraesCS6D01G364400;TraesCS6B01G384900;TraesCS5D01G166800;TraesCS3B01G555600;TraesCS6A01G245800;TraesCS3B01G105200;TraesCS7A01G192000;TraesCS1A01G154400;TraesCS2B01G272300;TraesCS1D01G423500;TraesCS2B01G159600;TraesCS2D01G311100;TraesCS5D01G536100;TraesCS3B01G374400;TraesCS2A01G380200;TraesCS2D01G202900;TraesCS2A01G183200;TraesCS4D01G315200;TraesCS4B01G355100;TraesCS6A01G253400;TraesCS6D01G091900;TraesCS4B01G170400;TraesCS4A01G238100;TraesCS3D01G159100;TraesCS2D01G248400;TraesCS1B01G211400;TraesCS3A01G294200;TraesCS5B01G409700;TraesCS6D01G247400;TraesCS5D01G357600;TraesCS4B01G211800;TraesCS5B01G145700;TraesCS7B01G135500;TraesCS5D01G095800;TraesCS2B01G312600;TraesCS3D01G397100;TraesCS3A01G417000;TraesCS6B01G115200;TraesCS4D01G065600;TraesCS4B01G180100;TraesCS2D01G398400;TraesCS3A01G362600;TraesCS7D01G409000;TraesCS4D01G086400;TraesCS7A01G239700;TraesCS4B01G239100;TraesCS4A01G319000;TraesCS2D01G200700;TraesCS1D01G104500;TraesCS5B01G089400;TraesCS3A01G241700;TraesCS1A01G323200;TraesCS3D01G426300;TraesCS1A01G182400;TraesCS1A01G075700;TraesCS7B01G021400;TraesCS5B01G159600;TraesCS7D01G277000;TraesCS3B01G072500;TraesCS5B01G138900;TraesCS1D01G124600;TraesCS3B01G300400;TraesCS2B01G376600;TraesCS3B01G046100;TraesCS4A01G226900;TraesCS3D01G359500;TraesCS3B01G438500;TraesCS5D01G372500;TraesCS4A01G092500;TraesCS2B01G477300;TraesCS1A01G418700;TraesCS2B01G385300;TraesCS7A01G358000;TraesCS6B01G194600;TraesCS6D01G181200;TraesCS3B01G161900;TraesCS2B01G329600;TraesCS1A01G060100;TraesCS3A01G134100;TraesCS6A01G257300;TraesCS1A01G033500;TraesCS7D01G237800;TraesCS2B01G340300;TraesCS6A01G196600;TraesCS2A01G102600;TraesCS3B01G331600;TraesCS1B01G198500;TraesCS6B01G301300;TraesCS1B01G215800;TraesCS4B01G204500;TraesCS6A01G285000;TraesCS2A01G203100;TraesCS1D01G411000;TraesCS6B01G272300;TraesCS5A01G173700;TraesCS6D01G172500;TraesCS1B01G336000;TraesCS1D01G303800;TraesCS7D01G374900;TraesCS2A01G252600;TraesCS7A01G149200;TraesCS6D01G248800;TraesCS7A01G239900;TraesCS2D01G294300;TraesCS7A01G187800;TraesCS3D01G220400;TraesCS2A01G460000;TraesCS5A01G392000;TraesCS2B01G415600;TraesCS3A01G266900;TraesCS1B01G317500;TraesCS5D01G401900;TraesCS3B01G308200;TraesCS7A01G200100;TraesCS6A01G220100;TraesCS2A01G521400;TraesCS3A01G161800;TraesCS1D01G264700;TraesCS1A01G264500;TraesCS3B01G291000;TraesCS6A01G290600;TraesCS6B01G089500;TraesCS4B01G154100;TraesCS5A01G140600;TraesCS5A01G265400;TraesCS2A01G557600;TraesCS1B01G422200;TraesCS4A01G231200;TraesCS4D01G172400;TraesCS3A01G232700;TraesCS6B01G319000;TraesCS1B01G365600;TraesCS7D01G339600;TraesCS7D01G457900;TraesCS6D01G186800;TraesCS6D01G104100;TraesCS2A01G523600;TraesCS6A01G408400;TraesCS4A01G324400;TraesCS7A01G277000;TraesCS2B01G318400;TraesCS2A01G296400;TraesCS7D01G193000;TraesCS6D01G299200;TraesCS3A01G405300;TraesCS6D01G152700;TraesCS7A01G342800;TraesCS2A01G380500;TraesCS3A01G191000;TraesCS5D01G164800;TraesCS2B01G454000;TraesCS7A01G314100;TraesCS6B01G104600;TraesCS2B01G246200;TraesCS1D01G367600;TraesCS5B01G101400;TraesCS5A01G418200;TraesCS7B01G097000;TraesCS7D01G188800;TraesCS2B01G270300;TraesCS4D01G348600;TraesCS2B01G352300;TraesCS5B01G320100;TraesCS5A01G524400;TraesCS2A01G149700</t>
  </si>
  <si>
    <t>TraesCS1D01G264100;TraesCS4B01G252400;TraesCS3D01G231200;TraesCS5B01G249000;TraesCS1D01G226500;TraesCS2B01G271300;TraesCS1B01G049300;TraesCS3A01G270600;TraesCS5D01G219500;TraesCS4B01G286700;TraesCSU01G072700;TraesCS3D01G273800;TraesCS2A01G392900;TraesCS5D01G171100;TraesCS4D01G153900;TraesCS5D01G366500;TraesCS4B01G220400;TraesCS6B01G253900;TraesCS5B01G378700;TraesCS7A01G115400;TraesCS4B01G321500;TraesCS5B01G102600;TraesCS5D01G429200;TraesCS5A01G166800;TraesCS2A01G149600;TraesCS4D01G213800;TraesCS1B01G255100;TraesCS7A01G250500;TraesCS1A01G264000;TraesCS5D01G260600;TraesCS1A01G180200;TraesCS7A01G307000;TraesCS6A01G379000;TraesCS1D01G331000;TraesCS6A01G312100;TraesCS3D01G275600;TraesCS4D01G220700;TraesCS5D01G504600;TraesCS3A01G091100;TraesCS3A01G393400;TraesCS3A01G513500;TraesCS5A01G251000;TraesCS6A01G225200;TraesCS5D01G230300;TraesCS1D01G412600;TraesCS4D01G359000;TraesCS4A01G120000;TraesCS6B01G256400;TraesCS4B01G109700;TraesCS5D01G459800;TraesCS2B01G247100;TraesCS5A01G212500;TraesCS5A01G472100;TraesCS5D01G285200;TraesCS7B01G117600;TraesCS1B01G200300;TraesCS3A01G023800;TraesCS5D01G258900;TraesCS4A01G194100;TraesCS2A01G521400;TraesCS5A01G396700;TraesCS5B01G171400;TraesCS2D01G362700;TraesCS2D01G251000;TraesCS1D01G013100;TraesCS1B01G375300;TraesCS5A01G548800;TraesCS2D01G118000;TraesCS2D01G205900;TraesCS2A01G387000;TraesCS5D01G118200;TraesCS4A01G138800;TraesCS4D01G318200;TraesCS4D01G132900;TraesCS1B01G365600;TraesCS3B01G154900;TraesCS5B01G387600;TraesCS1B01G019300;TraesCS2B01G174700;TraesCS1A01G358800;TraesCS5A01G357400;TraesCS3A01G214000;TraesCS6A01G188100;TraesCS4A01G051900;TraesCS3D01G114000;TraesCS1B01G293500;TraesCS4D01G080700;TraesCS6D01G210000;TraesCS2D01G148200;TraesCS5A01G490500;TraesCS2A01G467900;TraesCS6D01G174500;TraesCS2A01G455300;TraesCS2A01G480200;TraesCS3D01G091000;TraesCS1A01G284300;TraesCS2B01G477400;TraesCS1B01G434400;TraesCS6B01G231600;TraesCS6B01G342300;TraesCS7B01G207300</t>
  </si>
  <si>
    <t>reproductive structure development</t>
  </si>
  <si>
    <t>reproductive system development</t>
  </si>
  <si>
    <t>TraesCS5A01G229300;TraesCS7D01G227300;TraesCS1D01G411300;TraesCS7B01G142700;TraesCS2D01G320900;TraesCS6B01G454500;TraesCS5D01G474200;TraesCS4A01G310600;TraesCS6B01G191500;TraesCS2B01G240000;TraesCS7A01G238400;TraesCS2A01G247300;TraesCS4A01G226900;TraesCS1A01G403800;TraesCS7A01G276400;TraesCS5B01G227900;TraesCS2D01G220800;TraesCS7D01G276300;TraesCS2A01G342600;TraesCS5B01G322900;TraesCS3A01G381000;TraesCS2A01G254600;TraesCS6A01G408400;TraesCS2A01G206200;TraesCS2A01G187200;TraesCS2B01G220100;TraesCS7D01G549100;TraesCS6D01G299200;TraesCS2B01G340300;TraesCS7D01G311300;TraesCS3A01G321900;TraesCS2A01G215000;TraesCS6D01G152700;TraesCS7A01G504900;TraesCS2D01G112000;TraesCS2D01G248400;TraesCS2B01G233400;TraesCS2B01G267500;TraesCS3B01G344200;TraesCS7A01G314100;TraesCS4B01G089500;TraesCS5D01G357600;TraesCS2D01G255100;TraesCS5A01G454300;TraesCS7B01G215000;TraesCS4A01G101500;TraesCS4D01G204000;TraesCS6A01G319700;TraesCS5D01G329200;TraesCS4B01G203100;TraesCS2B01G270300;TraesCS4D01G086400;TraesCS5D01G238300;TraesCS7A01G560200;TraesCS3D01G309400;TraesCS2B01G130300;TraesCS2D01G200700;TraesCS4D01G003600;TraesCS1B01G317500</t>
  </si>
  <si>
    <t>TraesCS1D01G264100;TraesCS2D01G477200;TraesCS6A01G360600;TraesCS7B01G352800;TraesCS4D01G278500;TraesCS1B01G049300;TraesCS1B01G274600;TraesCS3D01G273800;TraesCS3A01G336100;TraesCS3A01G097200;TraesCS4A01G023500;TraesCS4D01G318200;TraesCS5D01G171100;TraesCS7D01G442100;TraesCS2D01G059400;TraesCS4B01G321500;TraesCS5A01G166800;TraesCS6B01G393500;TraesCS5B01G037500;TraesCS2A01G149600;TraesCS2A01G095300;TraesCS2B01G401900;TraesCS5D01G193000;TraesCS5D01G044700;TraesCS1A01G264000;TraesCS2B01G174700;TraesCS6A01G379000;TraesCS1D01G331000;TraesCS5A01G036600;TraesCS4A01G164900;TraesCS3A01G200400;TraesCS7B01G124100;TraesCS6D01G344100;TraesCS5A01G490500;TraesCS7A01G220600;TraesCS5B01G185700;TraesCS3B01G252200;TraesCS2A01G478000;TraesCS1D01G298400;TraesCS6B01G190300;TraesCS7A01G452800;TraesCS2A01G382000;TraesCS4B01G109700;TraesCS3D01G203400;TraesCS2D01G093700;TraesCS6A01G161200;TraesCS2B01G247100;TraesCS1A01G299500;TraesCS2B01G501300</t>
  </si>
  <si>
    <t>TraesCS2B01G174600;TraesCS2A01G095300;TraesCS5D01G171100;TraesCS2B01G174700;TraesCS3B01G252200;TraesCS6A01G360600;TraesCS7B01G352800;TraesCS1A01G284300;TraesCS5B01G378700;TraesCS7D01G442100;TraesCS6B01G190300;TraesCS7A01G452800;TraesCS2D01G059400;TraesCS4B01G109700;TraesCS1B01G293500;TraesCS5A01G166800;TraesCS2D01G093700;TraesCS6A01G161200;TraesCS6B01G393500;TraesCS6D01G344100;TraesCS2A01G149500;TraesCS2A01G149600</t>
  </si>
  <si>
    <t>regulation of cell cycle G2/M phase transition</t>
  </si>
  <si>
    <t>TraesCS1D01G264100;TraesCS4B01G252400;TraesCS3D01G231200;TraesCS5B01G249000;TraesCS1D01G226500;TraesCS2B01G271300;TraesCS1B01G049300;TraesCS3A01G270600;TraesCS5B01G339200;TraesCS1D01G401900;TraesCS5D01G219500;TraesCS4B01G286700;TraesCSU01G072700;TraesCS3D01G273800;TraesCS2A01G392900;TraesCS4B01G238900;TraesCS5D01G171100;TraesCS4D01G153900;TraesCS5D01G366500;TraesCS4B01G220400;TraesCS6B01G253900;TraesCS5B01G378700;TraesCS1A01G076000;TraesCS7A01G115400;TraesCS4B01G321500;TraesCS5B01G102600;TraesCS5D01G429200;TraesCS5A01G166800;TraesCS2A01G149600;TraesCS4D01G213800;TraesCS1B01G255100;TraesCS7A01G250500;TraesCS1A01G264000;TraesCS5D01G260600;TraesCS1A01G180200;TraesCS7A01G307000;TraesCS6A01G379000;TraesCS4A01G062200;TraesCS1D01G331000;TraesCS6A01G312100;TraesCS3D01G275600;TraesCS1A01G206600;TraesCS4D01G220700;TraesCS5D01G504600;TraesCS3A01G091100;TraesCS3A01G393400;TraesCS3A01G513500;TraesCS5A01G251000;TraesCS6A01G225200;TraesCS5D01G230300;TraesCS5A01G123700;TraesCS1D01G412600;TraesCS4D01G359000;TraesCS4A01G120000;TraesCS6B01G256400;TraesCS4B01G109700;TraesCS5D01G459800;TraesCS2B01G247100;TraesCS5A01G212500;TraesCS5A01G472100;TraesCS5D01G285200;TraesCS7B01G117600;TraesCS1B01G200300;TraesCS2A01G128300;TraesCS5B01G201700;TraesCS3A01G023800;TraesCS5D01G258900;TraesCS4A01G194100;TraesCS2A01G521400;TraesCS5A01G396700;TraesCS5B01G171400;TraesCS2D01G362700;TraesCS2D01G251000;TraesCS1D01G013100;TraesCS1B01G375300;TraesCS5A01G548800;TraesCS2D01G118000;TraesCS2D01G205900;TraesCS2A01G387000;TraesCS5D01G118200;TraesCS4A01G138800;TraesCS4D01G318200;TraesCS4D01G132900;TraesCS1B01G422200;TraesCS2B01G150400;TraesCS1B01G365600;TraesCS3B01G154900;TraesCS5B01G387600;TraesCS1B01G019300;TraesCS4B01G193400;TraesCS2B01G174700;TraesCS1A01G358800;TraesCS5A01G357400;TraesCS3A01G214000;TraesCS6A01G188100;TraesCS4A01G051900;TraesCS3D01G114000;TraesCS1B01G293500;TraesCS4D01G080700;TraesCS6D01G210000;TraesCS2D01G148200;TraesCS5A01G490500;TraesCS2A01G467900;TraesCS6D01G174500;TraesCS2A01G455300;TraesCS2A01G480200;TraesCS4B01G138200;TraesCS3D01G091000;TraesCS1A01G284300;TraesCS2B01G477400;TraesCS1B01G434400;TraesCSU01G132400;TraesCS6B01G231600;TraesCS6B01G342300;TraesCS7B01G207300</t>
  </si>
  <si>
    <t>developmental process involved in reproduction</t>
  </si>
  <si>
    <t>TraesCS1D01G264100;TraesCS2D01G477200;TraesCS6A01G360600;TraesCS7B01G352800;TraesCS5A01G229500;TraesCS4D01G278500;TraesCS7B01G176200;TraesCS1B01G049300;TraesCS1D01G315700;TraesCS2B01G133300;TraesCS1B01G274600;TraesCS3D01G273800;TraesCS3A01G336100;TraesCS3A01G097200;TraesCS4A01G023500;TraesCS4D01G318200;TraesCS5D01G171100;TraesCS7D01G442100;TraesCS2D01G059400;TraesCS4B01G321500;TraesCS5A01G166800;TraesCS6B01G393500;TraesCS5B01G037500;TraesCS2A01G149600;TraesCS2A01G095300;TraesCS2B01G401900;TraesCS5D01G193000;TraesCS5D01G044700;TraesCS1A01G264000;TraesCS2B01G174700;TraesCS2D01G114900;TraesCS6A01G379000;TraesCS1D01G331000;TraesCS5A01G036600;TraesCS4A01G164900;TraesCS3A01G200400;TraesCS7B01G124100;TraesCS6D01G344100;TraesCS5A01G490500;TraesCS7A01G220600;TraesCS5B01G185700;TraesCS3B01G252200;TraesCS2A01G478000;TraesCS1D01G298400;TraesCS6B01G190300;TraesCS7A01G452800;TraesCS2A01G382000;TraesCS4B01G109700;TraesCS3D01G203400;TraesCS2D01G093700;TraesCS6A01G161200;TraesCS2B01G247100;TraesCS1A01G299500;TraesCS2B01G501300</t>
  </si>
  <si>
    <t>TraesCS4B01G015600;TraesCS5D01G143800;TraesCS5B01G171400;TraesCS7D01G283600;TraesCS1B01G049300;TraesCS2D01G362700;TraesCS3D01G273800;TraesCS2A01G387000;TraesCS2D01G014800;TraesCS6A01G143300;TraesCS4D01G147100;TraesCS5D01G551200;TraesCS1D01G030500;TraesCS4A01G052600;TraesCS4A01G315700;TraesCS4D01G013900;TraesCS5B01G563800;TraesCS3D01G083400;TraesCS2A01G280500;TraesCS2D01G279300;TraesCS2B01G004000;TraesCS7D01G300000;TraesCS7D01G549100;TraesCS3A01G151100;TraesCS1B01G255100;TraesCS7A01G307000;TraesCS3D01G304800;TraesCS5A01G149000;TraesCS1B01G213300;TraesCS1A01G195500;TraesCS6D01G132500;TraesCS1D01G199100;TraesCS5B01G147600;TraesCS3D01G514100;TraesCS3A01G513500;TraesCS5B01G036800;TraesCS1D01G412600;TraesCS4A01G298100;TraesCS6B01G171600;TraesCS1B01G434400;TraesCS2B01G297800;TraesCS6A01G319100;TraesCS7A01G560200;TraesCS5B01G094300;TraesCS1A01G198400;TraesCS3A01G082700;TraesCS1D01G211600;TraesCS7B01G207300;TraesCS5D01G094000;TraesCS1B01G462200</t>
  </si>
  <si>
    <t>positive regulation of nucleobase-containing compound metabolic process</t>
  </si>
  <si>
    <t>regulation of G2/M transition of mitotic cell cycle</t>
  </si>
  <si>
    <t>TraesCS7D01G554900;TraesCS3A01G289900;TraesCS5D01G470400;TraesCS7D01G294300;TraesCS2A01G102600;TraesCS3D01G289600;TraesCS3A01G189400;TraesCS4A01G166900;TraesCS1D01G101200;TraesCS1D01G117400;TraesCS6B01G104600;TraesCS1B01G167200;TraesCS3A01G202000;TraesCS7A01G182200;TraesCS4B01G211800;TraesCS2D01G102100;TraesCS6B01G182300;TraesCS4D01G151900;TraesCS5A01G490800;TraesCS7A01G555700;TraesCS4A01G092500;TraesCS4D01G212600;TraesCS5D01G230300;TraesCS6A01G420100;TraesCS4D01G317900;TraesCS3B01G229700;TraesCS3A01G417000;TraesCS1A01G116200;TraesCS3A01G292700;TraesCS3D01G412500;TraesCSU01G142500;TraesCS6D01G405600;TraesCS7D01G409000;TraesCS4B01G321300;TraesCS6A01G077800;TraesCS3B01G324500;TraesCS5A01G222500;TraesCS5D01G517200;TraesCS6A01G154400;TraesCS1A01G092700;TraesCS1D01G146600;TraesCS2B01G119700;TraesCS4A01G355000;TraesCS5B01G517500</t>
  </si>
  <si>
    <t>TraesCS6D01G016900;TraesCS5B01G484700;TraesCS5A01G200800;TraesCS1A01G369600;TraesCS1D01G210200;TraesCS4B01G213600;TraesCS2D01G014800;TraesCS3B01G206600;TraesCS4D01G153900;TraesCS3B01G193200;TraesCS5A01G014400;TraesCS5B01G412400;TraesCS3A01G228000;TraesCS4B01G169900;TraesCS6B01G411900;TraesCS7A01G541200;TraesCS1A01G355200;TraesCS4B01G050200;TraesCS5D01G444700;TraesCS7B01G104400;TraesCS2B01G234500;TraesCS4D01G135000;TraesCS5B01G324800;TraesCS6A01G133100;TraesCS5B01G171200;TraesCS2D01G233900;TraesCS6D01G142900;TraesCS3A01G205100;TraesCS4A01G286700;TraesCS3A01G178900;TraesCS4B01G017400;TraesCS3A01G216100;TraesCS3A01G344300;TraesCS2A01G193800;TraesCS5D01G376600;TraesCS5D01G026000;TraesCS1B01G469400;TraesCS6D01G390000;TraesCS3A01G091100;TraesCS6D01G287300;TraesCS6B01G270400;TraesCS5A01G014500;TraesCSU01G068800;TraesCS4D01G025700;TraesCS5B01G082400;TraesCS2D01G092500;TraesCS5A01G093200;TraesCS4D01G015900;TraesCS5B01G174600;TraesCS4A01G361100;TraesCS7D01G224400;TraesCS4D01G160200;TraesCS2B01G201700;TraesCS2D01G093700;TraesCS5D01G178300;TraesCS1A01G125000;TraesCS2A01G313000;TraesCS3B01G309700;TraesCS3B01G376200;TraesCS2B01G207000;TraesCS6D01G047400;TraesCS3D01G210300;TraesCS6A01G245000;TraesCS6D01G161000;TraesCS7D01G283600;TraesCS3D01G434800;TraesCS2D01G251000;TraesCS1B01G274600;TraesCS2B01G303300;TraesCS7A01G222800;TraesCS7B01G317000;TraesCS7A01G316700;TraesCS3D01G369100;TraesCS4A01G191500;TraesCS1A01G275400;TraesCS3D01G407300;TraesCS4D01G132900;TraesCS6A01G212200;TraesCS4D01G172000;TraesCS7D01G543200;TraesCS6D01G252400;TraesCS6B01G159800;TraesCS7A01G190500;TraesCS4D01G081600;TraesCS6A01G158300;TraesCS6A01G125400;TraesCS5D01G321900;TraesCS1B01G366400;TraesCS2D01G213100;TraesCS5A01G315800;TraesCS6B01G296700;TraesCS6D01G358500;TraesCS7A01G510900;TraesCS5D01G161800;TraesCS1A01G025900;TraesCS1A01G254400;TraesCS1A01G195500;TraesCS2B01G328500;TraesCS2D01G597600;TraesCS3D01G336200;TraesCS7D01G291200;TraesCS2B01G154700;TraesCS4A01G193700;TraesCS2A01G159900;TraesCS7B01G217500;TraesCS5B01G036800;TraesCS2A01G132200;TraesCS5A01G230400;TraesCS4B01G041900;TraesCS3B01G103500;TraesCS6A01G279100;TraesCS3A01G288200;TraesCS1A01G024700;TraesCS3D01G379000;TraesCS6D01G189700;TraesCS3A01G082700;TraesCS4A01G005000;TraesCS6B01G099900;TraesCS3A01G276100;TraesCS4D01G003600;TraesCS4D01G036500;TraesCS1D01G264100;TraesCS5D01G013100;TraesCS3A01G478100;TraesCS7A01G390300;TraesCS3A01G342300;TraesCS1D01G401900;TraesCS1D01G275000;TraesCS5D01G481500;TraesCSU01G158800;TraesCS5A01G089900;TraesCS5B01G539900;TraesCS1D01G265200;TraesCS6D01G227300;TraesCS6A01G143300;TraesCS6A01G147900;TraesCS4B01G138100;TraesCS5A01G119300;TraesCS3D01G217700;TraesCS5A01G123800;TraesCS1A01G110900;TraesCS4D01G214300;TraesCS4A01G052600;TraesCS4D01G212000;TraesCS6B01G174100;TraesCS7A01G115400;TraesCS7D01G228500;TraesCS1B01G348800;TraesCS5A01G050100;TraesCS5B01G154600;TraesCS6B01G199500;TraesCS2A01G280500;TraesCS6D01G007800;TraesCS2A01G093700;TraesCS2A01G223600;TraesCS6B01G141400;TraesCS5A01G004200;TraesCS3A01G151100;TraesCS3D01G241900;TraesCS1A01G264000;TraesCS4D01G129300;TraesCS1D01G155800;TraesCS6D01G186000;TraesCS2A01G309600;TraesCS2D01G242100;TraesCS5A01G054700;TraesCS7A01G341000;TraesCS3D01G282800;TraesCS5B01G419300;TraesCS2D01G198300;TraesCS3A01G282800;TraesCS5D01G261300;TraesCS7B01G189500;TraesCS3A01G412600;TraesCS2D01G362200;TraesCS3B01G254500;TraesCS3B01G252200;TraesCS1D01G219200;TraesCS7B01G129300;TraesCS3D01G376500;TraesCS4D01G122800;TraesCS5D01G144600;TraesCS7D01G407700;TraesCS1A01G198400;TraesCS3D01G203400;TraesCS4B01G151200;TraesCS3A01G191700;TraesCS7B01G241900;TraesCS5D01G361000;TraesCS7D01G332300;TraesCS6B01G294700;TraesCS5A01G367700;TraesCS3D01G109700;TraesCS7B01G006600;TraesCS2B01G451100;TraesCS5D01G237400;TraesCS6B01G470900;TraesCS1B01G290800;TraesCS1B01G301500;TraesCS3B01G316500;TraesCS3A01G084400;TraesCS3B01G093800;TraesCS2A01G175400;TraesCS4A01G354500;TraesCS3A01G060300;TraesCS6D01G094200;TraesCS4B01G129700;TraesCS6D01G212000;TraesCS4A01G111600;TraesCS2D01G194000;TraesCS4D01G283800;TraesCS5A01G156400;TraesCS1B01G220700;TraesCS6A01G308100;TraesCS4A01G262900;TraesCS1D01G003700;TraesCS5D01G551200;TraesCS6B01G134800;TraesCS3D01G288000;TraesCS5D01G402300;TraesCS2B01G602100;TraesCS5B01G563800;TraesCS6B01G176600;TraesCS7A01G450600;TraesCS4D01G199300;TraesCS4D01G003100;TraesCS3D01G083400;TraesCS2D01G279300;TraesCS4D01G107000;TraesCS1D01G383500;TraesCS5B01G517900;TraesCS1A01G259700;TraesCS2A01G202600;TraesCS7D01G011800;TraesCS6A01G146500;TraesCS4A01G364400;TraesCS2B01G174700;TraesCS6B01G223200;TraesCS2A01G150000;TraesCS6A01G188100;TraesCS2B01G185800;TraesCS5D01G005300;TraesCS6D01G283300;TraesCS7D01G123400;TraesCS5B01G256400;TraesCS7D01G343300;TraesCS4A01G247300;TraesCS7A01G335600;TraesCS1A01G265000;TraesCS3A01G538300;TraesCS7D01G169500;TraesCS3D01G091000;TraesCS7B01G236400;TraesCS2B01G604300;TraesCS4B01G131800;TraesCS6B01G117100;TraesCS7A01G226000;TraesCS1A01G281700;TraesCS4B01G109900;TraesCS3B01G269900;TraesCS1D01G198700;TraesCS7B01G421100;TraesCS7B01G446500;TraesCS7D01G132000;TraesCS7D01G386000;TraesCS4A01G093100;TraesCS6A01G272300;TraesCS6D01G121300;TraesCS5D01G525000;TraesCS4A01G125000;TraesCS2B01G307300;TraesCS6A01G184000;TraesCS2A01G234900;TraesCS5D01G219500;TraesCS5A01G108000;TraesCS5D01G162400;TraesCS3D01G359900;TraesCS7D01G150200;TraesCS5A01G513500;TraesCS2B01G229600;TraesCS7A01G148600;TraesCS6B01G159200;TraesCS5D01G528400;TraesCS1A01G292100;TraesCS3A01G181600;TraesCS6A01G153600;TraesCS6B01G226000;TraesCS6D01G180500;TraesCS5A01G467500;TraesCS5D01G517600;TraesCS3B01G408800;TraesCS1A01G416000;TraesCS6D01G236400;TraesCS3D01G169000;TraesCS5B01G121500;TraesCS7A01G088100;TraesCS7D01G549100;TraesCS5B01G146700;TraesCS7B01G350400;TraesCS6A01G201800;TraesCS2A01G299200;TraesCS6B01G257900;TraesCS6B01G039900;TraesCS4B01G171300;TraesCS6B01G056200;TraesCS2B01G330100;TraesCS2D01G291200;TraesCS5A01G305400;TraesCS6A01G105400;TraesCS3D01G345500;TraesCS1B01G254000;TraesCS3A01G513500;TraesCS2D01G587100;TraesCS2B01G070700;TraesCS1D01G412600;TraesCS6D01G147900;TraesCS7A01G417000;TraesCS4D01G359000;TraesCS4A01G013500;TraesCS6A01G303800;TraesCS4B01G285000;TraesCS2A01G330000;TraesCS6B01G231400;TraesCS6D01G135800;TraesCS5A01G491400;TraesCS7B01G052200;TraesCS1B01G462200;TraesCS6B01G239000;TraesCS2D01G154100;TraesCS4A01G091100;TraesCS5D01G206500;TraesCS7A01G491200;TraesCS5B01G228900;TraesCS5B01G300100;TraesCS7D01G439900;TraesCS1D01G092200;TraesCS1D01G280900;TraesCS3B01G555600;TraesCS2A01G437700;TraesCS5A01G353700;TraesCS2D01G389900;TraesCS1A01G206900;TraesCS2A01G222600;TraesCS3D01G237100;TraesCS4D01G339700;TraesCS7D01G083200;TraesCS5A01G150700;TraesCS4D01G212600;TraesCS4B01G083600;TraesCS1B01G396800;TraesCS5D01G312400;TraesCS5A01G173800;TraesCS4D01G107400;TraesCS2D01G520000;TraesCS1B01G478800;TraesCS1D01G443100;TraesCS4B01G069200;TraesCS1D01G423500;TraesCS7A01G235200;TraesCS3B01G374400;TraesCS4A01G387000;TraesCS2A01G095300;TraesCS3A01G264700;TraesCS7B01G455500;TraesCS7D01G200800;TraesCS7D01G410100;TraesCS2D01G301200;TraesCS4A01G110800;TraesCS6D01G259500;TraesCS6B01G307200;TraesCS4A01G290400;TraesCS3A01G200400;TraesCS3A01G202700;TraesCS5B01G199400;TraesCS1D01G151800;TraesCS5D01G399200;TraesCS5B01G509100;TraesCS6D01G132500;TraesCS1A01G313300;TraesCS3D01G258900;TraesCS5B01G409700;TraesCS2B01G248100;TraesCS3A01G376300;TraesCS4B01G211800;TraesCS2D01G238600;TraesCS1D01G242400;TraesCS4A01G206400;TraesCS2B01G312600;TraesCS3D01G217600;TraesCS1D01G024800;TraesCS5B01G397300;TraesCS1A01G133500;TraesCS4D01G298800;TraesCS5B01G534400;TraesCS1A01G100600;TraesCS5B01G075800;TraesCS4A01G059500;TraesCS6D01G238800;TraesCS3A01G241700;TraesCS5D01G155800;TraesCS3D01G264800;TraesCS3D01G426300;TraesCS2A01G286500;TraesCS1D01G426400;TraesCS5A01G092400;TraesCS2B01G271300;TraesCS7D01G338600;TraesCS4A01G111000;TraesCS1D01G149900;TraesCS3D01G436100;TraesCS5D01G081700;TraesCS4B01G286700;TraesCS3A01G313300;TraesCS2A01G392900;TraesCS6B01G299800;TraesCS2A01G058700;TraesCS4A01G092500;TraesCS2B01G528300;TraesCS6D01G122800;TraesCS4D01G021400;TraesCS6A01G269400;TraesCS1A01G418700;TraesCS2A01G302500;TraesCS1A01G376400;TraesCS2B01G385300;TraesCS4B01G354600;TraesCS1B01G325100;TraesCS5B01G102600;TraesCS1A01G060100;TraesCS3A01G134100;TraesCS2B01G004000;TraesCS2A01G149600;TraesCS2B01G415500;TraesCS5B01G180300;TraesCS6B01G315800;TraesCS3D01G182400;TraesCS6B01G181300;TraesCS7B01G182300;TraesCS2D01G236100;TraesCS1A01G180200;TraesCS2A01G290900;TraesCS6A01G171300;TraesCS1D01G331000;TraesCS2B01G050600;TraesCS3D01G529200;TraesCS4B01G204500;TraesCS2D01G310000;TraesCS7D01G232000;TraesCS1A01G086500;TraesCS3A01G443700;TraesCS7B01G393400;TraesCS3A01G523700;TraesCS4B01G028100;TraesCS2A01G430500;TraesCS6D01G172500;TraesCS7B01G242200;TraesCS7D01G218000;TraesCS1D01G303800;TraesCS4D01G193500;TraesCS2B01G297800;TraesCS6A01G200200;TraesCS5A01G157000;TraesCS7A01G560200;TraesCS2B01G457600;TraesCS4A01G296200;TraesCS5B01G529300;TraesCS2B01G411000;TraesCS1B01G110400;TraesCS2A01G460000;TraesCS5A01G212500;TraesCS5D01G417400;TraesCS3D01G312200;TraesCS6B01G242800;TraesCS1B01G200300;TraesCS7D01G476500;TraesCS4A01G232300;TraesCS3A01G367000;TraesCS2A01G114400;TraesCS5A01G396700;TraesCS5B01G155200;TraesCS3A01G161800;TraesCS4D01G194300;TraesCS2D01G288800;TraesCS6B01G450500;TraesCS4B01G179400;TraesCS6A01G290600;TraesCS4B01G154100;TraesCS2A01G226000;TraesCS6D01G245600;TraesCS1D01G313800;TraesCS5A01G548800;TraesCS2D01G167300;TraesCS2A01G387000;TraesCS2B01G133500;TraesCS1B01G422200;TraesCS2D01G182700;TraesCS3A01G100000;TraesCS6D01G174700;TraesCS2B01G217700;TraesCS4A01G315700;TraesCS6D01G315500;TraesCS6A01G078200;TraesCS7D01G457900;TraesCS2D01G229600;TraesCS2B01G273900;TraesCS5B01G511800;TraesCS7B01G421800;TraesCS6A01G267300;TraesCS2A01G523600;TraesCS2B01G318400;TraesCS2D01G057900;TraesCS2A01G296400;TraesCS3A01G405300;TraesCS4A01G276300;TraesCS5D01G105500;TraesCS1B01G213300;TraesCS4D01G194400;TraesCS4A01G164900;TraesCS3A01G107900;TraesCS5D01G512300;TraesCS5A01G324200;TraesCS2B01G051500;TraesCS4D01G080700;TraesCS2B01G410100;TraesCS7B01G124100;TraesCS6D01G245500;TraesCS1D01G199100;TraesCS5D01G208300;TraesCS6A01G210200;TraesCS6D01G195400;TraesCS5D01G060900;TraesCS4A01G124000;TraesCS1A01G158500;TraesCS5B01G481100;TraesCS6B01G171600;TraesCS1B01G434400;TraesCS4A01G105500;TraesCS2B01G108200;TraesCS2B01G352300;TraesCS2B01G191800</t>
  </si>
  <si>
    <t>TraesCS1D01G264100;TraesCS2D01G477200;TraesCS2B01G260800;TraesCS6A01G360600;TraesCS7B01G352800;TraesCS5A01G229500;TraesCS4D01G278500;TraesCS7B01G176200;TraesCS1B01G049300;TraesCS2D01G362700;TraesCS7A01G002900;TraesCS1D01G315700;TraesCS2B01G133300;TraesCS1B01G274600;TraesCS3D01G273800;TraesCS2B01G263600;TraesCS5D01G248300;TraesCS3A01G336100;TraesCS3A01G097200;TraesCS6A01G380200;TraesCS4A01G023500;TraesCS4D01G318200;TraesCS1D01G325500;TraesCS5D01G171100;TraesCS2D01G241800;TraesCS5B01G057300;TraesCS1A01G324800;TraesCS2A01G235900;TraesCS7D01G442100;TraesCS4A01G254100;TraesCS2D01G059400;TraesCS4B01G321500;TraesCS5A01G166800;TraesCS4A01G324400;TraesCS6B01G393500;TraesCS5B01G037500;TraesCS2A01G149600;TraesCS1D01G134300;TraesCS2A01G563500;TraesCS6D01G364900;TraesCS2A01G095300;TraesCS2B01G401900;TraesCS5D01G193000;TraesCS5D01G044700;TraesCS1A01G264000;TraesCS2B01G174700;TraesCS2D01G114900;TraesCS5B01G335500;TraesCS2A01G246700;TraesCS6A01G379000;TraesCS5A01G241800;TraesCS1D01G331000;TraesCS5A01G036600;TraesCS5A01G336500;TraesCS4A01G164900;TraesCS3A01G200400;TraesCS6B01G151900;TraesCS7B01G124100;TraesCS6D01G344100;TraesCS5A01G490500;TraesCS7A01G220600;TraesCS5B01G185700;TraesCS1B01G337800;TraesCS3B01G252200;TraesCS3A01G530100;TraesCS5D01G341200;TraesCS2A01G478000;TraesCS1D01G298400;TraesCS7D01G409000;TraesCS6B01G190300;TraesCS7A01G452800;TraesCS6B01G419000;TraesCS2A01G382000;TraesCS4B01G109700;TraesCS3D01G203400;TraesCS2D01G093700;TraesCS6A01G161200;TraesCS2B01G247100;TraesCS1A01G299500;TraesCS3D01G423300;TraesCS2B01G501300</t>
  </si>
  <si>
    <t>TraesCS1D01G264100;TraesCS2A01G095300;TraesCS2B01G401900;TraesCS2D01G477200;TraesCS5D01G193000;TraesCS5D01G044700;TraesCS1A01G264000;TraesCS2B01G174700;TraesCS6A01G360600;TraesCS7B01G352800;TraesCS6A01G379000;TraesCS4D01G278500;TraesCS1D01G331000;TraesCS5A01G036600;TraesCS4A01G164900;TraesCS1B01G049300;TraesCS3A01G200400;TraesCS1B01G274600;TraesCS7B01G124100;TraesCS6D01G344100;TraesCS5A01G490500;TraesCS3A01G336100;TraesCS7A01G220600;TraesCS3A01G097200;TraesCS5B01G185700;TraesCS4A01G023500;TraesCS4D01G318200;TraesCS5D01G171100;TraesCS3B01G252200;TraesCS2A01G478000;TraesCS1D01G298400;TraesCS7D01G442100;TraesCS6B01G190300;TraesCS7A01G452800;TraesCS2A01G382000;TraesCS2D01G059400;TraesCS4B01G109700;TraesCS4B01G321500;TraesCS3D01G203400;TraesCS5A01G166800;TraesCS2D01G093700;TraesCS6A01G161200;TraesCS6B01G393500;TraesCS2B01G247100;TraesCS5B01G037500;TraesCS1A01G299500;TraesCS2A01G149600;TraesCS2B01G501300</t>
  </si>
  <si>
    <t>TraesCS2B01G174600;TraesCS1D01G264100;TraesCS4A01G236700;TraesCS6A01G314900;TraesCS6A01G360600;TraesCS7B01G352800;TraesCS5D01G472300;TraesCS1D01G226500;TraesCS2B01G250000;TraesCS1B01G049300;TraesCS2A01G226000;TraesCS1B01G274600;TraesCSU01G072700;TraesCS3A01G097200;TraesCS5D01G171100;TraesCS5B01G378700;TraesCS7D01G442100;TraesCS2D01G059400;TraesCS5D01G429200;TraesCS5A01G166800;TraesCS6B01G393500;TraesCS4D01G076900;TraesCS5B01G037500;TraesCS2A01G149600;TraesCS2A01G095300;TraesCS2B01G401900;TraesCS5D01G044700;TraesCS1A01G264000;TraesCS2B01G174700;TraesCS3D01G495100;TraesCS5B01G335500;TraesCS5A01G036600;TraesCS5A01G336500;TraesCS3A01G200400;TraesCS1B01G293500;TraesCS6D01G344100;TraesCS2D01G232300;TraesCS3A01G393400;TraesCS5D01G121100;TraesCS3B01G252200;TraesCS5D01G341200;TraesCS5A01G020800;TraesCS2A01G233300;TraesCS3A01G389100;TraesCS1A01G284300;TraesCS1D01G298400;TraesCS6B01G190300;TraesCS7A01G452800;TraesCS5A01G460600;TraesCS4B01G109700;TraesCS3D01G203400;TraesCS2D01G093700;TraesCS6A01G161200;TraesCS2B01G247100;TraesCS2A01G149500;TraesCS1A01G299500</t>
  </si>
  <si>
    <t>regulation of cell cycle</t>
  </si>
  <si>
    <t>positive regulation of RNA metabolic process</t>
  </si>
  <si>
    <t>TraesCS4B01G015600;TraesCS5D01G143800;TraesCS5B01G171400;TraesCS7D01G283600;TraesCS2B01G250000;TraesCS1B01G049300;TraesCS2D01G362700;TraesCS3D01G273800;TraesCS2A01G387000;TraesCS2D01G014800;TraesCS6B01G159200;TraesCS6A01G143300;TraesCS4D01G147100;TraesCS5D01G551200;TraesCS1D01G030500;TraesCS6A01G130900;TraesCS4A01G052600;TraesCS4A01G315700;TraesCS4D01G013900;TraesCS5B01G563800;TraesCS3D01G083400;TraesCS2A01G280500;TraesCS2D01G279300;TraesCS2B01G004000;TraesCS7D01G300000;TraesCS7D01G549100;TraesCS3A01G151100;TraesCS1B01G255100;TraesCS7A01G307000;TraesCS3D01G304800;TraesCS5A01G149000;TraesCS1B01G213300;TraesCS6A01G268900;TraesCS1A01G195500;TraesCS6D01G132500;TraesCS1D01G199100;TraesCS5B01G147600;TraesCS2D01G232300;TraesCS3D01G514100;TraesCS3A01G513500;TraesCS5B01G036800;TraesCS5A01G104800;TraesCS1D01G219200;TraesCS1D01G412600;TraesCS2A01G233300;TraesCS4A01G298100;TraesCS2D01G438800;TraesCS6B01G171600;TraesCS1B01G434400;TraesCS2B01G297800;TraesCS6A01G319100;TraesCS7A01G560200;TraesCS5B01G094300;TraesCS1A01G198400;TraesCS3A01G082700;TraesCS1D01G211600;TraesCS7B01G207300;TraesCS5D01G094000;TraesCS1B01G462200</t>
  </si>
  <si>
    <t>positive regulation of nitrogen compound metabolic process</t>
  </si>
  <si>
    <t>TraesCS3D01G264800;TraesCS3D01G426300;TraesCS5D01G013100;TraesCS6D01G121300;TraesCS5D01G219500;TraesCS5A01G108000;TraesCS3A01G250200;TraesCS2A01G400900;TraesCS3D01G229800;TraesCS5A01G272400;TraesCS2B01G528300;TraesCS6A01G143300;TraesCS4A01G283700;TraesCS6D01G122800;TraesCS7D01G188300;TraesCS5A01G014400;TraesCS5D01G148100;TraesCS4D01G021400;TraesCS4D01G348500;TraesCS1A01G355200;TraesCS7B01G104400;TraesCS7D01G228500;TraesCS1D01G376900;TraesCS4D01G135000;TraesCS1B01G325100;TraesCS6B01G342400;TraesCS2A01G280500;TraesCS5B01G324800;TraesCS6A01G133100;TraesCS4B01G023800;TraesCS2D01G233900;TraesCS7A01G376800;TraesCS5B01G255700;TraesCS7A01G088100;TraesCS2A01G223600;TraesCS7D01G549100;TraesCS5A01G004200;TraesCS3A01G151100;TraesCS1B01G255100;TraesCS2D01G236100;TraesCS5B01G142900;TraesCS4D01G068100;TraesCS5A01G424400;TraesCS2D01G242100;TraesCS4B01G204500;TraesCS2A01G193800;TraesCS6B01G257900;TraesCS5A01G305400;TraesCS3B01G566600;TraesCS6A01G386600;TraesCS5A01G014500;TraesCS5D01G230300;TraesCS4A01G013500;TraesCS5A01G093200;TraesCS2B01G297800;TraesCS4B01G069300;TraesCS6A01G303800;TraesCS7A01G560200;TraesCS2B01G264100;TraesCS7B01G278200;TraesCS5A01G143800;TraesCS3B01G309700;TraesCS5A01G212500;TraesCS6A01G312200;TraesCS3A01G367000;TraesCS1B01G290800;TraesCS7D01G283600;TraesCS1D01G280900;TraesCS3A01G084400;TraesCS3D01G250600;TraesCS1B01G375300;TraesCS1D01G313800;TraesCS6D01G212000;TraesCS2A01G222600;TraesCS2D01G194000;TraesCS3A01G223700;TraesCS7D01G083200;TraesCS5D01G312400;TraesCS7A01G192000;TraesCS6B01G348700;TraesCS4D01G107400;TraesCS6B01G159800;TraesCS2D01G520000;TraesCS4D01G199300;TraesCS6D01G291600;TraesCS2D01G229600;TraesCS2B01G273900;TraesCS3D01G083400;TraesCS2D01G279300;TraesCS6A01G158300;TraesCS6A01G267300;TraesCS3A01G503200;TraesCS7D01G193000;TraesCS1B01G366400;TraesCS4A01G387000;TraesCS3A01G264700;TraesCS3A01G405300;TraesCS7D01G200800;TraesCS1A01G358800;TraesCS6D01G259500;TraesCS4A01G276300;TraesCS5D01G105500;TraesCS6B01G307200;TraesCS1D01G390500;TraesCS6A01G188100;TraesCS4A01G290400;TraesCS1A01G254400;TraesCS1A01G195500;TraesCS5A01G324200;TraesCS2D01G467900;TraesCS3D01G084300;TraesCS6D01G132500;TraesCS1A01G313300;TraesCS1D01G199100;TraesCS6D01G283300;TraesCS2B01G248100;TraesCS2A01G467900;TraesCS2D01G238600;TraesCS2B01G154700;TraesCS4A01G247300;TraesCS5D01G280400;TraesCS3B01G279700;TraesCS6D01G147700;TraesCS7B01G097000;TraesCS5B01G036800;TraesCS2A01G132200;TraesCS4A01G206400;TraesCS6A01G279100;TraesCS6B01G171600;TraesCS7D01G373100;TraesCS4A01G105500;TraesCS2D01G398400;TraesCS7A01G226000;TraesCS1A01G281700;TraesCS4B01G109900;TraesCS5A01G222500;TraesCS3A01G082700;TraesCS4A01G005000;TraesCS5B01G320100;TraesCS7D01G000100;TraesCS3A01G276100;TraesCS6A01G163500;TraesCS4B01G029400;TraesCS4A01G246100;TraesCS7B01G092500</t>
  </si>
  <si>
    <t>drug metabolic process</t>
  </si>
  <si>
    <t>TraesCS1D01G264100;TraesCS2D01G477200;TraesCS6A01G360600;TraesCS7B01G352800;TraesCS5A01G229500;TraesCS4D01G278500;TraesCS1B01G049300;TraesCS1B01G274600;TraesCS3A01G336100;TraesCS3A01G097200;TraesCS4A01G023500;TraesCS4D01G318200;TraesCS5D01G171100;TraesCS7D01G442100;TraesCS2D01G059400;TraesCS4B01G321500;TraesCS5A01G166800;TraesCS6B01G393500;TraesCS5B01G037500;TraesCS2A01G149600;TraesCS2A01G095300;TraesCS2B01G401900;TraesCS5D01G193000;TraesCS5D01G044700;TraesCS1A01G264000;TraesCS2B01G174700;TraesCS6A01G379000;TraesCS1D01G331000;TraesCS5A01G036600;TraesCS4A01G164900;TraesCS3A01G200400;TraesCS7B01G124100;TraesCS6D01G344100;TraesCS5A01G490500;TraesCS7A01G220600;TraesCS5B01G185700;TraesCS3B01G252200;TraesCS2A01G478000;TraesCS1D01G298400;TraesCS6B01G190300;TraesCS7A01G452800;TraesCS2A01G382000;TraesCS4B01G109700;TraesCS3D01G203400;TraesCS2D01G093700;TraesCS6A01G161200;TraesCS2B01G247100;TraesCS1A01G299500;TraesCS2B01G501300</t>
  </si>
  <si>
    <t>TraesCS4B01G015600;TraesCS5D01G143800;TraesCS5B01G171400;TraesCS7D01G283600;TraesCS2B01G250000;TraesCS1B01G049300;TraesCS2D01G362700;TraesCS3D01G273800;TraesCS2A01G387000;TraesCS2D01G014800;TraesCS6B01G159200;TraesCS6A01G143300;TraesCS4D01G147100;TraesCS5D01G551200;TraesCS6B01G218700;TraesCS1D01G030500;TraesCS6A01G130900;TraesCS4A01G052600;TraesCS4A01G315700;TraesCS4D01G013900;TraesCS5B01G563800;TraesCS3D01G083400;TraesCS2A01G280500;TraesCS2D01G279300;TraesCS2B01G004000;TraesCS7D01G300000;TraesCS7D01G549100;TraesCS3A01G151100;TraesCS1B01G255100;TraesCS7A01G307000;TraesCS3D01G304800;TraesCS5A01G149000;TraesCS1B01G213300;TraesCS3D01G289600;TraesCS6A01G268900;TraesCS1A01G195500;TraesCS6D01G132500;TraesCS1D01G199100;TraesCS5B01G147600;TraesCS2D01G232300;TraesCS3D01G514100;TraesCS3A01G513500;TraesCS5B01G036800;TraesCS5A01G104800;TraesCS1D01G219200;TraesCS1D01G412600;TraesCS2A01G233300;TraesCS4A01G298100;TraesCS2D01G438800;TraesCS6B01G171600;TraesCS1B01G434400;TraesCS2B01G297800;TraesCS6A01G319100;TraesCS7A01G560200;TraesCS5B01G094300;TraesCS1A01G198400;TraesCS3A01G082700;TraesCS1D01G211600;TraesCS7B01G207300;TraesCS5D01G094000;TraesCS1B01G462200</t>
  </si>
  <si>
    <t>TraesCS4B01G015600;TraesCS5D01G143800;TraesCS5B01G171400;TraesCS7D01G283600;TraesCS2B01G250000;TraesCS5A01G059900;TraesCS1B01G049300;TraesCS2D01G362700;TraesCSU01G072700;TraesCS3D01G273800;TraesCS2A01G387000;TraesCS2D01G014800;TraesCS1D01G433300;TraesCS6B01G159200;TraesCS6A01G143300;TraesCS4D01G147100;TraesCS5D01G551200;TraesCS6B01G218700;TraesCS1D01G030500;TraesCS6A01G130900;TraesCS4A01G052600;TraesCS4A01G315700;TraesCS4D01G013900;TraesCS5B01G378700;TraesCS5B01G563800;TraesCS3D01G083400;TraesCS2A01G280500;TraesCS2D01G279300;TraesCS2B01G004000;TraesCS7D01G300000;TraesCS5B01G387600;TraesCS2B01G375700;TraesCS7D01G549100;TraesCS2D01G399800;TraesCS3A01G151100;TraesCS1B01G255100;TraesCS5B01G335500;TraesCS7A01G307000;TraesCS3D01G304800;TraesCS5A01G149000;TraesCS1B01G213300;TraesCS5A01G336500;TraesCS3D01G289600;TraesCS6A01G268900;TraesCS1A01G195500;TraesCS6D01G132500;TraesCS1D01G199100;TraesCS5B01G147600;TraesCS2D01G232300;TraesCS3D01G514100;TraesCS3A01G393400;TraesCS3A01G513500;TraesCS5B01G036800;TraesCS5A01G104800;TraesCS1D01G219200;TraesCS5D01G341200;TraesCS1D01G412600;TraesCS2A01G233300;TraesCS4A01G298100;TraesCS2D01G438800;TraesCS6B01G171600;TraesCS1A01G095200;TraesCS1B01G434400;TraesCS2B01G297800;TraesCS6A01G319100;TraesCS7A01G560200;TraesCS5B01G094300;TraesCS1A01G198400;TraesCS4A01G334700;TraesCS3A01G082700;TraesCS7D01G000100;TraesCS5A01G472100;TraesCS1D01G211600;TraesCS7B01G207300;TraesCS2A01G239000;TraesCS5D01G094000;TraesCS1B01G462200</t>
  </si>
  <si>
    <t>positive regulation of cellular process</t>
  </si>
  <si>
    <t>positive regulation of RNA biosynthetic process</t>
  </si>
  <si>
    <t>TraesCS6D01G016900;TraesCS7A01G036200;TraesCS5B01G484700;TraesCS5B01G249000;TraesCS2A01G246200;TraesCS5A01G200800;TraesCS4B01G397600;TraesCS3D01G271500;TraesCS4A01G226500;TraesCS1B01G146200;TraesCS6B01G295700;TraesCS3B01G206600;TraesCS7D01G467500;TraesCS3B01G193200;TraesCS5B01G412400;TraesCS2A01G262700;TraesCS3A01G228000;TraesCS4B01G169900;TraesCS6B01G411900;TraesCS7D01G056800;TraesCS7A01G541200;TraesCS1A01G355200;TraesCS7B01G382800;TraesCS4B01G050200;TraesCS5D01G444700;TraesCS6B01G132300;TraesCS7B01G104400;TraesCS4D01G135000;TraesCS5B01G094600;TraesCS3B01G242700;TraesCS5A01G200900;TraesCS2A01G171900;TraesCS5A01G390000;TraesCS6D01G142900;TraesCS3A01G178900;TraesCS5B01G159100;TraesCS3A01G229100;TraesCS4D01G292900;TraesCS3A01G216100;TraesCS3A01G344300;TraesCS5D01G376600;TraesCS4D01G184400;TraesCS6B01G262800;TraesCS1B01G469400;TraesCS5D01G399800;TraesCS3A01G091100;TraesCS6B01G270400;TraesCS3B01G208800;TraesCS5A01G251000;TraesCS6A01G225200;TraesCS3A01G303800;TraesCS5B01G082400;TraesCS4D01G250100;TraesCS4A01G361100;TraesCS1A01G423100;TraesCS2D01G093700;TraesCS1A01G125000;TraesCS3B01G309700;TraesCS5A01G115000;TraesCS3B01G376200;TraesCS5D01G396300;TraesCS5D01G420300;TraesCS6A01G245000;TraesCS1D01G396300;TraesCS6D01G161000;TraesCS1D01G260500;TraesCS2D01G322800;TraesCS5B01G171400;TraesCS2A01G387400;TraesCS1B01G274600;TraesCS7B01G317000;TraesCS3D01G369100;TraesCS4A01G191500;TraesCS1A01G275400;TraesCS4D01G132900;TraesCS4D01G172000;TraesCS7B01G162300;TraesCS7D01G543200;TraesCS5D01G100800;TraesCS6B01G159800;TraesCS6A01G234000;TraesCS1B01G271100;TraesCS6A01G158300;TraesCS5B01G479200;TraesCS6A01G125400;TraesCS7A01G466900;TraesCS1B01G366400;TraesCS2D01G213100;TraesCS5D01G044700;TraesCS6B01G296700;TraesCS6D01G358500;TraesCS7A01G510900;TraesCS5A01G357400;TraesCS5D01G405400;TraesCS3A01G214000;TraesCS5D01G161800;TraesCS1A01G025900;TraesCS4D01G079200;TraesCS4D01G142600;TraesCS2B01G328500;TraesCS2D01G597600;TraesCS3B01G266900;TraesCS3D01G336200;TraesCS6D01G344100;TraesCS7D01G291200;TraesCS7D01G364400;TraesCS2A01G159900;TraesCS1D01G431700;TraesCS3B01G103500;TraesCS6A01G279100;TraesCS7B01G066000;TraesCS3A01G288200;TraesCS4B01G314600;TraesCS6D01G189700;TraesCS1D01G314600;TraesCS4A01G005000;TraesCS4A01G078800;TraesCS6B01G099900;TraesCS3A01G276100;TraesCS1A01G299500;TraesCS2A01G487500;TraesCS4D01G036500;TraesCS2D01G049500;TraesCS1D01G264100;TraesCS2D01G213200;TraesCS5D01G013100;TraesCS3B01G423800;TraesCS3B01G442200;TraesCS5B01G222600;TraesCS3B01G207300;TraesCS6B01G213100;TraesCS2B01G514800;TraesCS3B01G222700;TraesCS7A01G390300;TraesCS3A01G342300;TraesCS4A01G375000;TraesCS1D01G275000;TraesCSU01G158800;TraesCS4B01G050600;TraesCS4A01G134800;TraesCS5B01G539900;TraesCS6D01G227300;TraesCS4B01G138100;TraesCS4A01G178600;TraesCS5D01G366500;TraesCS3D01G217700;TraesCS4B01G140300;TraesCS1A01G110900;TraesCS3D01G507500;TraesCS4D01G252700;TraesCS6B01G174100;TraesCS7A01G264300;TraesCS1D01G316200;TraesCS7D01G228500;TraesCS1B01G348800;TraesCS5A01G050100;TraesCS5B01G154600;TraesCS6B01G199500;TraesCS6D01G007800;TraesCS7A01G076600;TraesCS3A01G484800;TraesCS6B01G141400;TraesCS3B01G299100;TraesCS3D01G241900;TraesCS1A01G264000;TraesCS4A01G177500;TraesCS5D01G141200;TraesCS5A01G054700;TraesCS2B01G462500;TraesCS3D01G282800;TraesCS6D01G216300;TraesCS2D01G198300;TraesCS3A01G282800;TraesCS5D01G261300;TraesCS3D01G298000;TraesCS2D01G362200;TraesCS5B01G537700;TraesCS3B01G254500;TraesCS7B01G005700;TraesCS7A01G004000;TraesCS1D01G219200;TraesCS3D01G376500;TraesCS1A01G177600;TraesCS6D01G166400;TraesCS6B01G256400;TraesCS2B01G304900;TraesCS1A01G198400;TraesCS1B01G378000;TraesCS3D01G203400;TraesCS7B01G241900;TraesCS2D01G304000;TraesCS1D01G211600;TraesCS4D01G240700;TraesCS7A01G313900;TraesCS2B01G174600;TraesCS7D01G332300;TraesCS6B01G294700;TraesCS5A01G367700;TraesCS3D01G109700;TraesCS7B01G052900;TraesCS2B01G451100;TraesCS4A01G217700;TraesCS1B01G301500;TraesCS3B01G316500;TraesCS3B01G093800;TraesCS1A01G361400;TraesCS2D01G523100;TraesCS2B01G405200;TraesCS2B01G462400;TraesCS3A01G060300;TraesCS4A01G111600;TraesCS2A01G092400;TraesCS5A01G156400;TraesCS3A01G112800;TraesCS2A01G480500;TraesCS4A01G262900;TraesCS4A01G367700;TraesCS7D01G377200;TraesCS6A01G336800;TraesCS3D01G288000;TraesCS5D01G402300;TraesCS6A01G322400;TraesCS5D01G113700;TraesCS4D01G107000;TraesCS5B01G037500;TraesCS7D01G032800;TraesCS2A01G202600;TraesCS7D01G011800;TraesCS3B01G305600;TraesCS3B01G299300;TraesCS5D01G424400;TraesCS2B01G174700;TraesCS2A01G150000;TraesCS2D01G154600;TraesCS5D01G437600;TraesCSU01G131300;TraesCS2B01G185800;TraesCS5D01G005300;TraesCS1A01G172100;TraesCS7D01G123400;TraesCS6D01G147700;TraesCS7D01G190300;TraesCS6B01G304100;TraesCS3A01G538300;TraesCS3B01G607600;TraesCS5D01G087800;TraesCS7B01G269300;TraesCS3D01G091000;TraesCS7A01G062100;TraesCS3B01G141700;TraesCS7B01G236400;TraesCS2B01G604300;TraesCS6B01G117100;TraesCS7A01G226000;TraesCS5A01G113700;TraesCS3B01G269900;TraesCS7B01G446500;TraesCS1A01G314100;TraesCS5D01G480300;TraesCS7D01G386000;TraesCS2D01G594500;TraesCS1A01G129400;TraesCS6D01G121300;TraesCS1B01G259800;TraesCS4B01G252400;TraesCS5D01G525000;TraesCS6A01G360600;TraesCS2D01G479900;TraesCS2B01G307300;TraesCS3B01G224600;TraesCS6A01G184000;TraesCS1A01G260500;TraesCS5A01G032500;TraesCS5B01G155400;TraesCS3D01G285100;TraesCS3D01G411200;TraesCS5D01G219500;TraesCS5D01G162400;TraesCS6A01G268600;TraesCS6D01G077500;TraesCS7D01G150200;TraesCS5D01G359800;TraesCS2B01G229600;TraesCS7A01G148600;TraesCS5D01G528400;TraesCS6B01G113200;TraesCS1A01G292100;TraesCS4B01G186700;TraesCS5B01G156500;TraesCS5B01G431500;TraesCS6A01G153600;TraesCS6B01G226000;TraesCS6D01G180500;TraesCS5A01G467500;TraesCS3B01G408800;TraesCS3B01G131400;TraesCS6B01G233800;TraesCS6D01G236400;TraesCS2B01G597700;TraesCS4B01G126400;TraesCS4D01G133500;TraesCS3D01G169000;TraesCS6D01G320800;TraesCS7A01G088100;TraesCS3D01G019000;TraesCS6A01G379000;TraesCS2D01G565200;TraesCS5B01G415100;TraesCS3A01G122500;TraesCS4B01G090000;TraesCS2D01G248600;TraesCS7A01G321900;TraesCS6B01G174500;TraesCS2A01G299200;TraesCS7D01G265200;TraesCS2D01G440100;TraesCS6B01G039900;TraesCS4B01G171300;TraesCS6B01G056200;TraesCS2D01G291200;TraesCS3D01G275200;TraesCS5A01G305400;TraesCS2B01G263300;TraesCS3B01G568500;TraesCS3D01G345500;TraesCS2A01G103300;TraesCS7A01G417000;TraesCS4D01G359000;TraesCS1D01G055200;TraesCS2A01G330000;TraesCS3B01G246600;TraesCS6B01G231400;TraesCS5A01G547300;TraesCS1D01G020000;TraesCS5A01G491400;TraesCS7B01G052200;TraesCS2A01G187700;TraesCS3D01G188800;TraesCS5D01G206500;TraesCS7A01G491200;TraesCS4A01G494400;TraesCS5A01G466100;TraesCS2B01G342100;TraesCS1B01G326400;TraesCS3B01G555600;TraesCS2D01G362700;TraesCS3A01G275700;TraesCS3B01G214600;TraesCS4D01G096200;TraesCS3D01G237100;TraesCS6A01G103200;TraesCS7D01G083200;TraesCS3B01G309000;TraesCS4D01G212600;TraesCS3A01G238400;TraesCS5D01G505700;TraesCS7D01G278800;TraesCS5D01G312400;TraesCS2A01G344500;TraesCS1B01G478800;TraesCS1D01G443100;TraesCS5A01G411500;TraesCS7A01G235200;TraesCS7D01G072300;TraesCS4B01G160600;TraesCS3B01G374400;TraesCS6B01G365300;TraesCS6B01G393500;TraesCS5A01G191100;TraesCS5A01G101900;TraesCS5D01G040800;TraesCS4A01G387000;TraesCS5A01G088400;TraesCS2A01G095300;TraesCS3A01G264700;TraesCS4A01G452700;TraesCS4B01G170400;TraesCS2D01G303500;TraesCS7D01G200800;TraesCS7D01G410100;TraesCS2D01G301200;TraesCS4A01G110800;TraesCS6D01G259500;TraesCS6B01G307200;TraesCS1D01G352300;TraesCS4A01G051900;TraesCS3A01G200400;TraesCS5B01G199400;TraesCS1D01G151800;TraesCS3B01G564100;TraesCS4D01G004000;TraesCS5D01G399200;TraesCS5B01G509100;TraesCS1A01G313300;TraesCS6D01G210000;TraesCS3A01G391800;TraesCS6D01G247400;TraesCS3A01G376300;TraesCS4B01G211800;TraesCS2B01G229500;TraesCS4A01G090100;TraesCS4D01G214800;TraesCS5B01G504900;TraesCS3D01G217600;TraesCS5A01G387700;TraesCS6D01G363400;TraesCS2D01G568400;TraesCS4B01G276500;TraesCS5B01G397300;TraesCS1D01G298400;TraesCS5B01G395000;TraesCS4A01G216200;TraesCS4D01G298800;TraesCS7A01G239700;TraesCS1D01G125300;TraesCS6B01G342300;TraesCS5B01G075800;TraesCS7A01G279000;TraesCS4A01G059500;TraesCS5B01G477800;TraesCS6D01G246300;TraesCS3A01G241700;TraesCS3D01G264800;TraesCS3A01G212600;TraesCS6D01G173700;TraesCS3B01G083400;TraesCS1D01G426400;TraesCS5A01G092400;TraesCS4A01G111000;TraesCS3D01G384700;TraesCS5D01G081700;TraesCS7D01G454700;TraesCS3A01G313300;TraesCS6B01G371500;TraesCS2A01G392900;TraesCS1A01G388400;TraesCS4A01G092500;TraesCS2B01G505400;TraesCS2B01G528300;TraesCS4A01G101200;TraesCS6D01G357100;TraesCS7B01G181200;TraesCS4D01G147500;TraesCS3B01G426500;TraesCS6A01G269400;TraesCS1A01G418700;TraesCS2A01G302500;TraesCS2B01G385300;TraesCS5A01G429500;TraesCS3B01G161900;TraesCS5B01G102600;TraesCS2A01G149600;TraesCS2B01G415500;TraesCS3D01G182400;TraesCS6B01G181300;TraesCS7B01G182300;TraesCS2A01G290900;TraesCS6A01G171300;TraesCS2D01G487700;TraesCS6A01G312100;TraesCS3D01G275600;TraesCS2D01G310000;TraesCS1A01G086500;TraesCS1A01G145000;TraesCS4A01G264400;TraesCS2D01G385000;TraesCS3D01G124400;TraesCS7B01G393400;TraesCS1D01G178000;TraesCS3D01G294200;TraesCS2A01G430500;TraesCS7D01G218000;TraesCS4B01G138800;TraesCS7D01G004500;TraesCS4B01G144000;TraesCS4D01G193500;TraesCS6B01G285500;TraesCS6A01G200200;TraesCS3D01G196700;TraesCS1D01G144000;TraesCS5A01G157000;TraesCS7A01G235300;TraesCS5B01G529300;TraesCS7A01G149200;TraesCS6A01G186800;TraesCS2B01G411000;TraesCS2A01G149500;TraesCS2B01G157600;TraesCS5A01G212500;TraesCS5D01G417400;TraesCS3A01G220700;TraesCS7D01G476500;TraesCS3A01G023800;TraesCS5D01G258900;TraesCS3A01G184800;TraesCS2A01G521400;TraesCS5B01G155200;TraesCS3A01G161800;TraesCS4D01G194300;TraesCS2D01G288800;TraesCS6D01G091600;TraesCS3B01G291000;TraesCS7A01G480700;TraesCS5D01G078500;TraesCS1A01G315900;TraesCS1A01G249100;TraesCS2A01G226000;TraesCS2B01G107200;TraesCS3A01G275300;TraesCS6D01G245600;TraesCS5A01G548800;TraesCS2B01G307500;TraesCS2D01G167300;TraesCS2A01G387000;TraesCS6D01G302200;TraesCS2B01G198300;TraesCS6D01G174700;TraesCS4D01G092800;TraesCS4D01G172400;TraesCS3B01G309400;TraesCS6D01G221400;TraesCS2B01G217700;TraesCS6D01G315500;TraesCS3D01G068900;TraesCS6A01G078200;TraesCS7D01G457900;TraesCS5B01G511800;TraesCS2D01G249200;TraesCS7B01G421800;TraesCS6A01G267300;TraesCS2B01G318400;TraesCS7B01G169100;TraesCS3B01G322800;TraesCS5D01G231200;TraesCSU01G009200;TraesCS2A01G431900;TraesCS2B01G321700;TraesCS3A01G069900;TraesCS5D01G478900;TraesCS5B01G155100;TraesCS5A01G036600;TraesCS1B01G213300;TraesCS2D01G500600;TraesCS1A01G111100;TraesCS1D01G390500;TraesCS4A01G164900;TraesCS5A01G223700;TraesCS5B01G136500;TraesCS3A01G107900;TraesCS4B01G332300;TraesCS5D01G512300;TraesCS5D01G162500;TraesCS2B01G454000;TraesCS1B01G293500;TraesCS2B01G051500;TraesCS4D01G080700;TraesCS7B01G124100;TraesCS6D01G245500;TraesCS1A01G101300;TraesCS5D01G060900;TraesCS4D01G086000;TraesCS6B01G161800;TraesCS1A01G284300;TraesCS5B01G074200;TraesCS1A01G020500;TraesCS7B01G089500;TraesCS2B01G352300;TraesCS7D01G130500;TraesCS2B01G293400;TraesCS4B01G380800;TraesCS6A01G163500;TraesCS5A01G067300;TraesCS2B01G191800</t>
  </si>
  <si>
    <t>TraesCS1D01G264100;TraesCS2D01G477200;TraesCS2B01G260800;TraesCS6A01G360600;TraesCS5A01G229500;TraesCS1B01G049300;TraesCS3D01G464300;TraesCS2B01G133300;TraesCS2A01G400900;TraesCS3D01G273800;TraesCS1A01G369600;TraesCS6A01G380200;TraesCS4A01G023500;TraesCS5D01G171100;TraesCS7D01G490800;TraesCS2D01G241800;TraesCS5B01G057300;TraesCS1A01G324800;TraesCS4B01G321500;TraesCS5A01G166800;TraesCS3D01G356400;TraesCS2A01G149600;TraesCS3A01G406100;TraesCS6B01G315800;TraesCS2A01G563500;TraesCS2B01G401900;TraesCS5D01G193000;TraesCS1A01G264000;TraesCS5B01G335500;TraesCS6A01G379000;TraesCS6B01G135900;TraesCS1D01G331000;TraesCS1D01G337900;TraesCS5A01G357600;TraesCS5A01G336500;TraesCS1B01G170600;TraesCS7A01G220600;TraesCS3A01G395800;TraesCS3B01G252200;TraesCS3A01G530100;TraesCS4D01G120900;TraesCS6B01G190300;TraesCS4B01G109700;TraesCS3D01G203400;TraesCS2D01G093700;TraesCS2B01G247100;TraesCS3D01G389400;TraesCS3D01G423300;TraesCS2B01G501300;TraesCS7B01G352800;TraesCS2B01G418400;TraesCS4D01G278500;TraesCS6D01G297600;TraesCS7B01G176200;TraesCS2D01G362700;TraesCS7A01G002900;TraesCS1D01G315700;TraesCS6A01G021300;TraesCS1B01G274600;TraesCS2B01G263600;TraesCS5D01G248300;TraesCS3A01G336100;TraesCS3A01G097200;TraesCS2A01G400300;TraesCS4D01G318200;TraesCS1D01G325500;TraesCS5D01G366700;TraesCS1A01G154400;TraesCS2A01G235900;TraesCS7D01G442100;TraesCS4A01G254100;TraesCS2D01G059400;TraesCS1B01G250100;TraesCS4A01G324400;TraesCS6B01G393500;TraesCS5B01G037500;TraesCS1D01G134300;TraesCS6D01G364900;TraesCS2A01G095300;TraesCS5D01G044700;TraesCS2B01G174700;TraesCS5B01G413400;TraesCS6D01G274300;TraesCS2D01G114900;TraesCS2A01G246700;TraesCS5B01G035200;TraesCS5A01G241800;TraesCS5A01G036600;TraesCS4A01G164900;TraesCS3A01G200400;TraesCS2D01G467900;TraesCS6B01G151900;TraesCS7B01G124100;TraesCS3D01G258900;TraesCS6D01G344100;TraesCS5A01G490500;TraesCS5B01G185700;TraesCS2A01G467900;TraesCS1B01G337800;TraesCS5D01G341200;TraesCS2A01G478000;TraesCS1D01G298400;TraesCS6A01G269700;TraesCS2D01G398400;TraesCS3A01G362600;TraesCS7D01G409000;TraesCS4A01G298700;TraesCS6B01G323800;TraesCS7A01G452800;TraesCS6B01G419000;TraesCS2A01G382000;TraesCS1A01G198600;TraesCS6A01G161200;TraesCS5B01G360200;TraesCS1A01G299500</t>
  </si>
  <si>
    <t>TraesCS3A01G151100;TraesCS3D01G426300;TraesCS5B01G036800;TraesCS6D01G122800;TraesCS7D01G283600;TraesCS2B01G297800;TraesCS1A01G195500;TraesCS6A01G290600;TraesCS1D01G198700;TraesCS2A01G193800;TraesCS3D01G083400;TraesCS1A01G206900;TraesCS2A01G280500;TraesCS6A01G133100;TraesCS2D01G279300;TraesCS3A01G082700;TraesCS3A01G191700;TraesCS5D01G026000;TraesCS1D01G199100;TraesCS1D01G210200;TraesCS2D01G194000;TraesCS2D01G238600;TraesCS1B01G220700</t>
  </si>
  <si>
    <t>unsaturated fatty acid biosynthetic process</t>
  </si>
  <si>
    <t>unsaturated fatty acid metabolic process</t>
  </si>
  <si>
    <t>TraesCS4B01G015600;TraesCS5D01G143800;TraesCS5B01G171400;TraesCS7D01G283600;TraesCS2B01G250000;TraesCS5A01G059900;TraesCS1B01G049300;TraesCS2D01G362700;TraesCS1D01G124400;TraesCSU01G072700;TraesCS3D01G273800;TraesCS2A01G387000;TraesCS4B01G288200;TraesCS2D01G014800;TraesCS1D01G433300;TraesCS6B01G159200;TraesCS6A01G143300;TraesCS4D01G147100;TraesCS5D01G551200;TraesCS6B01G218700;TraesCS1D01G030500;TraesCS6A01G130900;TraesCS4A01G052600;TraesCS4A01G315700;TraesCS4D01G013900;TraesCS5B01G378700;TraesCS5B01G563800;TraesCS3D01G083400;TraesCS2A01G280500;TraesCS2D01G279300;TraesCS2B01G004000;TraesCS7D01G300000;TraesCS5B01G387600;TraesCS2B01G375700;TraesCS7D01G549100;TraesCS2D01G399800;TraesCS3A01G151100;TraesCS1B01G255100;TraesCS5B01G335500;TraesCS7A01G307000;TraesCS3D01G304800;TraesCS5A01G149000;TraesCS1B01G213300;TraesCS5A01G336500;TraesCS3D01G289600;TraesCS4A01G164900;TraesCS5A01G424400;TraesCS2B01G122500;TraesCS6A01G268900;TraesCS1A01G195500;TraesCS6D01G132500;TraesCS1D01G199100;TraesCS5B01G147600;TraesCS2D01G232300;TraesCS3D01G514100;TraesCS3A01G393400;TraesCS3A01G513500;TraesCS5B01G036800;TraesCS5A01G104800;TraesCS1D01G219200;TraesCS5D01G341200;TraesCS1D01G412600;TraesCS2A01G233300;TraesCS4A01G015800;TraesCS4A01G298100;TraesCS2D01G438800;TraesCS6B01G171600;TraesCS1A01G095200;TraesCS1B01G434400;TraesCS2B01G297800;TraesCS6A01G319100;TraesCS1A01G133500;TraesCS7A01G560200;TraesCS2B01G264100;TraesCS5B01G094300;TraesCS1A01G198400;TraesCS4A01G334700;TraesCS3A01G082700;TraesCS7D01G000100;TraesCS3A01G310200;TraesCS5A01G472100;TraesCS1D01G211600;TraesCS7B01G207300;TraesCS2A01G239000;TraesCS5D01G094000;TraesCS1B01G462200;TraesCS2D01G105300</t>
  </si>
  <si>
    <t>positive regulation of biological process</t>
  </si>
  <si>
    <t>TraesCS4B01G015600;TraesCS5D01G143800;TraesCS5B01G171400;TraesCS7D01G283600;TraesCS2B01G250000;TraesCS1B01G049300;TraesCS2D01G362700;TraesCS1D01G124400;TraesCS3D01G273800;TraesCS2A01G387000;TraesCS2D01G014800;TraesCS6B01G159200;TraesCS6A01G143300;TraesCS4D01G147100;TraesCS5D01G551200;TraesCS6B01G218700;TraesCS1D01G030500;TraesCS6A01G130900;TraesCS4A01G052600;TraesCS4A01G315700;TraesCS4D01G013900;TraesCS5B01G563800;TraesCS3D01G083400;TraesCS2A01G280500;TraesCS2D01G279300;TraesCS2B01G004000;TraesCS7D01G300000;TraesCS7D01G549100;TraesCS3A01G151100;TraesCS1B01G255100;TraesCS7A01G307000;TraesCS3D01G304800;TraesCS5A01G149000;TraesCS1B01G213300;TraesCS3D01G289600;TraesCS6A01G268900;TraesCS1A01G195500;TraesCS6D01G132500;TraesCS1D01G199100;TraesCS5B01G147600;TraesCS2D01G232300;TraesCS3D01G514100;TraesCS3A01G513500;TraesCS5B01G036800;TraesCS5A01G104800;TraesCS1D01G219200;TraesCS1D01G412600;TraesCS2A01G233300;TraesCS4A01G298100;TraesCS2D01G438800;TraesCS6B01G171600;TraesCS1B01G434400;TraesCS2B01G297800;TraesCS6A01G319100;TraesCS1A01G133500;TraesCS7A01G560200;TraesCS5B01G094300;TraesCS1A01G198400;TraesCS3A01G082700;TraesCS3A01G310200;TraesCS1D01G211600;TraesCS7B01G207300;TraesCS5D01G094000;TraesCS1B01G462200</t>
  </si>
  <si>
    <t>TraesCS1D01G264100;TraesCS5D01G420300;TraesCS5A01G489100;TraesCS2A01G521400;TraesCS5B01G171400;TraesCS3B01G423600;TraesCS1B01G049300;TraesCS5B01G339200;TraesCS1A01G206900;TraesCS1B01G274600;TraesCS1D01G210200;TraesCS4D01G318200;TraesCS1B01G220700;TraesCS5D01G171100;TraesCS6A01G143300;TraesCS1A01G246800;TraesCS5D01G551200;TraesCS1D01G030500;TraesCS4A01G315700;TraesCS5B01G378700;TraesCS1B01G365600;TraesCS5B01G563800;TraesCS5A01G411500;TraesCS3D01G083400;TraesCS4B01G321500;TraesCS2A01G280500;TraesCS2D01G279300;TraesCS5A01G166800;TraesCS3B01G154900;TraesCS2A01G149600;TraesCS3A01G151100;TraesCS2B01G401900;TraesCS1A01G264000;TraesCS2B01G174700;TraesCS6A01G379000;TraesCS5B01G415100;TraesCS5A01G149000;TraesCS1D01G331000;TraesCS1A01G195500;TraesCS1B01G293500;TraesCS6D01G132500;TraesCS1D01G199100;TraesCS5A01G490500;TraesCS5B01G147600;TraesCS5B01G409700;TraesCS3D01G514100;TraesCS2A01G467900;TraesCS5D01G504600;TraesCS3A01G393400;TraesCS2A01G455300;TraesCS5B01G036800;TraesCS1A01G284300;TraesCS2B01G477400;TraesCS6B01G171600;TraesCS2B01G297800;TraesCS4B01G109700;TraesCS3A01G082700;TraesCS5D01G459800;TraesCS2B01G247100;TraesCS5A01G472100;TraesCS5D01G094000</t>
  </si>
  <si>
    <t>plant organ morphogenesis</t>
  </si>
  <si>
    <t>TraesCS6B01G294700;TraesCS2A01G067200;TraesCS3A01G367000;TraesCS5D01G169900;TraesCS5A01G165400;TraesCS5D01G169600;TraesCS2A01G066800;TraesCS2A01G066700;TraesCS2B01G079500;TraesCS5A01G324200;TraesCS2D01G065600;TraesCS5A01G165700;TraesCS5B01G324800;TraesCS6A01G267300;TraesCS1A01G313300;TraesCS2D01G065200;TraesCS2D01G065300;TraesCS2D01G065100;TraesCS4A01G093100;TraesCS2B01G079400;TraesCS2D01G238600;TraesCS2B01G079200;TraesCS2B01G079100;TraesCS5B01G162800</t>
  </si>
  <si>
    <t>carbon fixation</t>
  </si>
  <si>
    <t>positive regulation of transcription, DNA-templated</t>
  </si>
  <si>
    <t>positive regulation of nucleic acid-templated transcription</t>
  </si>
  <si>
    <t>TraesCS4A01G125000;TraesCS7D01G292000;TraesCS1D01G101200;TraesCS1D01G226100;TraesCS1D01G210200;TraesCS4D01G170800;TraesCS4A01G119800;TraesCS2D01G014800;TraesCS6B01G159200;TraesCS1A01G112800;TraesCS7D01G467500;TraesCS4D01G147100;TraesCS4A01G065400;TraesCS2D01G136200;TraesCS7B01G382800;TraesCS6D01G204800;TraesCS5A01G467500;TraesCS5D01G517600;TraesCS2B01G457300;TraesCS5B01G324800;TraesCS6A01G133100;TraesCS3B01G219700;TraesCS7A01G323200;TraesCS2A01G097900;TraesCS7D01G549100;TraesCS1B01G255100;TraesCS6B01G112700;TraesCS5A01G149000;TraesCS7B01G411000;TraesCS5A01G336500;TraesCS2A01G193800;TraesCS6D01G113900;TraesCS6B01G257900;TraesCS6D01G237400;TraesCS5D01G026000;TraesCS6A01G105400;TraesCS6D01G287300;TraesCS1B01G254000;TraesCS3A01G513500;TraesCS2B01G257300;TraesCS2B01G070700;TraesCS1D01G412600;TraesCS4A01G013500;TraesCS4A01G298100;TraesCS7D01G339300;TraesCS1D01G229400;TraesCS6A01G303800;TraesCS2B01G207000;TraesCS6A01G230100;TraesCS6D01G047400;TraesCS1B01G462200;TraesCS2A01G187700;TraesCS5A01G466100;TraesCS6A01G113000;TraesCS6D01G095800;TraesCS5D01G143800;TraesCS7D01G283600;TraesCS1D01G280900;TraesCS3B01G423600;TraesCS2A01G437700;TraesCS2D01G362700;TraesCS1A01G206900;TraesCS1B01G274600;TraesCS2B01G303300;TraesCS5D01G332000;TraesCS3D01G237100;TraesCS5D01G118200;TraesCS2D01G328100;TraesCS6A01G212200;TraesCS1A01G246800;TraesCS3B01G149800;TraesCS5B01G502700;TraesCS3D01G194300;TraesCS7D01G148200;TraesCS2D01G520000;TraesCS1B01G478800;TraesCS4D01G327300;TraesCS4A01G185400;TraesCS3A01G224800;TraesCS7A01G252000;TraesCS3A01G264700;TraesCS4A01G110800;TraesCS3D01G268700;TraesCS3D01G327600;TraesCS4A01G290400;TraesCS3A01G200400;TraesCS1A01G195500;TraesCS5B01G509100;TraesCS6D01G132500;TraesCS5B01G214400;TraesCS2D01G238600;TraesCS7B01G242800;TraesCS6A01G107900;TraesCS5B01G036800;TraesCS1D01G242400;TraesCS4B01G041900;TraesCS3A01G288200;TraesCS4B01G314600;TraesCS7D01G373100;TraesCS2D01G524500;TraesCS1A01G431600;TraesCS1A01G133500;TraesCS4D01G160000;TraesCS5B01G534400;TraesCS6B01G336300;TraesCS3A01G082700;TraesCS4A01G005000;TraesCS5B01G477800;TraesCS3A01G268600;TraesCS3B01G307600;TraesCS6D01G238800;TraesCS3D01G264800;TraesCS6A01G123800;TraesCS1D01G264100;TraesCS3D01G426300;TraesCS5D01G013100;TraesCS1D01G155100;TraesCS1B01G261600;TraesCS2A01G286500;TraesCS7D01G449900;TraesCS4B01G015600;TraesCS5A01G092400;TraesCS4B01G168300;TraesCS1D01G401900;TraesCS1D01G149900;TraesCS7A01G260600;TraesCS4B01G133200;TraesCS2A01G058700;TraesCS5A01G089900;TraesCS5A01G215900;TraesCS6A01G143300;TraesCS3B01G254400;TraesCS6D01G122800;TraesCS5A01G119300;TraesCS6B01G251600;TraesCS4D01G021400;TraesCS4D01G348500;TraesCS6B01G253900;TraesCS4D01G013900;TraesCS5B01G378700;TraesCS2A01G280500;TraesCS1A01G092700;TraesCS4B01G023800;TraesCS2B01G004000;TraesCS7A01G376800;TraesCS2A01G223600;TraesCS5A01G004200;TraesCS3A01G151100;TraesCS7D01G250100;TraesCS1A01G264000;TraesCS5B01G335500;TraesCS1A01G224700;TraesCS6D01G362000;TraesCS1D01G155800;TraesCS1D01G331000;TraesCS5B01G396700;TraesCS1D01G058300;TraesCS2D01G242100;TraesCS4B01G204500;TraesCS4A01G157100;TraesCS5B01G476900;TraesCS4A01G283000;TraesCS2B01G297800;TraesCS2D01G111300;TraesCS3B01G435900;TraesCS3D01G228800;TraesCS7A01G560200;TraesCS7B01G278200;TraesCS7B01G230100;TraesCS1A01G198400;TraesCS2B01G457600;TraesCS3D01G203400;TraesCS5D01G459800;TraesCS3A01G191700;TraesCS2B01G157600;TraesCS6B01G242800;TraesCS1D01G211600;TraesCS2D01G105300;TraesCS6D01G062500;TraesCS6B01G414800;TraesCS1D01G440900;TraesCS4D01G194300;TraesCS1B01G290800;TraesCS7B01G085700;TraesCS2B01G363200;TraesCS4A01G354500;TraesCS7A01G480700;TraesCS4B01G179400;TraesCS6D01G094200;TraesCS6D01G212000;TraesCS4B01G150300;TraesCS3D01G162700;TraesCS2A01G387000;TraesCS2D01G194000;TraesCS1D01G086600;TraesCS5B01G344200;TraesCS1B01G220700;TraesCS6A01G308100;TraesCS4A01G262900;TraesCS1B01G422200;TraesCS3A01G402500;TraesCS5D01G551200;TraesCS6B01G134800;TraesCS3D01G288000;TraesCS7A01G381900;TraesCS4A01G315700;TraesCS5B01G563800;TraesCS1A01G263400;TraesCS2A01G134000;TraesCS2D01G229600;TraesCS2B01G273900;TraesCS3D01G083400;TraesCS2D01G279300;TraesCS6A01G259000;TraesCS6A01G307700;TraesCS5B01G517900;TraesCS2D01G057900;TraesCS4A01G364400;TraesCS5D01G424400;TraesCS2A01G110700;TraesCS5D01G478900;TraesCS7B01G184800;TraesCS3D01G304800;TraesCS4A01G276300;TraesCS1B01G213300;TraesCS7D01G378400;TraesCS4A01G164900;TraesCS2B01G122500;TraesCS5D01G164800;TraesCS7D01G447100;TraesCS5B01G510500;TraesCS5A01G324200;TraesCS1A01G172100;TraesCS5D01G223700;TraesCS6B01G151900;TraesCS7B01G124100;TraesCS6A01G070600;TraesCS1D01G199100;TraesCS5B01G147600;TraesCS6D01G283300;TraesCS3D01G514100;TraesCS5A01G416700;TraesCS6D01G195400;TraesCS4A01G124000;TraesCS1A01G158500;TraesCS2A01G239200;TraesCS5D01G341200;TraesCS7A01G329600;TraesCS6B01G171600;TraesCS1B01G434400;TraesCS4B01G073200;TraesCS6A01G269700;TraesCS4B01G131800;TraesCS6A01G319100;TraesCS1A01G281700;TraesCS1A01G309200;TraesCS1D01G198700;TraesCS4A01G093100</t>
  </si>
  <si>
    <t>TraesCS7D01G554900;TraesCS3A01G289900;TraesCS5D01G470400;TraesCS7D01G294300;TraesCS4A01G166900;TraesCS1D01G101200;TraesCS3A01G202000;TraesCS3D01G391900;TraesCS2D01G102100;TraesCS6B01G182300;TraesCS5A01G490800;TraesCS4A01G092500;TraesCS4D01G212600;TraesCS4D01G317900;TraesCS3B01G229700;TraesCS1A01G116200;TraesCS3A01G292700;TraesCSU01G142500;TraesCS6D01G405600;TraesCS4B01G321300;TraesCS3B01G324500;TraesCS5D01G517200;TraesCS1A01G092700;TraesCS1D01G146600;TraesCS2B01G119700;TraesCS4A01G355000;TraesCS5B01G517500;TraesCS2A01G102600;TraesCS3D01G289600;TraesCS3A01G189400;TraesCS3B01G430000;TraesCS1D01G117400;TraesCS6B01G104600;TraesCS1B01G167200;TraesCS7A01G182200;TraesCS4B01G211800;TraesCS4D01G151900;TraesCS7A01G555700;TraesCS5D01G230300;TraesCS6A01G420100;TraesCS3A01G417000;TraesCS3D01G412500;TraesCS4D01G065600;TraesCS7D01G409000;TraesCS6A01G077800;TraesCS5A01G222500;TraesCS6A01G154400;TraesCS3A01G398000;TraesCS4A01G248200</t>
  </si>
  <si>
    <t>TraesCS4B01G015600;TraesCS5D01G143800;TraesCS5B01G171400;TraesCS7D01G283600;TraesCS1B01G049300;TraesCS2D01G362700;TraesCS3D01G273800;TraesCS2A01G387000;TraesCS2D01G014800;TraesCS6B01G159200;TraesCS6A01G143300;TraesCS4D01G147100;TraesCS5D01G551200;TraesCS1D01G030500;TraesCS6A01G130900;TraesCS4A01G052600;TraesCS4A01G315700;TraesCS4D01G013900;TraesCS5B01G563800;TraesCS3D01G083400;TraesCS2A01G280500;TraesCS2D01G279300;TraesCS2B01G004000;TraesCS7D01G300000;TraesCS7D01G549100;TraesCS3A01G151100;TraesCS1B01G255100;TraesCS7A01G307000;TraesCS3D01G304800;TraesCS5A01G149000;TraesCS1B01G213300;TraesCS1A01G195500;TraesCS6D01G132500;TraesCS1D01G199100;TraesCS5B01G147600;TraesCS3D01G514100;TraesCS3A01G513500;TraesCS5B01G036800;TraesCS5A01G104800;TraesCS1D01G219200;TraesCS1D01G412600;TraesCS4A01G298100;TraesCS6B01G171600;TraesCS1B01G434400;TraesCS2B01G297800;TraesCS6A01G319100;TraesCS7A01G560200;TraesCS5B01G094300;TraesCS1A01G198400;TraesCS3A01G082700;TraesCS1D01G211600;TraesCS7B01G207300;TraesCS5D01G094000;TraesCS1B01G462200</t>
  </si>
  <si>
    <t>positive regulation of macromolecule biosynthetic process</t>
  </si>
  <si>
    <t>TraesCS5B01G117800;TraesCS1D01G409700;TraesCS3A01G367000;TraesCS5A01G396700;TraesCS3A01G476000;TraesCS2A01G123800;TraesCS6A01G290600;TraesCS4B01G129700;TraesCS7A01G222800;TraesCS2A01G387000;TraesCS6A01G308100;TraesCS4D01G088200;TraesCS5A01G119300;TraesCS4D01G021400;TraesCS3D01G288000;TraesCS3A01G232700;TraesCS4A01G052600;TraesCS4B01G091100;TraesCS3B01G161900;TraesCS3A01G381000;TraesCS1D01G341100;TraesCS6B01G315800;TraesCS5D01G321900;TraesCS7A01G518200;TraesCS5B01G146700;TraesCS2D01G126600;TraesCS5A01G315800;TraesCS7B01G197000;TraesCS2B01G050600;TraesCS4A01G446700;TraesCS4D01G194400;TraesCS2A01G309600;TraesCS2B01G145700;TraesCS4A01G290400;TraesCS2D01G310000;TraesCS3D01G271200;TraesCS2B01G328500;TraesCS4D01G184400;TraesCS7D01G508100;TraesCS5B01G409700;TraesCS2B01G330100;TraesCS3B01G398300;TraesCS6D01G287300;TraesCS7B01G129300;TraesCS3A01G288200;TraesCS1A01G339300;TraesCS3A01G271600;TraesCS4D01G122800;TraesCS7D01G224400;TraesCS2A01G313000;TraesCS3D01G220400;TraesCS4A01G093100</t>
  </si>
  <si>
    <t>TraesCS4B01G015600;TraesCS5D01G143800;TraesCS5B01G171400;TraesCS7D01G283600;TraesCS2B01G250000;TraesCS1B01G049300;TraesCS2D01G362700;TraesCS1D01G124400;TraesCS3D01G273800;TraesCS2A01G387000;TraesCS2D01G014800;TraesCS6B01G159200;TraesCS6A01G143300;TraesCS4D01G147100;TraesCS5D01G551200;TraesCS1D01G030500;TraesCS6A01G130900;TraesCS4A01G052600;TraesCS4A01G315700;TraesCS4D01G013900;TraesCS5B01G563800;TraesCS3D01G083400;TraesCS2A01G280500;TraesCS2D01G279300;TraesCS2B01G004000;TraesCS7D01G300000;TraesCS7D01G549100;TraesCS3A01G151100;TraesCS1B01G255100;TraesCS7A01G307000;TraesCS3D01G304800;TraesCS5A01G149000;TraesCS1B01G213300;TraesCS6A01G268900;TraesCS1A01G195500;TraesCS6D01G132500;TraesCS1D01G199100;TraesCS5B01G147600;TraesCS2D01G232300;TraesCS3D01G514100;TraesCS3A01G513500;TraesCS5B01G036800;TraesCS5A01G104800;TraesCS1D01G219200;TraesCS1D01G412600;TraesCS2A01G233300;TraesCS4A01G298100;TraesCS2D01G438800;TraesCS6B01G171600;TraesCS1B01G434400;TraesCS2B01G297800;TraesCS6A01G319100;TraesCS1A01G133500;TraesCS7A01G560200;TraesCS5B01G094300;TraesCS1A01G198400;TraesCS3A01G082700;TraesCS1D01G211600;TraesCS7B01G207300;TraesCS5D01G094000;TraesCS1B01G462200</t>
  </si>
  <si>
    <t>positive regulation of macromolecule metabolic process</t>
  </si>
  <si>
    <t>TraesCS6D01G016900;TraesCS7A01G036200;TraesCS2A01G261600;TraesCS5B01G484700;TraesCS5B01G249000;TraesCS2A01G246200;TraesCS5A01G059300;TraesCS5A01G200800;TraesCS4B01G397600;TraesCS6D01G344200;TraesCS3D01G271500;TraesCS4A01G226500;TraesCS1B01G146200;TraesCS3B01G398000;TraesCS6B01G295700;TraesCS3B01G206600;TraesCS7D01G467500;TraesCS3B01G193200;TraesCS5B01G412400;TraesCS2A01G262700;TraesCS3A01G228000;TraesCS4B01G169900;TraesCS6B01G411900;TraesCS7D01G056800;TraesCS7A01G541200;TraesCS1A01G355200;TraesCS7B01G382800;TraesCS4B01G050200;TraesCS5D01G444700;TraesCS6B01G132300;TraesCS7B01G104400;TraesCS4D01G135000;TraesCS5B01G094600;TraesCS3B01G242700;TraesCS5A01G200900;TraesCS2A01G171900;TraesCS5A01G390000;TraesCS6D01G142900;TraesCS3A01G178900;TraesCS5B01G159100;TraesCS3A01G229100;TraesCS4D01G292900;TraesCS3A01G216100;TraesCS4D01G068100;TraesCS3A01G344300;TraesCS5D01G376600;TraesCS4D01G184400;TraesCS6B01G262800;TraesCS1B01G469400;TraesCS5D01G399800;TraesCS3A01G091100;TraesCS6B01G270400;TraesCS3B01G208800;TraesCS5A01G251000;TraesCS6A01G225200;TraesCS3A01G303800;TraesCS5B01G082400;TraesCS4D01G250100;TraesCS4A01G361100;TraesCS1A01G423100;TraesCS2D01G093700;TraesCS1A01G125000;TraesCS3B01G309700;TraesCS5A01G115000;TraesCS3B01G376200;TraesCS5D01G396300;TraesCS5D01G420300;TraesCS6A01G245000;TraesCS1D01G396300;TraesCS6D01G161000;TraesCS1D01G260500;TraesCS2D01G322800;TraesCS5B01G171400;TraesCS2A01G387400;TraesCS1B01G274600;TraesCS7B01G317000;TraesCS3A01G223700;TraesCS3D01G369100;TraesCS4A01G191500;TraesCS1A01G275400;TraesCS4D01G132900;TraesCS2B01G280600;TraesCS4D01G172000;TraesCS7B01G162300;TraesCS7D01G543200;TraesCS5D01G100800;TraesCS6B01G159800;TraesCS6A01G234000;TraesCS1B01G271100;TraesCS6A01G158300;TraesCS5B01G479200;TraesCS6A01G125400;TraesCS7A01G466900;TraesCS1B01G366400;TraesCS2D01G213100;TraesCS2B01G315300;TraesCS5D01G044700;TraesCS6B01G296700;TraesCS6D01G358500;TraesCS7A01G510900;TraesCS5A01G357400;TraesCS5D01G405400;TraesCS3A01G214000;TraesCS5D01G161800;TraesCS1A01G025900;TraesCS4D01G079200;TraesCS4D01G142600;TraesCS2B01G328500;TraesCS2D01G597600;TraesCS3B01G266900;TraesCS3D01G336200;TraesCS6D01G344100;TraesCS7D01G291200;TraesCS7D01G364400;TraesCS2A01G159900;TraesCS1D01G431700;TraesCS3B01G103500;TraesCS6A01G279100;TraesCS7B01G066000;TraesCS3A01G288200;TraesCS4B01G314600;TraesCS3A01G366400;TraesCS6D01G189700;TraesCS1D01G314600;TraesCS4A01G005000;TraesCS4A01G078800;TraesCS5D01G077600;TraesCS6B01G099900;TraesCS3A01G276100;TraesCS1A01G299500;TraesCS2A01G487500;TraesCS4D01G036500;TraesCS2D01G049500;TraesCS1D01G264100;TraesCS2D01G213200;TraesCS5D01G013100;TraesCS3B01G423800;TraesCS3B01G442200;TraesCS5B01G222600;TraesCS3B01G207300;TraesCS6A01G018600;TraesCS6B01G213100;TraesCS2B01G514800;TraesCS3B01G222700;TraesCS7A01G390300;TraesCS3A01G342300;TraesCS4A01G375000;TraesCS1D01G275000;TraesCS3D01G229800;TraesCSU01G158800;TraesCS4B01G050600;TraesCS4A01G134800;TraesCS5D01G374000;TraesCS5B01G539900;TraesCS6D01G227300;TraesCS4B01G138100;TraesCS4A01G178600;TraesCS5D01G366500;TraesCS3D01G217700;TraesCS4B01G140300;TraesCS1A01G110900;TraesCS3D01G507500;TraesCS4D01G252700;TraesCS6B01G174100;TraesCS7A01G264300;TraesCS1D01G316200;TraesCS7D01G228500;TraesCS1B01G348800;TraesCS5A01G050100;TraesCS5B01G154600;TraesCS6B01G199500;TraesCS6D01G007800;TraesCS7A01G076600;TraesCS4A01G116000;TraesCS3A01G484800;TraesCS6B01G141400;TraesCS3B01G299100;TraesCS3D01G241900;TraesCS1A01G264000;TraesCS4A01G177500;TraesCS5A01G365100;TraesCS5D01G141200;TraesCS5A01G054700;TraesCS2B01G462500;TraesCS3D01G282800;TraesCS6D01G216300;TraesCS2D01G198300;TraesCS3A01G282800;TraesCS5D01G261300;TraesCS3D01G298000;TraesCS2D01G362200;TraesCS5B01G537700;TraesCS3B01G254500;TraesCS7B01G005700;TraesCS7A01G004000;TraesCS1D01G219200;TraesCS3D01G376500;TraesCS1A01G177600;TraesCS6D01G166400;TraesCS6B01G256400;TraesCS2B01G304900;TraesCS1A01G198400;TraesCS1B01G378000;TraesCS3D01G203400;TraesCS7B01G241900;TraesCS2D01G304000;TraesCS1D01G211600;TraesCS4D01G240700;TraesCS7A01G313900;TraesCS2B01G174600;TraesCS7D01G332300;TraesCS6B01G294700;TraesCS5A01G367700;TraesCS3D01G109700;TraesCS7B01G052900;TraesCS2B01G451100;TraesCS4A01G217700;TraesCS1B01G301500;TraesCS3B01G316500;TraesCS3B01G093800;TraesCS1A01G361400;TraesCS2D01G523100;TraesCS2B01G405200;TraesCS2B01G462400;TraesCS3A01G060300;TraesCS4A01G111600;TraesCS2A01G092400;TraesCS5A01G156400;TraesCS3A01G112800;TraesCS2A01G480500;TraesCS4A01G262900;TraesCS4A01G367700;TraesCS7D01G377200;TraesCS6A01G336800;TraesCS3D01G288000;TraesCS5D01G402300;TraesCS6A01G322400;TraesCS5D01G113700;TraesCS4D01G107000;TraesCS5B01G037500;TraesCS7D01G032800;TraesCS2A01G202600;TraesCS7D01G011800;TraesCS3B01G305600;TraesCS3B01G299300;TraesCS5D01G424400;TraesCS2B01G174700;TraesCS2A01G150000;TraesCS2D01G154600;TraesCS5D01G437600;TraesCSU01G131300;TraesCS2B01G185800;TraesCS5D01G005300;TraesCS1A01G172100;TraesCS7D01G123400;TraesCS6D01G147700;TraesCS7D01G190300;TraesCS6B01G304100;TraesCS3A01G538300;TraesCS3B01G607600;TraesCS5D01G087800;TraesCS7B01G269300;TraesCS3D01G091000;TraesCS7A01G062100;TraesCS3B01G141700;TraesCS7B01G236400;TraesCS2B01G604300;TraesCS6B01G117100;TraesCS7A01G226000;TraesCS5A01G113700;TraesCS3B01G269900;TraesCS4D01G189600;TraesCS7B01G446500;TraesCS1A01G314100;TraesCS5D01G480300;TraesCS7D01G386000;TraesCS2D01G594500;TraesCS1A01G129400;TraesCS4A01G246100;TraesCS6D01G121300;TraesCS1B01G259800;TraesCS4B01G252400;TraesCS5D01G525000;TraesCS6A01G360600;TraesCS2D01G479900;TraesCS2B01G307300;TraesCS3B01G224600;TraesCS6A01G184000;TraesCS1A01G260500;TraesCS5A01G032500;TraesCS5B01G155400;TraesCS3D01G285100;TraesCS3D01G411200;TraesCS5D01G219500;TraesCS5D01G162400;TraesCS6A01G268600;TraesCS6D01G077500;TraesCS7D01G150200;TraesCS5D01G359800;TraesCS2B01G229600;TraesCS7A01G148600;TraesCS5D01G528400;TraesCS6B01G113200;TraesCS1A01G292100;TraesCS4B01G186700;TraesCS5B01G156500;TraesCS5B01G431500;TraesCS6A01G153600;TraesCS6B01G226000;TraesCS6D01G180500;TraesCS5A01G467500;TraesCS3B01G408800;TraesCS3B01G131400;TraesCS6B01G233800;TraesCS6D01G236400;TraesCS2B01G597700;TraesCS4B01G126400;TraesCS4D01G133500;TraesCS3D01G169000;TraesCS6D01G320800;TraesCS7A01G088100;TraesCS3D01G019000;TraesCS6A01G379000;TraesCS2D01G565200;TraesCS5B01G415100;TraesCS3A01G122500;TraesCS4B01G090000;TraesCS2D01G248600;TraesCS7A01G321900;TraesCS6B01G174500;TraesCS2A01G299200;TraesCS7D01G265200;TraesCS2D01G440100;TraesCS6B01G039900;TraesCS4B01G171300;TraesCS6B01G056200;TraesCS2D01G291200;TraesCS3D01G275200;TraesCS5A01G305400;TraesCS2B01G263300;TraesCS3B01G568500;TraesCS3D01G345500;TraesCS2A01G103300;TraesCS7A01G417000;TraesCS4D01G359000;TraesCS1D01G055200;TraesCS4B01G069300;TraesCS6B01G393600;TraesCS2A01G330000;TraesCS3B01G246600;TraesCS6B01G231400;TraesCS5A01G547300;TraesCS1D01G020000;TraesCS5A01G491400;TraesCS7B01G052200;TraesCS2A01G187700;TraesCS3D01G188800;TraesCS5D01G206500;TraesCS7A01G491200;TraesCS4A01G494400;TraesCS5A01G466100;TraesCS2B01G342100;TraesCS1B01G326400;TraesCS3B01G555600;TraesCS2D01G362700;TraesCS3A01G275700;TraesCS3B01G214600;TraesCS4D01G096200;TraesCS3D01G237100;TraesCS6A01G103200;TraesCS7D01G083200;TraesCS3B01G309000;TraesCS4D01G212600;TraesCS3A01G238400;TraesCS5D01G505700;TraesCS7D01G278800;TraesCS5D01G312400;TraesCS2A01G344500;TraesCS1B01G478800;TraesCS1D01G443100;TraesCS5A01G411500;TraesCS7A01G235200;TraesCS7D01G072300;TraesCS4B01G160600;TraesCS3B01G374400;TraesCS6B01G365300;TraesCS6B01G393500;TraesCS5A01G191100;TraesCS5A01G101900;TraesCS5D01G040800;TraesCS4A01G387000;TraesCS5A01G088400;TraesCS2A01G095300;TraesCS3A01G264700;TraesCS4A01G452700;TraesCS4B01G170400;TraesCS2D01G303500;TraesCS7D01G200800;TraesCS7D01G410100;TraesCS2D01G301200;TraesCS4A01G110800;TraesCS6B01G026900;TraesCS6D01G259500;TraesCS6B01G307200;TraesCS1D01G352300;TraesCS4A01G051900;TraesCS3A01G200400;TraesCS5B01G199400;TraesCS1D01G151800;TraesCS3B01G564100;TraesCS4D01G004000;TraesCS5D01G399200;TraesCS5A01G395200;TraesCS5B01G509100;TraesCS1A01G313300;TraesCS6D01G210000;TraesCS3A01G391800;TraesCS6D01G247400;TraesCS3A01G376300;TraesCS4B01G211800;TraesCS2B01G229500;TraesCS4A01G090100;TraesCS4D01G214800;TraesCS5B01G504900;TraesCS3D01G217600;TraesCS5A01G387700;TraesCS6D01G363400;TraesCS2D01G568400;TraesCS4B01G276500;TraesCS5B01G397300;TraesCS1D01G298400;TraesCS5B01G395000;TraesCS4A01G216200;TraesCS4D01G298800;TraesCS7A01G239700;TraesCS1D01G125300;TraesCS5B01G366700;TraesCS6B01G342300;TraesCS5B01G075800;TraesCS7A01G279000;TraesCS4A01G059500;TraesCS5B01G477800;TraesCS6D01G246300;TraesCS3A01G241700;TraesCS2D01G296800;TraesCS3D01G264800;TraesCS3A01G212600;TraesCS6D01G173700;TraesCS3B01G083400;TraesCS1D01G426400;TraesCS5A01G092400;TraesCS4A01G111000;TraesCS3D01G384700;TraesCS5D01G081700;TraesCS7D01G454700;TraesCS3A01G313300;TraesCS6B01G371500;TraesCS2A01G392900;TraesCS1A01G388400;TraesCS4A01G092500;TraesCS2B01G505400;TraesCS2B01G528300;TraesCS4A01G101200;TraesCS6D01G357100;TraesCS7B01G181200;TraesCS4D01G147500;TraesCS3B01G426500;TraesCS6A01G269400;TraesCS1A01G418700;TraesCS2A01G302500;TraesCS2B01G385300;TraesCS5A01G429500;TraesCS3B01G161900;TraesCS5B01G102600;TraesCS2A01G149600;TraesCS2B01G415500;TraesCS3D01G182400;TraesCS6B01G181300;TraesCS7B01G182300;TraesCS2A01G290900;TraesCS6A01G171300;TraesCS2D01G487700;TraesCS6A01G312100;TraesCS3D01G275600;TraesCS2D01G310000;TraesCS1A01G086500;TraesCS1A01G145000;TraesCS4A01G264400;TraesCS2D01G385000;TraesCS3D01G124400;TraesCS7B01G393400;TraesCS1D01G178000;TraesCS3D01G294200;TraesCS2A01G430500;TraesCS7D01G218000;TraesCS4B01G138800;TraesCS7D01G004500;TraesCS4B01G144000;TraesCS4D01G193500;TraesCS6B01G285500;TraesCS6A01G200200;TraesCS3D01G196700;TraesCS1D01G144000;TraesCS5A01G157000;TraesCS7A01G235300;TraesCS5B01G529300;TraesCS7A01G149200;TraesCS6A01G186800;TraesCS2B01G411000;TraesCS2A01G149500;TraesCS2B01G157600;TraesCS5A01G212500;TraesCS5D01G417400;TraesCS3A01G220700;TraesCS7D01G476500;TraesCS3A01G023800;TraesCS5D01G258900;TraesCS3A01G184800;TraesCS2A01G521400;TraesCS5B01G155200;TraesCS3A01G161800;TraesCS4D01G194300;TraesCS2D01G288800;TraesCS6D01G091600;TraesCS3B01G291000;TraesCS7A01G480700;TraesCS5D01G078500;TraesCS1A01G315900;TraesCS1A01G249100;TraesCS2A01G226000;TraesCS2B01G107200;TraesCS3A01G275300;TraesCS6D01G245600;TraesCS5A01G548800;TraesCS2B01G307500;TraesCS2D01G167300;TraesCS2A01G387000;TraesCS6D01G302200;TraesCS2B01G198300;TraesCS6D01G174700;TraesCS4D01G092800;TraesCS4D01G172400;TraesCS3B01G309400;TraesCS6D01G221400;TraesCS2B01G217700;TraesCS6D01G315500;TraesCS2D01G262400;TraesCS3D01G068900;TraesCS6A01G078200;TraesCS7D01G457900;TraesCS5B01G511800;TraesCS2D01G249200;TraesCS7B01G421800;TraesCS6A01G267300;TraesCS2B01G318400;TraesCS5D01G138500;TraesCS7B01G169100;TraesCS3B01G322800;TraesCS5D01G231200;TraesCSU01G009200;TraesCS2A01G431900;TraesCS2B01G321700;TraesCS3A01G069900;TraesCS5D01G478900;TraesCS5B01G155100;TraesCS5A01G036600;TraesCS1B01G213300;TraesCS2D01G500600;TraesCS1A01G111100;TraesCS1D01G390500;TraesCS4A01G164900;TraesCS5A01G223700;TraesCS5B01G136500;TraesCS3A01G107900;TraesCS4B01G332300;TraesCS5D01G512300;TraesCS5D01G162500;TraesCS2B01G454000;TraesCS1B01G293500;TraesCS2B01G051500;TraesCS4D01G080700;TraesCS7B01G124100;TraesCS6D01G245500;TraesCS1A01G101300;TraesCS5D01G060900;TraesCS4D01G086000;TraesCS6B01G161800;TraesCS1A01G284300;TraesCS5B01G074200;TraesCS5D01G070800;TraesCS1A01G020500;TraesCS7B01G089500;TraesCS2B01G352300;TraesCS7D01G130500;TraesCS2B01G293400;TraesCS4B01G380800;TraesCS6A01G163500;TraesCS5A01G067300;TraesCS2B01G191800</t>
  </si>
  <si>
    <t>TraesCS4B01G015600;TraesCS5D01G143800;TraesCS5B01G171400;TraesCS7D01G283600;TraesCS1B01G049300;TraesCS2D01G362700;TraesCS3D01G273800;TraesCS2A01G387000;TraesCS2D01G014800;TraesCS6B01G159200;TraesCS6A01G143300;TraesCS4D01G147100;TraesCS5D01G551200;TraesCS6B01G218700;TraesCS1D01G030500;TraesCS6A01G130900;TraesCS4A01G052600;TraesCS4A01G315700;TraesCS4D01G013900;TraesCS5B01G563800;TraesCS3D01G083400;TraesCS2A01G280500;TraesCS2D01G279300;TraesCS2B01G004000;TraesCS7D01G300000;TraesCS7D01G549100;TraesCS3A01G151100;TraesCS1B01G255100;TraesCS7A01G307000;TraesCS3D01G304800;TraesCS5A01G149000;TraesCS1B01G213300;TraesCS3D01G289600;TraesCS1A01G195500;TraesCS6D01G132500;TraesCS1D01G199100;TraesCS5B01G147600;TraesCS3D01G514100;TraesCS3A01G513500;TraesCS5B01G036800;TraesCS5A01G104800;TraesCS1D01G219200;TraesCS1D01G412600;TraesCS4A01G298100;TraesCS6B01G171600;TraesCS1B01G434400;TraesCS2B01G297800;TraesCS6A01G319100;TraesCS7A01G560200;TraesCS5B01G094300;TraesCS1A01G198400;TraesCS3A01G082700;TraesCS3A01G310200;TraesCS1D01G211600;TraesCS7B01G207300;TraesCS5D01G094000;TraesCS1B01G462200</t>
  </si>
  <si>
    <t>positive regulation of biosynthetic process</t>
  </si>
  <si>
    <t>TraesCS3D01G426300;TraesCS3A01G212600;TraesCS7D01G298100;TraesCS1B01G049300;TraesCS5D01G162400;TraesCS5A01G114000;TraesCS2A01G392900;TraesCS2D01G253100;TraesCS5D01G171100;TraesCS5A01G192000;TraesCS3D01G173500;TraesCS1A01G324800;TraesCS6B01G253900;TraesCS6D01G057900;TraesCS4D01G135000;TraesCS4B01G321500;TraesCS5A01G166800;TraesCS2A01G149600;TraesCS2A01G200500;TraesCS3B01G198800;TraesCS2A01G563500;TraesCS4B01G191300;TraesCS2B01G401900;TraesCS1A01G180200;TraesCS5B01G335500;TraesCS6A01G379000;TraesCS2D01G565200;TraesCS1D01G331000;TraesCS5A01G336500;TraesCS6A01G312100;TraesCS4B01G204500;TraesCS2A01G193800;TraesCS2B01G227800;TraesCS1D01G178000;TraesCS2B01G257300;TraesCS3B01G252200;TraesCS3B01G088300;TraesCS4D01G116000;TraesCS3B01G298400;TraesCS3D01G414600;TraesCS6B01G190300;TraesCS5A01G157000;TraesCS6A01G303800;TraesCS4B01G109700;TraesCS3D01G203400;TraesCS5A01G115400;TraesCS7A01G514900;TraesCS2D01G093700;TraesCS2B01G247100;TraesCS1B01G200300;TraesCS4A01G355100;TraesCS2D01G105300;TraesCS7B01G352800;TraesCS1D01G409700;TraesCS3A01G367000;TraesCS5D01G472300;TraesCS5B01G155200;TraesCS7D01G283600;TraesCS2D01G397800;TraesCS2B01G592500;TraesCS2D01G362700;TraesCS2A01G226000;TraesCS1D01G124400;TraesCS3A01G097200;TraesCS2D01G194000;TraesCS4A01G138800;TraesCS4D01G318200;TraesCS1D01G325500;TraesCS4A01G262900;TraesCS5B01G162300;TraesCS7D01G442100;TraesCS4B01G069200;TraesCS2D01G059400;TraesCS3A01G224000;TraesCS3A01G167400;TraesCS6A01G267300;TraesCS2B01G098800;TraesCS5B01G037500;TraesCS5B01G387600;TraesCS2A01G095300;TraesCS3B01G253500;TraesCS5D01G044700;TraesCS2B01G174700;TraesCS3B01G251200;TraesCS5B01G115000;TraesCS5A01G036600;TraesCS2D01G246100;TraesCS2B01G122500;TraesCS3A01G200400;TraesCS6B01G151900;TraesCS5A01G490500;TraesCS6D01G283300;TraesCS2D01G238600;TraesCS1B01G337800;TraesCS5B01G036800;TraesCS2A01G239200;TraesCS5D01G341200;TraesCS3A01G389100;TraesCS4B01G276500;TraesCS2D01G208300;TraesCS7D01G505300;TraesCS1D01G298400;TraesCS1A01G133500;TraesCS7A01G452800;TraesCS5A01G460600;TraesCS6B01G342300;TraesCS2A01G252400;TraesCS3A01G295400;TraesCS6A01G161200;TraesCS7D01G000100;TraesCS1A01G299500;TraesCS5B01G517400;TraesCS2A01G403100</t>
  </si>
  <si>
    <t>TraesCS2B01G174600;TraesCS1D01G264100;TraesCS2A01G095300;TraesCS2D01G213200;TraesCS1A01G264000;TraesCS3B01G423800;TraesCS6A01G360600;TraesCS6A01G379000;TraesCS7B01G111000;TraesCS2A01G129900;TraesCS7A01G204000;TraesCS3D01G281100;TraesCS2D01G154600;TraesCS1B01G049300;TraesCS1D01G222700;TraesCS3A01G200400;TraesCS3D01G384700;TraesCS5D01G078500;TraesCS2A01G226000;TraesCS6B01G341400;TraesCS1B01G274600;TraesCS6D01G344100;TraesCS2B01G152100;TraesCS2D01G427900;TraesCS3A01G391800;TraesCS2D01G132100;TraesCS3B01G252200;TraesCS6A01G311200;TraesCS3A01G389100;TraesCS1A01G221100;TraesCS5B01G074200;TraesCS1D01G298400;TraesCS5A01G091200;TraesCS7D01G207100;TraesCS3D01G203400;TraesCS2D01G093700;TraesCS6B01G393500;TraesCS2B01G247100;TraesCS3D01G205300;TraesCS2A01G149500;TraesCS1A01G299500;TraesCS6A01G343500;TraesCS3D01G182400</t>
  </si>
  <si>
    <t>TraesCS1D01G264100;TraesCS2D01G477200;TraesCS6A01G360600;TraesCS7B01G352800;TraesCS5A01G229500;TraesCS4D01G278500;TraesCS7B01G199200;TraesCS7D01G283600;TraesCS1B01G049300;TraesCS7A01G175300;TraesCS1B01G375300;TraesCS1B01G274600;TraesCS7A01G222800;TraesCS3A01G336100;TraesCS3A01G097200;TraesCS4A01G023500;TraesCS4D01G318200;TraesCS5A01G328900;TraesCS5D01G171100;TraesCS6A01G143300;TraesCS3D01G217700;TraesCS7D01G442100;TraesCS7A01G286700;TraesCS7A01G419600;TraesCS2D01G059400;TraesCS4B01G321500;TraesCS5A01G166800;TraesCS6B01G393500;TraesCS6B01G344100;TraesCS5B01G037500;TraesCS2A01G149600;TraesCS2A01G563500;TraesCS3A01G151100;TraesCS2A01G095300;TraesCS2B01G401900;TraesCS5D01G193000;TraesCS5D01G044700;TraesCS7A01G277700;TraesCS1A01G264000;TraesCS2B01G174700;TraesCS7B01G153100;TraesCS6A01G379000;TraesCS5A01G229400;TraesCS1A01G358800;TraesCS1D01G331000;TraesCS5A01G036600;TraesCS3A01G216100;TraesCS4A01G164900;TraesCS6D01G293100;TraesCS3A01G200400;TraesCS5B01G263800;TraesCS6D01G132500;TraesCS7B01G124100;TraesCS6D01G344100;TraesCS5A01G490500;TraesCS7A01G220600;TraesCS5B01G185700;TraesCS3B01G252200;TraesCS5A01G104800;TraesCS5D01G230300;TraesCS7B01G129300;TraesCS2A01G478000;TraesCS3A01G417000;TraesCS1A01G007500;TraesCS3D01G412500;TraesCS1D01G298400;TraesCS6B01G171600;TraesCS7D01G409000;TraesCS6B01G190300;TraesCS7A01G415500;TraesCS7D01G224400;TraesCS7A01G452800;TraesCS2A01G382000;TraesCS4B01G109700;TraesCS3D01G203400;TraesCS2D01G093700;TraesCS6A01G161200;TraesCS2B01G247100;TraesCS1A01G299500;TraesCS2D01G237600;TraesCS2D01G239700;TraesCS2B01G501300</t>
  </si>
  <si>
    <t>TraesCS3A01G151100;TraesCS4A01G262900;TraesCS6B01G159200;TraesCS2B01G528300;TraesCS3D01G426300;TraesCS5B01G036800;TraesCS5B01G484700;TraesCS5B01G155200;TraesCS6B01G454500;TraesCS3A01G212000;TraesCS7D01G280600;TraesCS2A01G437700;TraesCS4D01G135000;TraesCS5A01G157000;TraesCS6A01G290600;TraesCS7A01G560200;TraesCS5D01G162400;TraesCS2B01G457600;TraesCS6A01G267300;TraesCS6A01G408400;TraesCS7B01G189500;TraesCS4A01G093100;TraesCS7D01G549100</t>
  </si>
  <si>
    <t>response to red light</t>
  </si>
  <si>
    <t>TraesCS4B01G015600;TraesCS5D01G143800;TraesCS5B01G171400;TraesCS7D01G283600;TraesCS1B01G049300;TraesCS2D01G362700;TraesCS1D01G124400;TraesCS3D01G273800;TraesCS2A01G387000;TraesCS2D01G014800;TraesCS6A01G143300;TraesCS4D01G147100;TraesCS5D01G551200;TraesCS1D01G030500;TraesCS4A01G052600;TraesCS4A01G315700;TraesCS4D01G013900;TraesCS5B01G563800;TraesCS3D01G083400;TraesCS2A01G280500;TraesCS2D01G279300;TraesCS2B01G004000;TraesCS7D01G300000;TraesCS7D01G549100;TraesCS3A01G151100;TraesCS1B01G255100;TraesCS7A01G307000;TraesCS3D01G304800;TraesCS5A01G149000;TraesCS1B01G213300;TraesCS1A01G195500;TraesCS6D01G132500;TraesCS1D01G199100;TraesCS5B01G147600;TraesCS3D01G514100;TraesCS3A01G513500;TraesCS5B01G036800;TraesCS1D01G412600;TraesCS4A01G298100;TraesCS6B01G171600;TraesCS1B01G434400;TraesCS2B01G297800;TraesCS6A01G319100;TraesCS1A01G133500;TraesCS7A01G560200;TraesCS5B01G094300;TraesCS1A01G198400;TraesCS3A01G082700;TraesCS1D01G211600;TraesCS7B01G207300;TraesCS5D01G094000;TraesCS1B01G462200</t>
  </si>
  <si>
    <t>positive regulation of gene expression</t>
  </si>
  <si>
    <t>TraesCS5D01G124800;TraesCS1D01G107300;TraesCS4D01G253400;TraesCS6B01G418400;TraesCS4A01G054400;TraesCS3D01G271500;TraesCS7D01G121200;TraesCS1B01G146200;TraesCS1D01G363700;TraesCS6B01G295700;TraesCS2A01G409700;TraesCS6B01G132300;TraesCS6A01G374200;TraesCS2B01G234500;TraesCS5B01G265500;TraesCS2D01G273000;TraesCS5B01G094600;TraesCS3B01G242700;TraesCS1D01G259600;TraesCS4A01G051000;TraesCS7A01G348600;TraesCS5A01G390000;TraesCS1B01G202100;TraesCS2B01G448000;TraesCS5B01G360900;TraesCS5B01G159100;TraesCS3A01G229100;TraesCS5B01G295000;TraesCS1B01G255900;TraesCS4B01G017400;TraesCS1A01G130700;TraesCS6A01G379800;TraesCS2A01G488400;TraesCS4D01G184400;TraesCS2A01G364500;TraesCS6B01G262800;TraesCS4B01G066700;TraesCS5D01G399800;TraesCS7D01G454200;TraesCS3A01G208600;TraesCS3A01G393400;TraesCS2B01G257300;TraesCSU01G068800;TraesCS1A01G437500;TraesCS3A01G303800;TraesCS2D01G092500;TraesCS7D01G352500;TraesCS4D01G195400;TraesCS4D01G015900;TraesCS3B01G298400;TraesCS3B01G483500;TraesCS4D01G085900;TraesCS3D01G146800;TraesCS1A01G423100;TraesCS2B01G201700;TraesCS5D01G396300;TraesCS4A01G248200;TraesCS3D01G233300;TraesCS7B01G103100;TraesCS5A01G143600;TraesCS3A01G533800;TraesCS1D01G260500;TraesCS2D01G322800;TraesCS5B01G171400;TraesCS7A01G269900;TraesCS3A01G380100;TraesCS1B01G375300;TraesCS2A01G387400;TraesCS2D01G383800;TraesCS1B01G274600;TraesCS6B01G238600;TraesCS6A01G321600;TraesCS5A01G416400;TraesCS2A01G293400;TraesCS7D01G270400;TraesCS3A01G223700;TraesCS1D01G250700;TraesCS4D01G094700;TraesCS5D01G444500;TraesCS2D01G346900;TraesCS5D01G100800;TraesCS6D01G252400;TraesCS6D01G244900;TraesCS6A01G234000;TraesCS1B01G271100;TraesCS2A01G076100;TraesCS5A01G155600;TraesCS5B01G479200;TraesCS3D01G421500;TraesCS2D01G516300;TraesCS3B01G410400;TraesCS7A01G466900;TraesCS5D01G044700;TraesCS3B01G276700;TraesCS5D01G405400;TraesCS2D01G201000;TraesCS4D01G165800;TraesCS4D01G079200;TraesCS3B01G430000;TraesCS5D01G303100;TraesCS3D01G084300;TraesCS6D01G344100;TraesCS2A01G293300;TraesCS2A01G039400;TraesCS3A01G099800;TraesCS6D01G199600;TraesCS5D01G280400;TraesCS1D01G431700;TraesCS4B01G383000;TraesCS6B01G451100;TraesCS1A01G152800;TraesCS6B01G062400;TraesCS3D01G379000;TraesCS2D01G202200;TraesCS4A01G005000;TraesCS2D01G549100;TraesCS5D01G329600;TraesCS3B01G307600;TraesCS4A01G374600;TraesCS4B01G088400;TraesCS1A01G299500;TraesCS2A01G487500;TraesCS3B01G412600;TraesCS2A01G517900;TraesCS1D01G264100;TraesCS2D01G213200;TraesCS5D01G013100;TraesCS6D01G041700;TraesCS3B01G442200;TraesCS4D01G175300;TraesCS4D01G127100;TraesCS5B01G222600;TraesCS1B01G251000;TraesCS3B01G207300;TraesCS7B01G321700;TraesCS2B01G514800;TraesCS7D01G072100;TraesCS4A01G375000;TraesCS3A01G330200;TraesCS3A01G334800;TraesCS7D01G288700;TraesCS3D01G229800;TraesCS4A01G163000;TraesCS2D01G037400;TraesCS3D01G391900;TraesCS4A01G134800;TraesCS1A01G218000;TraesCS1D01G265200;TraesCS6A01G147900;TraesCS4A01G178600;TraesCS5A01G119300;TraesCS4A01G321500;TraesCS3B01G219300;TraesCS4D01G212000;TraesCS1B01G231400;TraesCS4D01G250400;TraesCS2B01G079700;TraesCS3A01G220000;TraesCS3A01G528800;TraesCS1A01G092700;TraesCS7A01G076600;TraesCS2A01G093700;TraesCS2A01G223600;TraesCS5A01G004200;TraesCS4A01G131300;TraesCS3B01G299100;TraesCS7B01G054900;TraesCS1A01G264000;TraesCS2D01G097800;TraesCS4D01G129300;TraesCS2B01G275000;TraesCS5D01G141200;TraesCS6A01G192800;TraesCS3D01G176600;TraesCS6A01G209800;TraesCS2B01G086200;TraesCS2B01G369600;TraesCS2D01G242100;TraesCS4D01G167900;TraesCS1A01G258800;TraesCS7B01G177700;TraesCS6D01G216300;TraesCS7D01G284200;TraesCS2A01G444100;TraesCS2B01G428100;TraesCS3A01G447500;TraesCS3D01G298000;TraesCS5B01G537700;TraesCS2A01G398900;TraesCS6B01G356900;TraesCS1A01G177600;TraesCS5D01G144600;TraesCS5B01G557300;TraesCS1A01G198400;TraesCS3D01G203400;TraesCS7A01G391400;TraesCS2D01G138200;TraesCS4B01G151200;TraesCS3D01G328100;TraesCS4D01G038600;TraesCS3A01G278200;TraesCS4A01G131400;TraesCS2D01G304000;TraesCS2A01G038400;TraesCS7D01G231600;TraesCS6D01G179700;TraesCS7A01G313900;TraesCS2B01G174600;TraesCS2B01G046800;TraesCS7B01G052900;TraesCS7B01G235100;TraesCS1B01G171600;TraesCS1B01G253500;TraesCS4A01G217700;TraesCS3A01G476000;TraesCS2D01G412600;TraesCS3A01G084400;TraesCS2A01G175400;TraesCS2D01G523100;TraesCS2B01G405200;TraesCS3A01G447800;TraesCS3D01G386400;TraesCS4B01G173300;TraesCS6D01G065600;TraesCS2A01G480500;TraesCS6B01G352400;TraesCS3B01G418400;TraesCS4A01G367700;TraesCS1D01G244400;TraesCS7D01G377200;TraesCS3A01G427900;TraesCS6A01G336800;TraesCS5A01G171900;TraesCS1A01G137000;TraesCS6A01G110000;TraesCS2B01G602100;TraesCS2D01G528800;TraesCS2B01G220300;TraesCS6A01G322400;TraesCS1A01G116000;TraesCS7A01G076400;TraesCS2D01G231000;TraesCS7D01G386100;TraesCS1A01G238900;TraesCS4D01G057000;TraesCS5B01G037500;TraesCS4D01G133700;TraesCS4A01G227500;TraesCS3D01G423400;TraesCS5A01G445100;TraesCS5D01G424400;TraesCS6A01G192600;TraesCS3D01G373300;TraesCS7A01G390400;TraesCS2D01G154600;TraesCS3A01G187300;TraesCS5D01G437600;TraesCSU01G131300;TraesCS1D01G258800;TraesCS5B01G294900;TraesCS6D01G283300;TraesCS5A01G322700;TraesCS7D01G123400;TraesCS2B01G240100;TraesCS7D01G343300;TraesCS7A01G335600;TraesCS7D01G190300;TraesCS1A01G265000;TraesCS6B01G304100;TraesCS2D01G407000;TraesCS7D01G169500;TraesCS3B01G607600;TraesCS5D01G087800;TraesCS3B01G141700;TraesCS3B01G147000;TraesCS4B01G154900;TraesCS5D01G480300;TraesCS4D01G292300;TraesCS2D01G594500;TraesCS1A01G129400;TraesCS4A01G093100;TraesCS6A01G272300;TraesCS1A01G259800;TraesCS1B01G259800;TraesCS6A01G360600;TraesCS2D01G479900;TraesCS3B01G224600;TraesCS1A01G260500;TraesCS4A01G257800;TraesCS5A01G032500;TraesCS5B01G155400;TraesCS3A01G178200;TraesCS3D01G285100;TraesCS1B01G288000;TraesCS3D01G323700;TraesCS3D01G411200;TraesCS2D01G362500;TraesCS3D01G359900;TraesCS6A01G268600;TraesCS1D01G249100;TraesCSU01G242100;TraesCS1D01G101200;TraesCS5A01G272400;TraesCSU01G001100;TraesCS1B01G472100;TraesCS6B01G159200;TraesCS1D01G219700;TraesCS6D01G359000;TraesCS3A01G181600;TraesCS4B01G186700;TraesCS5A01G263700;TraesCS3B01G258600;TraesCS5B01G156500;TraesCS5B01G431500;TraesCS4B01G117900;TraesCS5A01G467500;TraesCS3A01G205900;TraesCS3B01G131400;TraesCS5B01G508200;TraesCS2B01G597700;TraesCS4B01G126400;TraesCS4D01G133500;TraesCS5B01G121500;TraesCS7D01G159000;TraesCS5B01G146700;TraesCS6A01G232300;TraesCS2B01G352000;TraesCS7A01G510000;TraesCS1A01G350200;TraesCS3D01G019000;TraesCS5D01G176700;TraesCS3A01G159900;TraesCS6A01G379000;TraesCS2D01G565200;TraesCS3A01G386300;TraesCS5D01G044100;TraesCS2B01G309500;TraesCS3A01G103900;TraesCS3A01G122500;TraesCS6D01G077600;TraesCS2A01G022000;TraesCS6D01G350300;TraesCS6A01G289200;TraesCS3D01G275200;TraesCS2B01G263300;TraesCS3B01G568500;TraesCS1A01G099400;TraesCS2D01G587100;TraesCS2A01G103300;TraesCS4D01G359000;TraesCS6A01G200600;TraesCS1D01G055200;TraesCS5B01G097100;TraesCS6A01G303800;TraesCS1A01G144300;TraesCS1D01G202100;TraesCS3B01G246600;TraesCS7B01G247200;TraesCS5A01G547300;TraesCS3D01G188800;TraesCS2D01G154100;TraesCS3B01G385400;TraesCS1D01G239100;TraesCS2D01G349600;TraesCS6D01G364400;TraesCS1D01G092200;TraesCS2B01G342100;TraesCS2B01G309400;TraesCS5D01G166800;TraesCS2D01G362700;TraesCS6D01G098400;TraesCS3B01G214600;TraesCS2B01G221800;TraesCS2D01G118000;TraesCS5A01G114600;TraesCS6D01G350000;TraesCS2A01G222600;TraesCS6A01G103200;TraesCS6B01G402300;TraesCS5A01G150700;TraesCS3B01G309000;TraesCS4A01G178800;TraesCS5D01G505700;TraesCS7D01G278800;TraesCS2A01G344500;TraesCS2D01G065800;TraesCS7D01G072300;TraesCS3B01G347000;TraesCS2B01G159600;TraesCS2B01G434600;TraesCS4B01G160600;TraesCS6B01G365300;TraesCS7B01G042700;TraesCS2A01G380200;TraesCS6B01G393500;TraesCS5B01G092900;TraesCS2A01G185500;TraesCS5D01G040800;TraesCS5A01G088400;TraesCS3A01G264700;TraesCS7B01G455500;TraesCS4B01G170400;TraesCS2D01G303500;TraesCS4A01G110800;TraesCS1A01G249600;TraesCS4A01G238100;TraesCS5B01G377700;TraesCS7A01G285800;TraesCS2D01G246100;TraesCS1D01G352300;TraesCS5D01G126600;TraesCS4A01G290400;TraesCS1D01G445300;TraesCS3A01G200400;TraesCS3A01G202700;TraesCS1D01G151800;TraesCS4D01G004000;TraesCS7B01G420400;TraesCS2B01G248100;TraesCS2B01G229500;TraesCS4A01G090100;TraesCS3A01G498300;TraesCS5B01G504900;TraesCS5A01G387700;TraesCS6D01G363400;TraesCS3B01G363500;TraesCS4B01G276500;TraesCS5B01G189500;TraesCS2D01G488700;TraesCS1D01G298400;TraesCS4D01G065600;TraesCS5B01G395000;TraesCS4B01G117800;TraesCS4B01G220500;TraesCS7A01G239700;TraesCS1A01G100600;TraesCS1D01G125300;TraesCS6B01G342300;TraesCS7A01G279000;TraesCS7B01G042600;TraesCS6D01G246300;TraesCS3D01G278500;TraesCS3D01G482500;TraesCS2A01G330200;TraesCS5D01G155800;TraesCS3D01G264800;TraesCS7A01G466600;TraesCS4B01G250500;TraesCS3A01G212600;TraesCS6D01G173700;TraesCS3B01G083400;TraesCS5B01G159600;TraesCS3D01G191100;TraesCS3A01G036800;TraesCS4A01G111000;TraesCS3A01G248000;TraesCS7D01G454700;TraesCS3D01G539100;TraesCS5B01G323300;TraesCS6B01G169300;TraesCS6B01G299800;TraesCS1B01G377800;TraesCS6A01G118200;TraesCS2A01G348500;TraesCS2B01G505400;TraesCS4A01G101200;TraesCS2A01G186900;TraesCS7B01G181200;TraesCS4D01G021400;TraesCS4D01G147500;TraesCS3B01G426500;TraesCS4D01G348500;TraesCS6A01G130900;TraesCS7A01G173500;TraesCS4B01G056700;TraesCS3B01G235100;TraesCS4B01G310100;TraesCS1B01G434100;TraesCS5A01G429500;TraesCS3B01G161900;TraesCS2A01G225100;TraesCS5B01G450400;TraesCS5A01G264400;TraesCS1A01G060100;TraesCS5B01G180300;TraesCS6A01G215900;TraesCS4A01G139700;TraesCS6D01G301300;TraesCS3A01G478800;TraesCS3D01G346200;TraesCS3B01G228900;TraesCS3D01G495100;TraesCS2D01G487700;TraesCS7D01G174700;TraesCS6A01G312100;TraesCS6B01G412000;TraesCS1D01G241800;TraesCS5A01G182300;TraesCS4B01G204500;TraesCS3A01G055300;TraesCS4A01G220100;TraesCS3B01G216800;TraesCS2D01G519500;TraesCS4B01G041200;TraesCS2D01G385000;TraesCS3D01G124400;TraesCS4A01G197700;TraesCS1D01G178000;TraesCS2B01G366900;TraesCS1B01G260400;TraesCS6D01G172500;TraesCS5D01G148400;TraesCS4A01G197600;TraesCS2A01G067500;TraesCS7D01G413700;TraesCS4B01G138800;TraesCS2B01G404600;TraesCS5D01G551900;TraesCS4D01G157200;TraesCS6B01G285500;TraesCS3A01G127800;TraesCS7D01G374900;TraesCS4A01G307900;TraesCS5D01G180100;TraesCS7A01G149200;TraesCS3A01G398000;TraesCS6A01G186800;TraesCS7B01G419900;TraesCS2A01G149500;TraesCS1B01G110400;TraesCS3D01G312200;TraesCS1D01G083200;TraesCS3A01G023800;TraesCS2A01G215100;TraesCS1B01G156600;TraesCS3A01G184800;TraesCS3A01G367000;TraesCS2B01G178400;TraesCS2A01G521400;TraesCS4D01G194300;TraesCS6B01G170600;TraesCS6D01G091600;TraesCS3B01G291000;TraesCS3B01G483900;TraesCS5D01G099200;TraesCS5D01G078500;TraesCS1A01G249100;TraesCS4D01G115600;TraesCS2B01G051600;TraesCS3A01G275300;TraesCS5A01G548800;TraesCS2B01G307500;TraesCS6D01G130500;TraesCS6A01G070700;TraesCS2A01G387000;TraesCS6D01G302200;TraesCS4B01G165100;TraesCS2A01G289800;TraesCS2D01G182700;TraesCS3A01G100000;TraesCS5B01G418700;TraesCS1A01G322300;TraesCS4D01G092800;TraesCS4D01G172400;TraesCS2A01G098400;TraesCS6B01G319000;TraesCS6D01G221400;TraesCS5A01G429300;TraesCS3D01G068900;TraesCS3D01G326900;TraesCS2D01G229600;TraesCS2B01G273900;TraesCS2D01G249200;TraesCS6D01G163700;TraesCS3A01G310100;TraesCS7B01G169100;TraesCS1B01G261700;TraesCS7D01G386900;TraesCS5D01G231200;TraesCS2B01G321700;TraesCS3A01G069900;TraesCS3D01G128800;TraesCS1A01G358800;TraesCS3B01G425400;TraesCS5A01G036600;TraesCS6D01G224800;TraesCS1B01G213300;TraesCS4D01G301300;TraesCS5A01G223700;TraesCS2D01G022800;TraesCS4B01G332300;TraesCS4D01G115500;TraesCS5A01G163700;TraesCS5B01G509500;TraesCS5D01G162500;TraesCS2B01G454000;TraesCS1B01G293500;TraesCS5B01G393900;TraesCS3B01G113800;TraesCS3D01G181400;TraesCS1A01G101300;TraesCS3B01G398300;TraesCS5D01G208300;TraesCS7A01G421400;TraesCS2D01G300400;TraesCS2A01G239200;TraesCS6D01G193000;TraesCS1B01G155600;TraesCS6B01G161800;TraesCS1A01G284300;TraesCS1D01G353100;TraesCS5B01G074200;TraesCS5D01G368100;TraesCS7B01G089500;TraesCS2D01G023900;TraesCS1B01G269400;TraesCS2B01G108200;TraesCS2B01G293400;TraesCS7D01G000100;TraesCS3A01G098200;TraesCS4B01G380800;TraesCS5A01G067300</t>
  </si>
  <si>
    <t>TraesCS3A01G212600;TraesCS7D01G298100;TraesCS7B01G352800;TraesCS1D01G409700;TraesCS5D01G472300;TraesCS1B01G049300;TraesCS2B01G592500;TraesCS2D01G362700;TraesCS1D01G124400;TraesCS5A01G114000;TraesCS3A01G097200;TraesCS2D01G253100;TraesCS4A01G138800;TraesCS4D01G318200;TraesCS1D01G325500;TraesCS4A01G262900;TraesCS5D01G171100;TraesCS5A01G192000;TraesCS5B01G162300;TraesCS3D01G173500;TraesCS1A01G324800;TraesCS6B01G253900;TraesCS7D01G442100;TraesCS4B01G069200;TraesCS2D01G059400;TraesCS4B01G321500;TraesCS3A01G224000;TraesCS3A01G167400;TraesCS5A01G166800;TraesCS2B01G098800;TraesCS5B01G037500;TraesCS5B01G387600;TraesCS2A01G149600;TraesCS2A01G200500;TraesCS3B01G198800;TraesCS2A01G563500;TraesCS2A01G095300;TraesCS2B01G401900;TraesCS3B01G253500;TraesCS5D01G044700;TraesCS2B01G174700;TraesCS3B01G251200;TraesCS5B01G115000;TraesCS1A01G180200;TraesCS5B01G335500;TraesCS6A01G379000;TraesCS2D01G565200;TraesCS1D01G331000;TraesCS5A01G036600;TraesCS2D01G246100;TraesCS5A01G336500;TraesCS6A01G312100;TraesCS2B01G122500;TraesCS3A01G200400;TraesCS6B01G151900;TraesCS5A01G490500;TraesCS2B01G227800;TraesCS1D01G178000;TraesCS1B01G337800;TraesCS2A01G239200;TraesCS2B01G257300;TraesCS3B01G252200;TraesCS3B01G088300;TraesCS5D01G341200;TraesCS4B01G276500;TraesCS2D01G208300;TraesCS7D01G505300;TraesCS4D01G116000;TraesCS1D01G298400;TraesCS3B01G298400;TraesCS6B01G190300;TraesCS1A01G133500;TraesCS7A01G452800;TraesCS5A01G460600;TraesCS4B01G109700;TraesCS3D01G203400;TraesCS6B01G342300;TraesCS5A01G115400;TraesCS7A01G514900;TraesCS2A01G252400;TraesCS2D01G093700;TraesCS3A01G295400;TraesCS6A01G161200;TraesCS2B01G247100;TraesCS1A01G299500;TraesCS1B01G200300;TraesCS4A01G355100;TraesCS5B01G517400;TraesCS2D01G105300;TraesCS2A01G403100</t>
  </si>
  <si>
    <t>TraesCS4B01G015600;TraesCS5D01G143800;TraesCS5B01G171400;TraesCS7D01G283600;TraesCS1B01G049300;TraesCS2D01G362700;TraesCS3D01G273800;TraesCS2A01G387000;TraesCS2D01G014800;TraesCS6B01G159200;TraesCS6A01G143300;TraesCS4D01G147100;TraesCS5D01G551200;TraesCS6B01G218700;TraesCS1D01G030500;TraesCS6A01G130900;TraesCS4A01G052600;TraesCS4A01G315700;TraesCS4D01G013900;TraesCS5B01G563800;TraesCS3D01G083400;TraesCS2A01G280500;TraesCS2D01G279300;TraesCS2B01G004000;TraesCS7D01G300000;TraesCS7D01G549100;TraesCS3A01G151100;TraesCS1B01G255100;TraesCS7A01G307000;TraesCS3D01G304800;TraesCS5A01G149000;TraesCS1B01G213300;TraesCS3D01G289600;TraesCS1A01G195500;TraesCS6D01G132500;TraesCS1D01G199100;TraesCS5B01G147600;TraesCS3D01G514100;TraesCS3A01G513500;TraesCS5B01G036800;TraesCS5A01G104800;TraesCS1D01G219200;TraesCS1D01G412600;TraesCS4A01G298100;TraesCS6B01G171600;TraesCS1B01G434400;TraesCS2B01G297800;TraesCS6A01G319100;TraesCS7A01G560200;TraesCS5B01G094300;TraesCS1A01G198400;TraesCS3A01G082700;TraesCS1D01G211600;TraesCS7B01G207300;TraesCS5D01G094000;TraesCS1B01G462200</t>
  </si>
  <si>
    <t>positive regulation of cellular biosynthetic process</t>
  </si>
  <si>
    <t>TraesCS4A01G125000;TraesCS7D01G292000;TraesCS1D01G101200;TraesCS1D01G226100;TraesCS1D01G210200;TraesCS4D01G170800;TraesCS4A01G119800;TraesCS2D01G014800;TraesCS6B01G159200;TraesCS1A01G112800;TraesCS7D01G467500;TraesCS4D01G153900;TraesCS4D01G147100;TraesCS4A01G065400;TraesCS2D01G136200;TraesCS7B01G382800;TraesCS6D01G204800;TraesCS5A01G467500;TraesCS5D01G517600;TraesCS4D01G135000;TraesCS2B01G457300;TraesCS5B01G324800;TraesCS6A01G133100;TraesCS1A01G416000;TraesCS3B01G219700;TraesCS7A01G323200;TraesCS2A01G097900;TraesCS7D01G549100;TraesCS1B01G255100;TraesCS6B01G112700;TraesCS5A01G149000;TraesCS7B01G411000;TraesCS5A01G336500;TraesCS2A01G193800;TraesCS6D01G113900;TraesCS6B01G257900;TraesCS6D01G237400;TraesCS5D01G026000;TraesCS4D01G220700;TraesCS6A01G105400;TraesCS6D01G287300;TraesCS1B01G254000;TraesCS3A01G513500;TraesCS2B01G257300;TraesCS2B01G070700;TraesCS1D01G412600;TraesCS4A01G013500;TraesCS4A01G298100;TraesCS7D01G339300;TraesCS4D01G120900;TraesCS1D01G229400;TraesCS6A01G303800;TraesCS4D01G160200;TraesCS2B01G207000;TraesCS6A01G230100;TraesCS6D01G047400;TraesCS1B01G462200;TraesCS2A01G187700;TraesCS5A01G466100;TraesCS6A01G113000;TraesCS5B01G300100;TraesCS6D01G095800;TraesCS5D01G143800;TraesCS7D01G283600;TraesCS1D01G280900;TraesCS3B01G423600;TraesCS2A01G437700;TraesCS4D01G343400;TraesCS2D01G362700;TraesCS1A01G206900;TraesCS1B01G274600;TraesCS2B01G303300;TraesCS5D01G332000;TraesCS3D01G237100;TraesCS5D01G118200;TraesCS2D01G328100;TraesCS6A01G212200;TraesCS1A01G246800;TraesCS3B01G149800;TraesCS5B01G502700;TraesCS3D01G194300;TraesCS7D01G148200;TraesCS2D01G520000;TraesCS1B01G478800;TraesCS4D01G327300;TraesCS1D01G423500;TraesCS4A01G185400;TraesCS3A01G224800;TraesCS7A01G252000;TraesCS3A01G264700;TraesCS4A01G110800;TraesCS3D01G268700;TraesCS3D01G327600;TraesCS4A01G290400;TraesCS3A01G200400;TraesCS1A01G195500;TraesCS5B01G509100;TraesCS6D01G132500;TraesCS5B01G214400;TraesCS2D01G238600;TraesCS7B01G242800;TraesCS6A01G107900;TraesCS5B01G036800;TraesCS1D01G242400;TraesCS4B01G041900;TraesCS3A01G288200;TraesCS4B01G314600;TraesCS7D01G373100;TraesCS2D01G524500;TraesCS1A01G431600;TraesCS4A01G147500;TraesCS1A01G133500;TraesCS4D01G160000;TraesCS5B01G534400;TraesCS6B01G336300;TraesCS3A01G082700;TraesCS4A01G005000;TraesCS5B01G477800;TraesCS3A01G268600;TraesCS3B01G307600;TraesCS6D01G238800;TraesCS3D01G264800;TraesCS6A01G123800;TraesCS1D01G264100;TraesCS3D01G426300;TraesCS5D01G013100;TraesCS1D01G155100;TraesCS1B01G261600;TraesCS2A01G286500;TraesCS7D01G449900;TraesCS4B01G015600;TraesCS5A01G092400;TraesCS4B01G168300;TraesCS1D01G401900;TraesCS1D01G149900;TraesCS7A01G260600;TraesCS4B01G133200;TraesCS2A01G058700;TraesCS5A01G089900;TraesCS5A01G215900;TraesCS6A01G143300;TraesCS3B01G254400;TraesCS6D01G122800;TraesCS5A01G119300;TraesCS6B01G251600;TraesCS4D01G021400;TraesCS4B01G220400;TraesCS4D01G348500;TraesCS6B01G253900;TraesCS4D01G013900;TraesCS5B01G378700;TraesCS2A01G280500;TraesCS1A01G092700;TraesCS4B01G023800;TraesCS2B01G004000;TraesCS7A01G376800;TraesCS2A01G223600;TraesCS5A01G004200;TraesCS3A01G151100;TraesCS7D01G250100;TraesCS1A01G264000;TraesCS5B01G335500;TraesCS7A01G307000;TraesCS1A01G224700;TraesCS6D01G362000;TraesCS1D01G155800;TraesCS1D01G331000;TraesCS5B01G396700;TraesCS1D01G058300;TraesCS2D01G242100;TraesCS4B01G204500;TraesCS4A01G157100;TraesCS5B01G476900;TraesCS4A01G283000;TraesCS1D01G303800;TraesCS2B01G297800;TraesCS2D01G111300;TraesCS3B01G435900;TraesCS3D01G228800;TraesCS7A01G560200;TraesCS7B01G278200;TraesCS7B01G230100;TraesCS1A01G198400;TraesCS2B01G457600;TraesCS3D01G203400;TraesCS5D01G459800;TraesCS3A01G191700;TraesCS2B01G157600;TraesCS6B01G242800;TraesCS1D01G211600;TraesCS2D01G105300;TraesCS6D01G062500;TraesCS6B01G414800;TraesCS1D01G440900;TraesCS3A01G367000;TraesCS4D01G194300;TraesCS1B01G290800;TraesCS7B01G085700;TraesCS2B01G363200;TraesCS4A01G354500;TraesCS7A01G480700;TraesCS4B01G179400;TraesCS4B01G154100;TraesCS6D01G094200;TraesCS6D01G212000;TraesCS4B01G150300;TraesCS3D01G162700;TraesCS2A01G387000;TraesCS2D01G194000;TraesCS1D01G086600;TraesCS5B01G344200;TraesCS1B01G220700;TraesCS6A01G308100;TraesCS4A01G262900;TraesCS1B01G422200;TraesCS3A01G402500;TraesCS5D01G551200;TraesCS4D01G157900;TraesCS6B01G134800;TraesCS3D01G288000;TraesCS7A01G381900;TraesCS4A01G315700;TraesCS5B01G563800;TraesCS1A01G263400;TraesCS2A01G134000;TraesCS2D01G229600;TraesCS2B01G273900;TraesCS3D01G083400;TraesCS4B01G287200;TraesCS2D01G279300;TraesCS6A01G267300;TraesCS6A01G259000;TraesCS6A01G307700;TraesCS5B01G517900;TraesCS2D01G057900;TraesCS4A01G364400;TraesCS5D01G424400;TraesCS2A01G110700;TraesCS5D01G478900;TraesCS7B01G184800;TraesCS3D01G304800;TraesCS4A01G276300;TraesCS1B01G213300;TraesCS7D01G378400;TraesCS4A01G164900;TraesCS2B01G122500;TraesCS5D01G164800;TraesCS7D01G447100;TraesCS5B01G510500;TraesCS5A01G324200;TraesCS1A01G172100;TraesCS5D01G223700;TraesCS6B01G151900;TraesCS7B01G124100;TraesCS6A01G070600;TraesCS1D01G199100;TraesCS5B01G147600;TraesCS6D01G283300;TraesCS3D01G514100;TraesCS5A01G416700;TraesCS6D01G195400;TraesCS4A01G124000;TraesCS1A01G158500;TraesCS2A01G239200;TraesCS5D01G341200;TraesCS7A01G329600;TraesCS6B01G171600;TraesCS1B01G434400;TraesCS4B01G073200;TraesCS6A01G269700;TraesCS4B01G131800;TraesCS6A01G319100;TraesCS1A01G281700;TraesCS1A01G309200;TraesCS1D01G198700;TraesCS7D01G000100;TraesCS4A01G093100;TraesCS7B01G207300</t>
  </si>
  <si>
    <t>TraesCS3A01G212600;TraesCS7D01G298100;TraesCS7B01G352800;TraesCS1D01G409700;TraesCS5D01G472300;TraesCS1B01G049300;TraesCS2B01G592500;TraesCS2D01G362700;TraesCS1D01G124400;TraesCS5A01G114000;TraesCS3A01G097200;TraesCS2D01G194000;TraesCS2D01G253100;TraesCS4A01G138800;TraesCS4D01G318200;TraesCS1D01G325500;TraesCS4A01G262900;TraesCS5D01G171100;TraesCS5A01G192000;TraesCS5B01G162300;TraesCS3D01G173500;TraesCS1A01G324800;TraesCS6B01G253900;TraesCS7D01G442100;TraesCS4B01G069200;TraesCS2D01G059400;TraesCS4B01G321500;TraesCS3A01G224000;TraesCS3A01G167400;TraesCS5A01G166800;TraesCS2B01G098800;TraesCS5B01G037500;TraesCS5B01G387600;TraesCS2A01G149600;TraesCS2A01G200500;TraesCS3B01G198800;TraesCS2A01G563500;TraesCS2A01G095300;TraesCS2B01G401900;TraesCS3B01G253500;TraesCS5D01G044700;TraesCS2B01G174700;TraesCS3B01G251200;TraesCS5B01G115000;TraesCS1A01G180200;TraesCS5B01G335500;TraesCS6A01G379000;TraesCS2D01G565200;TraesCS1D01G331000;TraesCS5A01G036600;TraesCS2D01G246100;TraesCS5A01G336500;TraesCS6A01G312100;TraesCS2B01G122500;TraesCS3A01G200400;TraesCS2A01G193800;TraesCS6B01G151900;TraesCS5A01G490500;TraesCS2B01G227800;TraesCS1D01G178000;TraesCS1B01G337800;TraesCS2A01G239200;TraesCS2B01G257300;TraesCS3B01G252200;TraesCS3B01G088300;TraesCS5D01G341200;TraesCS4B01G276500;TraesCS2D01G208300;TraesCS7D01G505300;TraesCS4D01G116000;TraesCS1D01G298400;TraesCS3B01G298400;TraesCS6B01G190300;TraesCS1A01G133500;TraesCS7A01G452800;TraesCS5A01G460600;TraesCS4B01G109700;TraesCS3D01G203400;TraesCS6B01G342300;TraesCS5A01G115400;TraesCS7A01G514900;TraesCS2A01G252400;TraesCS2D01G093700;TraesCS3A01G295400;TraesCS6A01G161200;TraesCS2B01G247100;TraesCS1A01G299500;TraesCS1B01G200300;TraesCS4A01G355100;TraesCS5B01G517400;TraesCS2D01G105300;TraesCS2A01G403100</t>
  </si>
  <si>
    <t>TraesCS5B01G117800;TraesCS1D01G409700;TraesCS3A01G367000;TraesCS5A01G396700;TraesCS2A01G123800;TraesCS6A01G290600;TraesCS4B01G129700;TraesCS7A01G222800;TraesCS2A01G387000;TraesCS6A01G308100;TraesCS4D01G088200;TraesCS5A01G119300;TraesCS4D01G021400;TraesCS3D01G288000;TraesCS3A01G232700;TraesCS4A01G052600;TraesCS4B01G091100;TraesCS3B01G161900;TraesCS3A01G381000;TraesCS1D01G341100;TraesCS6B01G315800;TraesCS5D01G321900;TraesCS7A01G518200;TraesCS5B01G146700;TraesCS2D01G126600;TraesCS5A01G315800;TraesCS7B01G197000;TraesCS2B01G050600;TraesCS4A01G446700;TraesCS4D01G194400;TraesCS2A01G309600;TraesCS2B01G145700;TraesCS4A01G290400;TraesCS2D01G310000;TraesCS3D01G271200;TraesCS2B01G328500;TraesCS4D01G184400;TraesCS7D01G508100;TraesCS5B01G409700;TraesCS2B01G330100;TraesCS3B01G398300;TraesCS6D01G287300;TraesCS7B01G129300;TraesCS3A01G288200;TraesCS1A01G339300;TraesCS3A01G271600;TraesCS4D01G122800;TraesCS7D01G224400;TraesCS2A01G313000;TraesCS3D01G220400;TraesCS4A01G093100</t>
  </si>
  <si>
    <t>disaccharide metabolic process</t>
  </si>
  <si>
    <t>TraesCS2B01G174600;TraesCS1D01G264100;TraesCS2D01G213200;TraesCS3B01G423800;TraesCS6A01G360600;TraesCS1A01G071100;TraesCS7B01G111000;TraesCS2A01G129900;TraesCS4D01G194300;TraesCS5B01G171400;TraesCS3D01G281100;TraesCS1B01G049300;TraesCS1D01G222700;TraesCS2D01G362700;TraesCS3D01G384700;TraesCS5D01G078500;TraesCS2A01G226000;TraesCS1B01G274600;TraesCS2B01G152100;TraesCS2D01G427900;TraesCS3A01G097200;TraesCS6A01G311200;TraesCS5A01G091200;TraesCS7D01G207100;TraesCS6B01G393500;TraesCS5B01G387600;TraesCS3D01G182400;TraesCS2A01G095300;TraesCS2B01G401900;TraesCS1A01G264000;TraesCS5B01G335500;TraesCS6A01G379000;TraesCS4A01G110800;TraesCS7A01G204000;TraesCS5A01G336500;TraesCS2D01G154600;TraesCS3A01G200400;TraesCS6B01G341400;TraesCS6D01G344100;TraesCS3A01G391800;TraesCS2D01G132100;TraesCS3B01G252200;TraesCS5D01G341200;TraesCS3A01G389100;TraesCS1A01G221100;TraesCS5B01G074200;TraesCS1D01G298400;TraesCS3D01G203400;TraesCS2D01G093700;TraesCS7D01G000100;TraesCS2B01G247100;TraesCS3D01G205300;TraesCS2A01G149500;TraesCS1A01G299500;TraesCS5A01G472100;TraesCS6A01G343500</t>
  </si>
  <si>
    <t>TraesCS3A01G151100;TraesCS6A01G203300;TraesCS3D01G426300;TraesCS6A01G146500;TraesCS1A01G180200;TraesCS5B01G484700;TraesCS2A01G521400;TraesCS5B01G155200;TraesCS6B01G454500;TraesCS3A01G212000;TraesCS2A01G309600;TraesCS2A01G437700;TraesCS1A01G254400;TraesCS6A01G290600;TraesCS5D01G162400;TraesCS7B01G189500;TraesCS4A01G262900;TraesCS6B01G159200;TraesCS2B01G528300;TraesCS5B01G036800;TraesCS7D01G280600;TraesCS4D01G135000;TraesCS5A01G157000;TraesCS7A01G560200;TraesCS2B01G457600;TraesCS6A01G267300;TraesCS6A01G408400;TraesCS6D01G135800;TraesCS7D01G000100;TraesCS4A01G093100;TraesCS1B01G200300;TraesCS7D01G549100</t>
  </si>
  <si>
    <t>response to blue light</t>
  </si>
  <si>
    <t>TraesCS3A01G151100;TraesCS4A01G262900;TraesCS6B01G159200;TraesCS2B01G528300;TraesCS3D01G426300;TraesCS5B01G036800;TraesCS5B01G484700;TraesCS2A01G521400;TraesCS5B01G155200;TraesCS6B01G454500;TraesCS3A01G212000;TraesCS7D01G280600;TraesCS2A01G437700;TraesCS4D01G135000;TraesCS5A01G157000;TraesCS6A01G290600;TraesCS7A01G560200;TraesCS5D01G162400;TraesCS2B01G457600;TraesCS6A01G267300;TraesCS6A01G408400;TraesCS7B01G189500;TraesCS4A01G093100;TraesCS7D01G549100</t>
  </si>
  <si>
    <t>response to far red light</t>
  </si>
  <si>
    <t>TraesCS3D01G426300;TraesCS6D01G121300;TraesCS7D01G227300;TraesCS7D01G292000;TraesCS5B01G484700;TraesCS5B01G249000;TraesCS6B01G454500;TraesCS4B01G078900;TraesCS5A01G092400;TraesCS1B01G049300;TraesCS1D01G222700;TraesCS5B01G339200;TraesCS5D01G219500;TraesCS5D01G162400;TraesCS2D01G492600;TraesCS4A01G226900;TraesCS3D01G273800;TraesCS3B01G398000;TraesCS6B01G159200;TraesCS2B01G528300;TraesCS6A01G143300;TraesCS6D01G122800;TraesCS6B01G253900;TraesCS1D01G316200;TraesCS2B01G234500;TraesCS7A01G115400;TraesCS4D01G135000;TraesCS3B01G324500;TraesCS2A01G280500;TraesCS3A01G381000;TraesCS5B01G324800;TraesCS5D01G429200;TraesCS6A01G133100;TraesCS7A01G294200;TraesCS7D01G549100;TraesCS3A01G151100;TraesCS6A01G203300;TraesCS1B01G368500;TraesCS2B01G340300;TraesCS7B01G186500;TraesCS1A01G180200;TraesCS5D01G141200;TraesCS2A01G309600;TraesCS3D01G289600;TraesCS4B01G204500;TraesCS6B01G174500;TraesCS2A01G193800;TraesCS5B01G263800;TraesCS5B01G476900;TraesCS7B01G189500;TraesCS3D01G298000;TraesCS7D01G349600;TraesCS5A01G251000;TraesCS3A01G303800;TraesCS3D01G414600;TraesCS4A01G120000;TraesCS2B01G297800;TraesCS4D01G309500;TraesCS5A01G157000;TraesCS7A01G560200;TraesCS2B01G457600;TraesCS3A01G191700;TraesCS6D01G135800;TraesCS5A01G547300;TraesCS1A01G102300;TraesCS5A01G115000;TraesCS5A01G212500;TraesCS3A01G310200;TraesCS5D01G285200;TraesCS7B01G117600;TraesCS1B01G200300;TraesCS2A01G239000;TraesCS5D01G258900;TraesCS7B01G103100;TraesCS3A01G367000;TraesCS7B01G111000;TraesCS2A01G521400;TraesCS5B01G155200;TraesCS4D01G194300;TraesCS7B01G176200;TraesCS7D01G283600;TraesCS3A01G212000;TraesCS2A01G437700;TraesCS2D01G362700;TraesCS6A01G290600;TraesCS2A01G222600;TraesCS2D01G194000;TraesCS1D01G086600;TraesCS4A01G138800;TraesCS1B01G352700;TraesCS4A01G262900;TraesCS3A01G100000;TraesCS5D01G551200;TraesCS2A01G342600;TraesCS2D01G356700;TraesCS6B01G159800;TraesCS4A01G315700;TraesCS7D01G207100;TraesCS4B01G091100;TraesCS5A01G429300;TraesCS5B01G563800;TraesCS7D01G339600;TraesCS3D01G228900;TraesCS2D01G279300;TraesCS6A01G267300;TraesCS3B01G370200;TraesCS6A01G408400;TraesCS5B01G387600;TraesCS2B01G520500;TraesCS6A01G146500;TraesCS4B01G193400;TraesCS4D01G175600;TraesCS4A01G110800;TraesCS7A01G204000;TraesCS1D01G356900;TraesCS4A01G164900;TraesCS1A01G254400;TraesCS2A01G492300;TraesCSU01G131300;TraesCS5A01G324200;TraesCS5A01G395200;TraesCS4D01G080700;TraesCS6D01G132500;TraesCS7B01G124100;TraesCS2B01G248100;TraesCS2D01G238600;TraesCS4A01G247300;TraesCS2D01G300400;TraesCS5B01G036800;TraesCS2A01G480200;TraesCS3A01G389100;TraesCS1A01G221100;TraesCS6B01G171600;TraesCS7D01G280600;TraesCS5B01G094300;TraesCS7D01G000100;TraesCS4B01G380800;TraesCS4A01G093100</t>
  </si>
  <si>
    <t>TraesCS5B01G270200;TraesCS3A01G023800;TraesCS5A01G489100;TraesCS3A01G367000;TraesCS4B01G015600;TraesCS2A01G521400;TraesCS5A01G396700;TraesCS5B01G171400;TraesCS7D01G283600;TraesCS2A01G437700;TraesCS5B01G339200;TraesCS1A01G206900;TraesCS4B01G129700;TraesCS5A01G548800;TraesCSU01G072700;TraesCS7A01G222800;TraesCS1D01G210200;TraesCS3A01G097200;TraesCS7A01G316700;TraesCS1B01G220700;TraesCS1D01G433300;TraesCS7B01G240200;TraesCS4A01G052600;TraesCS4D01G013900;TraesCS5B01G378700;TraesCS3A01G381000;TraesCS6A01G267300;TraesCS7A01G323200;TraesCS3A01G304900;TraesCS4A01G286700;TraesCS5B01G335500;TraesCS7A01G342800;TraesCS5A01G336500;TraesCS3D01G296900;TraesCS7D01G343300;TraesCS4B01G028100;TraesCS5A01G173700;TraesCS7A01G335600;TraesCS7B01G217500;TraesCS5D01G341200;TraesCS7B01G129300;TraesCS4D01G025700;TraesCS4D01G359000;TraesCS4A01G298100;TraesCS4D01G122800;TraesCS7D01G224400;TraesCS1A01G133500;TraesCS2B01G457600;TraesCS5B01G171100;TraesCS4D01G003600;TraesCS5A01G472100;TraesCS1B01G462200</t>
  </si>
  <si>
    <t>plant epidermis development</t>
  </si>
  <si>
    <t>TraesCS4A01G125000;TraesCS7D01G292000;TraesCS1D01G101200;TraesCS1D01G226100;TraesCS1D01G210200;TraesCS4D01G170800;TraesCS4A01G119800;TraesCS2D01G014800;TraesCS6B01G159200;TraesCS1A01G112800;TraesCS7D01G467500;TraesCS4D01G153900;TraesCS4D01G147100;TraesCS4A01G065400;TraesCS2D01G136200;TraesCS7B01G382800;TraesCS6D01G204800;TraesCS5A01G467500;TraesCS5D01G517600;TraesCS4D01G135000;TraesCS2B01G457300;TraesCS5B01G324800;TraesCS6A01G133100;TraesCS3B01G219700;TraesCS7A01G323200;TraesCS2A01G097900;TraesCS7D01G549100;TraesCS1B01G255100;TraesCS6B01G112700;TraesCS5A01G149000;TraesCS7B01G411000;TraesCS5A01G336500;TraesCS2A01G193800;TraesCS6D01G113900;TraesCS6B01G257900;TraesCS6D01G237400;TraesCS5D01G026000;TraesCS4D01G220700;TraesCS6A01G105400;TraesCS6D01G287300;TraesCS1B01G254000;TraesCS3A01G513500;TraesCS2B01G257300;TraesCS2B01G070700;TraesCS1D01G412600;TraesCS4A01G013500;TraesCS4A01G298100;TraesCS7D01G339300;TraesCS1D01G229400;TraesCS6A01G303800;TraesCS2B01G207000;TraesCS6A01G230100;TraesCS6D01G047400;TraesCS1B01G462200;TraesCS2A01G187700;TraesCS5A01G466100;TraesCS6A01G113000;TraesCS5B01G300100;TraesCS6D01G095800;TraesCS5D01G143800;TraesCS7D01G283600;TraesCS1D01G280900;TraesCS3B01G423600;TraesCS2A01G437700;TraesCS2D01G362700;TraesCS1A01G206900;TraesCS1B01G274600;TraesCS2B01G303300;TraesCS5D01G332000;TraesCS3D01G237100;TraesCS5D01G118200;TraesCS2D01G328100;TraesCS6A01G212200;TraesCS1A01G246800;TraesCS3B01G149800;TraesCS5B01G502700;TraesCS3D01G194300;TraesCS7D01G148200;TraesCS2D01G520000;TraesCS1B01G478800;TraesCS4D01G327300;TraesCS4A01G185400;TraesCS3A01G224800;TraesCS7A01G252000;TraesCS3A01G264700;TraesCS4A01G110800;TraesCS3D01G268700;TraesCS3D01G327600;TraesCS4A01G290400;TraesCS3A01G200400;TraesCS1A01G195500;TraesCS5B01G509100;TraesCS6D01G132500;TraesCS5B01G214400;TraesCS2D01G238600;TraesCS7B01G242800;TraesCS6A01G107900;TraesCS5B01G036800;TraesCS1D01G242400;TraesCS4B01G041900;TraesCS3A01G288200;TraesCS4B01G314600;TraesCS7D01G373100;TraesCS2D01G524500;TraesCS1A01G431600;TraesCS1A01G133500;TraesCS4D01G160000;TraesCS5B01G534400;TraesCS6B01G336300;TraesCS3A01G082700;TraesCS4A01G005000;TraesCS5B01G477800;TraesCS3A01G268600;TraesCS6D01G238800;TraesCS3D01G264800;TraesCS6A01G123800;TraesCS1D01G264100;TraesCS3D01G426300;TraesCS5D01G013100;TraesCS1D01G155100;TraesCS1B01G261600;TraesCS2A01G286500;TraesCS7D01G449900;TraesCS4B01G015600;TraesCS5A01G092400;TraesCS4B01G168300;TraesCS1D01G401900;TraesCS1D01G149900;TraesCS7A01G260600;TraesCS4B01G133200;TraesCS2A01G058700;TraesCS5A01G089900;TraesCS5A01G215900;TraesCS6A01G143300;TraesCS3B01G254400;TraesCS6D01G122800;TraesCS5A01G119300;TraesCS6B01G251600;TraesCS4D01G021400;TraesCS4B01G220400;TraesCS6B01G253900;TraesCS4D01G013900;TraesCS5B01G378700;TraesCS2A01G280500;TraesCS1A01G092700;TraesCS4B01G023800;TraesCS2B01G004000;TraesCS7A01G376800;TraesCS2A01G223600;TraesCS5A01G004200;TraesCS3A01G151100;TraesCS7D01G250100;TraesCS1A01G264000;TraesCS5B01G335500;TraesCS7A01G307000;TraesCS1A01G224700;TraesCS6D01G362000;TraesCS1D01G155800;TraesCS1D01G331000;TraesCS5B01G396700;TraesCS1D01G058300;TraesCS2D01G242100;TraesCS4B01G204500;TraesCS4A01G157100;TraesCS4A01G283000;TraesCS2B01G297800;TraesCS2D01G111300;TraesCS3B01G435900;TraesCS3D01G228800;TraesCS7A01G560200;TraesCS7B01G278200;TraesCS7B01G230100;TraesCS1A01G198400;TraesCS2B01G457600;TraesCS3D01G203400;TraesCS5D01G459800;TraesCS3A01G191700;TraesCS2B01G157600;TraesCS6B01G242800;TraesCS1D01G211600;TraesCS2D01G105300;TraesCS6D01G062500;TraesCS6B01G414800;TraesCS1D01G440900;TraesCS3A01G367000;TraesCS4D01G194300;TraesCS1B01G290800;TraesCS7B01G085700;TraesCS2B01G363200;TraesCS4A01G354500;TraesCS7A01G480700;TraesCS4B01G179400;TraesCS6D01G094200;TraesCS6D01G212000;TraesCS4B01G150300;TraesCS3D01G162700;TraesCS2A01G387000;TraesCS2D01G194000;TraesCS1D01G086600;TraesCS5B01G344200;TraesCS1B01G220700;TraesCS6A01G308100;TraesCS4A01G262900;TraesCS1B01G422200;TraesCS3A01G402500;TraesCS5D01G551200;TraesCS6B01G134800;TraesCS3D01G288000;TraesCS7A01G381900;TraesCS4A01G315700;TraesCS5B01G563800;TraesCS1A01G263400;TraesCS2A01G134000;TraesCS2D01G229600;TraesCS2B01G273900;TraesCS3D01G083400;TraesCS4B01G287200;TraesCS2D01G279300;TraesCS6A01G267300;TraesCS6A01G259000;TraesCS6A01G307700;TraesCS5B01G517900;TraesCS2D01G057900;TraesCS4A01G364400;TraesCS5D01G424400;TraesCS2A01G110700;TraesCS5D01G478900;TraesCS7B01G184800;TraesCS3D01G304800;TraesCS4A01G276300;TraesCS1B01G213300;TraesCS7D01G378400;TraesCS4A01G164900;TraesCS2B01G122500;TraesCS5D01G164800;TraesCS7D01G447100;TraesCS5B01G510500;TraesCS5A01G324200;TraesCS1A01G172100;TraesCS5D01G223700;TraesCS6B01G151900;TraesCS7B01G124100;TraesCS6A01G070600;TraesCS1D01G199100;TraesCS5B01G147600;TraesCS6D01G283300;TraesCS3D01G514100;TraesCS5A01G416700;TraesCS6D01G195400;TraesCS4A01G124000;TraesCS1A01G158500;TraesCS2A01G239200;TraesCS5D01G341200;TraesCS7A01G329600;TraesCS6B01G171600;TraesCS1B01G434400;TraesCS4B01G073200;TraesCS4B01G131800;TraesCS6A01G319100;TraesCS1A01G281700;TraesCS1A01G309200;TraesCS1D01G198700;TraesCS7D01G000100;TraesCS4A01G093100;TraesCS7B01G207300</t>
  </si>
  <si>
    <t>TraesCS1B01G255100;TraesCS3D01G426300;TraesCS2B01G340300;TraesCS3A01G367000;TraesCS2A01G114400;TraesCS5A01G149000;TraesCS1B01G213300;TraesCS7D01G283600;TraesCS4B01G204500;TraesCS2A01G193800;TraesCS5B01G147600;TraesCS2A01G387000;TraesCS3D01G296900;TraesCS2D01G194000;TraesCS2B01G133500;TraesCS2A01G058700;TraesCS5B01G036800;TraesCS2B01G070700;TraesCS2B01G312600;TraesCS4B01G041900;TraesCS2A01G342600;TraesCS7A01G560200;TraesCS1A01G198400;TraesCS6A01G267300;TraesCS3A01G304900;TraesCS2D01G057900;TraesCS4A01G093100;TraesCS7D01G549100;TraesCS2A01G296400</t>
  </si>
  <si>
    <t>regulation of protein dephosphorylation</t>
  </si>
  <si>
    <t>regulation of dephosphorylation</t>
  </si>
  <si>
    <t>TraesCS3A01G151100;TraesCS3D01G426300;TraesCS6A01G312200;TraesCS4D01G068100;TraesCS1A01G195500;TraesCS3D01G250600;TraesCS2A01G193800;TraesCS3A01G250200;TraesCS5A01G324200;TraesCS2D01G467900;TraesCS1D01G199100;TraesCS2D01G194000;TraesCS2A01G467900;TraesCS2D01G238600;TraesCS3B01G279700;TraesCS6D01G147700;TraesCS6D01G122800;TraesCS2D01G520000;TraesCS2B01G297800;TraesCS6D01G291600;TraesCS4B01G069300;TraesCS3D01G083400;TraesCS6B01G342400;TraesCS2A01G280500;TraesCS5B01G324800;TraesCS6A01G133100;TraesCS2D01G279300;TraesCS3A01G082700;TraesCS6A01G163500;TraesCS4A01G246100</t>
  </si>
  <si>
    <t>neurotransmitter metabolic process</t>
  </si>
  <si>
    <t>regulation of neurotransmitter levels</t>
  </si>
  <si>
    <t>TraesCS7A01G466600;TraesCS3D01G426300;TraesCS1B01G261600;TraesCS3B01G014900;TraesCS1D01G107300;TraesCS6B01G454500;TraesCS1D01G226500;TraesCS4A01G257800;TraesCS7D01G338600;TraesCS5D01G412600;TraesCS6B01G169300;TraesCS3B01G441000;TraesCS4D01G147100;TraesCS4B01G056700;TraesCS3A01G220000;TraesCS4B01G321500;TraesCS3A01G381000;TraesCS2D01G233900;TraesCS7A01G323200;TraesCS7D01G216000;TraesCS7D01G549100;TraesCS2D01G399800;TraesCS1B01G255100;TraesCS3B01G362500;TraesCS1A01G350200;TraesCS1A01G180200;TraesCS5B01G335500;TraesCS3A01G052700;TraesCS5A01G149000;TraesCS7B01G197000;TraesCS2B01G443900;TraesCS5B01G058200;TraesCS5A01G336500;TraesCS6D01G182200;TraesCS4B01G204500;TraesCS1A01G258800;TraesCS7A01G341000;TraesCS4A01G080100;TraesCS7B01G189500;TraesCS1D01G178400;TraesCS3D01G296900;TraesCS6A01G105400;TraesCS7D01G454200;TraesCS3A01G091100;TraesCS1A01G099400;TraesCS4A01G101500;TraesCS7B01G242200;TraesCS3B01G252200;TraesCS4D01G204000;TraesCS1A01G007500;TraesCS1A01G095200;TraesCS4A01G120000;TraesCS4D01G122800;TraesCS6A01G303800;TraesCS7A01G560200;TraesCS6A01G158800;TraesCS1A01G198400;TraesCS4A01G334700;TraesCS3A01G191700;TraesCS6B01G242800;TraesCS1B01G200300;TraesCS2A01G128300;TraesCS5D01G094000;TraesCS3D01G259000;TraesCS4A01G232300;TraesCS3A01G367000;TraesCS5B01G300100;TraesCS2B01G405600;TraesCS5D01G237400;TraesCS7D01G283600;TraesCS1B01G196500;TraesCS5A01G059900;TraesCS2A01G387800;TraesCS6A01G290600;TraesCS6B01G089500;TraesCS6D01G094200;TraesCS4B01G129700;TraesCS2B01G221800;TraesCS5A01G135700;TraesCS6D01G130500;TraesCS2A01G387000;TraesCS5A01G416400;TraesCS4D01G318200;TraesCS6A01G212200;TraesCS2B01G150400;TraesCS3A01G100000;TraesCS4B01G083600;TraesCS5B01G418700;TraesCS6A01G040200;TraesCS6B01G134800;TraesCS2B01G620600;TraesCS5A01G429300;TraesCS7A01G490900;TraesCS6B01G176600;TraesCS6B01G192500;TraesCS6D01G244900;TraesCS4A01G030400;TraesCS4D01G081600;TraesCS6B01G065300;TraesCS6A01G267300;TraesCS6A01G408400;TraesCS3A01G304900;TraesCS4D01G057000;TraesCS2B01G375700;TraesCS2A01G296400;TraesCS2A01G185500;TraesCS6D01G299200;TraesCS1B01G213300;TraesCS1A01G195500;TraesCS1D01G258800;TraesCS2B01G185800;TraesCS1D01G199100;TraesCS2D01G148200;TraesCS5A01G490500;TraesCS5B01G147600;TraesCS5B01G409700;TraesCS6D01G283300;TraesCS2A01G559600;TraesCS6D01G195400;TraesCS2A01G159900;TraesCS2D01G300400;TraesCS5B01G036800;TraesCS5D01G341200;TraesCS2B01G312600;TraesCS5A01G020800;TraesCS3D01G091000;TraesCS1D01G353100;TraesCS6D01G408000;TraesCS3A01G271600;TraesCS2D01G202200;TraesCS4D01G003600;TraesCS4A01G093100</t>
  </si>
  <si>
    <t>macromolecular complex subunit organization</t>
  </si>
  <si>
    <t>TraesCS6D01G016900;TraesCS1A01G323600;TraesCS1D01G107300;TraesCS5B01G484700;TraesCS5B01G249000;TraesCS2A01G249600;TraesCS1A01G128600;TraesCS3B01G206600;TraesCS3B01G193200;TraesCS5B01G412400;TraesCS6B01G249700;TraesCS7D01G056800;TraesCS7A01G541200;TraesCS1A01G355200;TraesCS7B01G382800;TraesCS7B01G104400;TraesCS2B01G304600;TraesCS5B01G094600;TraesCS3B01G242700;TraesCS5A01G200900;TraesCS5A01G344100;TraesCS2A01G171900;TraesCS2A01G361100;TraesCS5A01G390000;TraesCS4B01G323000;TraesCS5D01G044900;TraesCS1A01G130700;TraesCS3A01G216100;TraesCS4B01G200300;TraesCS5B01G370700;TraesCS5D01G376600;TraesCS2A01G488400;TraesCS2B01G267100;TraesCS3A01G091100;TraesCS3B01G208800;TraesCS5A01G251000;TraesCS6A01G225200;TraesCS5B01G082400;TraesCS4D01G250100;TraesCS6D01G365100;TraesCS5B01G174600;TraesCS2D01G093700;TraesCS5D01G178300;TraesCS3B01G309700;TraesCSU01G111400;TraesCS6A01G245000;TraesCS2D01G322800;TraesCS3A01G380100;TraesCS2D01G383800;TraesCS1B01G274600;TraesCS6B01G238600;TraesCS3D01G369100;TraesCS1A01G275400;TraesCS4D01G132900;TraesCS4D01G094700;TraesCS7B01G219700;TraesCS2A01G287900;TraesCS7B01G162300;TraesCS7D01G543200;TraesCS1D01G016600;TraesCS1B01G271100;TraesCS6A01G158300;TraesCS7A01G499600;TraesCS7B01G451700;TraesCS6A01G125400;TraesCS7A01G466900;TraesCS1B01G366400;TraesCS2D01G286200;TraesCS5D01G044700;TraesCS6B01G296700;TraesCS7A01G510900;TraesCS5A01G357400;TraesCS5D01G405400;TraesCS2D01G175900;TraesCS1A01G025900;TraesCS2D01G597600;TraesCS3B01G266900;TraesCS3D01G336200;TraesCS7D01G291200;TraesCS4A01G157300;TraesCS7B01G217500;TraesCS1D01G431700;TraesCS3B01G103500;TraesCS7B01G066000;TraesCS3A01G288200;TraesCS6D01G189700;TraesCS4A01G005000;TraesCS4A01G078800;TraesCS4B01G178700;TraesCS6B01G099900;TraesCS2A01G487500;TraesCS5A01G199600;TraesCS6D01G060400;TraesCS1D01G264100;TraesCS2D01G213200;TraesCS3A01G178600;TraesCS5D01G013100;TraesCS3B01G423800;TraesCS5B01G222600;TraesCS3B01G207300;TraesCS6B01G213100;TraesCS3B01G222700;TraesCS7A01G390300;TraesCS4A01G375000;TraesCS7D01G288700;TraesCS1D01G275000;TraesCS1B01G193700;TraesCS4A01G134800;TraesCS5B01G539900;TraesCS4A01G178600;TraesCS3D01G217700;TraesCS4B01G140300;TraesCS1A01G110900;TraesCS3D01G507500;TraesCS4D01G252700;TraesCS1B01G348800;TraesCS5A01G050100;TraesCS5B01G154600;TraesCS3A01G220000;TraesCS6B01G199500;TraesCS6D01G007800;TraesCS7A01G076600;TraesCS5A01G004200;TraesCS4A01G177500;TraesCS7D01G040400;TraesCS5D01G141200;TraesCS6A01G192800;TraesCS6A01G209800;TraesCS5A01G054700;TraesCS2B01G462500;TraesCS6D01G216300;TraesCS5D01G261300;TraesCS3D01G298000;TraesCS2D01G362200;TraesCS5B01G537700;TraesCS3B01G254500;TraesCS7B01G005700;TraesCS3D01G376500;TraesCS1A01G177600;TraesCS6D01G166400;TraesCS6B01G256400;TraesCS1B01G378000;TraesCS1D01G211600;TraesCS4D01G240700;TraesCS7A01G313900;TraesCS2B01G174600;TraesCS7D01G332300;TraesCS6B01G294700;TraesCS7B01G052900;TraesCS4A01G217700;TraesCS1B01G301500;TraesCS5B01G132600;TraesCS3B01G093800;TraesCS2D01G523100;TraesCS2A01G092400;TraesCS3A01G112800;TraesCS2A01G480500;TraesCS4A01G262900;TraesCS7D01G377200;TraesCS6A01G336800;TraesCS3D01G068100;TraesCS3D01G288000;TraesCS5D01G402300;TraesCS6B01G176600;TraesCS6A01G322400;TraesCS1A01G116000;TraesCS4D01G107000;TraesCS5A01G132300;TraesCS7D01G386100;TraesCS7D01G032800;TraesCS6A01G146500;TraesCS5D01G424400;TraesCS2D01G070400;TraesCS2D01G154600;TraesCS2B01G185800;TraesCS5D01G005300;TraesCS1A01G172100;TraesCS4D01G310700;TraesCS5A01G416700;TraesCS4A01G247300;TraesCS6A01G231900;TraesCS7D01G190300;TraesCS3B01G607600;TraesCS5D01G087800;TraesCS7A01G205200;TraesCS7B01G236400;TraesCS2B01G604300;TraesCS1A01G281700;TraesCS7B01G446500;TraesCS5D01G480300;TraesCS2D01G594500;TraesCS6D01G028300;TraesCS6D01G121300;TraesCS1B01G259800;TraesCS4B01G252400;TraesCS5D01G525000;TraesCS2A01G517500;TraesCS2D01G479900;TraesCS2B01G307300;TraesCS6A01G184000;TraesCS1A01G260500;TraesCS4A01G257800;TraesCS5D01G428900;TraesCS1B01G049300;TraesCS3D01G411200;TraesCS5D01G219500;TraesCS5D01G162400;TraesCS6D01G077500;TraesCS7D01G150200;TraesCS2B01G229600;TraesCS4A01G119800;TraesCS1A01G099500;TraesCS1A01G292100;TraesCS4B01G226100;TraesCS4B01G186700;TraesCS4B01G117900;TraesCS5A01G467500;TraesCS3B01G408800;TraesCS2B01G597700;TraesCS4B01G126400;TraesCS3D01G169000;TraesCS5A01G006100;TraesCS1A01G350200;TraesCS3D01G019000;TraesCS2D01G565200;TraesCS5B01G415100;TraesCS3A01G122500;TraesCS2D01G248600;TraesCS6B01G174500;TraesCS2A01G299200;TraesCS7D01G265200;TraesCS7A01G448800;TraesCS2D01G291200;TraesCS2A01G071600;TraesCS3D01G275200;TraesCS2B01G263300;TraesCS3D01G345500;TraesCS2D01G593900;TraesCS7A01G417000;TraesCS4A01G013500;TraesCS2D01G363800;TraesCS2A01G330000;TraesCS1D01G020000;TraesCS5A01G491400;TraesCS2B01G203200;TraesCS2A01G187700;TraesCS3D01G188800;TraesCS4A01G150000;TraesCS7A01G491200;TraesCS4A01G494400;TraesCS2B01G342100;TraesCS1B01G326400;TraesCS2D01G362700;TraesCS2D01G118000;TraesCS4D01G096200;TraesCS5D01G332000;TraesCS3D01G237100;TraesCS6A01G103200;TraesCS7D01G083200;TraesCS3A01G238400;TraesCS5D01G312400;TraesCS7D01G224900;TraesCS1B01G212500;TraesCS1B01G478800;TraesCS2B01G186600;TraesCS5A01G411500;TraesCS7A01G235200;TraesCS7D01G072300;TraesCS6B01G393500;TraesCS5A01G191100;TraesCS5A01G101900;TraesCS2A01G185500;TraesCS5A01G088400;TraesCS2A01G095300;TraesCS3A01G264700;TraesCS2D01G303500;TraesCS4A01G110800;TraesCS1D01G094400;TraesCS6B01G174700;TraesCS1A01G313300;TraesCS5B01G038400;TraesCS7D01G123000;TraesCS3A01G391800;TraesCS6D01G247400;TraesCS1D01G067500;TraesCS4A01G090100;TraesCS6D01G363400;TraesCS2A01G344600;TraesCS5B01G395000;TraesCS4A01G216200;TraesCS6B01G342300;TraesCS5B01G075800;TraesCS7A01G279000;TraesCS4A01G059500;TraesCS5B01G477800;TraesCS6D01G246300;TraesCS7A01G466600;TraesCS6D01G173700;TraesCS3B01G083400;TraesCS2B01G271300;TraesCS4A01G111000;TraesCS3D01G380100;TraesCS3D01G384700;TraesCS3A01G313300;TraesCS6B01G371500;TraesCS2A01G392900;TraesCS5A01G024600;TraesCS7B01G393300;TraesCS7A01G318800;TraesCS6B01G169300;TraesCS1A01G185900;TraesCS1A01G388400;TraesCS4A01G092500;TraesCS2B01G505400;TraesCS2B01G528300;TraesCS4A01G101200;TraesCS6D01G357100;TraesCS7B01G181200;TraesCS6A01G269400;TraesCS1A01G418700;TraesCS4B01G056700;TraesCS7D01G486400;TraesCS5B01G102600;TraesCS5B01G349800;TraesCS6D01G001700;TraesCS2A01G149600;TraesCS2B01G415500;TraesCS3D01G182400;TraesCS7B01G182300;TraesCS6A01G171300;TraesCS1A01G017000;TraesCS2D01G487700;TraesCS3D01G275600;TraesCS2A01G007000;TraesCS2D01G310000;TraesCS4A01G220100;TraesCS1A01G145000;TraesCS4A01G197700;TraesCS3B01G566600;TraesCS7D01G218000;TraesCS4B01G148600;TraesCS7D01G278100;TraesCS4B01G138800;TraesCS2B01G404600;TraesCS4B01G144000;TraesCS4D01G193500;TraesCS6B01G285500;TraesCS5A01G157000;TraesCS7A01G149200;TraesCS6A01G186800;TraesCS5A01G212500;TraesCS5D01G417400;TraesCS3A01G220700;TraesCS1A01G035900;TraesCS6B01G076300;TraesCS5D01G258900;TraesCS1B01G156600;TraesCS3A01G184800;TraesCS5A01G495100;TraesCS2A01G521400;TraesCS6D01G091600;TraesCS7A01G480700;TraesCS7D01G452200;TraesCS1A01G315900;TraesCS3B01G237200;TraesCS4B01G156400;TraesCS1A01G249100;TraesCS2A01G226000;TraesCS2B01G107200;TraesCS4D01G115600;TraesCS6D01G245600;TraesCS2B01G307500;TraesCS5D01G378000;TraesCS6A01G070700;TraesCS6D01G302200;TraesCS4D01G172400;TraesCS6D01G221400;TraesCS6D01G315500;TraesCS6A01G078200;TraesCS7D01G457900;TraesCS7B01G421800;TraesCS6A01G307700;TraesCS2B01G318400;TraesCS7B01G169100;TraesCS5D01G231200;TraesCS2A01G431900;TraesCS3A01G069900;TraesCS5B01G155100;TraesCS4A01G276300;TraesCS5A01G036600;TraesCS2A01G156100;TraesCS1D01G390500;TraesCS4B01G332300;TraesCS5D01G512300;TraesCS2B01G454000;TraesCS5B01G344300;TraesCS1B01G293500;TraesCS6B01G100000;TraesCS6D01G396700;TraesCS4D01G080700;TraesCS2D01G473500;TraesCS5D01G060900;TraesCS2D01G161900;TraesCS5D01G089300;TraesCS4D01G086000;TraesCS6B01G161800;TraesCS1A01G284300;TraesCS2A01G040000;TraesCS1D01G353100;TraesCS3B01G332500;TraesCS1B01G434400;TraesCS1B01G269400;TraesCS2B01G352300;TraesCS5A01G348400;TraesCS4B01G380800;TraesCS6A01G163500;TraesCS5A01G067300;TraesCS2B01G191800;TraesCS5D01G336000;TraesCS5D01G124800;TraesCS7A01G036200;TraesCS2A01G246200;TraesCS2A01G366900;TraesCS5A01G200800;TraesCS4B01G397600;TraesCS3D01G271500;TraesCS7A01G278300;TraesCS4A01G226500;TraesCS4A01G432400;TraesCS1B01G146200;TraesCSU01G112400;TraesCS6B01G295700;TraesCS7D01G467500;TraesCS2A01G262700;TraesCS3A01G228000;TraesCS4B01G169900;TraesCS6B01G411900;TraesCS5D01G181600;TraesCS4B01G050200;TraesCS5D01G444700;TraesCS6B01G132300;TraesCS4D01G135000;TraesCS6B01G388800;TraesCS5B01G171200;TraesCS1D01G444900;TraesCS6D01G142900;TraesCS3A01G205100;TraesCS3D01G474000;TraesCS1A01G243700;TraesCS7A01G464600;TraesCS1D01G107400;TraesCS3A01G178900;TraesCS5B01G159100;TraesCS3A01G229100;TraesCS7B01G365100;TraesCS4D01G292900;TraesCS3A01G344300;TraesCS4D01G184400;TraesCS6B01G262800;TraesCS1B01G469400;TraesCS5D01G399800;TraesCS7D01G454200;TraesCS6B01G270400;TraesCS3A01G303800;TraesCS4A01G361100;TraesCS5B01G229300;TraesCS1A01G423100;TraesCS1A01G125000;TraesCS6B01G428300;TraesCS5A01G115000;TraesCS3B01G376200;TraesCS5D01G396300;TraesCS2A01G168400;TraesCS2B01G556800;TraesCS5D01G420300;TraesCS3D01G210300;TraesCS1D01G396300;TraesCS6D01G161000;TraesCS1D01G260500;TraesCS5B01G171400;TraesCS3D01G281100;TraesCS5D01G149900;TraesCSU01G133300;TraesCS2D01G251000;TraesCS2A01G387400;TraesCS5A01G416400;TraesCS7B01G317000;TraesCS7A01G316700;TraesCS4A01G191500;TraesCS4D01G172000;TraesCS5D01G100800;TraesCS6B01G159800;TraesCS6A01G234000;TraesCS5B01G479200;TraesCS2D01G213100;TraesCS6D01G358500;TraesCS3D01G474200;TraesCS3A01G214000;TraesCS5D01G161800;TraesCS4D01G079200;TraesCS4D01G142600;TraesCS2B01G328500;TraesCS6D01G344100;TraesCS7D01G364400;TraesCS2B01G154700;TraesCS2A01G159900;TraesCS7D01G438100;TraesCS2A01G132200;TraesCS5A01G368400;TraesCS6A01G279100;TraesCS4B01G314600;TraesCS4A01G149800;TraesCS2D01G202200;TraesCS1D01G314600;TraesCS1D01G387600;TraesCS6B01G336300;TraesCS3A01G276100;TraesCS5D01G006100;TraesCS1A01G299500;TraesCS4D01G036500;TraesCS6B01G428100;TraesCS3B01G412600;TraesCS6D01G399000;TraesCS2D01G049500;TraesCS3B01G442200;TraesCS1D01G190900;TraesCS7D01G542200;TraesCS2B01G514800;TraesCS3A01G478100;TraesCS3A01G342300;TraesCSU01G158800;TraesCS4B01G050600;TraesCS2D01G310900;TraesCS6D01G227300;TraesCS4B01G138100;TraesCS5D01G366500;TraesCS6B01G174100;TraesCS6D01G273200;TraesCS7A01G264300;TraesCS1D01G316200;TraesCS7D01G228500;TraesCS2D01G015500;TraesCS3A01G484800;TraesCS6B01G141400;TraesCS3B01G299100;TraesCS3D01G241900;TraesCS3B01G419200;TraesCS1A01G264000;TraesCS4D01G152200;TraesCS2D01G322900;TraesCS5A01G424400;TraesCS1D01G058300;TraesCS1A01G258800;TraesCS3D01G282800;TraesCS2D01G198300;TraesCS3A01G282800;TraesCS2A01G444100;TraesCS7A01G004000;TraesCS1D01G219200;TraesCS5A01G142200;TraesCS7A01G509200;TraesCS2B01G264100;TraesCS2B01G304900;TraesCS1A01G198400;TraesCS3D01G203400;TraesCS3B01G206100;TraesCS7B01G241900;TraesCS2D01G304000;TraesCS6D01G062500;TraesCS5A01G367700;TraesCS7A01G005100;TraesCS3D01G109700;TraesCS2B01G451100;TraesCS1B01G290800;TraesCS3B01G316500;TraesCS4D01G085700;TraesCS1A01G361400;TraesCS2B01G405200;TraesCS2B01G462400;TraesCS3A01G060300;TraesCS3D01G516300;TraesCS2A01G278000;TraesCS4A01G111600;TraesCS5A01G156400;TraesCS6B01G004400;TraesCS4A01G367700;TraesCS1A01G137000;TraesCS3D01G458600;TraesCS7D01G020700;TraesCS5D01G113700;TraesCS3A01G503200;TraesCS4D01G057000;TraesCS5B01G037500;TraesCS6D01G028400;TraesCS2A01G202600;TraesCS7D01G011800;TraesCS3B01G305600;TraesCS4D01G319400;TraesCS3B01G299300;TraesCS5A01G445100;TraesCS2B01G174700;TraesCS2A01G234200;TraesCS3D01G373300;TraesCS7A01G390400;TraesCS2A01G150000;TraesCS5D01G437600;TraesCSU01G131300;TraesCS1D01G258800;TraesCS7D01G123400;TraesCS2A01G014300;TraesCS6D01G147700;TraesCS6B01G304100;TraesCS3A01G538300;TraesCS7B01G269300;TraesCS3D01G091000;TraesCS7A01G062100;TraesCS3B01G141700;TraesCS6B01G117100;TraesCS7A01G226000;TraesCS5A01G113700;TraesCS3B01G269900;TraesCS1A01G314100;TraesCS4D01G292300;TraesCS7D01G386000;TraesCS5D01G098800;TraesCS1A01G129400;TraesCS6A01G360600;TraesCS3B01G224600;TraesCS5A01G032500;TraesCS5B01G155400;TraesCS3D01G285100;TraesCS6A01G268600;TraesCS5D01G359800;TraesCS5B01G141000;TraesCS7A01G148600;TraesCS6B01G159200;TraesCS5D01G528400;TraesCS6B01G113200;TraesCS5B01G156500;TraesCS5B01G431500;TraesCS6A01G153600;TraesCS6B01G226000;TraesCS6D01G180500;TraesCS6D01G055600;TraesCS3B01G131400;TraesCS6B01G233800;TraesCS6D01G236400;TraesCS4D01G133500;TraesCS6D01G320800;TraesCS7A01G088100;TraesCS1B01G255100;TraesCS6A01G379000;TraesCS2B01G342200;TraesCS4B01G090000;TraesCS7B01G176100;TraesCS7A01G321900;TraesCS2D01G440100;TraesCS6B01G039900;TraesCS4B01G171300;TraesCS6B01G056200;TraesCS5A01G305400;TraesCS3B01G568500;TraesCS1A01G099400;TraesCS2A01G103300;TraesCS1D01G412600;TraesCS4D01G359000;TraesCS3D01G414600;TraesCS3B01G517100;TraesCS1D01G055200;TraesCS2A01G579900;TraesCS1A01G016200;TraesCS3B01G246600;TraesCS6B01G231400;TraesCS6D01G135800;TraesCS5A01G547300;TraesCS7B01G052200;TraesCSU01G058200;TraesCS5D01G206500;TraesCS5A01G466100;TraesCS1D01G280900;TraesCS3B01G555600;TraesCS3A01G275700;TraesCS3B01G214600;TraesCS2B01G221800;TraesCS5A01G114600;TraesCS4D01G180300;TraesCS3B01G309000;TraesCS4D01G212600;TraesCS7A01G335900;TraesCS5D01G505700;TraesCS7D01G278800;TraesCS5A01G173800;TraesCS2B01G259100;TraesCS2A01G344500;TraesCS2D01G520000;TraesCS7D01G035000;TraesCS3A01G085200;TraesCS1D01G443100;TraesCS4B01G160600;TraesCS3B01G374400;TraesCS6B01G365300;TraesCS4D01G315200;TraesCS5D01G040800;TraesCS4A01G387000;TraesCS4A01G452700;TraesCS4B01G170400;TraesCS7D01G200800;TraesCS7D01G410100;TraesCS2D01G301200;TraesCS6D01G259500;TraesCS4D01G089800;TraesCS6B01G307200;TraesCS1D01G352300;TraesCS4A01G051900;TraesCS3A01G200400;TraesCS5B01G199400;TraesCS1D01G151800;TraesCS3B01G564100;TraesCS4D01G004000;TraesCS5D01G399200;TraesCS5B01G509100;TraesCS6D01G210000;TraesCS3A01G376300;TraesCS4B01G211800;TraesCS2B01G229500;TraesCS5D01G205200;TraesCS3A01G498300;TraesCS4D01G214800;TraesCS5B01G504900;TraesCS3D01G217600;TraesCS5A01G387700;TraesCS3B01G363500;TraesCS2D01G568400;TraesCS4B01G276500;TraesCS2D01G488700;TraesCS5B01G397300;TraesCS2D01G545300;TraesCS1D01G298400;TraesCS4B01G117800;TraesCS4D01G298800;TraesCS7A01G239700;TraesCS1D01G125300;TraesCS3D01G182100;TraesCS3D01G446200;TraesCS3A01G241700;TraesCS3D01G264800;TraesCS3A01G212600;TraesCS7A01G223300;TraesCS1D01G426400;TraesCS5A01G092400;TraesCS5D01G081700;TraesCS4B01G286700;TraesCS7D01G454700;TraesCS3D01G513500;TraesCS4D01G147500;TraesCS3B01G426500;TraesCS6A01G130900;TraesCS2A01G302500;TraesCS2B01G385300;TraesCS2D01G543700;TraesCS5A01G429500;TraesCS3B01G161900;TraesCS5B01G450400;TraesCS2B01G295400;TraesCS6B01G181300;TraesCS2A01G290900;TraesCS6A01G312100;TraesCS6B01G301300;TraesCS1A01G086500;TraesCS3B01G237500;TraesCS4A01G264400;TraesCS2D01G385000;TraesCS3D01G124400;TraesCS7B01G393400;TraesCS1D01G178000;TraesCS6B01G035700;TraesCS3D01G294200;TraesCS2A01G430500;TraesCS4A01G197600;TraesCS2B01G018500;TraesCS7D01G004500;TraesCS3A01G068500;TraesCS6A01G200200;TraesCS3D01G196700;TraesCS1D01G144000;TraesCS7A01G235300;TraesCS5B01G529300;TraesCS2B01G411000;TraesCS5D01G432900;TraesCS2A01G149500;TraesCS2B01G157600;TraesCS7D01G476500;TraesCS3A01G023800;TraesCS7D01G315400;TraesCS5B01G155200;TraesCS3A01G161800;TraesCS4D01G194300;TraesCS2D01G288800;TraesCS3B01G291000;TraesCS5D01G078500;TraesCS3A01G275300;TraesCS5A01G548800;TraesCS2D01G167300;TraesCS6D01G130500;TraesCS2A01G387000;TraesCS5B01G344200;TraesCS2B01G198300;TraesCS5B01G418700;TraesCS6D01G174700;TraesCS4D01G092800;TraesCS3B01G309400;TraesCS3B01G491300;TraesCS2B01G217700;TraesCS3D01G068900;TraesCS3D01G326900;TraesCS2D01G229600;TraesCS5B01G511800;TraesCS2D01G249200;TraesCS6A01G267300;TraesCS3B01G322800;TraesCSU01G009200;TraesCS2B01G321700;TraesCS5D01G478900;TraesCS1B01G213300;TraesCS2D01G500600;TraesCS1A01G111100;TraesCS7D01G281800;TraesCS4A01G164900;TraesCS5A01G223700;TraesCS5B01G136500;TraesCS3A01G107900;TraesCS7B01G348600;TraesCS4D01G115500;TraesCS5B01G509500;TraesCS5D01G162500;TraesCS2B01G051500;TraesCS7B01G124100;TraesCS6D01G245500;TraesCS1A01G101300;TraesCS6D01G193000;TraesCS1B01G155600;TraesCS5B01G074200;TraesCS1A01G020500;TraesCS7B01G089500;TraesCS7D01G130500;TraesCS2B01G293400;TraesCS7D01G000100;TraesCS6B01G464800</t>
  </si>
  <si>
    <t>TraesCS3D01G264800;TraesCS7D01G227300;TraesCS1D01G411300;TraesCS6B01G454500;TraesCS6D01G165800;TraesCS5D01G388000;TraesCS4A01G310600;TraesCS6B01G191500;TraesCS1D01G124600;TraesCS2B01G240000;TraesCS7A01G238400;TraesCS2A01G247300;TraesCS4A01G226900;TraesCS5A01G378000;TraesCS5B01G239200;TraesCS5A01G106900;TraesCS7A01G276400;TraesCS5B01G227900;TraesCS7B01G240200;TraesCS2D01G220800;TraesCS7D01G083900;TraesCS7D01G276300;TraesCS2D01G115200;TraesCS5B01G322900;TraesCS5B01G496000;TraesCS3A01G381000;TraesCS2D01G233900;TraesCS2A01G206200;TraesCS2A01G187200;TraesCS2A01G223600;TraesCS2B01G220100;TraesCS7D01G549100;TraesCS5B01G381600;TraesCS2B01G340300;TraesCS7D01G311300;TraesCS3A01G321900;TraesCS3A01G052700;TraesCS2D01G112000;TraesCS5A01G482800;TraesCS2B01G233400;TraesCS2D01G242100;TraesCS4B01G204500;TraesCS2B01G267500;TraesCS4B01G397700;TraesCS3A01G192400;TraesCS5A01G454300;TraesCS6D01G287300;TraesCS5D01G265500;TraesCS7B01G215000;TraesCS4A01G101500;TraesCS4D01G204000;TraesCS5D01G496400;TraesCS6A01G319700;TraesCS4B01G373400;TraesCS5D01G238300;TraesCS2A01G252600;TraesCS7A01G560200;TraesCS3B01G221200;TraesCS2B01G130300;TraesCS3D01G259000;TraesCS1B01G317500;TraesCS5A01G229300;TraesCS4A01G232300;TraesCS5A01G489100;TraesCS7B01G006600;TraesCS5B01G228900;TraesCS1B01G383200;TraesCS2B01G405600;TraesCS5D01G237400;TraesCS7B01G142700;TraesCS2A01G114400;TraesCS2D01G320900;TraesCS5D01G474200;TraesCS4D01G234800;TraesCS6A01G373200;TraesCS1A01G365600;TraesCS4A01G077600;TraesCS2D01G238700;TraesCS1A01G403800;TraesCS2B01G133500;TraesCS6A01G308100;TraesCS4B01G083600;TraesCS3A01G530000;TraesCS2A01G342600;TraesCS2B01G272300;TraesCS2D01G229600;TraesCS2B01G273900;TraesCS4D01G081600;TraesCS2A01G254600;TraesCS6A01G408400;TraesCS2A01G296400;TraesCS5A01G457500;TraesCS3A01G264700;TraesCS6D01G299200;TraesCS2A01G215000;TraesCS2A01G234200;TraesCS6D01G152700;TraesCS7A01G504900;TraesCS7A01G342800;TraesCS2D01G248400;TraesCS1A01G392000;TraesCS7A01G108600;TraesCS3B01G344200;TraesCS7A01G314100;TraesCS2D01G148200;TraesCS4B01G089500;TraesCS5A01G414400;TraesCS5D01G357600;TraesCS2D01G255100;TraesCS3B01G061700;TraesCS5B01G256400;TraesCS2D01G253200;TraesCS3D01G051800;TraesCS5A01G230400;TraesCS2A01G216100;TraesCS2B01G312600;TraesCS5D01G329200;TraesCS4B01G203100;TraesCS2B01G270300;TraesCS4D01G086400;TraesCS2B01G325100;TraesCS3D01G309400;TraesCS3B01G221400;TraesCS7D01G000100;TraesCS2D01G200700;TraesCS4D01G003600;TraesCS5D01G247600</t>
  </si>
  <si>
    <t>TraesCS4B01G252400;TraesCS3A01G023800;TraesCS5D01G258900;TraesCS2A01G521400;TraesCS5B01G249000;TraesCS1D01G226500;TraesCS2B01G271300;TraesCS5D01G219500;TraesCS2D01G251000;TraesCS1A01G206900;TraesCS4B01G286700;TraesCSU01G072700;TraesCS1D01G210200;TraesCS2A01G387000;TraesCS5D01G118200;TraesCS1B01G220700;TraesCS6A01G143300;TraesCS1A01G246800;TraesCS5D01G366500;TraesCS5D01G551200;TraesCS1D01G030500;TraesCS2D01G356700;TraesCS4A01G315700;TraesCS5B01G378700;TraesCS1B01G365600;TraesCS5B01G563800;TraesCS4D01G135000;TraesCS3D01G083400;TraesCS5B01G102600;TraesCS2A01G280500;TraesCS5D01G429200;TraesCS2D01G279300;TraesCS7A01G323200;TraesCS3B01G154900;TraesCS2A01G149600;TraesCS3A01G151100;TraesCS1B01G255100;TraesCS2B01G401900;TraesCS2B01G174700;TraesCS5B01G335500;TraesCS6A01G379000;TraesCS5A01G149000;TraesCS5A01G357400;TraesCS5A01G336500;TraesCS6A01G188100;TraesCS4A01G051900;TraesCS3D01G275600;TraesCS1A01G195500;TraesCS6D01G132500;TraesCS6D01G210000;TraesCS1D01G199100;TraesCS2D01G148200;TraesCS5B01G147600;TraesCS5B01G409700;TraesCS3D01G514100;TraesCS2A01G467900;TraesCS5D01G504600;TraesCS3A01G091100;TraesCS3A01G513500;TraesCS5A01G251000;TraesCS5B01G036800;TraesCS6A01G225200;TraesCS5D01G341200;TraesCS3D01G091000;TraesCS6B01G171600;TraesCS4A01G120000;TraesCS2B01G297800;TraesCS6B01G256400;TraesCS4B01G109700;TraesCS3A01G082700;TraesCS5D01G459800;TraesCS2B01G247100;TraesCS5A01G212500;TraesCS5A01G472100;TraesCS5D01G094000</t>
  </si>
  <si>
    <t>phyllome development</t>
  </si>
  <si>
    <t>TraesCS4A01G125000;TraesCS6D01G337500;TraesCS1D01G190900;TraesCS3D01G231200;TraesCS4B01G015600;TraesCS2B01G346500;TraesCS2B01G271300;TraesCS3D01G411200;TraesCS3A01G334800;TraesCS7D01G288700;TraesCS1B01G193700;TraesCS5D01G481500;TraesCS5D01G099800;TraesCS7A01G368900;TraesCS5A01G513500;TraesCS1D01G329100;TraesCS2A01G390600;TraesCS4A01G432400;TraesCS5B01G531900;TraesCS1A01G185900;TraesCS4B01G213600;TraesCS5D01G530200;TraesCS4D01G147100;TraesCS6D01G359000;TraesCS4D01G214300;TraesCS4D01G013900;TraesCS6A01G374200;TraesCS1A01G376400;TraesCS4B01G117900;TraesCS6A01G355300;TraesCS2D01G417300;TraesCS3A01G205900;TraesCS3B01G131400;TraesCS5B01G102600;TraesCS1B01G273200;TraesCS5D01G201300;TraesCS4D01G246700;TraesCS7B01G350400;TraesCS6B01G219700;TraesCS5B01G190100;TraesCS6B01G246600;TraesCS7B01G451500;TraesCS1D01G331000;TraesCS6A01G209800;TraesCS6B01G412000;TraesCS6D01G077600;TraesCS6D01G182200;TraesCS3D01G527700;TraesCS4A01G080100;TraesCS6B01G262800;TraesCS3D01G355400;TraesCS7B01G177700;TraesCS3B01G222400;TraesCS6D01G216300;TraesCS7D01G284200;TraesCS6D01G390000;TraesCS4A01G197700;TraesCS5D01G504600;TraesCS6A01G105400;TraesCS4B01G158000;TraesCS4D01G151500;TraesCS1B01G254000;TraesCS2D01G593900;TraesCS2B01G257300;TraesCS5A01G104800;TraesCS3B01G088300;TraesCS4A01G197600;TraesCS1D01G412600;TraesCS4D01G359000;TraesCS4A01G298100;TraesCS5A01G093200;TraesCS2B01G404600;TraesCS2B01G408800;TraesCS4A01G120000;TraesCS4B01G161000;TraesCS3B01G517100;TraesCS3A01G526800;TraesCS3A01G361700;TraesCS2A01G273400;TraesCS3D01G328100;TraesCS4D01G181000;TraesCS6D01G047400;TraesCS4A01G091100;TraesCS4A01G194100;TraesCS6A01G295100;TraesCS4A01G167000;TraesCS7D01G439900;TraesCS5D01G439200;TraesCS6B01G450500;TraesCS3D01G325800;TraesCS5A01G189600;TraesCS5B01G432900;TraesCS2D01G362700;TraesCS3A01G332300;TraesCS4B01G179400;TraesCS2D01G251000;TraesCS2A01G335400;TraesCS4D01G115600;TraesCS6D01G183700;TraesCS4B01G263100;TraesCS6D01G094200;TraesCS2D01G383800;TraesCS5A01G548800;TraesCS6B01G238600;TraesCS2A01G387000;TraesCS4A01G138800;TraesCS1D01G325500;TraesCS4D01G132900;TraesCS4D01G339700;TraesCS4A01G367700;TraesCS1D01G242500;TraesCS4A01G042500;TraesCS1B01G396800;TraesCS5D01G505700;TraesCS6B01G134800;TraesCS4A01G036500;TraesCS4A01G254100;TraesCS5B01G099300;TraesCS7A01G450600;TraesCS2A01G011400;TraesCS6A01G234000;TraesCS4B01G164800;TraesCS4D01G263300;TraesCS1D01G383500;TraesCS2D01G327400;TraesCS4D01G150700;TraesCS5D01G105500;TraesCS3D01G268700;TraesCS7A01G285800;TraesCS2D01G246100;TraesCS3B01G591400;TraesCS4A01G144500;TraesCS4D01G115500;TraesCS5B01G509500;TraesCS2D01G012200;TraesCS1D01G176300;TraesCS3A01G521600;TraesCS6D01G174500;TraesCS4D01G039100;TraesCS5A01G431100;TraesCS6B01G331800;TraesCS3A01G322500;TraesCS5B01G036800;TraesCS2A01G239200;TraesCS4A01G342800;TraesCS4B01G138200;TraesCS6D01G193000;TraesCS5B01G504900;TraesCS6B01G161800;TraesCS4B01G041900;TraesCS1D01G024800;TraesCS3A01G196400;TraesCS5B01G481100;TraesCS1B01G434400;TraesCS4B01G117800;TraesCS1A01G152800;TraesCS1A01G024700;TraesCS5B01G534400;TraesCS4A01G057600;TraesCS6B01G231600;TraesCS6B01G342300;TraesCS4A01G078800;TraesCS3A01G295400;TraesCS3A01G268600;TraesCS3B01G303000;TraesCS5B01G121000;TraesCS6B01G388100;TraesCS4A01G150500</t>
  </si>
  <si>
    <t>TraesCS3D01G426300;TraesCS7A01G223300;TraesCS4A01G125000;TraesCS2A01G246600;TraesCS5B01G484700;TraesCS5B01G249000;TraesCS6D01G165800;TraesCS3B01G222700;TraesCS5D01G162400;TraesCS3D01G273800;TraesCS5B01G239200;TraesCS5A01G106900;TraesCS4B01G288200;TraesCS2A01G058700;TraesCS2D01G014800;TraesCS1B01G197100;TraesCS6B01G159200;TraesCS2B01G469400;TraesCS4D01G147100;TraesCS7B01G240200;TraesCS7D01G083900;TraesCS4B01G152900;TraesCS3B01G185300;TraesCS1A01G376400;TraesCS4B01G117900;TraesCS4D01G135000;TraesCS2D01G447800;TraesCS5B01G171200;TraesCS2B01G004000;TraesCS7B01G117700;TraesCS6B01G315800;TraesCS7D01G549100;TraesCS3A01G151100;TraesCS1B01G255100;TraesCS3A01G075700;TraesCS7A01G307000;TraesCS4D01G292900;TraesCS5A01G149000;TraesCS2B01G050600;TraesCS4B01G204500;TraesCS4B01G397700;TraesCS3A01G192400;TraesCS4A01G197700;TraesCS6A01G105400;TraesCS1B01G254000;TraesCS3A01G513500;TraesCS5A01G251000;TraesCS2B01G070700;TraesCS3A01G530100;TraesCS4A01G197600;TraesCS7B01G129300;TraesCS1D01G412600;TraesCS4A01G015800;TraesCS5A01G093200;TraesCS4B01G373400;TraesCS7D01G224400;TraesCS3D01G196700;TraesCS5A01G157000;TraesCS6A01G303800;TraesCS7A01G560200;TraesCS1A01G198400;TraesCS5D01G178300;TraesCS3B01G221200;TraesCS3A01G310200;TraesCS6B01G242800;TraesCS1B01G447500;TraesCS1D01G211600;TraesCS5D01G396300;TraesCS6D01G047400;TraesCS1B01G462200;TraesCS6B01G239000;TraesCS3D01G075800;TraesCSU01G058200;TraesCS5D01G258900;TraesCS4A01G194100;TraesCS5A01G489100;TraesCS3A01G367000;TraesCS4A01G167000;TraesCS5B01G300100;TraesCS1B01G383200;TraesCS5B01G155200;TraesCS7D01G283600;TraesCS4D01G108900;TraesCS4D01G234800;TraesCS6A01G373200;TraesCS4B01G179400;TraesCS1A01G365600;TraesCS2D01G389900;TraesCS2A01G358000;TraesCS4D01G115600;TraesCS4A01G077600;TraesCS6D01G094200;TraesCS6A01G082800;TraesCS4D01G096200;TraesCS7A01G222800;TraesCS2A01G387000;TraesCS2A01G448600;TraesCS6A01G212200;TraesCS1B01G396800;TraesCS5D01G551200;TraesCS7D01G119700;TraesCS3D01G341200;TraesCS7B01G020100;TraesCS3A01G158500;TraesCS5A01G173800;TraesCS3A01G530000;TraesCS6B01G134800;TraesCS3D01G271800;TraesCS3D01G288000;TraesCS4A01G315700;TraesCS7D01G224900;TraesCS3B01G180600;TraesCS1B01G212500;TraesCS5B01G563800;TraesCS3A01G272200;TraesCS6A01G267300;TraesCS4B01G164800;TraesCS1D01G383500;TraesCS2D01G057900;TraesCS3A01G339900;TraesCS1A01G259700;TraesCS7A01G342800;TraesCS5D01G105500;TraesCS1B01G213300;TraesCS4D01G115500;TraesCS2B01G410100;TraesCS5B01G147600;TraesCS6D01G283300;TraesCS2D01G238600;TraesCS6A01G210200;TraesCS6D01G195400;TraesCS2D01G300400;TraesCS3A01G498300;TraesCS5B01G036800;TraesCS2A01G216100;TraesCS3A01G288200;TraesCS1B01G434400;TraesCS4B01G117800;TraesCS4A01G216200;TraesCS6D01G204700;TraesCS1A01G133500;TraesCS5B01G534400;TraesCS2B01G325100;TraesCS5B01G104800;TraesCS2D01G280900;TraesCS3B01G221400;TraesCS4A01G093100;TraesCS4A01G110400;TraesCS7B01G207300;TraesCS2B01G377300;TraesCS5D01G247600;TraesCS1A01G165700</t>
  </si>
  <si>
    <t>TraesCS1D01G264100;TraesCS2D01G477200;TraesCS3A01G212600;TraesCS3B01G423800;TraesCS6A01G360600;TraesCS3B01G083400;TraesCS1A01G260500;TraesCS1D01G226500;TraesCS1B01G049300;TraesCS3D01G384700;TraesCS6A01G268600;TraesCS7D01G454700;TraesCSU01G072700;TraesCS3D01G273800;TraesCS2B01G152100;TraesCS4A01G023500;TraesCS6B01G295700;TraesCS5D01G171100;TraesCS4A01G178600;TraesCS5A01G119300;TraesCS6A01G311200;TraesCS5D01G532100;TraesCS5B01G378700;TraesCS1D01G316200;TraesCS5A01G467500;TraesCS3B01G112900;TraesCS5B01G094600;TraesCS3B01G242700;TraesCS4B01G321500;TraesCS5D01G429200;TraesCS5A01G166800;TraesCS2A01G171900;TraesCS7A01G323200;TraesCS4D01G133500;TraesCS2A01G149600;TraesCS2A01G563500;TraesCS2B01G401900;TraesCS5D01G193000;TraesCS1A01G264000;TraesCS5A01G420600;TraesCS5B01G335500;TraesCS6A01G379000;TraesCS5D01G141200;TraesCS1D01G331000;TraesCS5B01G058200;TraesCS5A01G336500;TraesCS7A01G321900;TraesCS6B01G341400;TraesCS7A01G220600;TraesCS3A01G393400;TraesCS6D01G149800;TraesCS2D01G132100;TraesCS3B01G252200;TraesCS2A01G027000;TraesCS6B01G190300;TraesCS4B01G109700;TraesCS3D01G203400;TraesCS2D01G093700;TraesCS2B01G247100;TraesCS3D01G205300;TraesCS5A01G472100;TraesCS5D01G285200;TraesCS3D01G188800;TraesCS2B01G501300;TraesCS7B01G352800;TraesCS3A01G184800;TraesCS5D01G472300;TraesCS7B01G111000;TraesCS2A01G129900;TraesCS4D01G278500;TraesCS4D01G194300;TraesCS1D01G260500;TraesCS2B01G348600;TraesCS5B01G171400;TraesCS1B01G326400;TraesCS2D01G362700;TraesCS1A01G315900;TraesCS3B01G214600;TraesCS1B01G274600;TraesCS3A01G336100;TraesCS3A01G097200;TraesCS1B01G333100;TraesCS4D01G318200;TraesCS1D01G325500;TraesCS6A01G040200;TraesCS7D01G207100;TraesCS7D01G442100;TraesCS7A01G490900;TraesCS1A01G263400;TraesCS3D01G068900;TraesCS4A01G030400;TraesCS2D01G059400;TraesCS1B01G271100;TraesCS6B01G393500;TraesCS5B01G479200;TraesCS5B01G037500;TraesCS7A01G466900;TraesCS2A01G095300;TraesCS5D01G044700;TraesCS2B01G174700;TraesCS3A01G069900;TraesCS4A01G110800;TraesCS7A01G204000;TraesCS5A01G036600;TraesCS4A01G164900;TraesCS3A01G200400;TraesCS1B01G293500;TraesCS7B01G124100;TraesCS6D01G344100;TraesCS5A01G490500;TraesCS3A01G391800;TraesCS5B01G185700;TraesCS2A01G455300;TraesCS5D01G341200;TraesCS2A01G478000;TraesCS1A01G284300;TraesCS2B01G477400;TraesCS1D01G298400;TraesCS7A01G452800;TraesCS5A01G460600;TraesCS2A01G382000;TraesCS5B01G104800;TraesCS1D01G314600;TraesCS1A01G314100;TraesCS1D01G125300;TraesCS5D01G480300;TraesCS7B01G119300;TraesCS3A01G295400;TraesCS6A01G161200;TraesCS6B01G189000;TraesCS6D01G246300;TraesCS1B01G403000;TraesCS1A01G129400;TraesCS1A01G299500</t>
  </si>
  <si>
    <t>TraesCS7A01G466600;TraesCS3D01G426300;TraesCS1B01G261600;TraesCS3B01G014900;TraesCS1D01G107300;TraesCS6B01G454500;TraesCS1D01G226500;TraesCS4A01G257800;TraesCS7D01G338600;TraesCS5D01G412600;TraesCS6B01G169300;TraesCS3B01G441000;TraesCS4B01G056700;TraesCS3A01G220000;TraesCS4B01G321500;TraesCS3A01G381000;TraesCS2D01G233900;TraesCS7A01G323200;TraesCS7D01G216000;TraesCS7D01G549100;TraesCS2D01G399800;TraesCS1B01G255100;TraesCS3B01G362500;TraesCS1A01G350200;TraesCS1A01G180200;TraesCS5B01G335500;TraesCS3A01G052700;TraesCS5A01G149000;TraesCS7B01G197000;TraesCS2B01G443900;TraesCS5B01G058200;TraesCS5A01G336500;TraesCS6D01G182200;TraesCS4B01G204500;TraesCS1A01G258800;TraesCS7A01G341000;TraesCS7B01G189500;TraesCS1D01G178400;TraesCS3D01G296900;TraesCS6A01G105400;TraesCS7D01G454200;TraesCS3A01G091100;TraesCS1A01G099400;TraesCS4A01G101500;TraesCS7B01G242200;TraesCS3B01G252200;TraesCS4D01G204000;TraesCS1A01G007500;TraesCS1A01G095200;TraesCS4D01G122800;TraesCS6A01G303800;TraesCS7A01G560200;TraesCS6A01G158800;TraesCS1A01G198400;TraesCS4A01G334700;TraesCS3A01G191700;TraesCS6B01G242800;TraesCS1B01G200300;TraesCS2A01G128300;TraesCS5D01G094000;TraesCS3D01G259000;TraesCS4A01G232300;TraesCS3A01G367000;TraesCS5B01G300100;TraesCS2B01G405600;TraesCS5D01G237400;TraesCS7D01G283600;TraesCS1B01G196500;TraesCS5A01G059900;TraesCS2A01G387800;TraesCS6A01G290600;TraesCS6B01G089500;TraesCS6D01G094200;TraesCS4B01G129700;TraesCS2B01G221800;TraesCS5A01G135700;TraesCS6D01G130500;TraesCS2A01G387000;TraesCS5A01G416400;TraesCS4D01G318200;TraesCS6A01G212200;TraesCS2B01G150400;TraesCS3A01G100000;TraesCS4B01G083600;TraesCS5B01G418700;TraesCS6A01G040200;TraesCS6B01G134800;TraesCS2B01G620600;TraesCS5A01G429300;TraesCS7A01G490900;TraesCS6B01G176600;TraesCS6B01G192500;TraesCS6D01G244900;TraesCS4A01G030400;TraesCS4D01G081600;TraesCS6B01G065300;TraesCS6A01G267300;TraesCS6A01G408400;TraesCS3A01G304900;TraesCS4D01G057000;TraesCS2B01G375700;TraesCS2A01G296400;TraesCS2A01G185500;TraesCS6D01G299200;TraesCS1B01G213300;TraesCS1A01G195500;TraesCS1D01G258800;TraesCS2B01G185800;TraesCS1D01G199100;TraesCS2D01G148200;TraesCS5A01G490500;TraesCS5B01G147600;TraesCS5B01G409700;TraesCS6D01G283300;TraesCS2A01G559600;TraesCS6D01G195400;TraesCS2A01G159900;TraesCS2D01G300400;TraesCS5B01G036800;TraesCS5D01G341200;TraesCS2B01G312600;TraesCS5A01G020800;TraesCS3D01G091000;TraesCS1D01G353100;TraesCS6D01G408000;TraesCS3A01G271600;TraesCS2D01G202200;TraesCS4D01G003600;TraesCS4A01G093100</t>
  </si>
  <si>
    <t>macromolecular complex assembly</t>
  </si>
  <si>
    <t>TraesCS3A01G151100;TraesCS3D01G426300;TraesCS6A01G312200;TraesCS1A01G195500;TraesCS3D01G250600;TraesCS2A01G193800;TraesCS3A01G250200;TraesCS5A01G324200;TraesCS2D01G467900;TraesCS1D01G199100;TraesCS2D01G194000;TraesCS2A01G467900;TraesCS2D01G238600;TraesCS3B01G279700;TraesCS6D01G147700;TraesCS6D01G122800;TraesCS2B01G297800;TraesCS6D01G291600;TraesCS3D01G083400;TraesCS6B01G342400;TraesCS2A01G280500;TraesCS5B01G324800;TraesCS6A01G133100;TraesCS2D01G279300;TraesCS3A01G082700;TraesCS6A01G163500</t>
  </si>
  <si>
    <t>neurotransmitter catabolic process</t>
  </si>
  <si>
    <t>TraesCS1D01G264100;TraesCS2A01G095300;TraesCS2B01G401900;TraesCS5D01G044700;TraesCS1A01G264000;TraesCS2B01G174700;TraesCS6A01G360600;TraesCS7B01G352800;TraesCS6A01G379000;TraesCS1D01G331000;TraesCS5A01G036600;TraesCS1B01G049300;TraesCS3A01G200400;TraesCS1B01G274600;TraesCS6D01G344100;TraesCS5A01G490500;TraesCS3A01G097200;TraesCS4D01G318200;TraesCS5D01G171100;TraesCS3B01G252200;TraesCS1D01G298400;TraesCS7D01G442100;TraesCS6B01G190300;TraesCS7A01G452800;TraesCS2D01G059400;TraesCS4B01G109700;TraesCS4B01G321500;TraesCS3D01G203400;TraesCS5A01G166800;TraesCS2D01G093700;TraesCS6A01G161200;TraesCS6B01G393500;TraesCS2B01G247100;TraesCS5B01G037500;TraesCS1A01G299500;TraesCS2A01G149600</t>
  </si>
  <si>
    <t>histone H3-K9 methylation</t>
  </si>
  <si>
    <t>histone H3-K9 modification</t>
  </si>
  <si>
    <t>TraesCS7D01G298100;TraesCS1D01G409700;TraesCS5D01G472300;TraesCS1B01G049300;TraesCS2B01G592500;TraesCS2D01G362700;TraesCS5A01G114000;TraesCS3A01G097200;TraesCS2D01G253100;TraesCS4A01G138800;TraesCS4D01G318200;TraesCS1D01G325500;TraesCS5B01G162300;TraesCS3D01G173500;TraesCS1A01G324800;TraesCS2D01G059400;TraesCS4B01G321500;TraesCS3A01G224000;TraesCS3A01G167400;TraesCS2B01G098800;TraesCS5B01G037500;TraesCS2A01G149600;TraesCS2A01G200500;TraesCS3B01G198800;TraesCS2A01G563500;TraesCS2A01G095300;TraesCS2B01G401900;TraesCS3B01G253500;TraesCS5D01G044700;TraesCS2B01G174700;TraesCS3B01G251200;TraesCS5B01G115000;TraesCS1A01G180200;TraesCS5B01G335500;TraesCS6A01G379000;TraesCS1D01G331000;TraesCS5A01G036600;TraesCS5A01G336500;TraesCS6A01G312100;TraesCS6B01G151900;TraesCS5A01G490500;TraesCS2B01G227800;TraesCS1B01G337800;TraesCS3B01G088300;TraesCS5D01G341200;TraesCS4B01G276500;TraesCS2D01G208300;TraesCS7D01G505300;TraesCS4D01G116000;TraesCS5A01G460600;TraesCS4B01G109700;TraesCS6B01G342300;TraesCS5A01G115400;TraesCS7A01G514900;TraesCS2A01G252400;TraesCS2D01G093700;TraesCS3A01G295400;TraesCS2B01G247100;TraesCS1B01G200300;TraesCS2A01G403100</t>
  </si>
  <si>
    <t>TraesCS7A01G466600;TraesCS3D01G426300;TraesCS1B01G261600;TraesCS3B01G014900;TraesCS1D01G107300;TraesCS6B01G454500;TraesCS1D01G226500;TraesCS4A01G257800;TraesCS7D01G338600;TraesCS5D01G412600;TraesCS6B01G169300;TraesCS3B01G441000;TraesCS4B01G056700;TraesCS3A01G220000;TraesCS4B01G321500;TraesCS3A01G381000;TraesCS2D01G233900;TraesCS7A01G323200;TraesCS7D01G549100;TraesCS2D01G399800;TraesCS1B01G255100;TraesCS3B01G362500;TraesCS1A01G350200;TraesCS1A01G180200;TraesCS5B01G335500;TraesCS3A01G052700;TraesCS5A01G149000;TraesCS7B01G197000;TraesCS2B01G443900;TraesCS5B01G058200;TraesCS5A01G336500;TraesCS6D01G182200;TraesCS4B01G204500;TraesCS1A01G258800;TraesCS7A01G341000;TraesCS7B01G189500;TraesCS1D01G178400;TraesCS3D01G296900;TraesCS6A01G105400;TraesCS7D01G454200;TraesCS3A01G091100;TraesCS1A01G099400;TraesCS4A01G101500;TraesCS7B01G242200;TraesCS3B01G252200;TraesCS4D01G204000;TraesCS1A01G007500;TraesCS1A01G095200;TraesCS4D01G122800;TraesCS6A01G303800;TraesCS7A01G560200;TraesCS6A01G158800;TraesCS1A01G198400;TraesCS4A01G334700;TraesCS3A01G191700;TraesCS6B01G242800;TraesCS1B01G200300;TraesCS2A01G128300;TraesCS5D01G094000;TraesCS3D01G259000;TraesCS4A01G232300;TraesCS3A01G367000;TraesCS5B01G300100;TraesCS2B01G405600;TraesCS5D01G237400;TraesCS7D01G283600;TraesCS1B01G196500;TraesCS5A01G059900;TraesCS2A01G387800;TraesCS6A01G290600;TraesCS6B01G089500;TraesCS6D01G094200;TraesCS4B01G129700;TraesCS2B01G221800;TraesCS5A01G135700;TraesCS6D01G130500;TraesCS2A01G387000;TraesCS5A01G416400;TraesCS4D01G318200;TraesCS6A01G212200;TraesCS2B01G150400;TraesCS3A01G100000;TraesCS4B01G083600;TraesCS5B01G418700;TraesCS6A01G040200;TraesCS6B01G134800;TraesCS2B01G620600;TraesCS5A01G429300;TraesCS7A01G490900;TraesCS6B01G176600;TraesCS6B01G192500;TraesCS6D01G244900;TraesCS4A01G030400;TraesCS4D01G081600;TraesCS6B01G065300;TraesCS6A01G267300;TraesCS6A01G408400;TraesCS3A01G304900;TraesCS4D01G057000;TraesCS2B01G375700;TraesCS2A01G296400;TraesCS2A01G185500;TraesCS6D01G299200;TraesCS1B01G213300;TraesCS1A01G195500;TraesCS1D01G258800;TraesCS2B01G185800;TraesCS1D01G199100;TraesCS5A01G490500;TraesCS5B01G147600;TraesCS5B01G409700;TraesCS6D01G283300;TraesCS2A01G559600;TraesCS6D01G195400;TraesCS2A01G159900;TraesCS2D01G300400;TraesCS5B01G036800;TraesCS5D01G341200;TraesCS2B01G312600;TraesCS5A01G020800;TraesCS3D01G091000;TraesCS1D01G353100;TraesCS6D01G408000;TraesCS3A01G271600;TraesCS2D01G202200;TraesCS4D01G003600;TraesCS4A01G093100</t>
  </si>
  <si>
    <t>cellular macromolecular complex assembly</t>
  </si>
  <si>
    <t>TraesCS6D01G016900;TraesCS1A01G323600;TraesCS1D01G107300;TraesCS5B01G484700;TraesCS5B01G249000;TraesCS5A01G059300;TraesCS2A01G249600;TraesCS6D01G344200;TraesCS1A01G128600;TraesCS3B01G206600;TraesCS3B01G193200;TraesCS5B01G412400;TraesCS6B01G249700;TraesCS7D01G056800;TraesCS7A01G541200;TraesCS1A01G355200;TraesCS7B01G382800;TraesCS7B01G104400;TraesCS2B01G304600;TraesCS5B01G094600;TraesCS3B01G242700;TraesCS5A01G200900;TraesCS5A01G344100;TraesCS2A01G171900;TraesCS2A01G361100;TraesCS5A01G390000;TraesCS4B01G323000;TraesCS5D01G044900;TraesCS7B01G186500;TraesCS1A01G130700;TraesCS3A01G216100;TraesCS4B01G200300;TraesCS5B01G370700;TraesCS5D01G376600;TraesCS2A01G488400;TraesCS2B01G267100;TraesCS3A01G091100;TraesCS3B01G208800;TraesCS5A01G251000;TraesCS6A01G225200;TraesCS5B01G082400;TraesCS4D01G250100;TraesCS6D01G365100;TraesCS5B01G174600;TraesCS2D01G093700;TraesCS5D01G178300;TraesCS3B01G309700;TraesCSU01G111400;TraesCS6A01G245000;TraesCS2D01G322800;TraesCS3A01G380100;TraesCS2D01G383800;TraesCS1B01G274600;TraesCS6B01G238600;TraesCS3D01G369100;TraesCS1A01G275400;TraesCS4D01G132900;TraesCS4D01G094700;TraesCS7B01G219700;TraesCS2A01G287900;TraesCS7B01G162300;TraesCS7D01G543200;TraesCS1D01G016600;TraesCS1B01G271100;TraesCS6A01G158300;TraesCS7A01G499600;TraesCS7B01G451700;TraesCS6A01G125400;TraesCS7A01G466900;TraesCS1B01G366400;TraesCS2D01G286200;TraesCS2B01G315300;TraesCS5D01G044700;TraesCS6B01G296700;TraesCS7A01G510900;TraesCS5A01G357400;TraesCS5D01G405400;TraesCS2D01G175900;TraesCS1A01G025900;TraesCS2D01G597600;TraesCS3B01G266900;TraesCS3D01G336200;TraesCS7D01G291200;TraesCS4A01G157300;TraesCS7B01G217500;TraesCS1D01G431700;TraesCS3B01G103500;TraesCS7B01G066000;TraesCS3A01G288200;TraesCS3A01G366400;TraesCS6D01G189700;TraesCS4A01G005000;TraesCS4A01G078800;TraesCS4B01G178700;TraesCS5D01G077600;TraesCS6B01G099900;TraesCS2A01G487500;TraesCS5A01G199600;TraesCS6D01G060400;TraesCS1D01G264100;TraesCS2D01G213200;TraesCS3A01G178600;TraesCS5D01G013100;TraesCS3B01G423800;TraesCS5B01G222600;TraesCS3B01G207300;TraesCS6A01G018600;TraesCS6B01G213100;TraesCS3B01G222700;TraesCS7A01G390300;TraesCS4A01G375000;TraesCS7D01G288700;TraesCS1D01G275000;TraesCS1B01G193700;TraesCS4A01G134800;TraesCS5D01G374000;TraesCS5B01G539900;TraesCS4A01G178600;TraesCS3D01G217700;TraesCS4B01G140300;TraesCS1A01G110900;TraesCS3D01G507500;TraesCS4D01G252700;TraesCS1B01G348800;TraesCS5A01G050100;TraesCS5B01G154600;TraesCS3A01G220000;TraesCS6B01G199500;TraesCS6D01G007800;TraesCS7A01G076600;TraesCS5A01G096100;TraesCS5A01G004200;TraesCS4A01G177500;TraesCS7D01G040400;TraesCS5D01G141200;TraesCS6A01G192800;TraesCS6A01G209800;TraesCS5A01G054700;TraesCS1A01G036200;TraesCS2B01G462500;TraesCS6D01G216300;TraesCS5D01G261300;TraesCS3D01G298000;TraesCS2D01G362200;TraesCS5B01G537700;TraesCS3B01G254500;TraesCS7B01G005700;TraesCS3D01G376500;TraesCS1A01G177600;TraesCS6D01G166400;TraesCS6B01G256400;TraesCS1B01G378000;TraesCS1D01G211600;TraesCS4D01G240700;TraesCS7A01G313900;TraesCS2B01G174600;TraesCS7D01G332300;TraesCS6B01G294700;TraesCS7B01G052900;TraesCS4A01G217700;TraesCS1B01G301500;TraesCS5B01G132600;TraesCS3B01G093800;TraesCS2D01G523100;TraesCS2A01G092400;TraesCS3A01G112800;TraesCS2A01G480500;TraesCS4A01G262900;TraesCS7D01G377200;TraesCS6A01G336800;TraesCS3D01G068100;TraesCS3D01G288000;TraesCS5D01G402300;TraesCS6B01G176600;TraesCS6A01G322400;TraesCS1A01G116000;TraesCS4D01G107000;TraesCS5A01G132300;TraesCS7D01G386100;TraesCS7D01G032800;TraesCS6A01G146500;TraesCS5D01G424400;TraesCS2D01G070400;TraesCS2D01G154600;TraesCS2B01G185800;TraesCS5D01G005300;TraesCS1A01G172100;TraesCS4D01G310700;TraesCS5A01G416700;TraesCS4A01G247300;TraesCS6A01G231900;TraesCS7D01G190300;TraesCS3B01G607600;TraesCS5D01G087800;TraesCS7A01G205200;TraesCS7B01G236400;TraesCS2B01G604300;TraesCS1A01G281700;TraesCS4D01G189600;TraesCS7B01G446500;TraesCS5D01G480300;TraesCS2D01G594500;TraesCS6D01G028300;TraesCS6D01G121300;TraesCS1B01G259800;TraesCS4B01G252400;TraesCS5D01G525000;TraesCS2A01G517500;TraesCS2D01G479900;TraesCS2B01G307300;TraesCS6A01G184000;TraesCS1A01G260500;TraesCS4A01G257800;TraesCS5D01G428900;TraesCS1B01G049300;TraesCS3D01G411200;TraesCS5D01G219500;TraesCS5D01G162400;TraesCS6D01G077500;TraesCS7D01G150200;TraesCS2B01G229600;TraesCS4A01G119800;TraesCS1A01G099500;TraesCS1A01G292100;TraesCS4B01G226100;TraesCS4B01G186700;TraesCS4B01G117900;TraesCS5A01G467500;TraesCS3B01G408800;TraesCS2B01G597700;TraesCS4B01G126400;TraesCS3D01G169000;TraesCS5A01G006100;TraesCS1A01G350200;TraesCS3D01G019000;TraesCS2D01G565200;TraesCS5B01G415100;TraesCS3A01G122500;TraesCS2D01G248600;TraesCS6B01G174500;TraesCS2A01G299200;TraesCS7D01G265200;TraesCS7A01G448800;TraesCS2D01G291200;TraesCS2A01G071600;TraesCS3D01G275200;TraesCS2B01G263300;TraesCS3D01G345500;TraesCS2D01G593900;TraesCS7A01G417000;TraesCS4A01G013500;TraesCS2D01G363800;TraesCS4B01G069300;TraesCS2A01G330000;TraesCS1D01G020000;TraesCS5A01G491400;TraesCS2B01G203200;TraesCS2A01G187700;TraesCS3D01G188800;TraesCS4A01G150000;TraesCS7A01G491200;TraesCS4A01G494400;TraesCS2B01G342100;TraesCS1B01G326400;TraesCS2D01G362700;TraesCS2D01G118000;TraesCS4D01G096200;TraesCS5D01G332000;TraesCS3D01G237100;TraesCS6A01G103200;TraesCS7D01G083200;TraesCS3A01G238400;TraesCS5D01G312400;TraesCS7D01G224900;TraesCS1B01G212500;TraesCS1B01G478800;TraesCS2B01G186600;TraesCS5A01G411500;TraesCS7A01G235200;TraesCS7D01G072300;TraesCS6B01G393500;TraesCS5A01G191100;TraesCS5A01G101900;TraesCS2A01G185500;TraesCS5A01G088400;TraesCS2A01G095300;TraesCS3A01G264700;TraesCS2D01G303500;TraesCS4A01G110800;TraesCS1D01G094400;TraesCS6B01G026900;TraesCS6B01G174700;TraesCS5A01G395200;TraesCS1A01G313300;TraesCS5B01G038400;TraesCS7D01G123000;TraesCS3A01G391800;TraesCS6D01G247400;TraesCS1D01G067500;TraesCS4A01G090100;TraesCS6D01G363400;TraesCS2A01G344600;TraesCS5B01G395000;TraesCS2D01G524500;TraesCS4A01G216200;TraesCS5B01G366700;TraesCS6B01G342300;TraesCS5B01G075800;TraesCS7A01G279000;TraesCS4A01G059500;TraesCS5B01G477800;TraesCS6D01G246300;TraesCS7A01G466600;TraesCS6D01G173700;TraesCS3B01G083400;TraesCS2B01G271300;TraesCS4A01G111000;TraesCS3D01G380100;TraesCS3D01G384700;TraesCS3A01G313300;TraesCS6B01G371500;TraesCS2A01G392900;TraesCS5A01G024600;TraesCS7B01G393300;TraesCS7A01G318800;TraesCS6B01G169300;TraesCS1A01G185900;TraesCS1A01G388400;TraesCS4A01G092500;TraesCS2B01G505400;TraesCS2B01G528300;TraesCS4A01G101200;TraesCS6D01G357100;TraesCS7B01G181200;TraesCS6A01G269400;TraesCS1A01G418700;TraesCS4B01G056700;TraesCS7D01G486400;TraesCS5B01G102600;TraesCS5B01G349800;TraesCS6D01G001700;TraesCS2A01G149600;TraesCS2B01G415500;TraesCS3D01G182400;TraesCS7B01G182300;TraesCS6A01G171300;TraesCS1A01G017000;TraesCS2D01G487700;TraesCS3D01G275600;TraesCS2A01G007000;TraesCS2D01G310000;TraesCS4A01G220100;TraesCS1A01G145000;TraesCS4A01G197700;TraesCS3B01G566600;TraesCS7D01G218000;TraesCS4B01G148600;TraesCS7D01G278100;TraesCS4B01G138800;TraesCS5D01G108700;TraesCS2B01G404600;TraesCS4B01G144000;TraesCS4D01G193500;TraesCS6B01G285500;TraesCS5A01G157000;TraesCS7A01G149200;TraesCS6A01G186800;TraesCS5A01G212500;TraesCS5D01G417400;TraesCS3A01G220700;TraesCS1A01G035900;TraesCS6B01G076300;TraesCS5D01G258900;TraesCS1B01G156600;TraesCS3A01G184800;TraesCS5A01G495100;TraesCS2A01G521400;TraesCS6D01G091600;TraesCS7A01G480700;TraesCS7D01G452200;TraesCS1A01G315900;TraesCS3B01G237200;TraesCS4B01G156400;TraesCS1A01G249100;TraesCS2A01G226000;TraesCS2B01G107200;TraesCS4D01G115600;TraesCS6D01G245600;TraesCS2B01G307500;TraesCS5D01G378000;TraesCS6A01G070700;TraesCS6D01G302200;TraesCS4D01G172400;TraesCS6D01G221400;TraesCS6D01G315500;TraesCS6A01G078200;TraesCS7D01G457900;TraesCS7B01G421800;TraesCS6A01G307700;TraesCS2B01G318400;TraesCS5D01G138500;TraesCS7B01G169100;TraesCS5D01G231200;TraesCS2A01G431900;TraesCS3A01G069900;TraesCS5B01G155100;TraesCS4A01G276300;TraesCS5A01G036600;TraesCS2A01G156100;TraesCS1D01G390500;TraesCS4B01G332300;TraesCS5D01G512300;TraesCS2B01G454000;TraesCS5B01G344300;TraesCS1B01G293500;TraesCS6B01G100000;TraesCS6D01G396700;TraesCS4D01G080700;TraesCS2D01G473500;TraesCS5D01G060900;TraesCS2D01G161900;TraesCS5D01G089300;TraesCS4D01G086000;TraesCS6B01G161800;TraesCS1A01G284300;TraesCS2A01G040000;TraesCS1D01G353100;TraesCS3B01G332500;TraesCS1B01G434400;TraesCS1B01G269400;TraesCS2B01G352300;TraesCS5A01G348400;TraesCS4B01G380800;TraesCS6A01G163500;TraesCS5A01G067300;TraesCS2B01G191800;TraesCS5D01G336000;TraesCS5D01G124800;TraesCS7A01G036200;TraesCS2A01G261600;TraesCS2A01G246200;TraesCS2A01G366900;TraesCS5A01G200800;TraesCS4B01G397600;TraesCS3D01G271500;TraesCS7A01G278300;TraesCS4A01G226500;TraesCS4A01G432400;TraesCS1B01G146200;TraesCSU01G112400;TraesCS3B01G398000;TraesCS6B01G295700;TraesCS7D01G467500;TraesCS2A01G262700;TraesCS3A01G228000;TraesCS4B01G169900;TraesCS6B01G411900;TraesCS5D01G181600;TraesCS4B01G050200;TraesCS5D01G444700;TraesCS6B01G132300;TraesCS4D01G135000;TraesCS6B01G388800;TraesCS5B01G171200;TraesCS1D01G444900;TraesCS6D01G142900;TraesCS3A01G205100;TraesCS3D01G474000;TraesCS1A01G243700;TraesCS7A01G464600;TraesCS1D01G107400;TraesCS3A01G178900;TraesCS5B01G159100;TraesCS3A01G229100;TraesCS5A01G128300;TraesCS7B01G365100;TraesCS4D01G292900;TraesCS4D01G068100;TraesCS3A01G344300;TraesCS4D01G184400;TraesCS6B01G262800;TraesCS1B01G469400;TraesCS5D01G399800;TraesCS7D01G454200;TraesCS6B01G270400;TraesCS3A01G303800;TraesCS4A01G361100;TraesCS5B01G229300;TraesCS1A01G423100;TraesCS1A01G125000;TraesCS6B01G428300;TraesCS5A01G115000;TraesCS3B01G376200;TraesCS5D01G396300;TraesCS2A01G168400;TraesCS2B01G556800;TraesCS5D01G420300;TraesCS3D01G210300;TraesCS1D01G396300;TraesCS6D01G161000;TraesCS1D01G260500;TraesCS5B01G171400;TraesCS3D01G281100;TraesCS3D01G434800;TraesCS5D01G149900;TraesCSU01G133300;TraesCS2D01G251000;TraesCS2A01G387400;TraesCS5A01G416400;TraesCS7B01G317000;TraesCS7A01G316700;TraesCS4A01G191500;TraesCS2B01G280600;TraesCS4D01G172000;TraesCS5D01G100800;TraesCS6B01G159800;TraesCS6A01G234000;TraesCS5B01G479200;TraesCS5B01G102000;TraesCS2D01G213100;TraesCS6D01G358500;TraesCS3D01G474200;TraesCS3A01G214000;TraesCS5D01G161800;TraesCS4D01G079200;TraesCS4D01G142600;TraesCS2B01G328500;TraesCS6D01G344100;TraesCS7D01G364400;TraesCS2B01G154700;TraesCS2A01G159900;TraesCS7D01G438100;TraesCS2A01G132200;TraesCS5A01G368400;TraesCS6A01G279100;TraesCS4B01G314600;TraesCS4A01G149800;TraesCS2D01G202200;TraesCS1D01G314600;TraesCS1D01G387600;TraesCS6B01G336300;TraesCS3A01G276100;TraesCS5D01G006100;TraesCS1A01G299500;TraesCS4D01G036500;TraesCS6B01G428100;TraesCS3B01G412600;TraesCS6D01G399000;TraesCS2D01G049500;TraesCS3B01G442200;TraesCS1D01G190900;TraesCS7D01G542200;TraesCS2B01G514800;TraesCS3A01G478100;TraesCS3A01G342300;TraesCSU01G158800;TraesCS4B01G050600;TraesCS2D01G310900;TraesCS6D01G227300;TraesCS4B01G138100;TraesCS5D01G366500;TraesCS6B01G174100;TraesCS6D01G273200;TraesCS7A01G264300;TraesCS1D01G316200;TraesCS7D01G228500;TraesCS2D01G015500;TraesCS4A01G116000;TraesCS3A01G484800;TraesCS6B01G141400;TraesCS3B01G299100;TraesCS3D01G241900;TraesCS3B01G419200;TraesCS1A01G264000;TraesCS4D01G152200;TraesCS5A01G365100;TraesCS2D01G322900;TraesCS5A01G424400;TraesCS1D01G058300;TraesCS1A01G258800;TraesCS3D01G282800;TraesCS2D01G198300;TraesCS3A01G282800;TraesCS2A01G444100;TraesCS7A01G004000;TraesCS1D01G219200;TraesCS5A01G142200;TraesCS7A01G509200;TraesCS2B01G264100;TraesCS2B01G304900;TraesCS5B01G127300;TraesCS1A01G198400;TraesCS3D01G203400;TraesCS3B01G206100;TraesCS7B01G241900;TraesCS2D01G304000;TraesCS6D01G062500;TraesCS5A01G367700;TraesCS7A01G005100;TraesCS3D01G109700;TraesCS2B01G451100;TraesCS1B01G290800;TraesCS3B01G316500;TraesCS4D01G085700;TraesCS1A01G361400;TraesCS2B01G405200;TraesCS2B01G462400;TraesCS3A01G060300;TraesCS3D01G516300;TraesCS2A01G278000;TraesCS4A01G111600;TraesCS5D01G135900;TraesCS5A01G156400;TraesCS6B01G004400;TraesCS4A01G367700;TraesCS1A01G137000;TraesCS3D01G458600;TraesCS7D01G020700;TraesCS5D01G113700;TraesCS3A01G503200;TraesCS4D01G057000;TraesCS5B01G037500;TraesCS6D01G028400;TraesCS2A01G202600;TraesCS7D01G011800;TraesCS3B01G305600;TraesCS4D01G319400;TraesCS3B01G299300;TraesCS5A01G445100;TraesCS2B01G174700;TraesCS2A01G234200;TraesCS3D01G373300;TraesCS7A01G390400;TraesCS2A01G150000;TraesCS5D01G437600;TraesCSU01G131300;TraesCS1D01G258800;TraesCS7D01G123400;TraesCS2A01G014300;TraesCS6D01G147700;TraesCS6B01G304100;TraesCS3A01G538300;TraesCS7B01G269300;TraesCS3D01G091000;TraesCS7A01G062100;TraesCS3B01G141700;TraesCS6B01G117100;TraesCS7A01G226000;TraesCS5A01G113700;TraesCS3B01G269900;TraesCS1A01G314100;TraesCS4D01G292300;TraesCS7D01G386000;TraesCS5D01G098800;TraesCS1A01G129400;TraesCS4A01G246100;TraesCS6A01G360600;TraesCS3B01G224600;TraesCS5A01G032500;TraesCS5B01G155400;TraesCS3D01G285100;TraesCS6A01G268600;TraesCS5D01G359800;TraesCS5B01G141000;TraesCS7A01G148600;TraesCS6B01G159200;TraesCS5D01G528400;TraesCS6B01G113200;TraesCS5B01G156500;TraesCS5B01G431500;TraesCS6A01G153600;TraesCS6B01G226000;TraesCS6D01G180500;TraesCS6D01G055600;TraesCS3B01G131400;TraesCS6B01G233800;TraesCS6D01G236400;TraesCS4D01G133500;TraesCS6D01G320800;TraesCS7A01G088100;TraesCS1B01G255100;TraesCS6A01G379000;TraesCS2B01G342200;TraesCS4B01G090000;TraesCS7B01G176100;TraesCS7A01G321900;TraesCS2D01G440100;TraesCS6B01G039900;TraesCS4B01G171300;TraesCS6B01G056200;TraesCS5A01G305400;TraesCS3B01G568500;TraesCS1A01G099400;TraesCS2A01G103300;TraesCS1D01G412600;TraesCS4D01G359000;TraesCS3D01G414600;TraesCS3B01G517100;TraesCS1D01G055200;TraesCS2A01G579900;TraesCS6B01G393600;TraesCS1A01G016200;TraesCS3B01G246600;TraesCS6B01G231400;TraesCS6D01G135800;TraesCS5A01G547300;TraesCS7B01G052200;TraesCSU01G058200;TraesCS5D01G206500;TraesCS5A01G466100;TraesCS1D01G280900;TraesCS3B01G555600;TraesCS3A01G275700;TraesCS3B01G214600;TraesCS2B01G221800;TraesCS5A01G114600;TraesCS4D01G180300;TraesCS3B01G309000;TraesCS4D01G212600;TraesCS7A01G335900;TraesCS5D01G505700;TraesCS7D01G278800;TraesCS5A01G173800;TraesCS2B01G259100;TraesCS2A01G344500;TraesCS2D01G520000;TraesCS7D01G035000;TraesCS3A01G085200;TraesCS1D01G443100;TraesCS4B01G160600;TraesCS3B01G374400;TraesCS6B01G365300;TraesCS4D01G315200;TraesCS5D01G040800;TraesCS4A01G387000;TraesCS4A01G452700;TraesCS4B01G170400;TraesCS7D01G200800;TraesCS7D01G410100;TraesCS2D01G301200;TraesCS6D01G259500;TraesCS4D01G089800;TraesCS6B01G307200;TraesCS1D01G352300;TraesCS4A01G051900;TraesCS3A01G200400;TraesCS5B01G199400;TraesCS1D01G151800;TraesCS3B01G564100;TraesCS4D01G004000;TraesCS5D01G399200;TraesCS5B01G509100;TraesCS6D01G210000;TraesCS3A01G376300;TraesCS4B01G211800;TraesCS2B01G229500;TraesCS5D01G205200;TraesCS3A01G498300;TraesCS4D01G214800;TraesCS5B01G504900;TraesCS3D01G217600;TraesCS5A01G387700;TraesCS3B01G363500;TraesCS2D01G568400;TraesCS4B01G276500;TraesCS2D01G488700;TraesCS5B01G397300;TraesCS2D01G545300;TraesCS1D01G298400;TraesCS4B01G117800;TraesCS4D01G298800;TraesCS7A01G239700;TraesCS1D01G125300;TraesCS3D01G182100;TraesCS3D01G446200;TraesCS3A01G241700;TraesCS2D01G296800;TraesCS3D01G264800;TraesCS3A01G212600;TraesCS7A01G223300;TraesCS1D01G426400;TraesCS5A01G092400;TraesCS5D01G081700;TraesCS4B01G286700;TraesCS7D01G454700;TraesCS3D01G513500;TraesCS4D01G147500;TraesCS3B01G426500;TraesCS6A01G130900;TraesCS2A01G302500;TraesCS2B01G385300;TraesCS2D01G543700;TraesCS5A01G429500;TraesCS3B01G161900;TraesCS5B01G450400;TraesCS2B01G295400;TraesCS6B01G181300;TraesCS2A01G290900;TraesCS6A01G312100;TraesCS6B01G301300;TraesCS1A01G086500;TraesCS3B01G237500;TraesCS4A01G264400;TraesCS2D01G385000;TraesCS3D01G124400;TraesCS7B01G393400;TraesCS1D01G178000;TraesCS6B01G035700;TraesCS3D01G294200;TraesCS2A01G430500;TraesCS4A01G197600;TraesCS2B01G018500;TraesCS7D01G004500;TraesCS3A01G068500;TraesCS6A01G200200;TraesCS3D01G196700;TraesCS1D01G144000;TraesCS7A01G235300;TraesCS5B01G529300;TraesCS2B01G411000;TraesCS5D01G432900;TraesCS2A01G149500;TraesCS2B01G157600;TraesCS7D01G476500;TraesCS3A01G023800;TraesCS7D01G315400;TraesCS5B01G155200;TraesCS3A01G161800;TraesCS4D01G194300;TraesCS2D01G288800;TraesCS3B01G291000;TraesCS5D01G078500;TraesCS3A01G275300;TraesCS5A01G548800;TraesCS2D01G167300;TraesCS6D01G130500;TraesCS2A01G387000;TraesCS5B01G344200;TraesCS2B01G198300;TraesCS5B01G418700;TraesCS6D01G174700;TraesCS4D01G092800;TraesCS3B01G309400;TraesCS3B01G491300;TraesCS2B01G217700;TraesCS2D01G262400;TraesCS3D01G068900;TraesCS3D01G326900;TraesCS2D01G229600;TraesCS5B01G511800;TraesCS2D01G249200;TraesCS6A01G267300;TraesCS3B01G322800;TraesCSU01G009200;TraesCS2B01G321700;TraesCS5D01G478900;TraesCS1B01G213300;TraesCS2D01G500600;TraesCS1A01G111100;TraesCS7D01G281800;TraesCS4A01G164900;TraesCS5A01G223700;TraesCS5B01G136500;TraesCS3A01G107900;TraesCS7B01G348600;TraesCS4D01G115500;TraesCS5B01G509500;TraesCS5D01G162500;TraesCS2B01G051500;TraesCS7B01G124100;TraesCS6D01G245500;TraesCS1A01G101300;TraesCS6D01G193000;TraesCS1B01G155600;TraesCS5B01G074200;TraesCS5D01G070800;TraesCS1A01G020500;TraesCS7B01G089500;TraesCS7D01G130500;TraesCS2B01G293400;TraesCS7D01G000100;TraesCS6B01G464800</t>
  </si>
  <si>
    <t>TraesCS5B01G270200;TraesCS3A01G023800;TraesCS3A01G367000;TraesCS4B01G015600;TraesCS7A01G342800;TraesCS5A01G396700;TraesCS5B01G171400;TraesCS7D01G283600;TraesCS2A01G437700;TraesCS1A01G206900;TraesCS4B01G129700;TraesCS5A01G548800;TraesCS7A01G222800;TraesCS1D01G210200;TraesCS3D01G296900;TraesCS3A01G097200;TraesCS7A01G316700;TraesCS1B01G220700;TraesCS7D01G343300;TraesCS4B01G028100;TraesCS1D01G433300;TraesCS5A01G173700;TraesCS7A01G335600;TraesCS7B01G217500;TraesCS7B01G240200;TraesCS7B01G129300;TraesCS4D01G025700;TraesCS4D01G359000;TraesCS4A01G298100;TraesCS4A01G052600;TraesCS4D01G013900;TraesCS4D01G122800;TraesCS7D01G224400;TraesCS1A01G133500;TraesCS2B01G457600;TraesCS3A01G381000;TraesCS5B01G171100;TraesCS6A01G267300;TraesCS3A01G304900;TraesCS4D01G003600;TraesCS5A01G472100;TraesCS1B01G462200;TraesCS4A01G286700</t>
  </si>
  <si>
    <t>plant epidermis morphogenesis</t>
  </si>
  <si>
    <t>TraesCS1B01G255100;TraesCS4B01G015600;TraesCS3D01G304800;TraesCS5A01G149000;TraesCS5D01G143800;TraesCS1B01G213300;TraesCS7D01G283600;TraesCS5B01G147600;TraesCS2A01G387000;TraesCS6D01G195400;TraesCS2A01G058700;TraesCS2D01G014800;TraesCS6A01G212200;TraesCS1B01G254000;TraesCS3B01G149800;TraesCS5B01G036800;TraesCS4D01G147100;TraesCS2B01G070700;TraesCS1D01G412600;TraesCS4A01G298100;TraesCS1B01G434400;TraesCS4D01G013900;TraesCS6A01G319100;TraesCS1A01G133500;TraesCS5B01G534400;TraesCS7A01G560200;TraesCS1A01G198400;TraesCS2B01G004000;TraesCS2D01G057900;TraesCS6B01G242800;TraesCS1D01G211600;TraesCS7D01G549100;TraesCS6D01G047400;TraesCS1B01G462200</t>
  </si>
  <si>
    <t>transcription from plastid promoter</t>
  </si>
  <si>
    <t>TraesCS1D01G264100;TraesCS2B01G260800;TraesCS6A01G360600;TraesCS7B01G352800;TraesCS1B01G049300;TraesCS2D01G362700;TraesCS7A01G002900;TraesCS1B01G274600;TraesCS5D01G248300;TraesCS3A01G097200;TraesCS6A01G380200;TraesCS4D01G318200;TraesCS1D01G325500;TraesCS5D01G171100;TraesCS2D01G241800;TraesCS5B01G057300;TraesCS1A01G324800;TraesCS2A01G235900;TraesCS7D01G442100;TraesCS4B01G321500;TraesCS5A01G166800;TraesCS6B01G393500;TraesCS5B01G037500;TraesCS2A01G149600;TraesCS2A01G563500;TraesCS6D01G364900;TraesCS2A01G095300;TraesCS2B01G401900;TraesCS5D01G044700;TraesCS1A01G264000;TraesCS2B01G174700;TraesCS5B01G335500;TraesCS5A01G241800;TraesCS5A01G036600;TraesCS5A01G336500;TraesCS3A01G200400;TraesCS6B01G151900;TraesCS6D01G344100;TraesCS5A01G490500;TraesCS1B01G337800;TraesCS3B01G252200;TraesCS5D01G341200;TraesCS1D01G298400;TraesCS7A01G452800;TraesCS6B01G419000;TraesCS4B01G109700;TraesCS3D01G203400;TraesCS2D01G093700;TraesCS2B01G247100;TraesCS1A01G299500</t>
  </si>
  <si>
    <t>DNA methylation or demethylation</t>
  </si>
  <si>
    <t>DNA modification</t>
  </si>
  <si>
    <t>TraesCS2B01G174600;TraesCS1D01G264100;TraesCS2A01G095300;TraesCS2D01G213200;TraesCS3A01G264600;TraesCS1A01G264000;TraesCS6A01G360600;TraesCS6A01G379000;TraesCS3D01G264700;TraesCS7D01G399400;TraesCS3B01G297900;TraesCS3D01G281100;TraesCS2D01G154600;TraesCS1B01G049300;TraesCS1D01G222700;TraesCS6A01G282800;TraesCS3A01G200400;TraesCS7A01G260100;TraesCS5D01G078500;TraesCS7D01G261100;TraesCS1A01G256800;TraesCS1B01G274600;TraesCS6D01G344100;TraesCS2D01G427900;TraesCS4B01G230500;TraesCS3B01G252200;TraesCS5D01G240800;TraesCS1A01G221100;TraesCS5B01G074200;TraesCS1D01G298400;TraesCS5A01G091200;TraesCS1B01G267200;TraesCS6D01G263300;TraesCS3D01G203400;TraesCS4A01G074200;TraesCS2D01G093700;TraesCS6B01G393500;TraesCS2B01G247100;TraesCS2A01G149500;TraesCS1A01G299500;TraesCS5B01G232400;TraesCS6B01G311200;TraesCS5A01G233900;TraesCS3D01G182400</t>
  </si>
  <si>
    <t>cytokinesis</t>
  </si>
  <si>
    <t>TraesCS7D01G298100;TraesCS7B01G352800;TraesCS1D01G409700;TraesCS5D01G472300;TraesCS1B01G049300;TraesCS2B01G592500;TraesCS2D01G362700;TraesCS5A01G114000;TraesCS3A01G097200;TraesCS2D01G253100;TraesCS4A01G138800;TraesCS4D01G318200;TraesCS1D01G325500;TraesCS5D01G171100;TraesCS5A01G192000;TraesCS5B01G162300;TraesCS3D01G173500;TraesCS1A01G324800;TraesCS6B01G253900;TraesCS7D01G442100;TraesCS4B01G069200;TraesCS2D01G059400;TraesCS4B01G321500;TraesCS3A01G224000;TraesCS3A01G167400;TraesCS5A01G166800;TraesCS2B01G098800;TraesCS5B01G037500;TraesCS5B01G387600;TraesCS2A01G149600;TraesCS2A01G200500;TraesCS3B01G198800;TraesCS2A01G563500;TraesCS2A01G095300;TraesCS2B01G401900;TraesCS3B01G253500;TraesCS5D01G044700;TraesCS2B01G174700;TraesCS3B01G251200;TraesCS5B01G115000;TraesCS1A01G180200;TraesCS5B01G335500;TraesCS6A01G379000;TraesCS1D01G331000;TraesCS5A01G036600;TraesCS2D01G246100;TraesCS5A01G336500;TraesCS6A01G312100;TraesCS2B01G122500;TraesCS3A01G200400;TraesCS6B01G151900;TraesCS5A01G490500;TraesCS2B01G227800;TraesCS1B01G337800;TraesCS2A01G239200;TraesCS2B01G257300;TraesCS3B01G252200;TraesCS3B01G088300;TraesCS5D01G341200;TraesCS4B01G276500;TraesCS2D01G208300;TraesCS7D01G505300;TraesCS4D01G116000;TraesCS1D01G298400;TraesCS6B01G190300;TraesCS7A01G452800;TraesCS5A01G460600;TraesCS4B01G109700;TraesCS3D01G203400;TraesCS6B01G342300;TraesCS5A01G115400;TraesCS7A01G514900;TraesCS2A01G252400;TraesCS2D01G093700;TraesCS3A01G295400;TraesCS6A01G161200;TraesCS2B01G247100;TraesCS1A01G299500;TraesCS1B01G200300;TraesCS4A01G355100;TraesCS5B01G517400;TraesCS2D01G105300;TraesCS2A01G403100</t>
  </si>
  <si>
    <t>TraesCS5A01G315800;TraesCS1D01G409700;TraesCS3A01G367000;TraesCS5A01G396700;TraesCS7B01G197000;TraesCS2B01G050600;TraesCS4D01G194400;TraesCS2A01G309600;TraesCS2B01G145700;TraesCS4A01G290400;TraesCS2A01G123800;TraesCS6A01G290600;TraesCS2D01G310000;TraesCS3D01G271200;TraesCS2B01G328500;TraesCS4D01G184400;TraesCS4B01G129700;TraesCS5B01G409700;TraesCS7A01G222800;TraesCS2A01G387000;TraesCS2B01G330100;TraesCS6D01G287300;TraesCS6A01G308100;TraesCS5A01G119300;TraesCS7B01G129300;TraesCS4D01G021400;TraesCS3D01G288000;TraesCS3A01G232700;TraesCS3A01G288200;TraesCS4A01G052600;TraesCS3A01G271600;TraesCS4D01G122800;TraesCS7D01G224400;TraesCS3B01G161900;TraesCS3A01G381000;TraesCS2A01G313000;TraesCS3D01G220400;TraesCS4A01G093100;TraesCS6B01G315800;TraesCS5D01G321900;TraesCS5B01G146700;TraesCS2D01G126600</t>
  </si>
  <si>
    <t>maltose metabolic process</t>
  </si>
  <si>
    <t>TraesCS5B01G270200;TraesCS3A01G023800;TraesCS3A01G367000;TraesCS4B01G015600;TraesCS7A01G342800;TraesCS5A01G396700;TraesCS7D01G283600;TraesCS2A01G437700;TraesCS1A01G206900;TraesCS4B01G129700;TraesCS5A01G548800;TraesCS7A01G222800;TraesCS1D01G210200;TraesCS3D01G296900;TraesCS7A01G316700;TraesCS1B01G220700;TraesCS7D01G343300;TraesCS4B01G028100;TraesCS5A01G173700;TraesCS7A01G335600;TraesCS7B01G217500;TraesCS7B01G240200;TraesCS7B01G129300;TraesCS4D01G025700;TraesCS4D01G359000;TraesCS4A01G298100;TraesCS4A01G052600;TraesCS4D01G013900;TraesCS4D01G122800;TraesCS7D01G224400;TraesCS1A01G133500;TraesCS2B01G457600;TraesCS3A01G381000;TraesCS5B01G171100;TraesCS6A01G267300;TraesCS3A01G304900;TraesCS4D01G003600;TraesCS1B01G462200;TraesCS4A01G286700</t>
  </si>
  <si>
    <t>stomatal complex development</t>
  </si>
  <si>
    <t>TraesCS2A01G261000;TraesCS7A01G466600;TraesCS1D01G264100;TraesCS6D01G337700;TraesCS6A01G360600;TraesCS7B01G352800;TraesCS1D01G092200;TraesCS1D01G226500;TraesCS2D01G397800;TraesCS3B01G423600;TraesCS1B01G049300;TraesCS5B01G339200;TraesCS2D01G362700;TraesCS1B01G274600;TraesCSU01G072700;TraesCS3D01G273800;TraesCS4B01G288200;TraesCS4D01G318200;TraesCS5D01G171100;TraesCS5B01G378700;TraesCS7D01G442100;TraesCS4B01G091100;TraesCS7A01G115400;TraesCS2D01G059400;TraesCS4B01G321500;TraesCS5D01G429200;TraesCS5A01G166800;TraesCS6B01G393500;TraesCS2A01G149600;TraesCS2D01G399800;TraesCS4B01G191300;TraesCS2A01G095300;TraesCS2B01G401900;TraesCS1A01G264000;TraesCS2B01G174700;TraesCS3A01G075700;TraesCS5B01G335500;TraesCS4D01G175600;TraesCS6A01G379000;TraesCS1D01G331000;TraesCS1B01G213300;TraesCS5A01G336500;TraesCS4A01G164900;TraesCS2B01G122500;TraesCS1A01G254400;TraesCS3A01G200400;TraesCS1B01G293500;TraesCS1A01G086500;TraesCS7B01G124100;TraesCS6D01G344100;TraesCS5A01G490500;TraesCS7A01G220600;TraesCS2A01G467900;TraesCS5D01G504600;TraesCS7D01G454200;TraesCS3A01G091100;TraesCS3A01G393400;TraesCS2A01G455300;TraesCS5D01G341200;TraesCS5A01G020800;TraesCS3D01G091000;TraesCS1A01G284300;TraesCS2B01G477400;TraesCS2D01G262900;TraesCS1D01G298400;TraesCS4A01G120000;TraesCS7A01G452800;TraesCS1A01G100600;TraesCS4B01G109700;TraesCS5B01G094300;TraesCS1A01G198400;TraesCS3D01G203400;TraesCS2D01G093700;TraesCS1A01G299500;TraesCS1B01G110400;TraesCS5A01G472100;TraesCS6A01G343500;TraesCS1D01G211600;TraesCS2D01G105300</t>
  </si>
  <si>
    <t>regulation of developmental process</t>
  </si>
  <si>
    <t>TraesCS2B01G174600;TraesCS1D01G264100;TraesCS2D01G213200;TraesCS4A01G236700;TraesCS6A01G314900;TraesCS3A01G264600;TraesCS6A01G360600;TraesCS1A01G071100;TraesCS2A01G129900;TraesCS7D01G399400;TraesCS1D01G226500;TraesCS3B01G297900;TraesCS2B01G250000;TraesCS3D01G281100;TraesCS1B01G049300;TraesCS1D01G222700;TraesCS5B01G339200;TraesCS5D01G078500;TraesCS7D01G261100;TraesCS1A01G256800;TraesCS2A01G226000;TraesCS1B01G274600;TraesCS2B01G152100;TraesCS2D01G427900;TraesCS3A01G097200;TraesCS4B01G230500;TraesCS6A01G311200;TraesCS5A01G091200;TraesCS1B01G267200;TraesCS5D01G429200;TraesCS6B01G393500;TraesCS4D01G076900;TraesCS5B01G232400;TraesCS6B01G311200;TraesCS3D01G182400;TraesCS2A01G095300;TraesCS1A01G264000;TraesCS6A01G379000;TraesCS3B01G400900;TraesCS3D01G264700;TraesCS2D01G154600;TraesCS6A01G282800;TraesCS3A01G200400;TraesCS7A01G260100;TraesCS6D01G344100;TraesCS2D01G232300;TraesCS5D01G121100;TraesCS2D01G132100;TraesCS3B01G252200;TraesCS5A01G020800;TraesCS2A01G233300;TraesCS5D01G240800;TraesCS1A01G221100;TraesCS5B01G074200;TraesCS1D01G298400;TraesCS4A01G120000;TraesCS6D01G263300;TraesCS3D01G203400;TraesCS4A01G074200;TraesCS2D01G093700;TraesCS2B01G247100;TraesCS2A01G149500;TraesCS1A01G299500;TraesCS6A01G343500;TraesCS1D01G211600;TraesCS5A01G233900</t>
  </si>
  <si>
    <t>cell division</t>
  </si>
  <si>
    <t>TraesCS5A01G229300;TraesCS7D01G227300;TraesCS1D01G411300;TraesCS7B01G142700;TraesCS2A01G114400;TraesCS2D01G320900;TraesCS6B01G454500;TraesCS5D01G474200;TraesCS4A01G310600;TraesCS6B01G191500;TraesCS2B01G240000;TraesCS7A01G238400;TraesCS2A01G247300;TraesCS4A01G226900;TraesCS2D01G238700;TraesCS1A01G403800;TraesCS2B01G133500;TraesCS7A01G276400;TraesCS5B01G227900;TraesCS2D01G220800;TraesCS7D01G276300;TraesCS2A01G342600;TraesCS2B01G272300;TraesCS2D01G115200;TraesCS5B01G322900;TraesCS5B01G496000;TraesCS3A01G381000;TraesCS2A01G254600;TraesCS6A01G408400;TraesCS2A01G206200;TraesCS2A01G187200;TraesCS2B01G220100;TraesCS7D01G549100;TraesCS2A01G296400;TraesCS5A01G457500;TraesCS6D01G299200;TraesCS2B01G340300;TraesCS7D01G311300;TraesCS3A01G321900;TraesCS2A01G215000;TraesCS3A01G052700;TraesCS6D01G152700;TraesCS7A01G504900;TraesCS2D01G112000;TraesCS2D01G248400;TraesCS1A01G392000;TraesCS5A01G482800;TraesCS2B01G233400;TraesCS2B01G267500;TraesCS3B01G344200;TraesCS7A01G314100;TraesCS4B01G089500;TraesCS5A01G414400;TraesCS5D01G357600;TraesCS2D01G255100;TraesCS3B01G061700;TraesCS5B01G256400;TraesCS2D01G253200;TraesCS5A01G454300;TraesCS5D01G265500;TraesCS7B01G215000;TraesCS4A01G101500;TraesCS3D01G051800;TraesCS4D01G204000;TraesCS5D01G496400;TraesCS2B01G312600;TraesCS6A01G319700;TraesCS5D01G329200;TraesCS4B01G203100;TraesCS2B01G270300;TraesCS4D01G086400;TraesCS5D01G238300;TraesCS2A01G252600;TraesCS7A01G560200;TraesCS3D01G309400;TraesCS2B01G130300;TraesCS2D01G200700;TraesCS4D01G003600;TraesCS1B01G317500</t>
  </si>
  <si>
    <t>TraesCS5A01G088400;TraesCS1D01G264100;TraesCS1A01G264000;TraesCS6A01G360600;TraesCS5D01G100800;TraesCS3B01G224600;TraesCS1D01G298400;TraesCS3A01G200400;TraesCS5B01G094600;TraesCS1D01G125300;TraesCS3D01G203400;TraesCS1B01G274600;TraesCS6B01G393500;TraesCS6D01G344100;TraesCS1A01G129400;TraesCS1A01G299500;TraesCS3A01G097200;TraesCS1B01G146200</t>
  </si>
  <si>
    <t>TraesCS5A01G229300;TraesCS6D01G299200;TraesCS2B01G340300;TraesCS7D01G227300;TraesCS1D01G411300;TraesCS6D01G152700;TraesCS2D01G320900;TraesCS5B01G155200;TraesCS6B01G454500;TraesCS2B01G233400;TraesCS6B01G191500;TraesCS5D01G162400;TraesCS7A01G238400;TraesCS4A01G226900;TraesCS4B01G089500;TraesCS5D01G357600;TraesCS1A01G403800;TraesCS5A01G454300;TraesCS7A01G276400;TraesCS4A01G262900;TraesCS5B01G227900;TraesCS7D01G276300;TraesCS6A01G319700;TraesCS2A01G342600;TraesCS5D01G329200;TraesCS4D01G086400;TraesCS5D01G238300;TraesCS5B01G322900;TraesCS5A01G157000;TraesCS6A01G408400;TraesCS2A01G206200;TraesCS2D01G200700;TraesCS2A01G187200;TraesCS2B01G220100;TraesCS1B01G317500</t>
  </si>
  <si>
    <t>protein-chromophore linkage</t>
  </si>
  <si>
    <t>DNA methylation</t>
  </si>
  <si>
    <t>DNA alkylation</t>
  </si>
  <si>
    <t>TraesCS2D01G586200;TraesCS3D01G426300;TraesCS3A01G212600;TraesCS2B01G313700;TraesCS1D01G226500;TraesCS5B01G339200;TraesCS3D01G436100;TraesCS3A01G250200;TraesCS6D01G344200;TraesCS2A01G220100;TraesCS3D01G273800;TraesCS4A01G134800;TraesCS1A01G388400;TraesCS5B01G227900;TraesCS6A01G143300;TraesCS4D01G153900;TraesCS6D01G122800;TraesCS7A01G278800;TraesCS1A01G099500;TraesCS7D01G278600;TraesCS1A01G355200;TraesCS3B01G185300;TraesCS1D01G316200;TraesCS2B01G385300;TraesCS4D01G135000;TraesCS6B01G342400;TraesCS2A01G280500;TraesCS5B01G324800;TraesCS5D01G429200;TraesCS6A01G133100;TraesCS1A01G416000;TraesCS1A01G427400;TraesCS7A01G294200;TraesCS1B01G462300;TraesCS3A01G151100;TraesCS3A01G210000;TraesCS1D01G107400;TraesCS7B01G186500;TraesCS3A01G052700;TraesCS3D01G231300;TraesCS2D01G225800;TraesCS5B01G111800;TraesCS4D01G068100;TraesCS6B01G301300;TraesCS4B01G204500;TraesCS2A01G193800;TraesCS7D01G150300;TraesCS3A01G443700;TraesCS5D01G504600;TraesCS2B01G263300;TraesCS6D01G287300;TraesCS5D01G118500;TraesCS1D01G303800;TraesCS4D01G025300;TraesCS4A01G120000;TraesCS2B01G297800;TraesCS2B01G245600;TraesCS2A01G252600;TraesCS3D01G228800;TraesCS4B01G069300;TraesCS6A01G303800;TraesCS7D01G051800;TraesCS4A01G334700;TraesCS6B01G393600;TraesCS5D01G459800;TraesCS6B01G197100;TraesCS4D01G160200;TraesCS6D01G215100;TraesCS1A01G102300;TraesCS3B01G309700;TraesCS5A01G472100;TraesCS1D01G211600;TraesCS3A01G023800;TraesCS6A01G312200;TraesCS7B01G006600;TraesCS5B01G228900;TraesCS3A01G367000;TraesCS1D01G396300;TraesCS5D01G237400;TraesCS6A01G220100;TraesCS2A01G521400;TraesCS4D01G194300;TraesCS2B01G348600;TraesCS5B01G171400;TraesCS7D01G283600;TraesCS2B01G592500;TraesCS2D01G362700;TraesCS3D01G250600;TraesCS4B01G154100;TraesCS3A01G418400;TraesCS1D01G124400;TraesCS2D01G295500;TraesCS2D01G194000;TraesCS1D01G086600;TraesCS6A01G308100;TraesCS1D01G433300;TraesCS7D01G121800;TraesCS6B01G218700;TraesCS1D01G030500;TraesCS3A01G530000;TraesCS2B01G272300;TraesCS2D01G520000;TraesCS7D01G339600;TraesCS6D01G291600;TraesCS1D01G423500;TraesCS3D01G083400;TraesCS2D01G279300;TraesCS6A01G267300;TraesCS7D01G051700;TraesCS3A01G224800;TraesCS2A01G296400;TraesCS1B01G366400;TraesCS4B01G170400;TraesCS4D01G175600;TraesCS3B01G251600;TraesCS3D01G516800;TraesCS4A01G110800;TraesCS4B01G244400;TraesCS2A01G150000;TraesCS5A01G110300;TraesCS1A01G195500;TraesCS5A01G324200;TraesCS2D01G467900;TraesCS6D01G132500;TraesCS1D01G199100;TraesCS6D01G283300;TraesCS3A01G143000;TraesCS1D01G067500;TraesCS2A01G467900;TraesCS2D01G238600;TraesCS5B01G256400;TraesCS2A01G297500;TraesCS2B01G154700;TraesCS4A01G247300;TraesCS3B01G279700;TraesCS6D01G147700;TraesCS5B01G036800;TraesCS2A01G132200;TraesCS5A01G230400;TraesCS2B01G312600;TraesCS6B01G171600;TraesCS1A01G133500;TraesCS2A01G575500;TraesCS6B01G261500;TraesCS3A01G082700;TraesCS4A01G005000;TraesCS3A01G276100;TraesCS6A01G163500;TraesCS4A01G093100;TraesCS4A01G246100;TraesCS4D01G131700</t>
  </si>
  <si>
    <t>TraesCS4B01G252400;TraesCS4A01G125000;TraesCS2D01G324900;TraesCS7D01G292000;TraesCS7A01G351100;TraesCS2A01G246200;TraesCS5A01G468600;TraesCS1D01G101200;TraesCS1D01G226100;TraesCS5A01G513500;TraesCS1D01G210200;TraesCS4D01G170800;TraesCS5B01G531900;TraesCS4A01G119800;TraesCS4B01G213600;TraesCS2D01G014800;TraesCS6B01G159200;TraesCS1A01G112800;TraesCS7D01G467500;TraesCS4D01G147100;TraesCS2A01G262700;TraesCS4A01G065400;TraesCS2D01G136200;TraesCS7B01G382800;TraesCS6D01G204800;TraesCS5A01G467500;TraesCS5D01G517600;TraesCS2B01G457300;TraesCS5B01G324800;TraesCS6A01G133100;TraesCS3B01G219700;TraesCS7A01G323200;TraesCS2A01G097900;TraesCS7D01G549100;TraesCS7B01G350400;TraesCS1B01G255100;TraesCS3D01G428300;TraesCS6D01G224200;TraesCS6B01G112700;TraesCS6B01G219700;TraesCS5A01G149000;TraesCS7B01G411000;TraesCS5A01G336500;TraesCS2D01G248600;TraesCS2A01G193800;TraesCS6D01G113900;TraesCS4A01G080100;TraesCS6B01G257900;TraesCS6D01G237400;TraesCS4B01G347000;TraesCS5D01G026000;TraesCS7D01G265200;TraesCS6D01G390000;TraesCS6A01G105400;TraesCS2B01G263300;TraesCS6D01G287300;TraesCS4D01G151500;TraesCS1B01G254000;TraesCS3A01G513500;TraesCS6A01G225200;TraesCS2B01G257300;TraesCS2B01G070700;TraesCSU01G093800;TraesCS1D01G412600;TraesCS4A01G013500;TraesCS4A01G298100;TraesCS5A01G093200;TraesCS6D01G162200;TraesCS7D01G339300;TraesCS4A01G120000;TraesCS6D01G298300;TraesCS1D01G229400;TraesCS6A01G303800;TraesCS2B01G207000;TraesCS6A01G230100;TraesCS6D01G047400;TraesCS1B01G462200;TraesCS2A01G187700;TraesCS4A01G091100;TraesCS4A01G194100;TraesCS4A01G494400;TraesCS5A01G466100;TraesCS6A01G113000;TraesCS4A01G167000;TraesCS4D01G341900;TraesCS7D01G439900;TraesCS6D01G095800;TraesCS5D01G143800;TraesCS7D01G283600;TraesCS1D01G280900;TraesCS3B01G423600;TraesCS6B01G282200;TraesCS2A01G437700;TraesCS2D01G362700;TraesCS3A01G275700;TraesCS3A01G332300;TraesCS1A01G206900;TraesCS4B01G263100;TraesCS2D01G383800;TraesCS1B01G274600;TraesCS2B01G303300;TraesCS6B01G238600;TraesCS5D01G332000;TraesCS3D01G237100;TraesCS5D01G118200;TraesCS2D01G328100;TraesCS4D01G339700;TraesCS6A01G212200;TraesCS1A01G246800;TraesCS1D01G242500;TraesCS3B01G149800;TraesCS4A01G042500;TraesCS5B01G502700;TraesCS7B01G162300;TraesCS5B01G084600;TraesCS3D01G194300;TraesCS7D01G148200;TraesCS2D01G520000;TraesCS1B01G478800;TraesCS5B01G099300;TraesCS3A01G272200;TraesCS4A01G185400;TraesCS3A01G224800;TraesCS7A01G252000;TraesCS3A01G264700;TraesCS5B01G503800;TraesCS4A01G110800;TraesCS5A01G357400;TraesCS3D01G268700;TraesCS3D01G327600;TraesCS4A01G051900;TraesCS4A01G290400;TraesCS3A01G200400;TraesCS1A01G195500;TraesCS5B01G509100;TraesCS6D01G132500;TraesCS6D01G210000;TraesCS5B01G214400;TraesCS2D01G238600;TraesCS7B01G242800;TraesCS6A01G107900;TraesCS4D01G039100;TraesCS5B01G036800;TraesCS1D01G242400;TraesCS4A01G342800;TraesCS4B01G041900;TraesCS3A01G288200;TraesCS4B01G314600;TraesCS7D01G373100;TraesCS2D01G524500;TraesCS1A01G431600;TraesCS1A01G133500;TraesCS4D01G160000;TraesCS5B01G534400;TraesCS6B01G336300;TraesCS3A01G082700;TraesCS4A01G005000;TraesCS4A01G078800;TraesCS5B01G477800;TraesCS3A01G268600;TraesCS3B01G307600;TraesCS3B01G303000;TraesCS6D01G238800;TraesCS7D01G499800;TraesCS3D01G224800;TraesCS3D01G264800;TraesCS6A01G123800;TraesCS1D01G264100;TraesCS3D01G426300;TraesCS5D01G013100;TraesCS1D01G155100;TraesCS2A01G286500;TraesCS6D01G337500;TraesCS5B01G409400;TraesCS7D01G449900;TraesCS4B01G015600;TraesCS5A01G092400;TraesCS4B01G168300;TraesCS1D01G401900;TraesCS1D01G149900;TraesCS2A01G197900;TraesCS7D01G288700;TraesCS5D01G481500;TraesCS7A01G260600;TraesCS4B01G133200;TraesCS5D01G099800;TraesCS2A01G058700;TraesCS5A01G089900;TraesCS5A01G215900;TraesCS2B01G343900;TraesCS5D01G530200;TraesCS6A01G143300;TraesCS3B01G254400;TraesCS6D01G122800;TraesCS5A01G119300;TraesCS5D01G366500;TraesCS6B01G251600;TraesCS4D01G021400;TraesCS4D01G348500;TraesCS6A01G130900;TraesCS4D01G214300;TraesCS6B01G253900;TraesCS4D01G013900;TraesCS4D01G252700;TraesCS5B01G378700;TraesCS7A01G264300;TraesCS6A01G355300;TraesCS5B01G102600;TraesCS2A01G280500;TraesCS1A01G092700;TraesCS4B01G023800;TraesCS2B01G004000;TraesCS7A01G376800;TraesCS7D01G025000;TraesCS2A01G223600;TraesCS7D01G327700;TraesCS5A01G004200;TraesCS3A01G151100;TraesCS7D01G250100;TraesCS1A01G264000;TraesCS3B01G362100;TraesCS5B01G335500;TraesCS1A01G224700;TraesCS6D01G362000;TraesCS6B01G246600;TraesCS1D01G155800;TraesCS1D01G331000;TraesCS6A01G209800;TraesCS5B01G396700;TraesCS1D01G058300;TraesCS2D01G242100;TraesCS4B01G204500;TraesCS3D01G275600;TraesCS4A01G157100;TraesCS4A01G283000;TraesCS5D01G504600;TraesCS3D01G240800;TraesCS5A01G104800;TraesCS7A01G004000;TraesCS3A01G435700;TraesCS7D01G004500;TraesCS1A01G001800;TraesCS2B01G404600;TraesCS2B01G297800;TraesCS2D01G111300;TraesCS3B01G435900;TraesCS6B01G256400;TraesCS3D01G228800;TraesCS7A01G560200;TraesCS7D01G407700;TraesCS7B01G278200;TraesCS2B01G304900;TraesCS7B01G230100;TraesCS1A01G198400;TraesCS2B01G457600;TraesCS3D01G203400;TraesCS5D01G459800;TraesCS3A01G191700;TraesCS2B01G157600;TraesCS6B01G242800;TraesCS1D01G211600;TraesCS2D01G105300;TraesCS6D01G062500;TraesCS6B01G414800;TraesCS3A01G023800;TraesCS1D01G440900;TraesCS4D01G194300;TraesCS1B01G290800;TraesCS7B01G085700;TraesCS6B01G450500;TraesCS2B01G363200;TraesCS3D01G325800;TraesCS4B01G242800;TraesCS3B01G268900;TraesCS4A01G354500;TraesCS7A01G480700;TraesCS4B01G179400;TraesCS6D01G094200;TraesCS2D01G205900;TraesCS6D01G212000;TraesCS4B01G150300;TraesCS3D01G162700;TraesCS2A01G387000;TraesCS2D01G194000;TraesCS1D01G086600;TraesCS5B01G344200;TraesCS1B01G220700;TraesCS6A01G308100;TraesCS4A01G262900;TraesCS1B01G422200;TraesCS1D01G003700;TraesCS3A01G402500;TraesCS5D01G551200;TraesCS3B01G309400;TraesCS6A01G336800;TraesCS6B01G134800;TraesCS2A01G338100;TraesCS3D01G271800;TraesCS3D01G288000;TraesCS7A01G381900;TraesCS4A01G315700;TraesCS5B01G563800;TraesCS7A01G450600;TraesCS1A01G263400;TraesCS2A01G134000;TraesCS2D01G229600;TraesCS2B01G273900;TraesCS2D01G249200;TraesCS3D01G083400;TraesCS2D01G279300;TraesCS6A01G259000;TraesCS6A01G307700;TraesCS4B01G164800;TraesCS4D01G263300;TraesCS5B01G517900;TraesCS2D01G057900;TraesCS4B01G344600;TraesCS4A01G364400;TraesCS5D01G424400;TraesCS2A01G110700;TraesCS3B01G257700;TraesCS5D01G478900;TraesCS7B01G184800;TraesCS3B01G306000;TraesCS3D01G304800;TraesCS4A01G276300;TraesCS5D01G105500;TraesCS1B01G213300;TraesCS7D01G378400;TraesCS1A01G111100;TraesCS1D01G390500;TraesCS4A01G164900;TraesCS5B01G136500;TraesCS2B01G122500;TraesCS4A01G144500;TraesCS5D01G164800;TraesCS7D01G447100;TraesCS5B01G509500;TraesCS5B01G510500;TraesCS5A01G324200;TraesCS1A01G172100;TraesCS5A01G515700;TraesCS5D01G223700;TraesCS6B01G151900;TraesCS7B01G124100;TraesCS6A01G070600;TraesCSU01G047800;TraesCS1D01G199100;TraesCS5B01G147600;TraesCS6D01G283300;TraesCS3D01G514100;TraesCS5A01G416700;TraesCS6D01G174500;TraesCS6D01G195400;TraesCS2B01G225300;TraesCS6B01G331800;TraesCS3B01G470400;TraesCS4A01G124000;TraesCS1A01G158500;TraesCS2A01G239200;TraesCS6D01G193000;TraesCS5D01G341200;TraesCS7A01G329600;TraesCS5B01G481100;TraesCS6B01G171600;TraesCS1B01G434400;TraesCS4B01G073200;TraesCS4B01G131800;TraesCS6A01G319100;TraesCS1A01G281700;TraesCS1A01G309200;TraesCS1D01G198700;TraesCS7B01G421100;TraesCS4D01G242400;TraesCS4A01G093100;TraesCS6B01G388100</t>
  </si>
  <si>
    <t>TraesCS3D01G426300;TraesCS7A01G223300;TraesCS4A01G125000;TraesCS2A01G246600;TraesCS5B01G484700;TraesCS5B01G249000;TraesCS6D01G165800;TraesCS3B01G222700;TraesCS5D01G162400;TraesCS5B01G239200;TraesCS5A01G106900;TraesCS2A01G058700;TraesCS2D01G014800;TraesCS6B01G159200;TraesCS4D01G147100;TraesCS7B01G240200;TraesCS7D01G083900;TraesCS4B01G152900;TraesCS3B01G185300;TraesCS1A01G376400;TraesCS4B01G117900;TraesCS4D01G135000;TraesCS5B01G171200;TraesCS2B01G004000;TraesCS7B01G117700;TraesCS6B01G315800;TraesCS7D01G549100;TraesCS3A01G151100;TraesCS1B01G255100;TraesCS3A01G075700;TraesCS7A01G307000;TraesCS5A01G149000;TraesCS2B01G050600;TraesCS4B01G204500;TraesCS4B01G397700;TraesCS3A01G192400;TraesCS4A01G197700;TraesCS6A01G105400;TraesCS1B01G254000;TraesCS3A01G513500;TraesCS5A01G251000;TraesCS2B01G070700;TraesCS3A01G530100;TraesCS4A01G197600;TraesCS7B01G129300;TraesCS1D01G412600;TraesCS5A01G093200;TraesCS4B01G373400;TraesCS7D01G224400;TraesCS3D01G196700;TraesCS5A01G157000;TraesCS6A01G303800;TraesCS7A01G560200;TraesCS1A01G198400;TraesCS5D01G178300;TraesCS3B01G221200;TraesCS3A01G310200;TraesCS6B01G242800;TraesCS1B01G447500;TraesCS1D01G211600;TraesCS6D01G047400;TraesCS1B01G462200;TraesCS6B01G239000;TraesCSU01G058200;TraesCS5D01G258900;TraesCS4A01G194100;TraesCS5A01G489100;TraesCS3A01G367000;TraesCS4A01G167000;TraesCS5B01G300100;TraesCS1B01G383200;TraesCS5B01G155200;TraesCS7D01G283600;TraesCS4D01G234800;TraesCS6A01G373200;TraesCS4B01G179400;TraesCS1A01G365600;TraesCS2D01G389900;TraesCS2A01G358000;TraesCS4D01G115600;TraesCS4A01G077600;TraesCS6D01G094200;TraesCS6A01G082800;TraesCS4D01G096200;TraesCS7A01G222800;TraesCS2A01G387000;TraesCS6A01G212200;TraesCS1B01G396800;TraesCS5D01G551200;TraesCS7D01G119700;TraesCS3D01G341200;TraesCS7B01G020100;TraesCS3A01G158500;TraesCS5A01G173800;TraesCS3A01G530000;TraesCS6B01G134800;TraesCS3D01G271800;TraesCS3D01G288000;TraesCS4A01G315700;TraesCS7D01G224900;TraesCS3B01G180600;TraesCS1B01G212500;TraesCS5B01G563800;TraesCS3A01G272200;TraesCS6A01G267300;TraesCS4B01G164800;TraesCS1D01G383500;TraesCS2D01G057900;TraesCS3A01G339900;TraesCS1A01G259700;TraesCS7A01G342800;TraesCS5D01G105500;TraesCS1B01G213300;TraesCS4D01G115500;TraesCS2B01G410100;TraesCS5B01G147600;TraesCS6D01G283300;TraesCS2D01G238600;TraesCS6A01G210200;TraesCS6D01G195400;TraesCS2D01G300400;TraesCS3A01G498300;TraesCS5B01G036800;TraesCS2A01G216100;TraesCS3A01G288200;TraesCS1B01G434400;TraesCS4B01G117800;TraesCS4A01G216200;TraesCS6D01G204700;TraesCS1A01G133500;TraesCS5B01G534400;TraesCS2B01G325100;TraesCS2D01G280900;TraesCS3B01G221400;TraesCS4A01G093100;TraesCS4A01G110400;TraesCS7B01G207300;TraesCS2B01G377300;TraesCS5D01G247600;TraesCS1A01G165700</t>
  </si>
  <si>
    <t>TraesCS2D01G399800;TraesCS7A01G466600;TraesCS1A01G350200;TraesCS1B01G261600;TraesCS1A01G180200;TraesCS1D01G107300;TraesCS4A01G257800;TraesCS5A01G059900;TraesCS1A01G258800;TraesCS1D01G258800;TraesCS2B01G185800;TraesCS2B01G221800;TraesCS6D01G130500;TraesCS5A01G490500;TraesCS5A01G416400;TraesCS6B01G169300;TraesCS4D01G318200;TraesCS7D01G454200;TraesCS3A01G091100;TraesCS1A01G099400;TraesCS2A01G159900;TraesCS2B01G150400;TraesCS5B01G418700;TraesCS3D01G091000;TraesCS1D01G353100;TraesCS4B01G056700;TraesCS1A01G095200;TraesCS6B01G176600;TraesCS2D01G202200;TraesCS3A01G220000;TraesCS4B01G321500;TraesCS4A01G334700;TraesCS4D01G057000;TraesCS1B01G200300;TraesCS2B01G375700;TraesCS2A01G128300;TraesCS2A01G185500</t>
  </si>
  <si>
    <t>TraesCS6A01G173900;TraesCS3B01G014900;TraesCS6B01G221000;TraesCS2D01G139700;TraesCS6B01G454500;TraesCS2A01G007500;TraesCS3A01G472400;TraesCS6B01G215800;TraesCS6D01G165800;TraesCS6B01G191500;TraesCS6B01G418400;TraesCS2A01G444600;TraesCS2A01G247300;TraesCS2A01G400900;TraesCS2D01G009200;TraesCS5A01G378000;TraesCS5B01G239200;TraesCS6B01G421700;TraesCS3D01G168600;TraesCS3B01G470500;TraesCS3B01G193200;TraesCS6D01G334400;TraesCS7B01G240200;TraesCS2B01G087600;TraesCS2D01G220800;TraesCS1D01G376900;TraesCS4B01G350400;TraesCS2D01G233900;TraesCS7B01G113100;TraesCS2B01G220100;TraesCS5B01G163700;TraesCS6D01G234900;TraesCS5B01G381600;TraesCS5B01G142900;TraesCS5B01G184300;TraesCS6A01G045800;TraesCS2D01G112000;TraesCS2B01G233400;TraesCS6A01G379800;TraesCS2A01G193800;TraesCS4B01G397700;TraesCS7D01G022700;TraesCS2D01G448500;TraesCS7B01G114100;TraesCS1B01G469400;TraesCS4D01G220700;TraesCS7D01G326000;TraesCS3A01G091100;TraesCS6D01G287300;TraesCS7A01G555700;TraesCS7B01G215000;TraesCS4A01G101500;TraesCS4D01G204000;TraesCS5B01G380500;TraesCS6A01G420100;TraesCS7B01G189900;TraesCS1A01G095600;TraesCS6A01G319700;TraesCS2A01G365600;TraesCS4B01G016300;TraesCS4B01G373400;TraesCS3A01G458000;TraesCS4D01G120900;TraesCS7A01G415500;TraesCS6D01G265400;TraesCS5D01G106000;TraesCS5B01G171100;TraesCS5D01G293100;TraesCS3B01G240500;TraesCS3B01G517900;TraesCS4A01G456400;TraesCS4D01G160200;TraesCS7B01G174700;TraesCS1A01G102300;TraesCS2B01G130300;TraesCS5D01G396300;TraesCS4A01G248200;TraesCS5A01G229300;TraesCS3D01G136800;TraesCS2B01G405600;TraesCS7B01G142700;TraesCS7A01G269900;TraesCS6A01G373200;TraesCS6B01G282200;TraesCS4D01G082700;TraesCS4A01G077600;TraesCS6D01G178800;TraesCS7D01G270400;TraesCS4A01G159500;TraesCS1A01G403800;TraesCS6D01G287400;TraesCS1D01G048200;TraesCS3D01G407300;TraesCS4D01G172000;TraesCS2D01G422000;TraesCS2D01G356700;TraesCS7A01G327600;TraesCS1B01G216300;TraesCS3A01G292700;TraesCS1B01G432400;TraesCS2D01G508800;TraesCS5A01G186200;TraesCS2D01G191000;TraesCS4D01G081600;TraesCS3A01G438700;TraesCS5D01G375800;TraesCS4A01G464200;TraesCS3A01G161300;TraesCS5A01G155600;TraesCS5D01G117100;TraesCS6B01G166400;TraesCS6D01G228200;TraesCS5B01G310600;TraesCS5B01G413400;TraesCS4D01G175600;TraesCS5B01G549200;TraesCS5D01G161800;TraesCS1A01G254400;TraesCS1B01G379800;TraesCS4D01G079200;TraesCS3B01G344200;TraesCS6D01G367300;TraesCS3D01G336200;TraesCS7D01G291200;TraesCS2D01G148200;TraesCS3B01G308700;TraesCS4B01G089500;TraesCS3B01G413700;TraesCS6B01G421600;TraesCS3B01G061700;TraesCS2D01G253200;TraesCS4A01G193700;TraesCS4B01G123900;TraesCS5D01G412700;TraesCS2A01G159900;TraesCS6D01G233800;TraesCS5A01G230400;TraesCS4A01G088600;TraesCS6D01G309000;TraesCS2B01G477400;TraesCS6B01G451100;TraesCS2B01G325100;TraesCS4A01G005000;TraesCS5D01G157300;TraesCS5D01G209000;TraesCS7D01G292300;TraesCS4D01G003600;TraesCS5D01G098400;TraesCS3B01G192400;TraesCS5D01G247600;TraesCS7B01G092500;TraesCS6D01G301400;TraesCS5D01G013100;TraesCS3A01G157900;TraesCS4D01G175300;TraesCS7D01G227300;TraesCS4B01G040800;TraesCS7A01G565000;TraesCS4A01G310600;TraesCS7D01G187200;TraesCS5B01G339200;TraesCS6B01G470700;TraesCS1D01G401900;TraesCS2B01G240000;TraesCS3A01G202000;TraesCS5D01G095200;TraesCS4A01G134800;TraesCS6A01G103400;TraesCS5B01G539900;TraesCS7A01G276400;TraesCS2D01G600700;TraesCS2A01G455200;TraesCS4B01G220400;TraesCS3D01G431100;TraesCS2A01G268400;TraesCS5B01G265100;TraesCS2D01G115200;TraesCS7D01G203100;TraesCS5B01G322900;TraesCS5B01G154600;TraesCS5B01G198300;TraesCS3B01G324500;TraesCS5B01G396900;TraesCS3A01G381000;TraesCS5D01G218800;TraesCS2A01G187200;TraesCS2A01G223600;TraesCS5A01G004200;TraesCS5A01G153100;TraesCS3D01G241900;TraesCS3A01G075700;TraesCS1A01G224700;TraesCS3A01G052700;TraesCS4A01G083100;TraesCS3D01G266200;TraesCS6D01G186000;TraesCS7D01G483600;TraesCS2D01G267400;TraesCS2D01G269700;TraesCS2D01G242100;TraesCS5A01G484700;TraesCS2B01G267500;TraesCS5B01G197300;TraesCS1B01G170600;TraesCS2B01G286100;TraesCS3A01G412600;TraesCS4A01G134900;TraesCS7B01G229800;TraesCS6A01G229400;TraesCS4D01G025300;TraesCS6D01G166400;TraesCS5D01G238300;TraesCS2B01G245600;TraesCS2D01G138200;TraesCS2D01G443100;TraesCS3A01G266100;TraesCS1A01G362700;TraesCS4A01G131400;TraesCS2A01G128300;TraesCS5D01G094000;TraesCS6D01G177400;TraesCS3D01G075800;TraesCS5A01G489100;TraesCS7B01G006600;TraesCS7B01G052900;TraesCS5D01G470400;TraesCS5D01G237400;TraesCS2D01G320900;TraesCS5B01G132600;TraesCS3B01G299400;TraesCS4A01G294500;TraesCS1B01G190000;TraesCS5B01G501200;TraesCS3B01G262000;TraesCS2B01G223700;TraesCS2D01G523100;TraesCS5A01G095200;TraesCS7B01G320800;TraesCS4A01G111600;TraesCS2D01G194000;TraesCS3A01G135800;TraesCS6A01G308100;TraesCS2B01G150400;TraesCS4D01G157900;TraesCS7D01G377200;TraesCS3B01G439000;TraesCS5D01G165300;TraesCS2A01G342600;TraesCS2A01G585800;TraesCS6A01G110000;TraesCS6D01G405600;TraesCS3B01G275200;TraesCS6B01G279200;TraesCS4D01G003100;TraesCS2B01G222600;TraesCS5A01G159800;TraesCS6D01G238500;TraesCS5A01G132300;TraesCS1A01G201600;TraesCS3B01G211500;TraesCS7B01G186300;TraesCS4B01G233300;TraesCS2A01G202600;TraesCS1D01G194000;TraesCS2D01G401600;TraesCS7A01G294000;TraesCS2A01G234200;TraesCS6B01G223200;TraesCS4B01G244400;TraesCS1A01G392000;TraesCS2B01G185800;TraesCS5A01G542600;TraesCS1D01G117400;TraesCS5A01G414400;TraesCS2D01G255100;TraesCS2B01G267700;TraesCS5A01G087700;TraesCS5B01G256400;TraesCS2B01G230200;TraesCS2A01G455300;TraesCS3D01G051800;TraesCS1D01G164600;TraesCS2D01G214700;TraesCS3B01G153900;TraesCS2A01G270600;TraesCS3B01G607600;TraesCS3D01G091000;TraesCS6A01G191500;TraesCS3B01G141700;TraesCS3D01G412500;TraesCS5D01G329200;TraesCS3B01G269900;TraesCS6A01G077800;TraesCS3B01G328800;TraesCS1A01G198600;TraesCS3B01G221400;TraesCS4D01G292300;TraesCS5D01G170900;TraesCS3D01G186300;TraesCS3D01G165500;TraesCS2A01G517500;TraesCS1D01G411300;TraesCS2A01G404700;TraesCS6B01G267800;TraesCS1D01G413600;TraesCS5D01G107900;TraesCS5D01G388000;TraesCS1A01G044800;TraesCS3D01G285100;TraesCS4B01G019000;TraesCS5D01G162400;TraesCS7A01G238400;TraesCS7D01G150200;TraesCS5A01G213200;TraesCS1D01G226100;TraesCS5B01G407500;TraesCS3B01G453500;TraesCS4B01G043000;TraesCS7A01G148600;TraesCS1B01G197100;TraesCS5B01G227900;TraesCS6A01G418800;TraesCSU01G064900;TraesCS7D01G276300;TraesCS3D01G196400;TraesCSU01G142500;TraesCS5A01G181500;TraesCS5B01G496000;TraesCS1A01G416000;TraesCS2A01G357400;TraesCS2A01G206200;TraesCS3D01G356400;TraesCS7D01G231300;TraesCS7A01G355800;TraesCS7D01G549100;TraesCS2A01G424200;TraesCS3A01G210000;TraesCS3B01G362500;TraesCS7D01G336600;TraesCS4B01G084800;TraesCS7D01G311300;TraesCS3A01G321900;TraesCS7D01G313600;TraesCS2D01G429500;TraesCS2D01G565200;TraesCS6A01G201800;TraesCS2D01G225800;TraesCS3D01G289600;TraesCS5A01G482800;TraesCS3A01G192400;TraesCS6A01G289200;TraesCS1A01G340400;TraesCS4B01G399200;TraesCS4B01G171300;TraesCS7A01G448800;TraesCS5A01G454300;TraesCS5D01G265500;TraesCS6A01G382400;TraesCS1D01G185600;TraesCS4D01G017400;TraesCS5D01G230300;TraesCS2D01G212600;TraesCS3A01G181500;TraesCS4D01G365800;TraesCS2A01G550300;TraesCS5A01G030400;TraesCS2A01G330000;TraesCS1D01G125500;TraesCS6A01G188700;TraesCS3B01G221200;TraesCS4D01G038200;TraesCS7B01G052200;TraesCS3D01G400200;TraesCS7D01G554900;TraesCS7A01G491200;TraesCS4B01G170300;TraesCS5B01G228900;TraesCS6D01G364400;TraesCS6B01G384900;TraesCS5D01G166800;TraesCS3B01G555600;TraesCS6A01G245800;TraesCS1A01G365600;TraesCS3B01G105200;TraesCS3D01G256700;TraesCS2D01G238700;TraesCS6B01G182300;TraesCS4B01G083600;TraesCS7A01G192000;TraesCS1A01G154400;TraesCS2B01G272300;TraesCS1D01G423500;TraesCS2B01G159600;TraesCS2D01G311100;TraesCS5D01G536100;TraesCS3B01G374400;TraesCS2A01G380200;TraesCS2D01G202900;TraesCS2A01G183200;TraesCS5A01G457500;TraesCS4D01G315200;TraesCS4B01G355100;TraesCS3A01G264700;TraesCS6A01G253400;TraesCS6D01G091900;TraesCS4B01G170400;TraesCS7A01G504900;TraesCS4A01G238100;TraesCS3D01G159100;TraesCS2D01G248400;TraesCS1B01G211400;TraesCS3A01G294200;TraesCS5B01G409700;TraesCS6D01G247400;TraesCS5D01G357600;TraesCS4B01G211800;TraesCS5B01G145700;TraesCS7B01G135500;TraesCS5D01G095800;TraesCS2B01G312600;TraesCS3D01G397100;TraesCS3A01G417000;TraesCS6B01G115200;TraesCS4D01G065600;TraesCS4B01G180100;TraesCS2D01G398400;TraesCS3A01G362600;TraesCS7D01G409000;TraesCS4D01G086400;TraesCS7A01G239700;TraesCS3D01G309400;TraesCS6A01G154400;TraesCS4B01G239100;TraesCS4A01G319000;TraesCS2D01G200700;TraesCS1D01G104500;TraesCS5B01G089400;TraesCS3A01G241700;TraesCS3D01G264800;TraesCS1A01G323200;TraesCS3D01G426300;TraesCS1A01G182400;TraesCS1A01G075700;TraesCS7B01G021400;TraesCS5B01G159600;TraesCS7D01G277000;TraesCS3B01G072500;TraesCS5B01G138900;TraesCS1D01G124600;TraesCS3B01G300400;TraesCS2B01G376600;TraesCS3B01G046100;TraesCS4A01G226900;TraesCS3D01G359500;TraesCS3B01G438500;TraesCS5D01G372500;TraesCS5A01G106900;TraesCS5A01G490800;TraesCS4A01G092500;TraesCS7D01G083900;TraesCS2B01G477300;TraesCS1A01G418700;TraesCS2B01G385300;TraesCS7A01G358000;TraesCS6B01G194600;TraesCS6D01G181200;TraesCS3B01G161900;TraesCS2B01G329600;TraesCS1A01G060100;TraesCS3A01G134100;TraesCS6A01G257300;TraesCS1A01G033500;TraesCS7D01G237800;TraesCS2B01G340300;TraesCS6A01G196600;TraesCS2A01G102600;TraesCS3B01G331600;TraesCS1B01G198500;TraesCS6B01G301300;TraesCS1B01G215800;TraesCS4B01G204500;TraesCS6A01G285000;TraesCS2A01G203100;TraesCS1D01G411000;TraesCS6B01G272300;TraesCS5A01G173700;TraesCS6D01G172500;TraesCS5D01G496400;TraesCS1B01G336000;TraesCS1D01G303800;TraesCS7D01G374900;TraesCS2A01G252600;TraesCS5A01G157000;TraesCS7A01G560200;TraesCS7A01G149200;TraesCS6D01G248800;TraesCS7A01G239900;TraesCS2D01G294300;TraesCS7A01G187800;TraesCS3D01G220400;TraesCS2A01G460000;TraesCS5A01G392000;TraesCS2B01G415600;TraesCS3A01G266900;TraesCS3D01G259000;TraesCS1B01G317500;TraesCS4A01G232300;TraesCS5D01G401900;TraesCS3B01G308200;TraesCS7A01G200100;TraesCS1B01G383200;TraesCS6A01G220100;TraesCS2A01G114400;TraesCS2A01G521400;TraesCS5B01G155200;TraesCS3A01G161800;TraesCS5D01G474200;TraesCS1D01G264700;TraesCS1A01G264500;TraesCS4D01G234800;TraesCS3B01G291000;TraesCS6A01G290600;TraesCS6B01G089500;TraesCS4B01G154100;TraesCS5A01G140600;TraesCS5A01G265400;TraesCS2A01G557600;TraesCS2B01G133500;TraesCS1B01G422200;TraesCS4A01G231200;TraesCS4D01G172400;TraesCS4D01G317900;TraesCS3A01G530000;TraesCS3B01G229700;TraesCS3A01G232700;TraesCS6B01G319000;TraesCS1B01G365600;TraesCS7D01G339600;TraesCS7D01G457900;TraesCS2D01G229600;TraesCS4B01G321300;TraesCS2B01G273900;TraesCS6D01G186800;TraesCS6D01G104100;TraesCS2A01G254600;TraesCS2A01G523600;TraesCS6A01G408400;TraesCS4A01G324400;TraesCS7A01G277000;TraesCS2B01G318400;TraesCS2A01G296400;TraesCS7D01G193000;TraesCS6D01G299200;TraesCS3A01G405300;TraesCS2A01G215000;TraesCS6D01G152700;TraesCS7A01G342800;TraesCS2A01G380500;TraesCS3A01G191000;TraesCS5D01G164800;TraesCS2B01G454000;TraesCS7A01G108600;TraesCS7A01G314100;TraesCS6B01G104600;TraesCS2B01G246200;TraesCS1D01G367600;TraesCS5B01G101400;TraesCS5A01G418200;TraesCS7B01G097000;TraesCS2A01G216100;TraesCS7D01G188800;TraesCS4B01G203100;TraesCS2B01G270300;TraesCS4D01G348600;TraesCS2B01G352300;TraesCS5B01G320100;TraesCS7D01G000100;TraesCS5A01G524400;TraesCS2A01G149700</t>
  </si>
  <si>
    <t>TraesCS5D01G336000;TraesCS6D01G016900;TraesCS5D01G124800;TraesCS7A01G036200;TraesCS1D01G107300;TraesCS5B01G484700;TraesCS5B01G249000;TraesCS2A01G246200;TraesCS5A01G200800;TraesCS4B01G397600;TraesCS3D01G271500;TraesCS4A01G226500;TraesCS1B01G146200;TraesCS6B01G295700;TraesCS3B01G206600;TraesCS7D01G467500;TraesCS3B01G193200;TraesCS5B01G412400;TraesCS2A01G262700;TraesCS3A01G228000;TraesCS4B01G169900;TraesCS6B01G411900;TraesCS7D01G056800;TraesCS7A01G541200;TraesCS1A01G355200;TraesCS7B01G382800;TraesCS4B01G050200;TraesCS5D01G444700;TraesCS6B01G132300;TraesCS7B01G104400;TraesCS4D01G135000;TraesCS5B01G094600;TraesCS3B01G242700;TraesCS5A01G200900;TraesCS2A01G171900;TraesCS5A01G390000;TraesCS6D01G142900;TraesCS1A01G243700;TraesCS3A01G178900;TraesCS5B01G159100;TraesCS3A01G229100;TraesCS4D01G292900;TraesCS3A01G216100;TraesCS3A01G344300;TraesCS5D01G376600;TraesCS2A01G488400;TraesCS4D01G184400;TraesCS6B01G262800;TraesCS1B01G469400;TraesCS5D01G399800;TraesCS7D01G454200;TraesCS3A01G091100;TraesCS6B01G270400;TraesCS3B01G208800;TraesCS5A01G251000;TraesCS6A01G225200;TraesCS3A01G303800;TraesCS5B01G082400;TraesCS4D01G250100;TraesCS4A01G361100;TraesCS1A01G423100;TraesCS2D01G093700;TraesCS1A01G125000;TraesCS3B01G309700;TraesCS5A01G115000;TraesCS3B01G376200;TraesCS5D01G396300;TraesCS5D01G420300;TraesCS6A01G245000;TraesCS1D01G396300;TraesCS6D01G161000;TraesCS1D01G260500;TraesCS2D01G322800;TraesCS5B01G171400;TraesCS3D01G281100;TraesCS2A01G387400;TraesCS2D01G383800;TraesCS1B01G274600;TraesCS6B01G238600;TraesCS5A01G416400;TraesCS7B01G317000;TraesCS3D01G369100;TraesCS4A01G191500;TraesCS1A01G275400;TraesCS4D01G132900;TraesCS4D01G172000;TraesCS7B01G162300;TraesCS7D01G543200;TraesCS5D01G100800;TraesCS6B01G159800;TraesCS6A01G234000;TraesCS1B01G271100;TraesCS6A01G158300;TraesCS5B01G479200;TraesCS6A01G125400;TraesCS7A01G466900;TraesCS1B01G366400;TraesCS2D01G213100;TraesCS5D01G044700;TraesCS6B01G296700;TraesCS6D01G358500;TraesCS7A01G510900;TraesCS5A01G357400;TraesCS5D01G405400;TraesCS3A01G214000;TraesCS5D01G161800;TraesCS1A01G025900;TraesCS4D01G079200;TraesCS4D01G142600;TraesCS2B01G328500;TraesCS2D01G597600;TraesCS3B01G266900;TraesCS3D01G336200;TraesCS6D01G344100;TraesCS7D01G291200;TraesCS7D01G364400;TraesCS2A01G159900;TraesCS1D01G431700;TraesCS3B01G103500;TraesCS6A01G279100;TraesCS7B01G066000;TraesCS3A01G288200;TraesCS4B01G314600;TraesCS4A01G149800;TraesCS6D01G189700;TraesCS2D01G202200;TraesCS1D01G314600;TraesCS4A01G005000;TraesCS4A01G078800;TraesCS6B01G099900;TraesCS3A01G276100;TraesCS5D01G006100;TraesCS1A01G299500;TraesCS2A01G487500;TraesCS4D01G036500;TraesCS2D01G049500;TraesCS1D01G264100;TraesCS2D01G213200;TraesCS5D01G013100;TraesCS3B01G423800;TraesCS3B01G442200;TraesCS5B01G222600;TraesCS3B01G207300;TraesCS6B01G213100;TraesCS2B01G514800;TraesCS3B01G222700;TraesCS7A01G390300;TraesCS3A01G342300;TraesCS4A01G375000;TraesCS7D01G288700;TraesCS1D01G275000;TraesCSU01G158800;TraesCS4B01G050600;TraesCS4A01G134800;TraesCS5B01G539900;TraesCS6D01G227300;TraesCS4B01G138100;TraesCS4A01G178600;TraesCS5D01G366500;TraesCS3D01G217700;TraesCS4B01G140300;TraesCS1A01G110900;TraesCS3D01G507500;TraesCS4D01G252700;TraesCS6B01G174100;TraesCS7A01G264300;TraesCS1D01G316200;TraesCS7D01G228500;TraesCS1B01G348800;TraesCS5A01G050100;TraesCS5B01G154600;TraesCS3A01G220000;TraesCS6B01G199500;TraesCS6D01G007800;TraesCS7A01G076600;TraesCS3A01G484800;TraesCS6B01G141400;TraesCS3B01G299100;TraesCS3D01G241900;TraesCS1A01G264000;TraesCS4A01G177500;TraesCS5D01G141200;TraesCS6A01G192800;TraesCS6A01G209800;TraesCS5A01G054700;TraesCS1A01G258800;TraesCS2B01G462500;TraesCS3D01G282800;TraesCS6D01G216300;TraesCS2D01G198300;TraesCS3A01G282800;TraesCS5D01G261300;TraesCS2A01G444100;TraesCS3D01G298000;TraesCS2D01G362200;TraesCS5B01G537700;TraesCS3B01G254500;TraesCS7B01G005700;TraesCS7A01G004000;TraesCS1D01G219200;TraesCS3D01G376500;TraesCS1A01G177600;TraesCS6D01G166400;TraesCS6B01G256400;TraesCS2B01G304900;TraesCS1A01G198400;TraesCS1B01G378000;TraesCS3D01G203400;TraesCS7B01G241900;TraesCS2D01G304000;TraesCS1D01G211600;TraesCS4D01G240700;TraesCS7A01G313900;TraesCS2B01G174600;TraesCS7D01G332300;TraesCS6B01G294700;TraesCS5A01G367700;TraesCS3D01G109700;TraesCS7B01G052900;TraesCS2B01G451100;TraesCS4A01G217700;TraesCS1B01G290800;TraesCS1B01G301500;TraesCS3B01G316500;TraesCS4D01G085700;TraesCS3B01G093800;TraesCS1A01G361400;TraesCS2D01G523100;TraesCS2B01G405200;TraesCS2B01G462400;TraesCS3A01G060300;TraesCS4A01G111600;TraesCS2A01G092400;TraesCS5A01G156400;TraesCS3A01G112800;TraesCS2A01G480500;TraesCS4A01G262900;TraesCS4A01G367700;TraesCS7D01G377200;TraesCS6A01G336800;TraesCS3D01G288000;TraesCS5D01G402300;TraesCS6A01G322400;TraesCS5D01G113700;TraesCS1A01G116000;TraesCS4D01G107000;TraesCS4D01G057000;TraesCS5B01G037500;TraesCS7D01G032800;TraesCS2A01G202600;TraesCS7D01G011800;TraesCS3B01G305600;TraesCS3B01G299300;TraesCS5A01G445100;TraesCS5D01G424400;TraesCS2B01G174700;TraesCS2A01G150000;TraesCS2D01G154600;TraesCS5D01G437600;TraesCSU01G131300;TraesCS1D01G258800;TraesCS2B01G185800;TraesCS5D01G005300;TraesCS1A01G172100;TraesCS5A01G416700;TraesCS7D01G123400;TraesCS6D01G147700;TraesCS7D01G190300;TraesCS6B01G304100;TraesCS3A01G538300;TraesCS3B01G607600;TraesCS5D01G087800;TraesCS7B01G269300;TraesCS3D01G091000;TraesCS7A01G062100;TraesCS3B01G141700;TraesCS7B01G236400;TraesCS2B01G604300;TraesCS6B01G117100;TraesCS7A01G226000;TraesCS1A01G281700;TraesCS5A01G113700;TraesCS3B01G269900;TraesCS7B01G446500;TraesCS1A01G314100;TraesCS5D01G480300;TraesCS7D01G386000;TraesCS2D01G594500;TraesCS1A01G129400;TraesCS6D01G121300;TraesCS1B01G259800;TraesCS4B01G252400;TraesCS5D01G525000;TraesCS6A01G360600;TraesCS2D01G479900;TraesCS2B01G307300;TraesCS3B01G224600;TraesCS6A01G184000;TraesCS1A01G260500;TraesCS4A01G257800;TraesCS5A01G032500;TraesCS5B01G155400;TraesCS3D01G285100;TraesCS3D01G411200;TraesCS5D01G219500;TraesCS5D01G162400;TraesCS6A01G268600;TraesCS6D01G077500;TraesCS7D01G150200;TraesCS5D01G359800;TraesCS2B01G229600;TraesCS7A01G148600;TraesCS6B01G159200;TraesCS5D01G528400;TraesCS6B01G113200;TraesCS1A01G292100;TraesCS4B01G186700;TraesCS5B01G156500;TraesCS5B01G431500;TraesCS6A01G153600;TraesCS6B01G226000;TraesCS6D01G180500;TraesCS4B01G117900;TraesCS5A01G467500;TraesCS6D01G055600;TraesCS3B01G408800;TraesCS3B01G131400;TraesCS6B01G233800;TraesCS6D01G236400;TraesCS2B01G597700;TraesCS4B01G126400;TraesCS4D01G133500;TraesCS3D01G169000;TraesCS6D01G320800;TraesCS7A01G088100;TraesCS5A01G006100;TraesCS1B01G255100;TraesCS1A01G350200;TraesCS3D01G019000;TraesCS6A01G379000;TraesCS2D01G565200;TraesCS5B01G415100;TraesCS3A01G122500;TraesCS4B01G090000;TraesCS2D01G248600;TraesCS7A01G321900;TraesCS6B01G174500;TraesCS2A01G299200;TraesCS7D01G265200;TraesCS2D01G440100;TraesCS6B01G039900;TraesCS4B01G171300;TraesCS6B01G056200;TraesCS2D01G291200;TraesCS3D01G275200;TraesCS5A01G305400;TraesCS2B01G263300;TraesCS3B01G568500;TraesCS1A01G099400;TraesCS3D01G345500;TraesCS2A01G103300;TraesCS1D01G412600;TraesCS7A01G417000;TraesCS4D01G359000;TraesCS4A01G013500;TraesCS3D01G414600;TraesCS1D01G055200;TraesCS2A01G330000;TraesCS3B01G246600;TraesCS6B01G231400;TraesCS5A01G547300;TraesCS1D01G020000;TraesCS5A01G491400;TraesCS7B01G052200;TraesCS2A01G187700;TraesCS3D01G188800;TraesCSU01G058200;TraesCS5D01G206500;TraesCS7A01G491200;TraesCS4A01G494400;TraesCS5A01G466100;TraesCS2B01G342100;TraesCS1B01G326400;TraesCS1D01G280900;TraesCS3B01G555600;TraesCS2D01G362700;TraesCS3A01G275700;TraesCS3B01G214600;TraesCS2B01G221800;TraesCS2D01G118000;TraesCS5A01G114600;TraesCS4D01G096200;TraesCS3D01G237100;TraesCS6A01G103200;TraesCS7D01G083200;TraesCS3B01G309000;TraesCS4D01G212600;TraesCS3A01G238400;TraesCS5D01G505700;TraesCS7D01G278800;TraesCS5D01G312400;TraesCS2A01G344500;TraesCS1B01G212500;TraesCS1B01G478800;TraesCS1D01G443100;TraesCS5A01G411500;TraesCS7A01G235200;TraesCS7D01G072300;TraesCS4B01G160600;TraesCS3B01G374400;TraesCS6B01G365300;TraesCS6B01G393500;TraesCS5A01G191100;TraesCS5A01G101900;TraesCS2A01G185500;TraesCS5D01G040800;TraesCS4A01G387000;TraesCS5A01G088400;TraesCS2A01G095300;TraesCS3A01G264700;TraesCS4A01G452700;TraesCS4B01G170400;TraesCS2D01G303500;TraesCS7D01G200800;TraesCS7D01G410100;TraesCS2D01G301200;TraesCS4A01G110800;TraesCS6D01G259500;TraesCS6B01G307200;TraesCS1D01G352300;TraesCS4A01G051900;TraesCS3A01G200400;TraesCS5B01G199400;TraesCS1D01G151800;TraesCS3B01G564100;TraesCS4D01G004000;TraesCS5D01G399200;TraesCS5B01G509100;TraesCS1A01G313300;TraesCS6D01G210000;TraesCS3A01G391800;TraesCS6D01G247400;TraesCS3A01G376300;TraesCS4B01G211800;TraesCS2B01G229500;TraesCS4A01G090100;TraesCS3A01G498300;TraesCS4D01G214800;TraesCS5B01G504900;TraesCS3D01G217600;TraesCS5A01G387700;TraesCS6D01G363400;TraesCS3B01G363500;TraesCS2D01G568400;TraesCS4B01G276500;TraesCS2D01G488700;TraesCS5B01G397300;TraesCS1D01G298400;TraesCS5B01G395000;TraesCS4B01G117800;TraesCS4A01G216200;TraesCS4D01G298800;TraesCS7A01G239700;TraesCS1D01G125300;TraesCS6B01G342300;TraesCS5B01G075800;TraesCS7A01G279000;TraesCS4A01G059500;TraesCS5B01G477800;TraesCS6D01G246300;TraesCS3A01G241700;TraesCS3D01G264800;TraesCS7A01G466600;TraesCS3A01G212600;TraesCS6D01G173700;TraesCS3B01G083400;TraesCS1D01G426400;TraesCS5A01G092400;TraesCS4A01G111000;TraesCS3D01G384700;TraesCS5D01G081700;TraesCS7D01G454700;TraesCS3A01G313300;TraesCS6B01G371500;TraesCS2A01G392900;TraesCS6B01G169300;TraesCS1A01G388400;TraesCS4A01G092500;TraesCS2B01G505400;TraesCS2B01G528300;TraesCS4A01G101200;TraesCS6D01G357100;TraesCS7B01G181200;TraesCS4D01G147500;TraesCS3B01G426500;TraesCS6A01G130900;TraesCS6A01G269400;TraesCS1A01G418700;TraesCS4B01G056700;TraesCS2A01G302500;TraesCS2B01G385300;TraesCS5A01G429500;TraesCS3B01G161900;TraesCS5B01G450400;TraesCS5B01G102600;TraesCS2A01G149600;TraesCS2B01G415500;TraesCS3D01G182400;TraesCS6B01G181300;TraesCS7B01G182300;TraesCS2A01G290900;TraesCS6A01G171300;TraesCS2D01G487700;TraesCS6A01G312100;TraesCS3D01G275600;TraesCS2D01G310000;TraesCS1A01G086500;TraesCS3B01G237500;TraesCS1A01G145000;TraesCS4A01G264400;TraesCS2D01G385000;TraesCS3D01G124400;TraesCS4A01G197700;TraesCS7B01G393400;TraesCS1D01G178000;TraesCS3D01G294200;TraesCS2A01G430500;TraesCS4A01G197600;TraesCS7D01G218000;TraesCS4B01G138800;TraesCS7D01G004500;TraesCS2B01G404600;TraesCS4B01G144000;TraesCS4D01G193500;TraesCS6B01G285500;TraesCS6A01G200200;TraesCS3D01G196700;TraesCS1D01G144000;TraesCS5A01G157000;TraesCS7A01G235300;TraesCS5B01G529300;TraesCS7A01G149200;TraesCS6A01G186800;TraesCS2B01G411000;TraesCS2A01G149500;TraesCS2B01G157600;TraesCS5A01G212500;TraesCS5D01G417400;TraesCS3A01G220700;TraesCS7D01G476500;TraesCS3A01G023800;TraesCS5D01G258900;TraesCS3A01G184800;TraesCS2A01G521400;TraesCS5B01G155200;TraesCS3A01G161800;TraesCS4D01G194300;TraesCS2D01G288800;TraesCS6D01G091600;TraesCS3B01G291000;TraesCS7A01G480700;TraesCS5D01G078500;TraesCS1A01G315900;TraesCS1A01G249100;TraesCS2A01G226000;TraesCS2B01G107200;TraesCS4D01G115600;TraesCS3A01G275300;TraesCS6D01G245600;TraesCS5A01G548800;TraesCS2B01G307500;TraesCS2D01G167300;TraesCS6D01G130500;TraesCS6A01G070700;TraesCS2A01G387000;TraesCS6D01G302200;TraesCS2B01G198300;TraesCS5B01G418700;TraesCS6D01G174700;TraesCS4D01G092800;TraesCS4D01G172400;TraesCS3B01G309400;TraesCS6D01G221400;TraesCS2B01G217700;TraesCS6D01G315500;TraesCS3D01G068900;TraesCS3D01G326900;TraesCS6A01G078200;TraesCS7D01G457900;TraesCS5B01G511800;TraesCS2D01G249200;TraesCS7B01G421800;TraesCS6A01G267300;TraesCS2B01G318400;TraesCS7B01G169100;TraesCS3B01G322800;TraesCS5D01G231200;TraesCSU01G009200;TraesCS2A01G431900;TraesCS2B01G321700;TraesCS3A01G069900;TraesCS5D01G478900;TraesCS5B01G155100;TraesCS4A01G276300;TraesCS5A01G036600;TraesCS1B01G213300;TraesCS2D01G500600;TraesCS1A01G111100;TraesCS1D01G390500;TraesCS4A01G164900;TraesCS5A01G223700;TraesCS5B01G136500;TraesCS3A01G107900;TraesCS4B01G332300;TraesCS5D01G512300;TraesCS4D01G115500;TraesCS5B01G509500;TraesCS5D01G162500;TraesCS2B01G454000;TraesCS1B01G293500;TraesCS2B01G051500;TraesCS4D01G080700;TraesCS7B01G124100;TraesCS6D01G245500;TraesCS1A01G101300;TraesCS5D01G060900;TraesCS4D01G086000;TraesCS6D01G193000;TraesCS6B01G161800;TraesCS1A01G284300;TraesCS1D01G353100;TraesCS5B01G074200;TraesCS1B01G434400;TraesCS1A01G020500;TraesCS7B01G089500;TraesCS1B01G269400;TraesCS2B01G352300;TraesCS7D01G130500;TraesCS2B01G293400;TraesCS7D01G000100;TraesCS4B01G380800;TraesCS6A01G163500;TraesCS5A01G067300;TraesCS2B01G191800</t>
  </si>
  <si>
    <t>TraesCS1D01G409700;TraesCS3A01G367000;TraesCS5A01G396700;TraesCS2B01G250000;TraesCS5B01G339200;TraesCS5D01G219500;TraesCS2A01G123800;TraesCS6A01G290600;TraesCS4B01G129700;TraesCS2A01G387000;TraesCS6B01G371500;TraesCS1D01G030500;TraesCS4D01G021400;TraesCS3D01G288000;TraesCS3A01G232700;TraesCS4D01G135000;TraesCS3A01G381000;TraesCS3A01G304900;TraesCS6D01G320800;TraesCS5D01G321900;TraesCS5B01G146700;TraesCS2D01G126600;TraesCS2D01G133500;TraesCS5A01G315800;TraesCS7B01G197000;TraesCS4D01G194400;TraesCS2A01G309600;TraesCS2B01G145700;TraesCS4A01G290400;TraesCS4B01G204500;TraesCS6A01G268900;TraesCS2D01G310000;TraesCS3D01G271200;TraesCS2B01G328500;TraesCS5B01G409700;TraesCS2D01G232300;TraesCS3D01G296900;TraesCS2B01G154700;TraesCS5B01G036800;TraesCS2A01G132200;TraesCS2A01G233300;TraesCS6A01G221400;TraesCS7B01G066000;TraesCS2D01G438800;TraesCS3A01G288200;TraesCS3A01G271600;TraesCS4D01G122800;TraesCS6D01G213800;TraesCS3D01G220400;TraesCS4D01G003600;TraesCS5A01G212500;TraesCS4A01G093100;TraesCS4A01G355100;TraesCS5B01G517400</t>
  </si>
  <si>
    <t>TraesCS5A01G229300;TraesCS6D01G299200;TraesCS2B01G340300;TraesCS7D01G227300;TraesCS1D01G411300;TraesCS6D01G152700;TraesCS2D01G320900;TraesCS6B01G454500;TraesCS2B01G233400;TraesCS6B01G191500;TraesCS7A01G238400;TraesCS4A01G226900;TraesCS4B01G089500;TraesCS5D01G357600;TraesCS5B01G256400;TraesCS1A01G403800;TraesCS2D01G253200;TraesCS5A01G454300;TraesCS5D01G265500;TraesCS7A01G276400;TraesCS5B01G227900;TraesCS7D01G276300;TraesCS6A01G319700;TraesCS2A01G342600;TraesCS2B01G272300;TraesCS5D01G329200;TraesCS4D01G086400;TraesCS5D01G238300;TraesCS5B01G322900;TraesCS2A01G252600;TraesCS3A01G381000;TraesCS6A01G408400;TraesCS2A01G206200;TraesCS2D01G200700;TraesCS2A01G187200;TraesCS2B01G220100;TraesCS1B01G317500</t>
  </si>
  <si>
    <t>TraesCS3A01G264600;TraesCS1B01G261600;TraesCS1D01G107300;TraesCS2D01G561900;TraesCS7D01G399400;TraesCS3B01G297900;TraesCS5A01G059900;TraesCS1B01G049300;TraesCS1D01G222700;TraesCS7D01G261100;TraesCS1A01G256800;TraesCS2D01G427900;TraesCS4B01G230500;TraesCS4D01G318200;TraesCS1D01G265200;TraesCS2B01G150400;TraesCSU01G121900;TraesCS6B01G176600;TraesCS1B01G267200;TraesCS4B01G321500;TraesCS2A01G149600;TraesCS2B01G375700;TraesCS5B01G232400;TraesCS6B01G311200;TraesCS2A01G592600;TraesCS2D01G399800;TraesCS3B01G299100;TraesCS2A01G095300;TraesCS2B01G174700;TraesCS1A01G180200;TraesCS6A01G379000;TraesCS2A01G391400;TraesCS3D01G264700;TraesCS6A01G282800;TraesCS7A01G260100;TraesCS2B01G185800;TraesCS5A01G490500;TraesCS3A01G091100;TraesCS5D01G208100;TraesCS1A01G099400;TraesCS2A01G159900;TraesCS3B01G252200;TraesCS3D01G091000;TraesCS5D01G240800;TraesCS7D01G152900;TraesCS1A01G221100;TraesCS1A01G095200;TraesCS7A01G151000;TraesCS6D01G263300;TraesCS4A01G074200;TraesCS2D01G093700;TraesCS2B01G247100;TraesCS1B01G200300;TraesCS2A01G128300;TraesCS5A01G233900</t>
  </si>
  <si>
    <t>TraesCS2D01G324900;TraesCS7D01G292000;TraesCS5B01G484700;TraesCS2A01G246200;TraesCS3D01G273800;TraesCS4A01G432400;TraesCS5B01G531900;TraesCS4B01G213600;TraesCS2D01G014800;TraesCS4D01G153900;TraesCS4D01G147100;TraesCS2A01G262700;TraesCS4A01G065400;TraesCS1A01G324800;TraesCS5D01G532100;TraesCS5D01G429200;TraesCS7A01G323200;TraesCS5D01G201300;TraesCS3D01G428300;TraesCS6B01G112700;TraesCS5A01G149000;TraesCS7B01G411000;TraesCS5A01G336500;TraesCS2B01G233400;TraesCS4B01G347000;TraesCS3D01G296900;TraesCS4D01G220700;TraesCS6D01G390000;TraesCS6D01G287300;TraesCS4D01G151500;TraesCS6A01G225200;TraesCS2B01G257300;TraesCSU01G093800;TraesCS5A01G093200;TraesCS6D01G162200;TraesCS7D01G339300;TraesCS4A01G120000;TraesCS4D01G120900;TraesCS6D01G298300;TraesCS4B01G109700;TraesCS6D01G047400;TraesCS1D01G409700;TraesCS4A01G167000;TraesCS5B01G171400;TraesCS7D01G283600;TraesCS3D01G281100;TraesCS3B01G423600;TraesCS6B01G282200;TraesCS5A01G189600;TraesCS3A01G332300;TraesCS2D01G383800;TraesCS6B01G238600;TraesCS5D01G118200;TraesCS4A01G138800;TraesCS1D01G325500;TraesCS6A01G212200;TraesCS7B01G219700;TraesCS1A01G246800;TraesCS3B01G149800;TraesCS4A01G042500;TraesCS7B01G162300;TraesCS7A01G327600;TraesCS6D01G244900;TraesCS2B01G520500;TraesCS7A01G252000;TraesCS5A01G357400;TraesCS3D01G327600;TraesCS7B01G242800;TraesCS3A01G521600;TraesCS5B01G036800;TraesCS4A01G342800;TraesCS4B01G041900;TraesCS3A01G288200;TraesCS1A01G024700;TraesCS4D01G160000;TraesCS2B01G325100;TraesCS4A01G078800;TraesCS3A01G268600;TraesCS3B01G303000;TraesCS4D01G003600;TraesCS3D01G224800;TraesCS5A01G199600;TraesCS6A01G123800;TraesCS7D01G227300;TraesCS1D01G190900;TraesCS5B01G409400;TraesCS6B01G213100;TraesCS4B01G015600;TraesCS2B01G346500;TraesCS5D01G412600;TraesCS3A01G334800;TraesCS7D01G288700;TraesCS1B01G193700;TraesCS5D01G481500;TraesCS2D01G492600;TraesCS5D01G099800;TraesCS4B01G288200;TraesCS5D01G530200;TraesCS6A01G143300;TraesCS5A01G119300;TraesCS5D01G366500;TraesCS4B01G220400;TraesCS4D01G214300;TraesCS4D01G252700;TraesCS7A01G264300;TraesCS6A01G355300;TraesCS2A01G280500;TraesCS3A01G381000;TraesCS6D01G007800;TraesCS7D01G025000;TraesCS2A01G200500;TraesCS7D01G250100;TraesCS7A01G307000;TraesCS3A01G052700;TraesCS6D01G362000;TraesCS6B01G246600;TraesCS7B01G197000;TraesCS6A01G209800;TraesCS5B01G396700;TraesCS3A01G189400;TraesCS3D01G527700;TraesCS7A01G341000;TraesCS7B01G177700;TraesCS7D01G284200;TraesCS7B01G189500;TraesCS3D01G240800;TraesCS5A01G104800;TraesCS7A01G004000;TraesCS2D01G094400;TraesCS3B01G088300;TraesCS3A01G435700;TraesCS4D01G122800;TraesCS3B01G435900;TraesCS6B01G256400;TraesCS7D01G407700;TraesCS2B01G304900;TraesCS1A01G198400;TraesCS5D01G459800;TraesCS3A01G191700;TraesCS3D01G328100;TraesCS4B01G290300;TraesCS1D01G211600;TraesCS7D01G231600;TraesCS2D01G105300;TraesCS6D01G062500;TraesCS6B01G414800;TraesCS7B01G085700;TraesCS4D01G085700;TraesCS2B01G592500;TraesCS3B01G268900;TraesCS6D01G094200;TraesCS4B01G129700;TraesCS2D01G205900;TraesCS4B01G150300;TraesCS6A01G308100;TraesCS4A01G262900;TraesCS1D01G003700;TraesCS3A01G402500;TraesCS5D01G551200;TraesCS6A01G336800;TraesCS6B01G134800;TraesCS1A01G137000;TraesCS2A01G338100;TraesCS3D01G271800;TraesCS3D01G288000;TraesCS7A01G381900;TraesCS5B01G563800;TraesCS7A01G450600;TraesCS7D01G073000;TraesCS2D01G279300;TraesCS6A01G259000;TraesCS3A01G503200;TraesCS4B01G164800;TraesCS2D01G327400;TraesCS2A01G110700;TraesCS3B01G257700;TraesCS7D01G378400;TraesCS4A01G144500;TraesCS7D01G447100;TraesCSU01G131300;TraesCS6D01G283300;TraesCS1B01G337800;TraesCS6B01G331800;TraesCS5D01G341200;TraesCS3D01G412500;TraesCS6A01G319100;TraesCS7B01G421100;TraesCS4A01G093100;TraesCS4B01G252400;TraesCS4A01G125000;TraesCS7A01G351100;TraesCS5A01G468600;TraesCS1B01G049300;TraesCS3D01G411200;TraesCS7A01G368900;TraesCS5A01G513500;TraesCS6B01G159200;TraesCS1A01G112800;TraesCS5A01G467500;TraesCS2D01G417300;TraesCS2B01G457300;TraesCS3B01G131400;TraesCS7D01G216000;TraesCS7D01G549100;TraesCS7B01G350400;TraesCS1B01G255100;TraesCS6D01G224200;TraesCS6B01G219700;TraesCS3A01G103900;TraesCS2D01G248600;TraesCS6B01G174500;TraesCS6D01G113900;TraesCS4A01G080100;TraesCS6D01G237400;TraesCS6A01G289200;TraesCS7D01G265200;TraesCS3B01G222400;TraesCS6A01G105400;TraesCS2B01G263300;TraesCS4B01G158000;TraesCS1B01G254000;TraesCS3A01G513500;TraesCS2B01G070700;TraesCS1D01G412600;TraesCS4D01G359000;TraesCS7A01G077400;TraesCS4A01G015800;TraesCS4A01G298100;TraesCS6A01G303800;TraesCS5A01G547300;TraesCS1B01G462200;TraesCS3D01G423300;TraesCS6B01G239000;TraesCS4A01G091100;TraesCS4A01G194100;TraesCS4A01G494400;TraesCS6A01G113000;TraesCS4D01G341900;TraesCS5B01G300100;TraesCS7D01G439900;TraesCS5D01G143800;TraesCS2A01G437700;TraesCS2D01G362700;TraesCS3A01G275700;TraesCS2D01G389900;TraesCS4B01G263100;TraesCS2D01G118000;TraesCS5D01G332000;TraesCS4D01G339700;TraesCS1D01G242500;TraesCS7D01G148200;TraesCS7D01G224900;TraesCS4A01G254100;TraesCS5B01G099300;TraesCS3A01G272200;TraesCS4A01G185400;TraesCS5B01G387600;TraesCS4A01G376000;TraesCS5B01G503800;TraesCS4A01G110800;TraesCS4A01G238100;TraesCS3D01G268700;TraesCS7A01G285800;TraesCS2D01G246100;TraesCS4A01G051900;TraesCS2A01G492300;TraesCS6D01G132500;TraesCS6D01G210000;TraesCS5B01G214400;TraesCS4D01G264800;TraesCS4D01G039100;TraesCS2B01G312600;TraesCS1D01G024800;TraesCS2D01G208300;TraesCS3A01G417000;TraesCS2D01G524500;TraesCS1A01G431600;TraesCS1A01G133500;TraesCS5B01G534400;TraesCS6B01G342300;TraesCS3A01G295400;TraesCS7D01G499800;TraesCS3D01G426300;TraesCS1D01G155100;TraesCS7A01G223300;TraesCS6D01G337500;TraesCS3D01G231200;TraesCS7D01G449900;TraesCS7D01G338600;TraesCS2A01G197900;TraesCS3D01G380100;TraesCS7A01G260600;TraesCS4A01G226900;TraesCS4B01G133200;TraesCS7A01G318800;TraesCS1A01G185900;TraesCS2A01G058700;TraesCS5A01G215900;TraesCS2B01G343900;TraesCS6A01G130900;TraesCS6B01G253900;TraesCS4D01G013900;TraesCS5B01G378700;TraesCS5B01G102600;TraesCS2B01G004000;TraesCS7D01G327700;TraesCS1A01G180200;TraesCS3B01G362100;TraesCS5B01G335500;TraesCS3D01G529200;TraesCS6D01G182200;TraesCS4B01G204500;TraesCS3D01G275600;TraesCS4A01G157100;TraesCS2B01G227800;TraesCS4A01G283000;TraesCS5D01G504600;TraesCS3A01G523700;TraesCS3B01G566600;TraesCS7B01G242200;TraesCS3A01G530100;TraesCS7D01G004500;TraesCS1A01G001800;TraesCS2B01G404600;TraesCS7A01G304400;TraesCS2B01G297800;TraesCS2D01G111300;TraesCS7A01G560200;TraesCS7B01G230100;TraesCS2A01G273400;TraesCS2B01G457600;TraesCS6B01G242800;TraesCS1B01G200300;TraesCS3A01G023800;TraesCS1D01G440900;TraesCS3A01G367000;TraesCS7D01G315400;TraesCS6A01G314100;TraesCS4D01G194300;TraesCS6B01G450500;TraesCS2B01G363200;TraesCS3D01G325800;TraesCS4B01G242800;TraesCS4B01G179400;TraesCS6A01G290600;TraesCS5A01G548800;TraesCS3D01G162700;TraesCS2A01G387000;TraesCS5B01G344200;TraesCS3A01G100000;TraesCS3B01G309400;TraesCS6B01G319000;TraesCS4A01G315700;TraesCS1A01G263400;TraesCS2D01G249200;TraesCS6A01G267300;TraesCS2B01G098800;TraesCS6B01G344100;TraesCS3A01G304900;TraesCS4D01G263300;TraesCS2D01G057900;TraesCS4B01G344600;TraesCS4D01G150700;TraesCS2A01G296400;TraesCS6D01G299200;TraesCS7B01G184800;TraesCS3B01G306000;TraesCS3D01G304800;TraesCS5D01G105500;TraesCS1B01G213300;TraesCS1A01G111100;TraesCS5B01G136500;TraesCS2B01G122500;TraesCS5D01G164800;TraesCS5B01G509500;TraesCS5B01G510500;TraesCS2B01G410100;TraesCS5A01G515700;TraesCS5D01G223700;TraesCS6B01G151900;TraesCS5B01G147600;TraesCS6D01G174500;TraesCS6A01G210200;TraesCS6D01G195400;TraesCS2B01G225300;TraesCS3B01G470400;TraesCS2A01G239200;TraesCS6D01G193000;TraesCS1B01G155600;TraesCS7A01G329600;TraesCS5B01G481100;TraesCS6B01G171600;TraesCS1B01G434400;TraesCS4B01G073200;TraesCS1A01G309200;TraesCS7D01G000100;TraesCS4B01G380800;TraesCS4D01G242400;TraesCS5B01G121000;TraesCS7B01G207300;TraesCS6B01G388100;TraesCS4A01G150500</t>
  </si>
  <si>
    <t>TraesCS3D01G426300;TraesCS4A01G125000;TraesCS5B01G484700;TraesCS5B01G155200;TraesCS7D01G283600;TraesCS4D01G108900;TraesCS4B01G179400;TraesCS5D01G162400;TraesCS7A01G222800;TraesCS2A01G387000;TraesCS2A01G448600;TraesCS2A01G058700;TraesCS6A01G212200;TraesCS6B01G159200;TraesCS2B01G469400;TraesCS1B01G396800;TraesCS4D01G147100;TraesCS5D01G551200;TraesCS3D01G288000;TraesCS4A01G315700;TraesCS1A01G376400;TraesCS5B01G563800;TraesCS2D01G447800;TraesCS6A01G267300;TraesCS1D01G383500;TraesCS2D01G057900;TraesCS6B01G315800;TraesCS7D01G549100;TraesCS1B01G255100;TraesCS5A01G149000;TraesCS5D01G105500;TraesCS2B01G050600;TraesCS1B01G213300;TraesCS5B01G147600;TraesCS6D01G195400;TraesCS1B01G254000;TraesCS5B01G036800;TraesCS2B01G070700;TraesCS7B01G129300;TraesCS5A01G093200;TraesCS3A01G288200;TraesCS7D01G224400;TraesCS1A01G133500;TraesCS5B01G534400;TraesCS2B01G325100;TraesCS5A01G157000;TraesCS7A01G560200;TraesCS1A01G198400;TraesCS4A01G093100;TraesCS6B01G242800;TraesCS1D01G211600;TraesCS5D01G396300;TraesCS6D01G047400</t>
  </si>
  <si>
    <t>organelle localization</t>
  </si>
  <si>
    <t>TraesCS1D01G264100;TraesCS3A01G212600;TraesCS4B01G252400;TraesCS4B01G114800;TraesCS5B01G249000;TraesCS1D01G226500;TraesCS2B01G271300;TraesCS1B01G049300;TraesCS5B01G339200;TraesCS4A01G375000;TraesCS5D01G219500;TraesCS4B01G286700;TraesCSU01G072700;TraesCS1D01G210200;TraesCS5D01G171100;TraesCS6A01G143300;TraesCS5D01G366500;TraesCS5B01G378700;TraesCS4D01G135000;TraesCS4B01G321500;TraesCS5B01G102600;TraesCS2A01G280500;TraesCS5B01G324800;TraesCS5D01G429200;TraesCS5A01G166800;TraesCS7A01G076600;TraesCS7A01G323200;TraesCS2A01G149600;TraesCS3A01G151100;TraesCS1B01G255100;TraesCS2B01G401900;TraesCS1A01G264000;TraesCS5B01G335500;TraesCS6A01G379000;TraesCS5B01G415100;TraesCS5A01G149000;TraesCS1D01G331000;TraesCS5A01G336500;TraesCS3D01G275600;TraesCS5D01G504600;TraesCS7D01G326000;TraesCS3A01G091100;TraesCS3A01G393400;TraesCS3A01G513500;TraesCS5A01G251000;TraesCS6A01G225200;TraesCS4A01G120000;TraesCS2B01G297800;TraesCS6B01G256400;TraesCS4B01G109700;TraesCS5D01G459800;TraesCS2B01G247100;TraesCS5A01G212500;TraesCS5A01G472100;TraesCS5D01G094000;TraesCS5D01G420300;TraesCS3A01G023800;TraesCS5D01G258900;TraesCS5A01G489100;TraesCS2A01G521400;TraesCS5B01G171400;TraesCS3B01G423600;TraesCS2D01G251000;TraesCS1A01G206900;TraesCS1B01G274600;TraesCS2A01G387000;TraesCS5D01G118200;TraesCS4D01G318200;TraesCS1B01G220700;TraesCS1A01G246800;TraesCS5D01G551200;TraesCS1D01G030500;TraesCS6B01G348700;TraesCS2D01G356700;TraesCS2A01G585800;TraesCS4A01G315700;TraesCS1B01G365600;TraesCS5B01G563800;TraesCS5A01G411500;TraesCS7D01G072300;TraesCS3D01G083400;TraesCS2D01G279300;TraesCS3B01G154900;TraesCS2B01G174700;TraesCS5A01G357400;TraesCS6A01G188100;TraesCS4A01G051900;TraesCS1A01G195500;TraesCS5A01G324200;TraesCS1B01G293500;TraesCS6D01G132500;TraesCS6D01G210000;TraesCS1D01G199100;TraesCS2D01G148200;TraesCS5A01G490500;TraesCS5B01G147600;TraesCS5B01G409700;TraesCS3D01G514100;TraesCS2A01G467900;TraesCS2A01G455300;TraesCS5B01G036800;TraesCS5D01G341200;TraesCS3D01G091000;TraesCS1A01G284300;TraesCS2B01G477400;TraesCS6B01G171600;TraesCS3A01G082700</t>
  </si>
  <si>
    <t>plant organ development</t>
  </si>
  <si>
    <t>TraesCS5A01G229300;TraesCS6D01G299200;TraesCS2B01G340300;TraesCS7D01G227300;TraesCS1D01G411300;TraesCS3A01G052700;TraesCS6D01G152700;TraesCS2A01G114400;TraesCS2D01G320900;TraesCS1A01G392000;TraesCS5A01G482800;TraesCS2B01G233400;TraesCS7A01G238400;TraesCS4A01G226900;TraesCS4B01G089500;TraesCS5A01G414400;TraesCS5D01G357600;TraesCS2D01G238700;TraesCS3B01G061700;TraesCS5B01G256400;TraesCS1A01G403800;TraesCS2B01G133500;TraesCS2D01G253200;TraesCS5A01G454300;TraesCS5D01G265500;TraesCS5B01G227900;TraesCS3D01G051800;TraesCS5D01G496400;TraesCS2B01G312600;TraesCS6A01G319700;TraesCS2A01G342600;TraesCS2B01G272300;TraesCS5D01G329200;TraesCS2D01G115200;TraesCS4D01G086400;TraesCS5D01G238300;TraesCS5B01G322900;TraesCS5B01G496000;TraesCS2A01G252600;TraesCS2A01G187200;TraesCS2A01G296400;TraesCS5A01G457500;TraesCS1B01G317500</t>
  </si>
  <si>
    <t>TraesCS2B01G174600;TraesCS1D01G264100;TraesCS3A01G212600;TraesCS6A01G360600;TraesCS7B01G352800;TraesCS5D01G472300;TraesCS1D01G226500;TraesCS4D01G194300;TraesCS2B01G382000;TraesCS1B01G049300;TraesCS6A01G373400;TraesCS1B01G274600;TraesCS3A01G097200;TraesCS5D01G171100;TraesCS5B01G378700;TraesCS7D01G442100;TraesCS1D01G316200;TraesCS2D01G059400;TraesCS5A01G166800;TraesCS2D01G361800;TraesCS6B01G393500;TraesCS5B01G037500;TraesCS2A01G149600;TraesCS2A01G563500;TraesCS2A01G095300;TraesCS2B01G401900;TraesCS5D01G044700;TraesCS1A01G264000;TraesCS2B01G174700;TraesCS5B01G335500;TraesCS2D01G565200;TraesCS4A01G110800;TraesCS5A01G036600;TraesCS5A01G336500;TraesCS3A01G200400;TraesCS1B01G293500;TraesCS6D01G344100;TraesCS1D01G178000;TraesCS3B01G252200;TraesCS5D01G341200;TraesCS5A01G020800;TraesCS1A01G284300;TraesCS6D01G357600;TraesCS1D01G298400;TraesCS6B01G190300;TraesCS7A01G452800;TraesCS5A01G460600;TraesCS4B01G109700;TraesCS3D01G203400;TraesCS2D01G093700;TraesCS6A01G161200;TraesCS2B01G247100;TraesCS2A01G149500;TraesCS1A01G299500</t>
  </si>
  <si>
    <t>TraesCS3D01G426300;TraesCS1B01G261600;TraesCS4B01G015600;TraesCS5D01G219500;TraesCS3B01G046100;TraesCS3D01G041900;TraesCS1D01G101200;TraesCS2D01G492600;TraesCS4A01G226900;TraesCS5A01G513500;TraesCS1D01G210200;TraesCS5B01G141000;TraesCS4B01G288200;TraesCS4B01G213600;TraesCS2B01G528300;TraesCS5B01G227900;TraesCS6A01G143300;TraesCS4D01G153900;TraesCS6D01G122800;TraesCS4B01G226100;TraesCS3A01G181600;TraesCS4B01G150600;TraesCS4B01G220400;TraesCS4D01G214300;TraesCS5D01G181600;TraesCS3B01G185300;TraesCS5A01G501800;TraesCS4D01G013900;TraesCS4D01G135000;TraesCS2A01G280500;TraesCS3A01G381000;TraesCS5B01G324800;TraesCS5D01G429200;TraesCS6A01G133100;TraesCS1A01G092700;TraesCS5A01G096100;TraesCS4A01G116000;TraesCS7B01G113100;TraesCS3A01G484800;TraesCS4A01G286700;TraesCS3A01G151100;TraesCS2B01G340300;TraesCS7A01G307000;TraesCS5B01G415100;TraesCS3A01G103900;TraesCS4B01G204500;TraesCS3A01G189400;TraesCS3D01G527700;TraesCS2A01G193800;TraesCS5B01G476900;TraesCS5D01G026000;TraesCS4D01G220700;TraesCS4B01G028100;TraesCS5A01G173700;TraesCS1B01G254000;TraesCS3A01G513500;TraesCS4A01G101500;TraesCS4D01G204000;TraesCS2D01G094400;TraesCS4D01G025700;TraesCS4A01G298100;TraesCS5D01G108700;TraesCS1A01G007500;TraesCS5B01G174600;TraesCS2B01G297800;TraesCS4D01G120900;TraesCS2A01G252600;TraesCS3D01G228800;TraesCS6A01G303800;TraesCS5B01G171100;TraesCS2A01G500400;TraesCS3A01G191700;TraesCS5A01G212500;TraesCS4D01G240700;TraesCS6D01G047400;TraesCS2A01G187700;TraesCS2D01G154100;TraesCS4A01G091100;TraesCS5D01G420300;TraesCS3A01G367000;TraesCS5D01G067600;TraesCS5B01G300100;TraesCS2A01G114400;TraesCS6A01G314100;TraesCS7D01G283600;TraesCS3D01G434800;TraesCS5B01G132600;TraesCS3A01G084400;TraesCS5D01G149900;TraesCS2B01G592500;TraesCS6A01G290600;TraesCS1A01G206900;TraesCS2D01G194000;TraesCS1D01G086600;TraesCS2B01G133500;TraesCS1B01G220700;TraesCS4D01G339700;TraesCS6D01G065600;TraesCS5B01G502700;TraesCS5B01G084600;TraesCS4D01G157500;TraesCS2A01G342600;TraesCS2B01G272300;TraesCS2D01G520000;TraesCS4D01G327300;TraesCS5A01G056400;TraesCS6B01G176600;TraesCS7A01G190500;TraesCS5A01G411500;TraesCS3D01G083400;TraesCS4B01G287200;TraesCS2D01G279300;TraesCS5A01G132300;TraesCS6A01G267300;TraesCS3B01G370200;TraesCS6B01G344100;TraesCS3A01G224800;TraesCS2A01G296400;TraesCS5B01G102000;TraesCS2B01G520500;TraesCS4B01G193400;TraesCS7A01G359800;TraesCS1D01G094400;TraesCS5B01G155100;TraesCS2D01G500600;TraesCS1D01G390500;TraesCS4A01G165600;TraesCS1A01G195500;TraesCS2A01G492300;TraesCS5A01G324200;TraesCS3D01G084300;TraesCS6D01G132500;TraesCS7A01G314100;TraesCS6A01G070600;TraesCS1D01G199100;TraesCS4D01G159800;TraesCS6D01G283300;TraesCS3D01G514100;TraesCS2A01G467900;TraesCS2D01G238600;TraesCS5B01G256400;TraesCS3A01G521600;TraesCS5B01G036800;TraesCS2B01G312600;TraesCS7D01G169500;TraesCS6B01G171600;TraesCS4A01G298700;TraesCS6B01G173500;TraesCS1D01G198700;TraesCS4D01G189600;TraesCS3A01G082700;TraesCS2D01G549100;TraesCS3D01G087300;TraesCS7D01G000100;TraesCS7B01G207300</t>
  </si>
  <si>
    <t>TraesCS3D01G426300;TraesCS1B01G261600;TraesCS4B01G015600;TraesCS5D01G219500;TraesCS3B01G046100;TraesCS3D01G041900;TraesCS1D01G101200;TraesCS2D01G492600;TraesCS4A01G226900;TraesCS5A01G513500;TraesCS1D01G210200;TraesCS5B01G141000;TraesCS4B01G288200;TraesCS4B01G213600;TraesCS2B01G528300;TraesCS5B01G227900;TraesCS6A01G143300;TraesCS4D01G153900;TraesCS6D01G122800;TraesCS4B01G226100;TraesCS3A01G181600;TraesCS4B01G150600;TraesCS4B01G220400;TraesCS4D01G214300;TraesCS5D01G181600;TraesCS3B01G185300;TraesCS5A01G501800;TraesCS4D01G013900;TraesCS4D01G135000;TraesCS7A01G451100;TraesCS2A01G280500;TraesCS3A01G381000;TraesCS5B01G324800;TraesCS5D01G429200;TraesCS6A01G133100;TraesCS1A01G092700;TraesCS5A01G096100;TraesCS4A01G116000;TraesCS7B01G113100;TraesCS3A01G484800;TraesCS4A01G286700;TraesCS3A01G151100;TraesCS2B01G340300;TraesCS7A01G307000;TraesCS5B01G415100;TraesCS3A01G103900;TraesCS4B01G204500;TraesCS3A01G189400;TraesCS3D01G527700;TraesCS2A01G193800;TraesCS5B01G476900;TraesCS5D01G026000;TraesCS4D01G220700;TraesCS4B01G028100;TraesCS5A01G173700;TraesCS1B01G254000;TraesCS3A01G513500;TraesCS4A01G101500;TraesCS4D01G204000;TraesCS2D01G094400;TraesCS4D01G025700;TraesCS4A01G298100;TraesCS5D01G108700;TraesCS1A01G007500;TraesCS5B01G174600;TraesCS2B01G297800;TraesCS4D01G120900;TraesCS2A01G252600;TraesCS3D01G228800;TraesCS6A01G303800;TraesCS5B01G171100;TraesCS2A01G500400;TraesCS3A01G191700;TraesCS5A01G212500;TraesCS4D01G240700;TraesCS6D01G047400;TraesCS2A01G187700;TraesCS2D01G154100;TraesCS4A01G091100;TraesCS5D01G420300;TraesCS3A01G367000;TraesCS5D01G067600;TraesCS5B01G300100;TraesCS2A01G114400;TraesCS6A01G314100;TraesCS7D01G283600;TraesCS3D01G434800;TraesCS5B01G132600;TraesCS3A01G084400;TraesCS5D01G149900;TraesCS2B01G592500;TraesCS6A01G290600;TraesCS1A01G206900;TraesCS2D01G194000;TraesCS1D01G086600;TraesCS2B01G133500;TraesCS1B01G220700;TraesCS4D01G339700;TraesCS6D01G065600;TraesCS5B01G502700;TraesCS5B01G084600;TraesCS4D01G157500;TraesCS2A01G342600;TraesCS2B01G272300;TraesCS2D01G520000;TraesCS4D01G327300;TraesCS5A01G056400;TraesCS6B01G176600;TraesCS7A01G190500;TraesCS5A01G411500;TraesCS3D01G083400;TraesCS4B01G287200;TraesCS2D01G279300;TraesCS5A01G132300;TraesCS6A01G267300;TraesCS3B01G370200;TraesCS6B01G344100;TraesCS3A01G224800;TraesCS2A01G296400;TraesCS5B01G102000;TraesCS2B01G520500;TraesCS4B01G193400;TraesCS7A01G359800;TraesCS1D01G094400;TraesCS5B01G155100;TraesCS2D01G500600;TraesCS1D01G390500;TraesCS4A01G165600;TraesCS1A01G195500;TraesCS2A01G492300;TraesCS5A01G324200;TraesCS3D01G084300;TraesCS6D01G132500;TraesCS7A01G314100;TraesCS6A01G070600;TraesCS1D01G199100;TraesCS4D01G159800;TraesCS6D01G283300;TraesCS3D01G514100;TraesCS2A01G467900;TraesCS2D01G238600;TraesCS5B01G256400;TraesCS3A01G521600;TraesCS5B01G036800;TraesCS2B01G312600;TraesCS7D01G169500;TraesCS6B01G171600;TraesCS4A01G298700;TraesCS6B01G173500;TraesCS1D01G198700;TraesCS4D01G189600;TraesCS3A01G082700;TraesCS2D01G549100;TraesCS3D01G087300;TraesCS7D01G000100;TraesCS7B01G207300</t>
  </si>
  <si>
    <t>TraesCS7D01G298100;TraesCS7B01G352800;TraesCS1D01G409700;TraesCS5D01G472300;TraesCS1B01G049300;TraesCS2B01G592500;TraesCS2D01G362700;TraesCS5A01G114000;TraesCS3A01G097200;TraesCS2D01G253100;TraesCS4A01G138800;TraesCS4D01G318200;TraesCS1D01G325500;TraesCS5D01G171100;TraesCS5B01G162300;TraesCS3D01G173500;TraesCS1A01G324800;TraesCS7D01G442100;TraesCS2D01G059400;TraesCS4B01G321500;TraesCS3A01G224000;TraesCS3A01G167400;TraesCS5A01G166800;TraesCS2B01G098800;TraesCS5B01G037500;TraesCS2A01G149600;TraesCS2A01G200500;TraesCS3B01G198800;TraesCS2A01G563500;TraesCS2A01G095300;TraesCS2B01G401900;TraesCS3B01G253500;TraesCS5D01G044700;TraesCS2B01G174700;TraesCS3B01G251200;TraesCS5B01G115000;TraesCS1A01G180200;TraesCS5B01G335500;TraesCS6A01G379000;TraesCS1D01G331000;TraesCS5A01G036600;TraesCS5A01G336500;TraesCS6A01G312100;TraesCS3A01G200400;TraesCS6B01G151900;TraesCS5A01G490500;TraesCS2B01G227800;TraesCS1B01G337800;TraesCS3B01G252200;TraesCS3B01G088300;TraesCS5D01G341200;TraesCS4B01G276500;TraesCS2D01G208300;TraesCS7D01G505300;TraesCS4D01G116000;TraesCS1D01G298400;TraesCS6B01G190300;TraesCS7A01G452800;TraesCS5A01G460600;TraesCS4B01G109700;TraesCS3D01G203400;TraesCS6B01G342300;TraesCS5A01G115400;TraesCS7A01G514900;TraesCS2A01G252400;TraesCS2D01G093700;TraesCS3A01G295400;TraesCS6A01G161200;TraesCS2B01G247100;TraesCS1A01G299500;TraesCS1B01G200300;TraesCS2A01G403100</t>
  </si>
  <si>
    <t>TraesCS7A01G466600;TraesCS3A01G264600;TraesCS1B01G261600;TraesCS1D01G107300;TraesCS2D01G561900;TraesCS5A01G103100;TraesCS7D01G399400;TraesCS3B01G297900;TraesCS5B01G171400;TraesCS5B01G000600;TraesCS5A01G059900;TraesCS1B01G049300;TraesCS1D01G222700;TraesCS7D01G261100;TraesCS1A01G256800;TraesCS2D01G427900;TraesCS4B01G230500;TraesCS4D01G318200;TraesCS5B01G107400;TraesCS1D01G265200;TraesCS1D01G433300;TraesCS2B01G150400;TraesCS3D01G150600;TraesCS3B01G185300;TraesCS4B01G152700;TraesCS4B01G245400;TraesCS2A01G434600;TraesCSU01G121900;TraesCS6B01G176600;TraesCS1B01G267200;TraesCS5D01G000100;TraesCS2D01G554500;TraesCS4B01G321500;TraesCS5D01G484800;TraesCS4D01G244000;TraesCS2A01G149600;TraesCS2B01G375700;TraesCS5B01G232400;TraesCS6B01G311200;TraesCS2A01G592600;TraesCS2D01G399800;TraesCS3B01G299100;TraesCS2A01G095300;TraesCS2B01G174700;TraesCS6D01G278500;TraesCS1A01G180200;TraesCS1D01G103000;TraesCS6A01G379000;TraesCS2A01G391400;TraesCS3D01G264700;TraesCS1A01G094200;TraesCS4A01G078900;TraesCS4A01G164900;TraesCS6A01G282800;TraesCS7A01G260100;TraesCS2B01G185800;TraesCS7B01G124100;TraesCS5A01G490500;TraesCS7D01G454200;TraesCS3A01G091100;TraesCS5D01G208100;TraesCS1A01G099400;TraesCS2A01G159900;TraesCS3B01G252200;TraesCS1B01G122300;TraesCS3D01G091000;TraesCS5D01G240800;TraesCS7D01G152900;TraesCS1A01G221100;TraesCS1A01G095200;TraesCS7A01G151000;TraesCS6D01G263300;TraesCS4A01G334700;TraesCS4A01G074200;TraesCS2D01G093700;TraesCS2B01G247100;TraesCS5B01G484800;TraesCS5A01G472100;TraesCS1B01G200300;TraesCS7A01G200700;TraesCS2A01G128300;TraesCS5A01G233900</t>
  </si>
  <si>
    <t>TraesCS7A01G466600;TraesCS1D01G264100;TraesCS5B01G270200;TraesCS6D01G337700;TraesCS3A01G023800;TraesCS5A01G489100;TraesCS3A01G367000;TraesCS5B01G205700;TraesCS4B01G015600;TraesCS1D01G092200;TraesCS2A01G521400;TraesCS5A01G396700;TraesCS5B01G171400;TraesCS7D01G283600;TraesCS3B01G423600;TraesCS1B01G049300;TraesCS2A01G437700;TraesCS5B01G339200;TraesCS2B01G592500;TraesCS2D01G362700;TraesCS1A01G206900;TraesCS4B01G129700;TraesCS5A01G548800;TraesCS1B01G274600;TraesCSU01G072700;TraesCS3D01G273800;TraesCS7A01G222800;TraesCS1D01G210200;TraesCS2A01G392900;TraesCS3A01G097200;TraesCS7A01G316700;TraesCS4B01G288200;TraesCS1B01G220700;TraesCS1D01G433300;TraesCS7B01G240200;TraesCS2A01G585800;TraesCS4A01G052600;TraesCS4D01G013900;TraesCS5B01G378700;TraesCS4B01G091100;TraesCS3A01G381000;TraesCS5D01G429200;TraesCS6A01G267300;TraesCS7A01G323200;TraesCS3A01G304900;TraesCS3B01G154900;TraesCS5B01G037500;TraesCS2A01G200500;TraesCS4A01G286700;TraesCS2D01G399800;TraesCS5D01G044700;TraesCS1A01G264000;TraesCS5B01G335500;TraesCS7A01G342800;TraesCS5A01G036600;TraesCS5A01G336500;TraesCS1A01G254400;TraesCS1A01G086500;TraesCS3D01G296900;TraesCS6B01G039900;TraesCS2B01G227800;TraesCS2A01G467900;TraesCS5D01G504600;TraesCS7D01G326000;TraesCS7D01G454200;TraesCS3A01G091100;TraesCS7D01G343300;TraesCS4B01G028100;TraesCS5A01G173700;TraesCS7A01G335600;TraesCS7B01G217500;TraesCS5A01G104800;TraesCS5D01G230300;TraesCS5D01G341200;TraesCS7B01G129300;TraesCS4D01G025700;TraesCS3D01G091000;TraesCS4D01G359000;TraesCS2D01G208300;TraesCS4A01G298100;TraesCS4A01G120000;TraesCS4D01G122800;TraesCS7D01G224400;TraesCS1A01G133500;TraesCS1A01G100600;TraesCS2B01G457600;TraesCS5B01G171100;TraesCS1B01G110400;TraesCS4D01G003600;TraesCS5A01G472100;TraesCS6A01G343500;TraesCS5D01G396300;TraesCS1B01G462200</t>
  </si>
  <si>
    <t>tissue development</t>
  </si>
  <si>
    <t>TraesCS2D01G154100;TraesCS3D01G426300;TraesCS4A01G091100;TraesCS1B01G261600;TraesCS3A01G367000;TraesCS2A01G114400;TraesCS6A01G314100;TraesCS3D01G434800;TraesCS3A01G084400;TraesCS5D01G149900;TraesCS2B01G592500;TraesCS5D01G219500;TraesCS6A01G290600;TraesCS1D01G101200;TraesCS2D01G492600;TraesCS4A01G226900;TraesCS5A01G513500;TraesCS5B01G141000;TraesCS4B01G288200;TraesCS2B01G133500;TraesCS4B01G213600;TraesCS4D01G339700;TraesCS6D01G065600;TraesCS2B01G528300;TraesCS5B01G227900;TraesCS6A01G143300;TraesCS5B01G502700;TraesCS4B01G226100;TraesCS3A01G181600;TraesCS5B01G084600;TraesCS2A01G342600;TraesCS4D01G214300;TraesCS5D01G181600;TraesCS2B01G272300;TraesCS5A01G501800;TraesCS2D01G520000;TraesCS4D01G327300;TraesCS6B01G176600;TraesCS7A01G190500;TraesCS3D01G083400;TraesCS3A01G381000;TraesCS5B01G324800;TraesCS5D01G429200;TraesCS1A01G092700;TraesCS6A01G267300;TraesCS3B01G370200;TraesCS4A01G116000;TraesCS6B01G344100;TraesCS2A01G296400;TraesCS2B01G520500;TraesCS3A01G151100;TraesCS2B01G340300;TraesCS7A01G359800;TraesCS1D01G094400;TraesCS3A01G103900;TraesCS2D01G500600;TraesCS1D01G390500;TraesCS3A01G189400;TraesCS1A01G195500;TraesCS2A01G492300;TraesCS3D01G527700;TraesCS5A01G324200;TraesCS3D01G084300;TraesCS5B01G476900;TraesCS6D01G132500;TraesCS1D01G199100;TraesCS3D01G514100;TraesCS2A01G467900;TraesCS2D01G238600;TraesCS5B01G256400;TraesCS3A01G521600;TraesCS5A01G173700;TraesCS4A01G101500;TraesCS4D01G204000;TraesCS2D01G094400;TraesCS2B01G312600;TraesCS7D01G169500;TraesCS1A01G007500;TraesCS6B01G171600;TraesCS4A01G298700;TraesCS4D01G120900;TraesCS2A01G252600;TraesCS4D01G189600;TraesCS5B01G171100;TraesCS3A01G082700;TraesCS2A01G500400;TraesCS3A01G191700;TraesCS3D01G087300;TraesCS7D01G000100;TraesCS5A01G212500;TraesCS4D01G240700;TraesCS6D01G047400</t>
  </si>
  <si>
    <t>TraesCS6D01G016900;TraesCS5B01G484700;TraesCS6B01G454500;TraesCS7A01G175300;TraesCS6D01G344200;TraesCS3D01G273800;TraesCS1A01G369600;TraesCS4B01G213600;TraesCS3B01G206600;TraesCS3B01G193200;TraesCS4D01G147100;TraesCS5A01G014400;TraesCS5B01G412400;TraesCS7D01G056800;TraesCS2D01G394900;TraesCS7A01G541200;TraesCS1A01G355200;TraesCS7B01G382800;TraesCS7B01G104400;TraesCS7A01G190700;TraesCS5D01G056900;TraesCS5B01G324800;TraesCS5D01G429200;TraesCS2D01G233900;TraesCS3B01G219700;TraesCS1B01G202100;TraesCS2B01G448000;TraesCS4A01G286700;TraesCS3A01G216100;TraesCS4B01G135800;TraesCS5D01G376600;TraesCS4B01G347000;TraesCS5D01G026000;TraesCS4D01G220700;TraesCS3A01G091100;TraesCS6D01G287300;TraesCS3A01G393400;TraesCS4A01G101500;TraesCS6A01G225200;TraesCS2B01G257300;TraesCS4D01G204000;TraesCS4D01G025700;TraesCS5A01G093200;TraesCS6D01G162200;TraesCS4D01G250100;TraesCS5B01G174600;TraesCS4A01G120000;TraesCS4D01G120900;TraesCS6B01G190300;TraesCS7A01G415500;TraesCS7D01G224400;TraesCS4B01G109700;TraesCS5B01G171100;TraesCS2A01G500400;TraesCS2B01G201700;TraesCS2D01G093700;TraesCS3B01G309700;TraesCS2B01G207000;TraesCS6D01G047400;TraesCS5A01G229300;TraesCS6A01G245000;TraesCS7B01G103100;TraesCS4D01G278500;TraesCS7A01G269900;TraesCS7D01G283600;TraesCS1B01G375300;TraesCS2D01G383800;TraesCS1B01G274600;TraesCS2B01G303300;TraesCS6B01G238600;TraesCS7A01G222800;TraesCS3A01G223700;TraesCS3D01G369100;TraesCS1A01G275400;TraesCS1A01G403800;TraesCS3D01G407300;TraesCS4D01G132900;TraesCS7B01G162300;TraesCS5B01G084600;TraesCS7A01G190500;TraesCS4D01G081600;TraesCS6A01G158300;TraesCS6A01G125400;TraesCS3A01G224800;TraesCS5D01G321900;TraesCS2B01G520500;TraesCS6B01G166400;TraesCS1B01G366400;TraesCS2B01G315300;TraesCS5A01G315800;TraesCS5D01G044700;TraesCS6B01G296700;TraesCS7A01G510900;TraesCS5A01G357400;TraesCS1A01G025900;TraesCS4D01G165800;TraesCS2D01G597600;TraesCS3D01G336200;TraesCS7D01G291200;TraesCS5B01G185700;TraesCS2A01G467900;TraesCS3A01G521600;TraesCS5D01G280400;TraesCS2B01G477400;TraesCS3B01G103500;TraesCS3A01G288200;TraesCS6B01G062400;TraesCS4A01G298700;TraesCS6D01G189700;TraesCS4A01G005000;TraesCS4A01G078800;TraesCS3A01G268600;TraesCS6B01G099900;TraesCS3D01G224800;TraesCS1D01G264100;TraesCS5D01G013100;TraesCS6D01G041700;TraesCS7D01G227300;TraesCS5B01G409400;TraesCS5A01G229500;TraesCS6A01G018600;TraesCS1B01G343100;TraesCS7A01G390300;TraesCS7D01G288700;TraesCS1D01G275000;TraesCS5D01G099800;TraesCS1A01G218000;TraesCS5B01G539900;TraesCS7A01G276400;TraesCS1D01G265200;TraesCS5D01G530200;TraesCS5A01G119300;TraesCS3D01G217700;TraesCS5A01G123800;TraesCS4D01G252700;TraesCS1B01G348800;TraesCS6A01G355300;TraesCS5A01G050100;TraesCS2B01G079700;TraesCS5B01G154600;TraesCS6B01G199500;TraesCS3A01G528800;TraesCS3A01G381000;TraesCS1A01G092700;TraesCS6D01G007800;TraesCS2A01G093700;TraesCS7D01G025000;TraesCS2A01G187200;TraesCS2A01G223600;TraesCS5A01G004200;TraesCS3A01G151100;TraesCS7B01G054900;TraesCS7A01G277700;TraesCS7A01G307000;TraesCS1A01G224700;TraesCS1D01G241000;TraesCS6B01G246600;TraesCS1D01G155800;TraesCS7B01G197000;TraesCS6D01G186000;TraesCS6A01G209800;TraesCS2A01G309600;TraesCS1A01G241000;TraesCS2B01G086200;TraesCS5A01G054700;TraesCS1D01G252100;TraesCS5D01G261300;TraesCS7A01G220600;TraesCS3A01G412600;TraesCS2D01G362200;TraesCS3B01G254500;TraesCS6B01G356900;TraesCS5A01G104800;TraesCS2D01G094400;TraesCS7B01G129300;TraesCS3A01G435700;TraesCS3D01G376500;TraesCS5D01G238300;TraesCS6B01G256400;TraesCS3D01G228800;TraesCS7D01G407700;TraesCS1B01G378000;TraesCS4B01G151200;TraesCS3A01G278200;TraesCS4D01G240700;TraesCS6D01G179700;TraesCS7D01G332300;TraesCS7B01G006600;TraesCS5D01G237400;TraesCS7A01G139800;TraesCS1B01G301500;TraesCS2D01G397800;TraesCS3A01G084400;TraesCS3B01G093800;TraesCS2A01G175400;TraesCS3B01G268900;TraesCS4A01G354500;TraesCS6D01G094200;TraesCS4B01G129700;TraesCS2A01G092400;TraesCS2D01G194000;TraesCS4D01G318200;TraesCS6A01G308100;TraesCS4A01G262900;TraesCS1D01G003700;TraesCS2B01G150400;TraesCS6A01G336800;TraesCS6B01G134800;TraesCS2A01G338100;TraesCS3D01G271800;TraesCS3D01G288000;TraesCS2A01G342600;TraesCS5D01G402300;TraesCS6B01G176600;TraesCS4D01G003100;TraesCS2D01G059400;TraesCS4B01G287200;TraesCS2D01G279300;TraesCS4D01G107000;TraesCS3B01G370200;TraesCS7A01G076400;TraesCS5B01G517900;TraesCS7D01G032800;TraesCS6A01G146500;TraesCS5D01G424400;TraesCS6A01G192600;TraesCS6D01G293100;TraesCS3A01G187300;TraesCS2B01G185800;TraesCS5D01G005300;TraesCS6D01G283300;TraesCS5A01G416700;TraesCS5B01G256400;TraesCS4A01G247300;TraesCS6B01G331800;TraesCS1A01G265000;TraesCS2A01G455300;TraesCS2D01G407000;TraesCS7D01G169500;TraesCS3B01G497300;TraesCS3D01G412500;TraesCS5D01G329200;TraesCS4B01G154900;TraesCS7B01G236400;TraesCS2B01G604300;TraesCS4B01G131800;TraesCS1A01G281700;TraesCS4B01G109900;TraesCS2A01G382000;TraesCS1D01G198700;TraesCS4D01G189600;TraesCS7B01G446500;TraesCS4A01G093100;TraesCS6D01G121300;TraesCS4B01G252400;TraesCS5D01G525000;TraesCS4A01G125000;TraesCS6A01G184000;TraesCS2A01G234900;TraesCS5A01G468600;TraesCS1B01G049300;TraesCS5D01G219500;TraesCS5A01G108000;TraesCS5D01G162400;TraesCS7D01G150200;TraesCS1D01G101200;TraesCS4D01G170800;TraesCS2B01G229600;TraesCS1D01G219700;TraesCS5D01G171100;TraesCS1A01G292100;TraesCS4B01G226100;TraesCS7D01G276300;TraesCS4B01G152900;TraesCS3D01G150400;TraesCS5A01G467500;TraesCS5D01G517600;TraesCS3B01G408800;TraesCS2A01G206200;TraesCS7D01G216000;TraesCS3D01G169000;TraesCS7D01G159000;TraesCS7B01G350400;TraesCS7B01G153100;TraesCS6A01G201800;TraesCS2D01G248600;TraesCS6B01G174500;TraesCS2A01G299200;TraesCS4A01G080100;TraesCS6B01G257900;TraesCS6A01G289200;TraesCS7D01G265200;TraesCS1A01G340400;TraesCS2D01G291200;TraesCS6A01G105400;TraesCS2B01G263300;TraesCS3D01G345500;TraesCS5D01G230300;TraesCS2B01G070700;TraesCS4A01G013500;TraesCS4A01G298100;TraesCS4B01G069300;TraesCS2A01G330000;TraesCS5A01G491400;TraesCS6A01G230100;TraesCS2A01G187700;TraesCS2D01G154100;TraesCS6A01G312200;TraesCS7B01G352800;TraesCS7A01G491200;TraesCS4A01G494400;TraesCS5B01G228900;TraesCS5B01G300100;TraesCS7D01G439900;TraesCS1D01G092200;TraesCS2D01G362700;TraesCS4B01G263100;TraesCS3D01G237100;TraesCS1B01G352700;TraesCS4D01G339700;TraesCS1D01G342400;TraesCS7D01G083200;TraesCS1D01G242500;TraesCS4B01G083600;TraesCS4D01G107400;TraesCS1B01G478800;TraesCS4D01G327300;TraesCS2B01G434600;TraesCS6D01G270400;TraesCS6B01G393500;TraesCS2A01G095300;TraesCS3A01G264700;TraesCS2D01G114900;TraesCS4A01G110800;TraesCS1D01G094400;TraesCS6B01G026900;TraesCS3D01G268700;TraesCS4A01G290400;TraesCS3A01G202700;TraesCS2D01G467900;TraesCS1A01G313300;TraesCS3D01G258900;TraesCS5A01G490500;TraesCS2B01G248100;TraesCS3D01G388400;TraesCS2D01G238600;TraesCS4A01G206400;TraesCS5B01G189500;TraesCS3A01G417000;TraesCS7D01G409000;TraesCS4D01G086400;TraesCS5B01G534400;TraesCS5B01G075800;TraesCS5B01G477800;TraesCS2D01G200700;TraesCS3D01G278500;TraesCS2D01G239700;TraesCS7A01G466600;TraesCS3D01G426300;TraesCS2A01G286500;TraesCS6D01G337500;TraesCS3D01G191100;TraesCS7D01G338600;TraesCS2A01G197900;TraesCS2B01G133300;TraesCS4A01G226900;TraesCS3A01G313300;TraesCS2A01G392900;TraesCS4A01G023500;TraesCS1A01G388400;TraesCS4A01G092500;TraesCS2B01G528300;TraesCS6D01G122800;TraesCS7A01G173500;TraesCS6A01G269400;TraesCS1A01G418700;TraesCS4D01G013900;TraesCS5B01G378700;TraesCS2A01G225100;TraesCS1B01G325100;TraesCS5B01G102600;TraesCS4B01G023800;TraesCS3A01G134100;TraesCS2B01G004000;TraesCS2A01G149600;TraesCS2B01G415500;TraesCS7D01G327700;TraesCS3D01G182400;TraesCS6D01G301300;TraesCS7B01G182300;TraesCS2B01G340300;TraesCS3D01G346200;TraesCS1A01G180200;TraesCS3B01G228900;TraesCS3B01G362100;TraesCS3D01G495100;TraesCS6A01G171300;TraesCS4B01G204500;TraesCS3D01G275600;TraesCS2D01G310000;TraesCS3A01G055300;TraesCS5B01G476900;TraesCS1A01G145000;TraesCS5A01G173700;TraesCS7B01G242200;TraesCS7D01G218000;TraesCS2A01G067500;TraesCS7D01G413700;TraesCS2B01G404600;TraesCS4D01G193500;TraesCS4D01G157200;TraesCS5A01G157000;TraesCS7A01G560200;TraesCS7B01G419900;TraesCS1B01G110400;TraesCS2A01G460000;TraesCS5A01G212500;TraesCS5D01G417400;TraesCS6B01G242800;TraesCS1B01G200300;TraesCS1B01G317500;TraesCS4A01G232300;TraesCS3B01G308200;TraesCS6B01G450500;TraesCS4B01G242800;TraesCS7A01G480700;TraesCS6A01G290600;TraesCS2A01G226000;TraesCS2B01G107200;TraesCS6D01G245600;TraesCS2B01G307500;TraesCS1D01G086600;TraesCS2B01G133500;TraesCS4B01G165100;TraesCS3A01G232700;TraesCS6D01G315500;TraesCS1A01G263400;TraesCS6A01G078200;TraesCS7D01G457900;TraesCS2B01G273900;TraesCS7B01G421800;TraesCS6D01G163700;TraesCS2A01G523600;TraesCS6A01G307700;TraesCS6B01G344100;TraesCS5A01G046600;TraesCS2B01G318400;TraesCS2D01G057900;TraesCS5D01G138500;TraesCS6D01G299200;TraesCS3B01G306000;TraesCS1A01G358800;TraesCS4A01G276300;TraesCS5A01G036600;TraesCS4D01G194400;TraesCS4D01G301300;TraesCS1D01G390500;TraesCS5D01G512300;TraesCS5A01G324200;TraesCS1B01G293500;TraesCS4D01G080700;TraesCSU01G047800;TraesCS5D01G060900;TraesCS2D01G300400;TraesCS1A01G158500;TraesCS1A01G284300;TraesCS6B01G171600;TraesCS5B01G110000;TraesCS2D01G023900;TraesCS3B01G426600;TraesCS2B01G352300;TraesCS3D01G087300;TraesCS4B01G380800;TraesCS6A01G163500;TraesCS2B01G191800;TraesCS6B01G388100;TraesCS2D01G324900;TraesCS7A01G036200;TraesCS2A01G246200;TraesCS5A01G200800;TraesCS6B01G191500;TraesCS1D01G210200;TraesCS7D01G121200;TraesCS5B01G531900;TraesCS2D01G014800;TraesCS7D01G467500;TraesCS2A01G409700;TraesCS4D01G153900;TraesCS2A01G262700;TraesCS3A01G228000;TraesCS4A01G065400;TraesCS4B01G169900;TraesCS6B01G411900;TraesCS2D01G136200;TraesCS5D01G181600;TraesCS4B01G050200;TraesCS5D01G444700;TraesCS2B01G234500;TraesCS2B01G031800;TraesCS2D01G273000;TraesCS4D01G135000;TraesCS6A01G133100;TraesCS5A01G166800;TraesCS6D01G142900;TraesCS3A01G205100;TraesCS2B01G220100;TraesCS3A01G394600;TraesCS3D01G428300;TraesCS3A01G178900;TraesCS4D01G292900;TraesCS4D01G068100;TraesCS2B01G233400;TraesCS3A01G344300;TraesCS2A01G193800;TraesCS4D01G184400;TraesCS1B01G469400;TraesCS6D01G390000;TraesCS7D01G454200;TraesCS4D01G151500;TraesCS6B01G270400;TraesCS5A01G014500;TraesCSU01G068800;TraesCSU01G093800;TraesCS1A01G437500;TraesCS2D01G092500;TraesCS6A01G319700;TraesCS4A01G361100;TraesCS6D01G298300;TraesCS5B01G284100;TraesCS1A01G125000;TraesCS3B01G376200;TraesCS7B01G241500;TraesCS3D01G210300;TraesCS4A01G167000;TraesCS1D01G396300;TraesCS6D01G095800;TraesCS6D01G161000;TraesCS5B01G171400;TraesCS3D01G434800;TraesCS6B01G282200;TraesCS5D01G149900;TraesCS3A01G332300;TraesCS3D01G250600;TraesCS1D01G315700;TraesCS6A01G321600;TraesCS7D01G270400;TraesCS4A01G191500;TraesCS6A01G212200;TraesCS4D01G172000;TraesCS4A01G042500;TraesCS4D01G130600;TraesCS2D01G356700;TraesCS7A01G327600;TraesCS6B01G159800;TraesCS4A01G182800;TraesCS2D01G213100;TraesCS6D01G358500;TraesCS5A01G229400;TraesCS5D01G161800;TraesCS1A01G254400;TraesCS1A01G195500;TraesCS2B01G328500;TraesCS3D01G084300;TraesCS6D01G344100;TraesCS7D01G364400;TraesCS4B01G089500;TraesCS3A01G099800;TraesCS4A01G193700;TraesCS2A01G159900;TraesCS5B01G036800;TraesCS4A01G342800;TraesCS5A01G230400;TraesCS4B01G041900;TraesCS6A01G279100;TraesCS4B01G314600;TraesCS6B01G451100;TraesCS7D01G373100;TraesCS6B01G336300;TraesCS3A01G082700;TraesCS3B01G307600;TraesCS3A01G276100;TraesCS3B01G303000;TraesCS4A01G374600;TraesCS1A01G299500;TraesCS4D01G003600;TraesCS2D01G049500;TraesCS2D01G477200;TraesCS4B01G015600;TraesCS7B01G321700;TraesCS3A01G457400;TraesCS7D01G072100;TraesCS3A01G342300;TraesCS5D01G481500;TraesCS3D01G229800;TraesCS4A01G163000;TraesCSU01G158800;TraesCS2D01G492600;TraesCS4B01G288200;TraesCS5A01G089900;TraesCS6D01G227300;TraesCS6A01G143300;TraesCS6A01G147900;TraesCS3B01G254400;TraesCS4B01G138100;TraesCS5D01G366500;TraesCS4B01G220400;TraesCS4D01G214300;TraesCS3B01G185300;TraesCS5A01G501800;TraesCS6B01G174100;TraesCS7A01G264300;TraesCS1D01G316200;TraesCS7A01G419600;TraesCS7D01G228500;TraesCS5B01G322900;TraesCS6B01G342400;TraesCS2A01G280500;TraesCS4A01G116000;TraesCS3D01G241900;TraesCS2B01G401900;TraesCS1A01G264000;TraesCS2B01G275000;TraesCS1D01G058300;TraesCS2B01G369600;TraesCS2D01G242100;TraesCS3A01G189400;TraesCS4D01G167900;TraesCS3D01G527700;TraesCS7A01G341000;TraesCS3D01G282800;TraesCS5B01G419300;TraesCS3A01G282800;TraesCS7B01G189500;TraesCS2B01G428100;TraesCS3D01G240800;TraesCS2A01G398900;TraesCS3B01G252200;TraesCS7A01G004000;TraesCS1D01G219200;TraesCS5A01G142200;TraesCS1B01G344300;TraesCS4D01G122800;TraesCS5D01G144600;TraesCS7B01G278200;TraesCS2B01G304900;TraesCS1A01G198400;TraesCS3D01G203400;TraesCS2D01G138200;TraesCS3A01G191700;TraesCS7B01G241900;TraesCS2A01G128300;TraesCS5A01G367700;TraesCS3D01G109700;TraesCS6B01G470900;TraesCS2D01G320900;TraesCS7B01G176200;TraesCS1B01G290800;TraesCS3B01G316500;TraesCS2B01G592500;TraesCS1A01G361400;TraesCS3A01G060300;TraesCS2D01G205900;TraesCS6D01G212000;TraesCS3D01G386400;TraesCS4A01G111600;TraesCS4D01G283800;TraesCS5A01G156400;TraesCS1B01G220700;TraesCS6D01G065600;TraesCS6B01G352400;TraesCS7D01G450700;TraesCS7A01G450600;TraesCS3D01G083400;TraesCS2D01G231000;TraesCS4B01G164800;TraesCS5B01G037500;TraesCS1A01G259700;TraesCS2A01G202600;TraesCS7D01G011800;TraesCS4A01G364400;TraesCS2B01G174700;TraesCS3B01G257700;TraesCS6B01G223200;TraesCS7A01G359800;TraesCS2A01G150000;TraesCS4A01G144500;TraesCSU01G131300;TraesCS3D01G514100;TraesCS7D01G123400;TraesCS7D01G343300;TraesCS3B01G279700;TraesCS6D01G147700;TraesCS7A01G335600;TraesCS3A01G538300;TraesCS5A01G020800;TraesCS7B01G269300;TraesCS3D01G091000;TraesCS7A01G062100;TraesCS3A01G028600;TraesCS6A01G319100;TraesCS6B01G117100;TraesCS7A01G226000;TraesCS7A01G452800;TraesCS3B01G269900;TraesCSU01G132400;TraesCS3A01G488100;TraesCS7B01G421100;TraesCS7D01G386000;TraesCS4A01G246100;TraesCS6A01G360600;TraesCS1D01G411300;TraesCS7A01G351100;TraesCS3A01G178200;TraesCS7A01G238400;TraesCS1D01G226100;TraesCS2B01G334800;TraesCS5A01G272400;TraesCS5A01G513500;TraesCSU01G001100;TraesCS5B01G141000;TraesCS7A01G148600;TraesCS1B01G472100;TraesCS6B01G159200;TraesCS5B01G227900;TraesCS5D01G528400;TraesCS3A01G181600;TraesCS5A01G263700;TraesCS7A01G350000;TraesCS6A01G153600;TraesCS6B01G226000;TraesCS6D01G180500;TraesCS6D01G204800;TraesCS7A01G286700;TraesCS4B01G321500;TraesCS6B01G233800;TraesCS6D01G236400;TraesCS7A01G088100;TraesCS7D01G549100;TraesCS5B01G146700;TraesCS7A01G510000;TraesCS2A01G563500;TraesCS1B01G255100;TraesCS5D01G193000;TraesCS6D01G224200;TraesCS6B01G219700;TraesCS7D01G313600;TraesCS6A01G379000;TraesCS5D01G044100;TraesCS3A01G103900;TraesCS6B01G039900;TraesCS4B01G171300;TraesCS6B01G056200;TraesCS5A01G454300;TraesCS1B01G254000;TraesCS3A01G513500;TraesCS1A01G007500;TraesCS7B01G363600;TraesCS6A01G303800;TraesCS1D01G202100;TraesCS4B01G285000;TraesCS6B01G393600;TraesCS6B01G231400;TraesCS6D01G135800;TraesCS5A01G547300;TraesCS7B01G052200;TraesCS2D01G237600;TraesCS2B01G501300;TraesCS4A01G091100;TraesCS5D01G206500;TraesCS2D01G349600;TraesCS4A01G194100;TraesCS5A01G466100;TraesCS4D01G341900;TraesCS7B01G199200;TraesCS1D01G280900;TraesCS3B01G555600;TraesCS2A01G437700;TraesCS3A01G275700;TraesCS1A01G206900;TraesCS3A01G336100;TraesCS2A01G222600;TraesCS7A01G293200;TraesCS5A01G150700;TraesCS4D01G212600;TraesCS5B01G502700;TraesCS3D01G341200;TraesCS2B01G272300;TraesCS3D01G194300;TraesCS2D01G520000;TraesCS5B01G099300;TraesCS1D01G443100;TraesCS3A01G272200;TraesCS2D01G065800;TraesCS2B01G159600;TraesCS3B01G374400;TraesCS2A01G380200;TraesCS4A01G387000;TraesCS4A01G452700;TraesCS7B01G455500;TraesCS5B01G503800;TraesCS7D01G200800;TraesCS2D01G301200;TraesCS6D01G259500;TraesCS4A01G238100;TraesCS6B01G307200;TraesCS5B01G377700;TraesCS4A01G051900;TraesCS1D01G445300;TraesCS3A01G200400;TraesCS5B01G199400;TraesCS2A01G492300;TraesCS1D01G151800;TraesCS5D01G399200;TraesCS5B01G509100;TraesCS6D01G132500;TraesCS6D01G210000;TraesCS7B01G420400;TraesCS5D01G357600;TraesCS3A01G376300;TraesCS4B01G211800;TraesCS6A01G107900;TraesCS4D01G039100;TraesCS1D01G242400;TraesCS2A01G478000;TraesCS2B01G312600;TraesCS3D01G217600;TraesCS5B01G397300;TraesCS1D01G298400;TraesCS4D01G298800;TraesCS1A01G100600;TraesCS6B01G173500;TraesCS3A01G274600;TraesCS7D01G499800;TraesCS3A01G241700;TraesCS2D01G296800;TraesCS5D01G155800;TraesCS3D01G264800;TraesCS1B01G261600;TraesCS1D01G226500;TraesCS1D01G426400;TraesCS5A01G092400;TraesCS4B01G168300;TraesCS1D01G149900;TraesCS5D01G081700;TraesCS3A01G250200;TraesCS2A01G058700;TraesCS2B01G343900;TraesCS6B01G251600;TraesCS4D01G021400;TraesCS4D01G348500;TraesCS6A01G130900;TraesCS2A01G302500;TraesCS2B01G385300;TraesCS1B01G434100;TraesCS4B01G354600;TraesCS3B01G161900;TraesCS1A01G060100;TraesCS7A01G376800;TraesCS4A01G139700;TraesCS6B01G181300;TraesCS4B01G191300;TraesCS3D01G206100;TraesCS7D01G174700;TraesCS1D01G331000;TraesCS2B01G050600;TraesCS3D01G529200;TraesCS5B01G263800;TraesCS3B01G216800;TraesCS1A01G086500;TraesCS7B01G393400;TraesCS5D01G504600;TraesCS3A01G523700;TraesCS4B01G028100;TraesCS4B01G341300;TraesCS6D01G172500;TraesCS7D01G004500;TraesCS1A01G001800;TraesCS2B01G297800;TraesCS6A01G200200;TraesCS1D01G144000;TraesCS2A01G252600;TraesCS2B01G457600;TraesCS5B01G529300;TraesCS2B01G411000;TraesCS2B01G247100;TraesCS3D01G220400;TraesCS2B01G157600;TraesCS1D01G083200;TraesCS7D01G476500;TraesCS3A01G023800;TraesCS3A01G367000;TraesCS2A01G114400;TraesCS5B01G155200;TraesCS6A01G314100;TraesCS3A01G161800;TraesCS4D01G194300;TraesCS6B01G170600;TraesCS3D01G325800;TraesCS4B01G179400;TraesCS1D01G313800;TraesCS2D01G167300;TraesCS2A01G387000;TraesCS3A01G097200;TraesCS5A01G328900;TraesCS2D01G182700;TraesCS3A01G100000;TraesCS6D01G174700;TraesCS1A01G322300;TraesCS3B01G309400;TraesCS6B01G319000;TraesCS2B01G217700;TraesCS7D01G442100;TraesCS5A01G429300;TraesCS2A01G134000;TraesCS6D01G291600;TraesCS2D01G229600;TraesCS5B01G511800;TraesCS2D01G249200;TraesCS6A01G267300;TraesCS6A01G408400;TraesCS4D01G263300;TraesCS3A01G310100;TraesCS4B01G344600;TraesCS2A01G296400;TraesCSU01G009200;TraesCS5D01G478900;TraesCS6D01G152700;TraesCS3B01G425400;TraesCS5D01G105500;TraesCS6D01G224800;TraesCS1B01G213300;TraesCS2D01G500600;TraesCS1A01G111100;TraesCS4A01G164900;TraesCS5B01G136500;TraesCS3A01G107900;TraesCS5B01G509500;TraesCS2B01G051500;TraesCS5A01G515700;TraesCS7B01G124100;TraesCS6A01G070600;TraesCS6D01G245500;TraesCS1D01G199100;TraesCS5D01G208300;TraesCS6D01G174500;TraesCS6D01G195400;TraesCS7A01G421400;TraesCS2B01G225300;TraesCS3B01G470400;TraesCS4A01G124000;TraesCS2A01G239200;TraesCS6D01G193000;TraesCS5B01G481100;TraesCS2B01G108200;TraesCS6A01G161200;TraesCS7D01G000100;TraesCS4D01G242400;TraesCS7B01G207300</t>
  </si>
  <si>
    <t>TraesCS2B01G174600;TraesCS1D01G264100;TraesCS2A01G095300;TraesCS2B01G401900;TraesCS5D01G044700;TraesCS1A01G264000;TraesCS2B01G174700;TraesCS6A01G360600;TraesCS7B01G352800;TraesCS5B01G335500;TraesCS5D01G472300;TraesCS1D01G226500;TraesCS5A01G036600;TraesCS2B01G382000;TraesCS5A01G336500;TraesCS1B01G049300;TraesCS6A01G373400;TraesCS3A01G200400;TraesCS1B01G293500;TraesCS1B01G274600;TraesCS6D01G344100;TraesCS3A01G097200;TraesCS5D01G171100;TraesCS3B01G252200;TraesCS5D01G341200;TraesCS5A01G020800;TraesCS1A01G284300;TraesCS6D01G357600;TraesCS1D01G298400;TraesCS5B01G378700;TraesCS7D01G442100;TraesCS6B01G190300;TraesCS7A01G452800;TraesCS5A01G460600;TraesCS2D01G059400;TraesCS4B01G109700;TraesCS3D01G203400;TraesCS5A01G166800;TraesCS2D01G093700;TraesCS2D01G361800;TraesCS6A01G161200;TraesCS6B01G393500;TraesCS2B01G247100;TraesCS2A01G149500;TraesCS5B01G037500;TraesCS1A01G299500;TraesCS2A01G149600</t>
  </si>
  <si>
    <t>TraesCS2B01G174600;TraesCS1D01G264100;TraesCS2D01G213200;TraesCS3A01G264600;TraesCS3B01G423800;TraesCS6A01G360600;TraesCS7B01G111000;TraesCS2A01G129900;TraesCS7D01G399400;TraesCS1D01G226500;TraesCS4D01G194300;TraesCS3B01G297900;TraesCS5B01G171400;TraesCS1B01G326400;TraesCS3D01G281100;TraesCS1B01G049300;TraesCS1D01G222700;TraesCS6B01G399000;TraesCS3D01G384700;TraesCS5D01G078500;TraesCS7D01G261100;TraesCS1A01G315900;TraesCS1A01G256800;TraesCS2A01G226000;TraesCS6D01G348000;TraesCS1B01G274600;TraesCS2B01G152100;TraesCS2D01G427900;TraesCS5D01G359800;TraesCS3A01G097200;TraesCS4B01G230500;TraesCS4D01G153900;TraesCS6A01G311200;TraesCS5A01G091200;TraesCS7D01G207100;TraesCS1D01G316200;TraesCSU01G121900;TraesCS3B01G112900;TraesCS1B01G267200;TraesCS2A01G171900;TraesCS6B01G393500;TraesCS2A01G149600;TraesCS5B01G232400;TraesCS6B01G311200;TraesCS3D01G182400;TraesCS2A01G095300;TraesCS1A01G264000;TraesCS2B01G174700;TraesCS1A01G180200;TraesCS6A01G379000;TraesCS2A01G391400;TraesCS3D01G264700;TraesCS4A01G110800;TraesCS7A01G204000;TraesCS5D01G141200;TraesCS2D01G154600;TraesCS6A01G282800;TraesCS3A01G200400;TraesCS7A01G260100;TraesCS6B01G341400;TraesCS6D01G344100;TraesCS3A01G391800;TraesCS5D01G208100;TraesCS3A01G393400;TraesCS2D01G132100;TraesCS3B01G252200;TraesCS5A01G020800;TraesCS3A01G389100;TraesCS5D01G240800;TraesCS7D01G152900;TraesCS1A01G221100;TraesCS5B01G074200;TraesCS1D01G298400;TraesCS7A01G151000;TraesCS6D01G263300;TraesCS1D01G314600;TraesCS3D01G203400;TraesCS4A01G074200;TraesCS2D01G093700;TraesCS2B01G247100;TraesCS3D01G205300;TraesCS2A01G149500;TraesCS1A01G299500;TraesCS5A01G472100;TraesCS6A01G343500;TraesCS1B01G200300;TraesCS5A01G233900;TraesCS6A01G364300</t>
  </si>
  <si>
    <t>TraesCS3D01G426300;TraesCS1B01G261600;TraesCS2A01G286500;TraesCS5D01G219500;TraesCS3A01G250200;TraesCS1D01G101200;TraesCS2D01G492600;TraesCS4A01G226900;TraesCS5A01G513500;TraesCS5B01G141000;TraesCS4B01G288200;TraesCS4B01G213600;TraesCS2B01G528300;TraesCS5B01G227900;TraesCS6A01G143300;TraesCS6D01G122800;TraesCS4B01G226100;TraesCS3A01G181600;TraesCS4D01G214300;TraesCS5D01G181600;TraesCS5A01G501800;TraesCS6B01G342400;TraesCS2A01G280500;TraesCS3A01G381000;TraesCS5B01G324800;TraesCS5D01G429200;TraesCS6A01G133100;TraesCS1A01G092700;TraesCS4A01G116000;TraesCS3A01G151100;TraesCS2B01G340300;TraesCS3D01G495100;TraesCS3A01G103900;TraesCS4D01G068100;TraesCS3A01G189400;TraesCS3D01G527700;TraesCS2A01G193800;TraesCS5B01G476900;TraesCS5A01G173700;TraesCS4A01G101500;TraesCS4D01G204000;TraesCS2D01G094400;TraesCS1A01G007500;TraesCS2B01G297800;TraesCS4D01G120900;TraesCS2A01G252600;TraesCS3D01G228800;TraesCS4B01G069300;TraesCS5B01G171100;TraesCS2A01G500400;TraesCS3A01G191700;TraesCS5A01G212500;TraesCS4D01G240700;TraesCS6D01G047400;TraesCS2D01G154100;TraesCS4A01G091100;TraesCS6A01G312200;TraesCS3A01G367000;TraesCS2A01G114400;TraesCS6A01G314100;TraesCS3D01G434800;TraesCS3A01G084400;TraesCS5D01G149900;TraesCS2B01G592500;TraesCS3D01G250600;TraesCS6A01G290600;TraesCS2B01G303300;TraesCS2D01G194000;TraesCS1D01G086600;TraesCS3D01G237100;TraesCS2B01G133500;TraesCS4D01G339700;TraesCS6D01G065600;TraesCS5B01G502700;TraesCS5B01G084600;TraesCS2A01G342600;TraesCS2B01G272300;TraesCS2D01G520000;TraesCS4D01G327300;TraesCS6B01G176600;TraesCS7A01G190500;TraesCS6D01G291600;TraesCS3D01G083400;TraesCS6D01G163700;TraesCS2D01G279300;TraesCS6A01G267300;TraesCS3B01G370200;TraesCS6B01G344100;TraesCS3A01G224800;TraesCS2A01G296400;TraesCS2B01G520500;TraesCS7A01G359800;TraesCS1D01G094400;TraesCS2D01G500600;TraesCS1D01G390500;TraesCS1A01G195500;TraesCS2A01G492300;TraesCS5A01G324200;TraesCS2D01G467900;TraesCS3D01G084300;TraesCS6D01G132500;TraesCSU01G047800;TraesCS1D01G199100;TraesCS3D01G514100;TraesCS2A01G467900;TraesCS2D01G238600;TraesCS5B01G256400;TraesCS3A01G521600;TraesCS3B01G279700;TraesCS6D01G147700;TraesCS2B01G312600;TraesCS7D01G169500;TraesCS6B01G171600;TraesCS4A01G298700;TraesCS4D01G189600;TraesCS3A01G082700;TraesCS3D01G087300;TraesCS7D01G000100;TraesCS6A01G163500;TraesCS4A01G246100</t>
  </si>
  <si>
    <t>TraesCS3D01G426300;TraesCS4A01G091100;TraesCS3A01G367000;TraesCS2A01G114400;TraesCS5D01G219500;TraesCS6A01G290600;TraesCS1D01G101200;TraesCS4A01G226900;TraesCS5A01G513500;TraesCS2B01G133500;TraesCS4B01G213600;TraesCS4D01G339700;TraesCS2B01G528300;TraesCS5B01G227900;TraesCS6A01G143300;TraesCS2A01G342600;TraesCS4D01G214300;TraesCS2B01G272300;TraesCS5A01G501800;TraesCS6B01G176600;TraesCS7A01G190500;TraesCS3D01G083400;TraesCS3A01G381000;TraesCS5B01G324800;TraesCS1A01G092700;TraesCS6A01G267300;TraesCS3B01G370200;TraesCS2A01G296400;TraesCS3A01G151100;TraesCS2B01G340300;TraesCS7A01G359800;TraesCS1A01G195500;TraesCS5A01G324200;TraesCS6D01G132500;TraesCS1D01G199100;TraesCS3D01G514100;TraesCS2A01G467900;TraesCS2D01G238600;TraesCS5B01G256400;TraesCS5A01G173700;TraesCS4A01G101500;TraesCS4D01G204000;TraesCS2B01G312600;TraesCS1A01G007500;TraesCS6B01G171600;TraesCS2A01G252600;TraesCS5B01G171100;TraesCS3A01G082700;TraesCS3A01G191700;TraesCS3D01G087300;TraesCS5A01G212500;TraesCS6D01G047400</t>
  </si>
  <si>
    <t>cysteine metabolic process</t>
  </si>
  <si>
    <t>TraesCS1B01G255100;TraesCS3D01G426300;TraesCS4A01G125000;TraesCS5B01G484700;TraesCS5A01G149000;TraesCS5B01G155200;TraesCS5D01G105500;TraesCS2B01G050600;TraesCS1B01G213300;TraesCS7D01G283600;TraesCS4B01G179400;TraesCS5D01G162400;TraesCS5B01G147600;TraesCS7A01G222800;TraesCS2A01G387000;TraesCS6D01G195400;TraesCS2A01G058700;TraesCS6A01G212200;TraesCS6B01G159200;TraesCS1B01G254000;TraesCS5B01G036800;TraesCS1B01G396800;TraesCS4D01G147100;TraesCS5D01G551200;TraesCS2B01G070700;TraesCS7B01G129300;TraesCS3D01G288000;TraesCS5A01G093200;TraesCS3A01G288200;TraesCS4A01G315700;TraesCS1A01G376400;TraesCS5B01G563800;TraesCS7D01G224400;TraesCS1A01G133500;TraesCS5B01G534400;TraesCS2B01G325100;TraesCS5A01G157000;TraesCS7A01G560200;TraesCS1A01G198400;TraesCS6A01G267300;TraesCS1D01G383500;TraesCS2D01G057900;TraesCS4A01G093100;TraesCS6B01G242800;TraesCS1D01G211600;TraesCS6B01G315800;TraesCS7D01G549100;TraesCS6D01G047400</t>
  </si>
  <si>
    <t>establishment of organelle localization</t>
  </si>
  <si>
    <t>TraesCS1D01G264100;TraesCS6A01G360600;TraesCS7B01G352800;TraesCS5D01G472300;TraesCS3B01G224600;TraesCS1D01G226500;TraesCS5B01G171400;TraesCS1B01G049300;TraesCS3A01G380100;TraesCS1B01G274600;TraesCS3A01G097200;TraesCS4A01G226500;TraesCS1B01G146200;TraesCS1B01G377800;TraesCS4D01G318200;TraesCS4D01G094700;TraesCS5D01G171100;TraesCS5D01G100800;TraesCS7A01G350000;TraesCS5B01G431500;TraesCS7D01G442100;TraesCS2D01G528800;TraesCS5A01G429500;TraesCS5B01G094600;TraesCS4B01G321500;TraesCS5A01G166800;TraesCS6B01G393500;TraesCS5B01G037500;TraesCS2A01G149600;TraesCS2A01G097900;TraesCS5A01G088400;TraesCS2A01G095300;TraesCS2B01G401900;TraesCS5D01G044700;TraesCS1A01G264000;TraesCS1A01G409600;TraesCS2B01G174700;TraesCS5B01G335500;TraesCS3D01G373300;TraesCS3B01G400900;TraesCS5A01G036600;TraesCS4B01G090000;TraesCS5A01G336500;TraesCS1D01G352300;TraesCS3A01G200400;TraesCS5D01G437600;TraesCS4A01G220100;TraesCS6D01G344100;TraesCS5A01G490500;TraesCS1D01G178000;TraesCS3B01G252200;TraesCS5D01G341200;TraesCS5A01G020800;TraesCS1D01G298400;TraesCS7A01G452800;TraesCS5A01G460600;TraesCS1B01G439600;TraesCS1D01G229400;TraesCS1D01G125300;TraesCS3D01G203400;TraesCS2D01G093700;TraesCS2B01G247100;TraesCS1A01G129400;TraesCS1A01G299500;TraesCS3B01G412600;TraesCS7A01G313900</t>
  </si>
  <si>
    <t>TraesCS5B01G270200;TraesCS5D01G420300;TraesCS3A01G023800;TraesCS3A01G367000;TraesCS4B01G015600;TraesCS5A01G396700;TraesCS5B01G171400;TraesCS7D01G283600;TraesCS1B01G049300;TraesCS2A01G437700;TraesCS1A01G206900;TraesCS4B01G129700;TraesCS5A01G548800;TraesCS7A01G222800;TraesCS1D01G210200;TraesCS2A01G392900;TraesCS7A01G316700;TraesCS5D01G118200;TraesCS4D01G318200;TraesCS1B01G220700;TraesCS5D01G171100;TraesCS7B01G240200;TraesCS4A01G052600;TraesCS4D01G013900;TraesCS5B01G378700;TraesCS1B01G365600;TraesCS5A01G411500;TraesCS4B01G321500;TraesCS3A01G381000;TraesCS5A01G166800;TraesCS6A01G267300;TraesCS3A01G304900;TraesCS3B01G154900;TraesCS2A01G149600;TraesCS4A01G286700;TraesCS2B01G174700;TraesCS6A01G379000;TraesCS5B01G415100;TraesCS7A01G342800;TraesCS1D01G331000;TraesCS1B01G293500;TraesCS5A01G490500;TraesCS3D01G296900;TraesCS7D01G343300;TraesCS4B01G028100;TraesCS3A01G393400;TraesCS5A01G173700;TraesCS7A01G335600;TraesCS7B01G217500;TraesCS2A01G455300;TraesCS7B01G129300;TraesCS4D01G025700;TraesCS4D01G359000;TraesCS1A01G284300;TraesCS2B01G477400;TraesCS4A01G298100;TraesCS4D01G122800;TraesCS7D01G224400;TraesCS1A01G133500;TraesCS4B01G109700;TraesCS2B01G457600;TraesCS5B01G171100;TraesCS5D01G459800;TraesCS2B01G247100;TraesCS4D01G003600;TraesCS5A01G472100;TraesCS1B01G462200</t>
  </si>
  <si>
    <t>post-embryonic plant morphogenesis</t>
  </si>
  <si>
    <t>stomatal complex morphogenesis</t>
  </si>
  <si>
    <t>TraesCS3A01G151100;TraesCS7A01G223300;TraesCS5D01G258900;TraesCS3A01G075700;TraesCS4A01G194100;TraesCS7A01G307000;TraesCS4A01G167000;TraesCS5B01G300100;TraesCS7A01G342800;TraesCS5B01G249000;TraesCS2D01G389900;TraesCS6D01G094200;TraesCS2B01G410100;TraesCS6A01G105400;TraesCS6A01G210200;TraesCS2D01G014800;TraesCS1B01G254000;TraesCS3A01G513500;TraesCS5A01G251000;TraesCS7B01G240200;TraesCS3A01G530100;TraesCS1D01G412600;TraesCS5A01G173800;TraesCS6B01G134800;TraesCS3D01G271800;TraesCS7D01G224900;TraesCS1B01G434400;TraesCS3A01G272200;TraesCS2B01G325100;TraesCS5B01G171200;TraesCS2B01G004000;TraesCS5D01G178300;TraesCS4B01G164800;TraesCS1A01G259700;TraesCS7B01G207300;TraesCS1A01G165700;TraesCS1B01G462200;TraesCS6B01G239000</t>
  </si>
  <si>
    <t>protein localization to chloroplast</t>
  </si>
  <si>
    <t>TraesCS5A01G229300;TraesCS6D01G299200;TraesCS2B01G340300;TraesCS7D01G227300;TraesCS1D01G411300;TraesCS6D01G152700;TraesCS1D01G092200;TraesCS2D01G320900;TraesCS2B01G233400;TraesCS6B01G191500;TraesCS1D01G428200;TraesCS5A01G350600;TraesCS6A01G159800;TraesCS7A01G238400;TraesCS5D01G464800;TraesCS2D01G209900;TraesCS4A01G226900;TraesCS5A01G213000;TraesCS4B01G089500;TraesCS5D01G357600;TraesCS1A01G403800;TraesCS5A01G454300;TraesCS5A01G322500;TraesCS7A01G276400;TraesCS5B01G227900;TraesCS2B01G312600;TraesCS1B01G432700;TraesCS7D01G276300;TraesCS6A01G319700;TraesCS2A01G342600;TraesCS5D01G329200;TraesCS4D01G086400;TraesCS5D01G238300;TraesCS5B01G322900;TraesCS1A01G100600;TraesCS2A01G206200;TraesCS2D01G200700;TraesCS1B01G110400;TraesCS2A01G187200;TraesCS2B01G220100;TraesCS2A01G296400;TraesCS2A01G204800;TraesCS1B01G317500</t>
  </si>
  <si>
    <t>photosynthesis, light harvesting</t>
  </si>
  <si>
    <t>cysteine biosynthetic process</t>
  </si>
  <si>
    <t>TraesCS4B01G252400;TraesCS5B01G249000;TraesCS1B01G049300;TraesCS5D01G219500;TraesCS3D01G273800;TraesCS1D01G210200;TraesCS7D01G121200;TraesCS4B01G238900;TraesCS5D01G171100;TraesCS4D01G153900;TraesCS7B01G240200;TraesCS4D01G135000;TraesCS4B01G321500;TraesCS5B01G324800;TraesCS5D01G429200;TraesCS5A01G166800;TraesCS4D01G244000;TraesCS7A01G323200;TraesCS4A01G286700;TraesCS1B01G255100;TraesCS7A01G250500;TraesCS5D01G260600;TraesCS6A01G379000;TraesCS5B01G415100;TraesCS5A01G149000;TraesCS5A01G336500;TraesCS3D01G296900;TraesCS4D01G220700;TraesCS7D01G326000;TraesCS3A01G091100;TraesCS3A01G393400;TraesCS3A01G513500;TraesCS5A01G251000;TraesCS6A01G225200;TraesCS5D01G230300;TraesCS2B01G070700;TraesCS1D01G412600;TraesCS4D01G025700;TraesCS4D01G359000;TraesCS4A01G298100;TraesCS4A01G120000;TraesCS7D01G224400;TraesCS4B01G109700;TraesCS5B01G171100;TraesCS2D01G093700;TraesCS5A01G472100;TraesCS7B01G117600;TraesCS1B01G462200;TraesCS5B01G270200;TraesCS5D01G420300;TraesCS4A01G194100;TraesCS5B01G025100;TraesCS5B01G171400;TraesCS7D01G283600;TraesCS3B01G423600;TraesCS2A01G437700;TraesCS2D01G362700;TraesCS2D01G251000;TraesCS1D01G013100;TraesCS1A01G206900;TraesCS1B01G375300;TraesCS1B01G274600;TraesCS2D01G118000;TraesCS6B01G238600;TraesCS7A01G222800;TraesCS7A01G316700;TraesCS5D01G118200;TraesCS4A01G138800;TraesCS4D01G132900;TraesCS1A01G246800;TraesCS2D01G356700;TraesCS5A01G411500;TraesCS7D01G072300;TraesCS5B01G387600;TraesCS2A01G095300;TraesCS5A01G357400;TraesCS4A01G078900;TraesCS3A01G214000;TraesCS4A01G051900;TraesCS3D01G114000;TraesCS1A01G195500;TraesCS6D01G132500;TraesCS6D01G210000;TraesCS2D01G148200;TraesCS5A01G490500;TraesCS5B01G409700;TraesCS2A01G467900;TraesCS7B01G217500;TraesCS5B01G036800;TraesCS2A01G480200;TraesCS2B01G477400;TraesCS2D01G208300;TraesCS1A01G133500;TraesCS6B01G342300;TraesCS3A01G082700;TraesCS4D01G003600;TraesCS1D01G264100;TraesCS3A01G212600;TraesCS3D01G231200;TraesCS4B01G015600;TraesCS4B01G114800;TraesCS1D01G226500;TraesCS2B01G271300;TraesCS3A01G270600;TraesCS5B01G339200;TraesCS1D01G401900;TraesCS4A01G375000;TraesCS4B01G286700;TraesCSU01G072700;TraesCS2A01G392900;TraesCS2A01G058700;TraesCS6A01G143300;TraesCS5D01G366500;TraesCS4B01G220400;TraesCS4A01G052600;TraesCS6B01G253900;TraesCS4D01G013900;TraesCS5B01G378700;TraesCS1A01G076000;TraesCS7A01G115400;TraesCS5D01G380900;TraesCS5B01G102600;TraesCS2A01G280500;TraesCS3A01G381000;TraesCS7A01G076600;TraesCS2A01G149600;TraesCS2A01G200500;TraesCS3D01G182400;TraesCS3A01G151100;TraesCS4D01G213800;TraesCS2B01G401900;TraesCS1A01G264000;TraesCS1A01G180200;TraesCS5B01G335500;TraesCS7A01G307000;TraesCS4A01G062200;TraesCS1D01G331000;TraesCS6A01G209800;TraesCS6A01G312100;TraesCS3D01G275600;TraesCS2B01G227800;TraesCS3D01G124400;TraesCS5D01G504600;TraesCS4B01G028100;TraesCS5A01G173700;TraesCS7B01G129300;TraesCS1B01G344300;TraesCS2B01G297800;TraesCS4D01G122800;TraesCS6B01G256400;TraesCS2B01G457600;TraesCS5D01G459800;TraesCS2B01G247100;TraesCS5A01G212500;TraesCS5D01G285200;TraesCS1B01G200300;TraesCS5D01G094000;TraesCS3A01G023800;TraesCS5D01G258900;TraesCS5A01G489100;TraesCS3A01G367000;TraesCS2A01G521400;TraesCS5A01G396700;TraesCS5B01G373600;TraesCS7B01G176200;TraesCS5B01G501200;TraesCS2B01G592500;TraesCS6A01G290600;TraesCS4B01G129700;TraesCS5A01G548800;TraesCS2D01G205900;TraesCS2A01G387000;TraesCS3A01G097200;TraesCS4D01G318200;TraesCS1B01G220700;TraesCS4A01G262900;TraesCS1B01G422200;TraesCS5D01G551200;TraesCS1D01G030500;TraesCS6B01G348700;TraesCS2A01G585800;TraesCS4B01G245400;TraesCS4A01G315700;TraesCS1B01G365600;TraesCS5B01G563800;TraesCS3D01G083400;TraesCS2D01G279300;TraesCS6A01G267300;TraesCS3A01G304900;TraesCS3B01G154900;TraesCS2D01G057900;TraesCS1B01G019300;TraesCS2B01G174700;TraesCS1A01G358800;TraesCS7A01G342800;TraesCS5A01G371500;TraesCS4A01G164900;TraesCS6A01G188100;TraesCS5A01G324200;TraesCS1B01G293500;TraesCS4D01G080700;TraesCS7B01G124100;TraesCS1D01G199100;TraesCS5B01G147600;TraesCS3D01G514100;TraesCS6D01G174500;TraesCS7D01G343300;TraesCS2D01G300400;TraesCS7A01G335600;TraesCS2A01G455300;TraesCS4B01G138200;TraesCS5D01G341200;TraesCS3D01G091000;TraesCS1A01G284300;TraesCS3A01G028600;TraesCS6B01G171600;TraesCS1B01G434400;TraesCS6B01G231600;TraesCS7D01G000100;TraesCS7B01G207300</t>
  </si>
  <si>
    <t>multicellular organism development</t>
  </si>
  <si>
    <t>protein targeting to chloroplast</t>
  </si>
  <si>
    <t>establishment of protein localization to chloroplast</t>
  </si>
  <si>
    <t>TraesCS5B01G270200;TraesCS3A01G023800;TraesCS3A01G367000;TraesCS4B01G015600;TraesCS5A01G396700;TraesCS7D01G283600;TraesCS2A01G437700;TraesCS1A01G206900;TraesCS4B01G129700;TraesCS5A01G548800;TraesCS7A01G222800;TraesCS1D01G210200;TraesCS2A01G392900;TraesCS7A01G316700;TraesCS5D01G118200;TraesCS1B01G220700;TraesCS6A01G143300;TraesCS1A01G246800;TraesCS5D01G551200;TraesCS7B01G240200;TraesCS1D01G030500;TraesCS4A01G052600;TraesCS4A01G315700;TraesCS4D01G013900;TraesCS5B01G378700;TraesCS5B01G563800;TraesCS3D01G083400;TraesCS2A01G280500;TraesCS3A01G381000;TraesCS2D01G279300;TraesCS6A01G267300;TraesCS3A01G304900;TraesCS3B01G154900;TraesCS4A01G286700;TraesCS3A01G151100;TraesCS2B01G401900;TraesCS7A01G342800;TraesCS5A01G149000;TraesCS1A01G195500;TraesCS6D01G132500;TraesCS1D01G199100;TraesCS5B01G147600;TraesCS5B01G409700;TraesCS3D01G296900;TraesCS3D01G514100;TraesCS7D01G343300;TraesCS4B01G028100;TraesCS5A01G173700;TraesCS7A01G335600;TraesCS7B01G217500;TraesCS5B01G036800;TraesCS7B01G129300;TraesCS4D01G025700;TraesCS4D01G359000;TraesCS4A01G298100;TraesCS6B01G171600;TraesCS2B01G297800;TraesCS4D01G122800;TraesCS7D01G224400;TraesCS1A01G133500;TraesCS2B01G457600;TraesCS5B01G171100;TraesCS3A01G082700;TraesCS4D01G003600;TraesCS5A01G472100;TraesCS5D01G094000;TraesCS1B01G462200</t>
  </si>
  <si>
    <t>shoot system morphogenesis</t>
  </si>
  <si>
    <t>TraesCS1D01G264100;TraesCS2D01G213200;TraesCS4A01G236700;TraesCS3A01G264600;TraesCS3B01G423800;TraesCS6A01G360600;TraesCS1A01G071100;TraesCS1D01G226500;TraesCS1B01G049300;TraesCS1D01G222700;TraesCS6B01G399000;TraesCS3D01G384700;TraesCS7D01G261100;TraesCS1A01G256800;TraesCS6D01G348000;TraesCS2B01G152100;TraesCS2D01G427900;TraesCS5D01G359800;TraesCS4B01G230500;TraesCS4D01G153900;TraesCS6A01G311200;TraesCS5A01G091200;TraesCS1D01G316200;TraesCSU01G121900;TraesCS3B01G112900;TraesCS1B01G267200;TraesCS2A01G171900;TraesCS4D01G076900;TraesCS2A01G149600;TraesCS5B01G232400;TraesCS6B01G311200;TraesCS3D01G182400;TraesCS2B01G401900;TraesCS1A01G264000;TraesCS1A01G180200;TraesCS5B01G335500;TraesCS6A01G379000;TraesCS3D01G264700;TraesCS4A01G076800;TraesCS5D01G141200;TraesCS5A01G336500;TraesCS6A01G282800;TraesCS6B01G341400;TraesCS2D01G232300;TraesCS5D01G208100;TraesCS3A01G393400;TraesCS5D01G121100;TraesCS2D01G132100;TraesCS3B01G252200;TraesCS2A01G233300;TraesCS7A01G151000;TraesCS3D01G203400;TraesCS2D01G093700;TraesCS2B01G247100;TraesCS3D01G205300;TraesCS2A01G149500;TraesCS5A01G472100;TraesCS6A01G343500;TraesCS1B01G200300;TraesCS1D01G211600;TraesCS6A01G364300;TraesCS2B01G174600;TraesCS6A01G314900;TraesCS3D01G109700;TraesCS7B01G111000;TraesCS2A01G129900;TraesCS7D01G399400;TraesCS4D01G194300;TraesCS3B01G297900;TraesCS5B01G171400;TraesCS1B01G326400;TraesCS2B01G250000;TraesCS3D01G281100;TraesCS2D01G362700;TraesCS5D01G078500;TraesCS1A01G315900;TraesCS2A01G226000;TraesCS1B01G274600;TraesCS5D01G229900;TraesCS3A01G097200;TraesCS7D01G207100;TraesCS6B01G393500;TraesCS5B01G220900;TraesCS5B01G387600;TraesCS2A01G095300;TraesCS2B01G174700;TraesCS2A01G391400;TraesCS4A01G110800;TraesCS7A01G204000;TraesCS2D01G154600;TraesCS3A01G107900;TraesCS3A01G200400;TraesCS7A01G260100;TraesCS6D01G344100;TraesCS3A01G391800;TraesCS5D01G341200;TraesCS5A01G020800;TraesCS3A01G389100;TraesCS5D01G240800;TraesCS7D01G152900;TraesCS1A01G221100;TraesCS5B01G074200;TraesCS1D01G298400;TraesCS6D01G263300;TraesCS1D01G314600;TraesCS4A01G074200;TraesCS7D01G132000;TraesCS7D01G000100;TraesCS1A01G299500;TraesCS5A01G233900</t>
  </si>
  <si>
    <t>TraesCS2D01G154100;TraesCS3D01G426300;TraesCS4A01G091100;TraesCS3A01G367000;TraesCS2A01G114400;TraesCS5D01G219500;TraesCS6A01G290600;TraesCS1D01G101200;TraesCS4A01G226900;TraesCS5A01G513500;TraesCS2B01G133500;TraesCS4B01G213600;TraesCS4D01G339700;TraesCS2B01G528300;TraesCS5B01G227900;TraesCS6A01G143300;TraesCS3A01G181600;TraesCS2A01G342600;TraesCS4D01G214300;TraesCS2B01G272300;TraesCS5A01G501800;TraesCS2D01G520000;TraesCS6B01G176600;TraesCS7A01G190500;TraesCS3D01G083400;TraesCS3A01G381000;TraesCS5B01G324800;TraesCS1A01G092700;TraesCS6A01G267300;TraesCS3B01G370200;TraesCS2A01G296400;TraesCS3A01G151100;TraesCS2B01G340300;TraesCS7A01G359800;TraesCS1A01G195500;TraesCS5A01G324200;TraesCS6D01G132500;TraesCS1D01G199100;TraesCS3D01G514100;TraesCS2A01G467900;TraesCS2D01G238600;TraesCS5B01G256400;TraesCS5A01G173700;TraesCS4A01G101500;TraesCS4D01G204000;TraesCS2B01G312600;TraesCS7D01G169500;TraesCS1A01G007500;TraesCS6B01G171600;TraesCS2A01G252600;TraesCS5B01G171100;TraesCS3A01G082700;TraesCS3A01G191700;TraesCS3D01G087300;TraesCS5A01G212500;TraesCS6D01G047400</t>
  </si>
  <si>
    <t>chloroplast relocation</t>
  </si>
  <si>
    <t>establishment of plastid localization</t>
  </si>
  <si>
    <t>chloroplast localization</t>
  </si>
  <si>
    <t>plastid localization</t>
  </si>
  <si>
    <t>TraesCS3D01G426300;TraesCS4A01G125000;TraesCS4A01G232300;TraesCS7B01G006600;TraesCS5B01G228900;TraesCS3A01G367000;TraesCS5D01G237400;TraesCS2A01G114400;TraesCS7D01G283600;TraesCS7D01G338600;TraesCS4B01G179400;TraesCS6A01G290600;TraesCS7A01G341000;TraesCS7A01G108600;TraesCS6D01G283300;TraesCS2D01G238700;TraesCS5B01G256400;TraesCS2B01G133500;TraesCS6D01G287300;TraesCS6A01G308100;TraesCS4B01G083600;TraesCS7B01G242200;TraesCS5A01G230400;TraesCS4B01G041900;TraesCS5A01G173800;TraesCS7D01G280600;TraesCS5B01G534400;TraesCS6A01G303800;TraesCS4D01G081600;TraesCS5B01G171200;TraesCS6A01G267300;TraesCS5D01G178300;TraesCS4A01G093100;TraesCS5D01G094000</t>
  </si>
  <si>
    <t>photosynthetic electron transport in photosystem I</t>
  </si>
  <si>
    <t>TraesCS3B01G385400;TraesCS1D01G264100;TraesCS3A01G212600;TraesCS2B01G260800;TraesCS6A01G360600;TraesCS7B01G352800;TraesCS1B01G156600;TraesCS3A01G184800;TraesCS3B01G224600;TraesCS1A01G260500;TraesCS4D01G194300;TraesCS1D01G260500;TraesCS5B01G171400;TraesCS3A01G330200;TraesCS3A01G380100;TraesCS6A01G268600;TraesCS3B01G214600;TraesCS1B01G274600;TraesCS7D01G454700;TraesCS4A01G226500;TraesCS1B01G146200;TraesCS6A01G380200;TraesCS1B01G377800;TraesCS4D01G318200;TraesCS4D01G094700;TraesCS6B01G295700;TraesCS4A01G178600;TraesCS2D01G241800;TraesCS5D01G100800;TraesCS2A01G235900;TraesCS7D01G442100;TraesCS5A01G467500;TraesCS2D01G528800;TraesCS5B01G094600;TraesCS3B01G242700;TraesCS4B01G321500;TraesCS1B01G271100;TraesCS6B01G393500;TraesCS4D01G133500;TraesCS5B01G479200;TraesCS4A01G227500;TraesCS7A01G466900;TraesCS5A01G088400;TraesCS6A01G203300;TraesCS6D01G364900;TraesCS1A01G264000;TraesCS2A01G431900;TraesCS2B01G321700;TraesCS2D01G303500;TraesCS3D01G373300;TraesCS4A01G110800;TraesCS1A01G130700;TraesCS4B01G090000;TraesCS1D01G352300;TraesCS2A01G022000;TraesCS2D01G022800;TraesCS3A01G200400;TraesCS4A01G220100;TraesCS1A01G172100;TraesCS6D01G344100;TraesCS5A01G490500;TraesCS4D01G086000;TraesCS2A01G103300;TraesCS6B01G304100;TraesCS4B01G138800;TraesCS1D01G298400;TraesCS7A01G452800;TraesCS6B01G419000;TraesCS4D01G085900;TraesCS1D01G125300;TraesCS3D01G203400;TraesCS5D01G480300;TraesCS7B01G119300;TraesCS6D01G246300;TraesCS4B01G088400;TraesCS1A01G129400;TraesCS1A01G299500;TraesCS3D01G482500;TraesCS5D01G285200;TraesCS3B01G412600;TraesCS3D01G188800;TraesCS7A01G313900</t>
  </si>
  <si>
    <t>catalytic activity, acting on DNA</t>
  </si>
  <si>
    <t>TraesCS4B01G252400;TraesCS4A01G125000;TraesCS7D01G292000;TraesCS5B01G484700;TraesCS1D01G449000;TraesCS2A01G246200;TraesCS1B01G049300;TraesCS3D01G411200;TraesCS7A01G368900;TraesCS1D01G329100;TraesCS1D01G210200;TraesCS4A01G432400;TraesCS4A01G119800;TraesCS2D01G014800;TraesCS6B01G159200;TraesCS1A01G112800;TraesCS4D01G153900;TraesCS4D01G147100;TraesCS2A01G262700;TraesCS4A01G065400;TraesCS1A01G324800;TraesCS5D01G532100;TraesCS5A01G467500;TraesCS2D01G417300;TraesCS2B01G457300;TraesCS3B01G131400;TraesCS5D01G429200;TraesCS7A01G323200;TraesCS5D01G201300;TraesCS2A01G097900;TraesCS7D01G549100;TraesCS2A01G563500;TraesCS1B01G255100;TraesCS6B01G112700;TraesCS5A01G149000;TraesCS3A01G103900;TraesCS7B01G411000;TraesCS5A01G336500;TraesCS2B01G233400;TraesCS2D01G248600;TraesCS6D01G113900;TraesCS6D01G237400;TraesCS7D01G265200;TraesCS3B01G222400;TraesCS3D01G296900;TraesCS4D01G220700;TraesCS6A01G105400;TraesCS2B01G263300;TraesCS6D01G287300;TraesCS4B01G158000;TraesCS1B01G254000;TraesCS3A01G513500;TraesCS4A01G101500;TraesCS6A01G225200;TraesCS2B01G257300;TraesCS4D01G204000;TraesCS2B01G070700;TraesCS1D01G412600;TraesCS4D01G359000;TraesCS7A01G077400;TraesCS4A01G298100;TraesCS5A01G093200;TraesCS7D01G339300;TraesCS4D01G120900;TraesCS7D01G224400;TraesCS1D01G229400;TraesCS6A01G303800;TraesCS1A01G144300;TraesCS4B01G109700;TraesCS4A01G355100;TraesCS6D01G047400;TraesCS1B01G462200;TraesCS3D01G423300;TraesCS6B01G239000;TraesCS5B01G270200;TraesCS4A01G494400;TraesCS6A01G113000;TraesCS1D01G409700;TraesCS5B01G300100;TraesCS5D01G143800;TraesCS5B01G171400;TraesCS7D01G283600;TraesCS3D01G281100;TraesCS3B01G423600;TraesCS2A01G437700;TraesCS5A01G189600;TraesCS2D01G362700;TraesCS3A01G275700;TraesCS2D01G389900;TraesCS1A01G206900;TraesCS2D01G118000;TraesCS2B01G263600;TraesCS7A01G222800;TraesCS5D01G332000;TraesCS5D01G118200;TraesCS4A01G138800;TraesCS1D01G325500;TraesCS2D01G328100;TraesCS6A01G212200;TraesCS7B01G219700;TraesCS1A01G246800;TraesCS3B01G149800;TraesCS1B01G396800;TraesCS7B01G162300;TraesCS7D01G148200;TraesCS4A01G036500;TraesCS7D01G224900;TraesCS4A01G254100;TraesCS4B01G069200;TraesCS6D01G244900;TraesCS4A01G185400;TraesCS5B01G387600;TraesCS3D01G421500;TraesCS4A01G158400;TraesCS4B01G162900;TraesCS4A01G376000;TraesCS2B01G520500;TraesCS7A01G252000;TraesCS2A01G246700;TraesCS4A01G110800;TraesCS5A01G357400;TraesCS3D01G268700;TraesCS3D01G327600;TraesCS7A01G285800;TraesCS2D01G246100;TraesCS4A01G051900;TraesCS2A01G492300;TraesCS2B01G328500;TraesCS3A01G137000;TraesCS6D01G132500;TraesCS6D01G210000;TraesCS5B01G409700;TraesCS5B01G214400;TraesCS7B01G242800;TraesCS3A01G521600;TraesCS4D01G264800;TraesCS3A01G322500;TraesCS5B01G036800;TraesCS2B01G312600;TraesCS4B01G041900;TraesCS1D01G024800;TraesCS2D01G208300;TraesCS3A01G417000;TraesCS3A01G288200;TraesCS2D01G524500;TraesCS1A01G152800;TraesCS1A01G431600;TraesCS7D01G409000;TraesCS1A01G024700;TraesCS1A01G133500;TraesCS4D01G160000;TraesCS5B01G534400;TraesCS2B01G325100;TraesCS6B01G342300;TraesCS4A01G078800;TraesCS3A01G295400;TraesCS3A01G268600;TraesCS4D01G003600;TraesCS5B01G517400;TraesCS5A01G199600;TraesCS2A01G517900;TraesCS6A01G123800;TraesCS3D01G426300;TraesCS1D01G155100;TraesCS7A01G223300;TraesCS7D01G227300;TraesCS1D01G190900;TraesCS3D01G231200;TraesCS6B01G213100;TraesCS7D01G449900;TraesCS4B01G015600;TraesCS2B01G346500;TraesCS7D01G338600;TraesCS5D01G412600;TraesCS3A01G334800;TraesCS3D01G380100;TraesCS1B01G193700;TraesCS7A01G260600;TraesCS2D01G492600;TraesCS4A01G226900;TraesCS4B01G133200;TraesCS7A01G318800;TraesCS4B01G288200;TraesCS1B01G377800;TraesCS1A01G185900;TraesCS2A01G058700;TraesCS5A01G215900;TraesCS6A01G143300;TraesCS5A01G192000;TraesCS5A01G119300;TraesCS5D01G366500;TraesCS4B01G220400;TraesCS3D01G137800;TraesCS6B01G253900;TraesCS4D01G013900;TraesCS4D01G252700;TraesCS5B01G378700;TraesCS7A01G264300;TraesCS1A01G376400;TraesCS5B01G102600;TraesCS2A01G280500;TraesCS3A01G381000;TraesCS2B01G004000;TraesCS6B01G315800;TraesCS2A01G200500;TraesCS7D01G250100;TraesCS1A01G180200;TraesCS5B01G335500;TraesCS7A01G307000;TraesCS3A01G052700;TraesCS6D01G362000;TraesCS7B01G197000;TraesCS7B01G451500;TraesCS2B01G050600;TraesCS6A01G312100;TraesCS5B01G396700;TraesCS3D01G529200;TraesCS6D01G182200;TraesCS4B01G204500;TraesCS3A01G189400;TraesCS3D01G275600;TraesCS2D01G310000;TraesCS3D01G527700;TraesCS7A01G341000;TraesCS4A01G157100;TraesCS7B01G177700;TraesCS7D01G284200;TraesCS7B01G189500;TraesCS2D01G519500;TraesCS2B01G227800;TraesCS4A01G283000;TraesCS3A01G523700;TraesCS3B01G566600;TraesCS7B01G242200;TraesCS7A01G004000;TraesCS2D01G094400;TraesCS3A01G530100;TraesCS3B01G088300;TraesCS7B01G129300;TraesCS7D01G004500;TraesCS7A01G304400;TraesCS2B01G297800;TraesCS4D01G122800;TraesCS2D01G111300;TraesCS3B01G435900;TraesCS6B01G256400;TraesCS7A01G560200;TraesCS2B01G304900;TraesCS7B01G230100;TraesCS1A01G198400;TraesCS2A01G273400;TraesCS2B01G457600;TraesCS5D01G459800;TraesCS3A01G191700;TraesCS3D01G328100;TraesCS4B01G290300;TraesCS6B01G242800;TraesCS1B01G200300;TraesCS1D01G211600;TraesCS7D01G231600;TraesCS2D01G105300;TraesCS6D01G062500;TraesCS6B01G414800;TraesCS3A01G023800;TraesCS1D01G440900;TraesCS3A01G367000;TraesCS7D01G315400;TraesCS6A01G314100;TraesCS4D01G194300;TraesCS7B01G085700;TraesCS4D01G085700;TraesCS2B01G363200;TraesCS2B01G592500;TraesCS4B01G179400;TraesCS6A01G290600;TraesCS6D01G094200;TraesCS4B01G129700;TraesCS5A01G548800;TraesCS4B01G150300;TraesCS3D01G162700;TraesCS2A01G387000;TraesCS5D01G229900;TraesCS5B01G344200;TraesCS1B01G220700;TraesCS6A01G308100;TraesCS4A01G262900;TraesCS3A01G100000;TraesCS3A01G402500;TraesCS5D01G551200;TraesCS3B01G309400;TraesCS6A01G336800;TraesCS6B01G134800;TraesCS1A01G137000;TraesCS3D01G288000;TraesCS7A01G381900;TraesCS4A01G315700;TraesCS5B01G563800;TraesCS7D01G073000;TraesCS1A01G263400;TraesCS2D01G249200;TraesCS2D01G279300;TraesCS6A01G267300;TraesCS6A01G259000;TraesCS4A01G324400;TraesCS2B01G098800;TraesCS3A01G503200;TraesCS6B01G344100;TraesCS3A01G304900;TraesCS3B01G154900;TraesCS5B01G220900;TraesCS1D01G383500;TraesCS2D01G327400;TraesCS2D01G057900;TraesCS4D01G150700;TraesCS2A01G296400;TraesCS1D01G134300;TraesCS6D01G299200;TraesCS2A01G110700;TraesCS7B01G184800;TraesCS3D01G304800;TraesCS5D01G105500;TraesCS1B01G213300;TraesCS7D01G378400;TraesCS1A01G111100;TraesCS4A01G164900;TraesCS5B01G136500;TraesCS2B01G122500;TraesCS5D01G164800;TraesCS7D01G447100;TraesCS5B01G510500;TraesCS2B01G410100;TraesCS5D01G223700;TraesCS6B01G151900;TraesCS7B01G124100;TraesCS5B01G147600;TraesCS6D01G283300;TraesCS1B01G337800;TraesCS6A01G210200;TraesCS6D01G195400;TraesCS2A01G239200;TraesCS1B01G155600;TraesCS5D01G341200;TraesCS6B01G161800;TraesCS7A01G329600;TraesCS3D01G412500;TraesCS6B01G171600;TraesCS1B01G434400;TraesCS4B01G073200;TraesCS6A01G319100;TraesCS1A01G309200;TraesCS7D01G000100;TraesCS4A01G093100;TraesCS5B01G121000;TraesCS7B01G207300;TraesCS4A01G150500</t>
  </si>
  <si>
    <t>TraesCS4A01G125000;TraesCS5D01G219500;TraesCS2D01G362500;TraesCS5A01G513500;TraesCS1A01G369600;TraesCS1D01G210200;TraesCS4B01G213600;TraesCS6B01G159200;TraesCS2B01G530100;TraesCS4D01G153900;TraesCS4D01G147100;TraesCS4B01G150600;TraesCS5B01G508200;TraesCS5B01G324800;TraesCS6A01G133100;TraesCS5B01G171200;TraesCS1A01G416000;TraesCS7A01G348600;TraesCS7B01G113100;TraesCS5B01G121500;TraesCS7D01G549100;TraesCS4A01G286700;TraesCS2B01G352000;TraesCS7B01G350400;TraesCS1B01G402900;TraesCS5B01G184300;TraesCS5B01G415100;TraesCS6A01G201800;TraesCS5A01G128300;TraesCS2D01G082700;TraesCS4B01G017400;TraesCS2A01G193800;TraesCS2A01G364500;TraesCS5D01G026000;TraesCS6D01G390000;TraesCS2B01G330100;TraesCS3B01G006700;TraesCS6A01G105400;TraesCS1B01G254000;TraesCS2B01G257300;TraesCS2B01G070700;TraesCS1D01G412600;TraesCS4D01G025700;TraesCS6D01G147900;TraesCS4D01G359000;TraesCS5A01G093200;TraesCS6A01G200600;TraesCS4D01G015900;TraesCS2B01G213000;TraesCS4D01G120900;TraesCS7D01G224400;TraesCS6A01G303800;TraesCS3D01G146800;TraesCS4D01G160200;TraesCS5D01G178300;TraesCS6D01G135800;TraesCS2A01G313000;TraesCS6D01G047400;TraesCS1B01G462200;TraesCS6B01G239000;TraesCS4A01G091100;TraesCS5D01G420300;TraesCS5B01G300100;TraesCS7D01G439900;TraesCS1D01G092200;TraesCS7D01G283600;TraesCS5D01G166800;TraesCS2A01G437700;TraesCS4D01G343400;TraesCS1B01G304500;TraesCS2D01G251000;TraesCS2D01G389900;TraesCS1A01G206900;TraesCS6B01G238600;TraesCS6A01G321600;TraesCS7A01G222800;TraesCS7A01G316700;TraesCS2B01G099500;TraesCS1D01G250700;TraesCS3D01G407300;TraesCS4D01G339700;TraesCS6A01G212200;TraesCS4A01G178800;TraesCS4B01G083600;TraesCS1B01G396800;TraesCS3D01G341200;TraesCS5A01G173800;TraesCS7D01G543200;TraesCS4D01G157500;TraesCS2D01G356700;TraesCS4B01G091100;TraesCS5A01G186200;TraesCS1D01G423500;TraesCS5A01G411500;TraesCS4D01G081600;TraesCS4B01G300100;TraesCS5B01G102000;TraesCS4B01G193400;TraesCS1D01G356900;TraesCS4A01G165600;TraesCS4A01G290400;TraesCS1A01G195500;TraesCS2B01G328500;TraesCS6D01G132500;TraesCS3D01G258900;TraesCS4D01G159800;TraesCS5B01G409700;TraesCS2A01G467900;TraesCS2D01G238600;TraesCS2B01G154700;TraesCS4A01G193700;TraesCS7B01G217500;TraesCS5B01G036800;TraesCS2A01G132200;TraesCS4B01G041900;TraesCS1D01G024800;TraesCS3A01G288200;TraesCS4A01G147500;TraesCS1A01G024700;TraesCS1A01G133500;TraesCS5A01G221800;TraesCS5B01G534400;TraesCS1A01G100600;TraesCS6B01G173500;TraesCS3D01G193900;TraesCS3A01G082700;TraesCS4D01G036500;TraesCS2A01G330200;TraesCS3D01G426300;TraesCS5B01G159600;TraesCS5A01G092400;TraesCS2B01G271300;TraesCS7D01G338600;TraesCS1D01G401900;TraesCS3B01G046100;TraesCS3D01G436100;TraesCS3D01G041900;TraesCS5D01G481500;TraesCS4B01G286700;TraesCS1A01G420900;TraesCS1A01G231100;TraesCS2A01G058700;TraesCS6A01G118200;TraesCS6A01G143300;TraesCS6D01G122800;TraesCS5A01G119300;TraesCS5A01G123800;TraesCS4D01G021400;TraesCS3B01G011800;TraesCS4D01G214300;TraesCS3B01G219300;TraesCS4A01G052600;TraesCS1A01G376400;TraesCS5B01G102600;TraesCS2A01G280500;TraesCS1A01G060100;TraesCS3A01G134100;TraesCS5A01G096100;TraesCS3A01G484800;TraesCS6B01G315800;TraesCS6D01G301300;TraesCS3A01G151100;TraesCS2D01G236100;TraesCS1B01G368500;TraesCS6A01G203700;TraesCS2B01G050600;TraesCS6D01G186000;TraesCS6A01G209800;TraesCS2A01G309600;TraesCS1D01G241800;TraesCS2D01G310000;TraesCS7A01G341000;TraesCS5B01G476900;TraesCS1A01G036200;TraesCS3A01G443700;TraesCS2D01G198300;TraesCS2A01G501900;TraesCS3A01G412600;TraesCS4B01G028100;TraesCS6D01G172500;TraesCS7B01G242200;TraesCS7B01G129300;TraesCS1D01G303800;TraesCS5D01G108700;TraesCS2B01G297800;TraesCS7A01G560200;TraesCS5B01G127300;TraesCS1A01G198400;TraesCS2B01G457600;TraesCS4A01G296200;TraesCS4B01G151200;TraesCS5D01G459800;TraesCS3A01G191700;TraesCS1B01G110400;TraesCS2A01G460000;TraesCS5A01G212500;TraesCS2B01G415600;TraesCS6B01G242800;TraesCS4A01G232300;TraesCS7B01G006600;TraesCS3A01G367000;TraesCS1B01G253500;TraesCS6B01G470900;TraesCS5A01G396700;TraesCS6B01G450500;TraesCS4B01G179400;TraesCS6A01G290600;TraesCS4B01G154100;TraesCS6D01G094200;TraesCS5A01G548800;TraesCS5D01G135900;TraesCS2D01G194000;TraesCS1B01G220700;TraesCS6B01G352400;TraesCS1B01G422200;TraesCS1D01G003700;TraesCS5D01G551200;TraesCS4D01G157900;TraesCS6B01G134800;TraesCS3D01G288000;TraesCS2B01G217700;TraesCS4A01G315700;TraesCS5B01G563800;TraesCS6B01G176600;TraesCS7A01G450600;TraesCS3D01G228900;TraesCS4D01G003100;TraesCS3D01G083400;TraesCS2D01G279300;TraesCS1D01G383500;TraesCS4D01G133700;TraesCS2D01G057900;TraesCS1A01G259700;TraesCS1B01G261700;TraesCS6A01G146500;TraesCS6B01G223200;TraesCS5B01G155100;TraesCS5D01G105500;TraesCS1B01G213300;TraesCS4D01G194400;TraesCS2A01G084800;TraesCS5A01G324200;TraesCS1D01G231000;TraesCS2B01G410100;TraesCS7A01G314100;TraesCS1D01G199100;TraesCS6D01G283300;TraesCS1D01G367600;TraesCS5D01G208300;TraesCS6A01G210200;TraesCS6D01G195400;TraesCS7D01G343300;TraesCS7A01G335600;TraesCS2A01G239200;TraesCS5B01G481100;TraesCS6B01G171600;TraesCS1B01G434400;TraesCS4B01G131800;TraesCS1D01G198700;TraesCS4A01G093100</t>
  </si>
  <si>
    <t>TraesCS7B01G006600;TraesCS1D01G409700;TraesCS3A01G367000;TraesCS5B01G484700;TraesCS5A01G396700;TraesCS5B01G175800;TraesCS2A01G437700;TraesCS2A01G123800;TraesCS6A01G290600;TraesCS7B01G093800;TraesCS4B01G129700;TraesCS7A01G222800;TraesCS2A01G387000;TraesCS6A01G308100;TraesCS5A01G119300;TraesCS4D01G021400;TraesCS3D01G288000;TraesCS3A01G232700;TraesCS4A01G052600;TraesCS7D01G117800;TraesCS3B01G161900;TraesCS3A01G381000;TraesCS6B01G315800;TraesCS5D01G321900;TraesCS5B01G146700;TraesCS2D01G126600;TraesCS1B01G368500;TraesCS5A01G315800;TraesCS7B01G197000;TraesCS2B01G050600;TraesCS4D01G194400;TraesCS1D01G356900;TraesCS2A01G309600;TraesCS2B01G145700;TraesCS4A01G290400;TraesCS2D01G310000;TraesCS3D01G271200;TraesCS2B01G328500;TraesCS4D01G184400;TraesCS5A01G395200;TraesCS2D01G148200;TraesCS5B01G409700;TraesCS6D01G283300;TraesCS2B01G330100;TraesCS3B01G398300;TraesCS6D01G287300;TraesCS7D01G343300;TraesCS7A01G335600;TraesCS7B01G129300;TraesCS3A01G288200;TraesCS3A01G271600;TraesCS4D01G122800;TraesCS7D01G224400;TraesCS5D01G144600;TraesCS6A01G303800;TraesCS2B01G457600;TraesCS2A01G313000;TraesCS3D01G220400;TraesCS4A01G093100;TraesCS6D01G047400</t>
  </si>
  <si>
    <t>starch metabolic process</t>
  </si>
  <si>
    <t>TraesCS5A01G088400;TraesCS1D01G264100;TraesCS2A01G095300;TraesCS5D01G044700;TraesCS1A01G264000;TraesCS2B01G174700;TraesCS6A01G360600;TraesCS7B01G352800;TraesCS5B01G335500;TraesCS3D01G373300;TraesCS5D01G472300;TraesCS3B01G400900;TraesCS3B01G224600;TraesCS5A01G036600;TraesCS5A01G336500;TraesCS3A01G200400;TraesCS3A01G380100;TraesCS1B01G274600;TraesCS6D01G344100;TraesCS3A01G097200;TraesCS1B01G146200;TraesCS5D01G171100;TraesCS5D01G341200;TraesCS5D01G100800;TraesCS1D01G298400;TraesCS7D01G442100;TraesCS7A01G452800;TraesCS5A01G460600;TraesCS5B01G094600;TraesCS1D01G125300;TraesCS3D01G203400;TraesCS5A01G166800;TraesCS2D01G093700;TraesCS6B01G393500;TraesCS2B01G247100;TraesCS5B01G037500;TraesCS1A01G129400;TraesCS1A01G299500;TraesCS2A01G149600;TraesCS3B01G412600</t>
  </si>
  <si>
    <t>TraesCS1D01G264100;TraesCS4B01G252400;TraesCS3D01G231200;TraesCS4B01G015600;TraesCS5B01G249000;TraesCS1D01G226500;TraesCS2B01G271300;TraesCS1B01G049300;TraesCS3A01G270600;TraesCS5D01G219500;TraesCS4B01G286700;TraesCSU01G072700;TraesCS3D01G273800;TraesCS1D01G210200;TraesCS2A01G392900;TraesCS5D01G171100;TraesCS4D01G153900;TraesCS5D01G366500;TraesCS7B01G240200;TraesCS4B01G220400;TraesCS4A01G052600;TraesCS6B01G253900;TraesCS4D01G013900;TraesCS5B01G378700;TraesCS7A01G115400;TraesCS4B01G321500;TraesCS5B01G102600;TraesCS3A01G381000;TraesCS5D01G429200;TraesCS5A01G166800;TraesCS2A01G149600;TraesCS2A01G200500;TraesCS4A01G286700;TraesCS4D01G213800;TraesCS1B01G255100;TraesCS7A01G250500;TraesCS1A01G264000;TraesCS5D01G260600;TraesCS1A01G180200;TraesCS7A01G307000;TraesCS6A01G379000;TraesCS5B01G415100;TraesCS1D01G331000;TraesCS6A01G312100;TraesCS3D01G275600;TraesCS3D01G296900;TraesCS4D01G220700;TraesCS2B01G227800;TraesCS5D01G504600;TraesCS3A01G091100;TraesCS4B01G028100;TraesCS3A01G393400;TraesCS5A01G173700;TraesCS3A01G513500;TraesCS5A01G251000;TraesCS6A01G225200;TraesCS5D01G230300;TraesCS7B01G129300;TraesCS1D01G412600;TraesCS4D01G025700;TraesCS4D01G359000;TraesCS4A01G298100;TraesCS4A01G120000;TraesCS4D01G122800;TraesCS7D01G224400;TraesCS6B01G256400;TraesCS4B01G109700;TraesCS2B01G457600;TraesCS5B01G171100;TraesCS5D01G459800;TraesCS2B01G247100;TraesCS5A01G212500;TraesCS5A01G472100;TraesCS5D01G285200;TraesCS7B01G117600;TraesCS1B01G200300;TraesCS1B01G462200;TraesCS5B01G270200;TraesCS5D01G420300;TraesCS3A01G023800;TraesCS5D01G258900;TraesCS4A01G194100;TraesCS3A01G367000;TraesCS2A01G521400;TraesCS5A01G396700;TraesCS7B01G176200;TraesCS5B01G171400;TraesCS7D01G283600;TraesCS2A01G437700;TraesCS2B01G592500;TraesCS2D01G362700;TraesCS6A01G290600;TraesCS2D01G251000;TraesCS1D01G013100;TraesCS1A01G206900;TraesCS1B01G375300;TraesCS4B01G129700;TraesCS5A01G548800;TraesCS2D01G118000;TraesCS2D01G205900;TraesCS7A01G222800;TraesCS2A01G387000;TraesCS7A01G316700;TraesCS5D01G118200;TraesCS4A01G138800;TraesCS4D01G318200;TraesCS1B01G220700;TraesCS4D01G132900;TraesCS4A01G262900;TraesCS5D01G551200;TraesCS4A01G315700;TraesCS1B01G365600;TraesCS5B01G563800;TraesCS5A01G411500;TraesCS6A01G267300;TraesCS3A01G304900;TraesCS3B01G154900;TraesCS5B01G387600;TraesCS1B01G019300;TraesCS2B01G174700;TraesCS1A01G358800;TraesCS7A01G342800;TraesCS5A01G357400;TraesCS3A01G214000;TraesCS4A01G164900;TraesCS6A01G188100;TraesCS4A01G051900;TraesCS3D01G114000;TraesCS1B01G293500;TraesCS4D01G080700;TraesCS7B01G124100;TraesCS6D01G210000;TraesCS2D01G148200;TraesCS5A01G490500;TraesCS2A01G467900;TraesCS6D01G174500;TraesCS7D01G343300;TraesCS2D01G300400;TraesCS7A01G335600;TraesCS7B01G217500;TraesCS2A01G455300;TraesCS2A01G480200;TraesCS3D01G091000;TraesCS1A01G284300;TraesCS2B01G477400;TraesCS2D01G208300;TraesCS1B01G434400;TraesCS1A01G133500;TraesCS6B01G231600;TraesCS6B01G342300;TraesCS7D01G000100;TraesCS4D01G003600;TraesCS7B01G207300</t>
  </si>
  <si>
    <t>post-embryonic development</t>
  </si>
  <si>
    <t>TraesCS7A01G466600;TraesCS3D01G426300;TraesCS6D01G121300;TraesCS1B01G261600;TraesCS4B01G015600;TraesCS5D01G219500;TraesCS3B01G046100;TraesCS3D01G041900;TraesCS1D01G101200;TraesCS2D01G492600;TraesCS4A01G226900;TraesCS5A01G513500;TraesCS1D01G210200;TraesCS5B01G141000;TraesCS4B01G288200;TraesCS4B01G213600;TraesCS2B01G528300;TraesCS5B01G227900;TraesCS6A01G143300;TraesCS4D01G153900;TraesCS6D01G122800;TraesCS4B01G226100;TraesCS3A01G181600;TraesCS4D01G021400;TraesCS4B01G150600;TraesCS4B01G220400;TraesCS4D01G348500;TraesCS4D01G214300;TraesCS5D01G181600;TraesCS3B01G185300;TraesCS5A01G501800;TraesCS4D01G013900;TraesCS4D01G135000;TraesCS7A01G451100;TraesCS2A01G280500;TraesCS3A01G381000;TraesCS5B01G324800;TraesCS5D01G429200;TraesCS6A01G133100;TraesCS1A01G092700;TraesCS4B01G023800;TraesCS5A01G096100;TraesCS7A01G376800;TraesCS4A01G116000;TraesCS7B01G113100;TraesCS3A01G484800;TraesCS4A01G286700;TraesCS6D01G301300;TraesCS3A01G151100;TraesCS1B01G255100;TraesCS2D01G236100;TraesCS2B01G340300;TraesCS7A01G307000;TraesCS5B01G415100;TraesCS5A01G128300;TraesCS3A01G103900;TraesCS4B01G204500;TraesCS3A01G189400;TraesCS3D01G527700;TraesCS2A01G193800;TraesCS5B01G476900;TraesCS5D01G026000;TraesCS4D01G220700;TraesCS5A01G305400;TraesCS7D01G454200;TraesCS4B01G028100;TraesCS5A01G173700;TraesCS1B01G254000;TraesCS3A01G513500;TraesCS4A01G101500;TraesCS4D01G204000;TraesCS2D01G094400;TraesCS4D01G025700;TraesCS4A01G298100;TraesCS5D01G108700;TraesCS1A01G007500;TraesCS5B01G174600;TraesCS2B01G297800;TraesCS4D01G120900;TraesCS2A01G252600;TraesCS3D01G228800;TraesCS6A01G303800;TraesCS7B01G278200;TraesCS5B01G127300;TraesCS5B01G171100;TraesCS2A01G500400;TraesCS3A01G191700;TraesCS5A01G212500;TraesCS4D01G240700;TraesCS6D01G047400;TraesCS2A01G187700;TraesCS2D01G154100;TraesCS4A01G091100;TraesCS5D01G420300;TraesCS3A01G367000;TraesCS5D01G067600;TraesCS5B01G300100;TraesCS2A01G114400;TraesCS6A01G314100;TraesCS7D01G283600;TraesCS3D01G434800;TraesCS5B01G132600;TraesCS3A01G084400;TraesCS5D01G149900;TraesCS2B01G592500;TraesCS6A01G290600;TraesCS1D01G315700;TraesCS1A01G206900;TraesCS6A01G321600;TraesCS5D01G135900;TraesCS2A01G222600;TraesCS2D01G194000;TraesCS1D01G086600;TraesCS2B01G133500;TraesCS1B01G220700;TraesCS4D01G339700;TraesCS6D01G065600;TraesCS6B01G352400;TraesCS5B01G502700;TraesCS5D01G312400;TraesCS5B01G084600;TraesCS4D01G157500;TraesCS2A01G342600;TraesCS2B01G272300;TraesCS6B01G159800;TraesCS2D01G520000;TraesCS4D01G327300;TraesCS5A01G056400;TraesCS6B01G176600;TraesCS7A01G190500;TraesCS4D01G199300;TraesCS5A01G411500;TraesCS3D01G083400;TraesCS4B01G287200;TraesCS2D01G279300;TraesCS5A01G132300;TraesCS6A01G267300;TraesCS3B01G370200;TraesCS6B01G344100;TraesCS3A01G224800;TraesCS2A01G296400;TraesCS5B01G102000;TraesCS2B01G520500;TraesCS4B01G193400;TraesCS3A01G405300;TraesCS7A01G359800;TraesCS1D01G094400;TraesCS5B01G155100;TraesCS2D01G500600;TraesCS1D01G390500;TraesCS4A01G164900;TraesCS6A01G188100;TraesCS4A01G165600;TraesCS4A01G290400;TraesCS1A01G195500;TraesCS2A01G492300;TraesCS5A01G324200;TraesCS3D01G084300;TraesCS5B01G509100;TraesCS6D01G132500;TraesCS7A01G314100;TraesCS7B01G124100;TraesCS6A01G070600;TraesCS1D01G199100;TraesCS4D01G159800;TraesCS6D01G283300;TraesCS3D01G514100;TraesCS2B01G248100;TraesCS1D01G367600;TraesCS2A01G467900;TraesCS2D01G238600;TraesCS5B01G256400;TraesCS3A01G521600;TraesCS5B01G036800;TraesCS2B01G312600;TraesCS7D01G169500;TraesCS6B01G171600;TraesCS7D01G373100;TraesCS4A01G105500;TraesCS6A01G269700;TraesCS4A01G298700;TraesCS6B01G173500;TraesCS1D01G198700;TraesCS4D01G189600;TraesCS3A01G082700;TraesCS2D01G549100;TraesCS3D01G087300;TraesCS7D01G000100;TraesCS7B01G207300</t>
  </si>
  <si>
    <t>TraesCS3D01G426300;TraesCS4B01G252400;TraesCS1B01G261600;TraesCS2A01G286500;TraesCS6A01G018600;TraesCS4B01G015600;TraesCS2A01G246200;TraesCS5D01G219500;TraesCS3A01G250200;TraesCS6D01G344200;TraesCS1D01G101200;TraesCS2D01G492600;TraesCS4A01G226900;TraesCS5A01G513500;TraesCS5B01G141000;TraesCS7D01G121200;TraesCS4B01G288200;TraesCS4B01G213600;TraesCS2B01G528300;TraesCS5B01G227900;TraesCS6A01G143300;TraesCS4D01G153900;TraesCS6D01G122800;TraesCS5D01G366500;TraesCS4B01G226100;TraesCS2A01G262700;TraesCS3A01G181600;TraesCS4B01G220400;TraesCS4D01G214300;TraesCS5D01G181600;TraesCS5A01G501800;TraesCS4D01G013900;TraesCS4D01G252700;TraesCS7A01G264300;TraesCS5B01G102600;TraesCS6B01G342400;TraesCS2A01G280500;TraesCS3A01G381000;TraesCS5B01G324800;TraesCS5D01G429200;TraesCS6A01G133100;TraesCS1A01G092700;TraesCS4A01G116000;TraesCS3A01G151100;TraesCS2B01G340300;TraesCS3D01G206100;TraesCS3D01G495100;TraesCS7A01G307000;TraesCS3A01G103900;TraesCS4D01G068100;TraesCS2D01G248600;TraesCS3A01G189400;TraesCS3D01G275600;TraesCS3D01G527700;TraesCS2A01G193800;TraesCS5B01G476900;TraesCS7D01G265200;TraesCS4D01G220700;TraesCS2B01G263300;TraesCS5A01G173700;TraesCS1B01G254000;TraesCS3A01G513500;TraesCS4A01G101500;TraesCS6A01G225200;TraesCS4D01G204000;TraesCS7A01G004000;TraesCS2D01G094400;TraesCS4A01G298100;TraesCS7D01G004500;TraesCS1A01G007500;TraesCS5A01G142200;TraesCS5B01G174600;TraesCS2B01G297800;TraesCS4D01G120900;TraesCS6B01G256400;TraesCS2A01G252600;TraesCS3D01G228800;TraesCS4B01G069300;TraesCS2B01G304900;TraesCS5B01G171100;TraesCS6B01G393600;TraesCS2A01G500400;TraesCS3A01G191700;TraesCS5A01G212500;TraesCS4D01G240700;TraesCS6D01G047400;TraesCS2D01G154100;TraesCS4A01G091100;TraesCS3A01G023800;TraesCS6A01G312200;TraesCS4A01G494400;TraesCS3A01G367000;TraesCS5B01G300100;TraesCS2A01G114400;TraesCS6A01G314100;TraesCS3D01G434800;TraesCS3A01G084400;TraesCS5D01G149900;TraesCS2B01G592500;TraesCS3A01G275700;TraesCS3D01G250600;TraesCS6A01G290600;TraesCS2B01G303300;TraesCS2D01G194000;TraesCS1D01G086600;TraesCS3D01G237100;TraesCS2B01G133500;TraesCS4D01G339700;TraesCS6D01G065600;TraesCS5B01G502700;TraesCS3B01G309400;TraesCS6A01G336800;TraesCS7B01G162300;TraesCS5B01G084600;TraesCS2A01G342600;TraesCS2B01G272300;TraesCS2D01G520000;TraesCS4D01G327300;TraesCS6B01G176600;TraesCS7A01G190500;TraesCS6D01G291600;TraesCS2D01G249200;TraesCS3D01G083400;TraesCS4B01G287200;TraesCS6D01G163700;TraesCS2D01G279300;TraesCS6A01G267300;TraesCS3B01G370200;TraesCS6B01G344100;TraesCS3A01G224800;TraesCS2A01G296400;TraesCS5D01G138500;TraesCS2B01G520500;TraesCS7A01G359800;TraesCS1D01G094400;TraesCS6B01G026900;TraesCS5A01G357400;TraesCS2D01G500600;TraesCS1A01G111100;TraesCS1D01G390500;TraesCS5B01G136500;TraesCS4A01G051900;TraesCS1A01G195500;TraesCS2A01G492300;TraesCS5A01G324200;TraesCS2D01G467900;TraesCS3D01G084300;TraesCS6D01G132500;TraesCS6D01G210000;TraesCSU01G047800;TraesCS1D01G199100;TraesCS3D01G514100;TraesCS2A01G467900;TraesCS2D01G238600;TraesCS5B01G256400;TraesCS3A01G521600;TraesCS3B01G279700;TraesCS6D01G147700;TraesCS2B01G312600;TraesCS7D01G169500;TraesCS6B01G171600;TraesCS4A01G298700;TraesCS4D01G189600;TraesCS3A01G082700;TraesCS4A01G078800;TraesCS3D01G087300;TraesCS7D01G000100;TraesCS6A01G163500;TraesCS4A01G246100;TraesCS7B01G207300</t>
  </si>
  <si>
    <t>TraesCS7B01G006600;TraesCS1D01G409700;TraesCS3A01G367000;TraesCS5B01G484700;TraesCS5A01G396700;TraesCS5B01G175800;TraesCS2A01G437700;TraesCS2A01G123800;TraesCS6A01G290600;TraesCS7B01G093800;TraesCS4B01G129700;TraesCS7A01G222800;TraesCS2A01G387000;TraesCS6A01G308100;TraesCS5A01G119300;TraesCS4D01G021400;TraesCS3D01G288000;TraesCS3A01G232700;TraesCS4A01G052600;TraesCS7D01G117800;TraesCS3B01G161900;TraesCS3A01G381000;TraesCS6B01G315800;TraesCS5D01G321900;TraesCS5B01G146700;TraesCS2D01G126600;TraesCS1B01G368500;TraesCS5A01G315800;TraesCS7B01G197000;TraesCS2B01G050600;TraesCS4D01G194400;TraesCS1D01G356900;TraesCS2A01G309600;TraesCS2B01G145700;TraesCS4A01G290400;TraesCS2D01G310000;TraesCS3D01G271200;TraesCS2B01G328500;TraesCS4D01G184400;TraesCS5A01G395200;TraesCS2D01G148200;TraesCS5B01G409700;TraesCS6D01G283300;TraesCS2B01G330100;TraesCS3B01G398300;TraesCS6D01G287300;TraesCS7D01G343300;TraesCS7A01G335600;TraesCS7B01G129300;TraesCS3A01G288200;TraesCS3A01G271600;TraesCS4D01G122800;TraesCS7D01G224400;TraesCS6A01G303800;TraesCS2B01G457600;TraesCS2A01G313000;TraesCS3D01G220400;TraesCS4A01G093100;TraesCS6D01G047400</t>
  </si>
  <si>
    <t>starch biosynthetic process</t>
  </si>
  <si>
    <t>TraesCS4A01G232300;TraesCS6B01G470900;TraesCS7D01G283600;TraesCS1A01G206900;TraesCS7A01G222800;TraesCS1D01G210200;TraesCS2D01G194000;TraesCS1B01G220700;TraesCS2A01G058700;TraesCS6A01G212200;TraesCS4B01G083600;TraesCS6D01G122800;TraesCS1B01G396800;TraesCS4D01G147100;TraesCS5D01G551200;TraesCS3D01G288000;TraesCS4A01G315700;TraesCS1A01G376400;TraesCS5B01G563800;TraesCS1D01G423500;TraesCS4D01G003100;TraesCS4D01G081600;TraesCS2A01G280500;TraesCS6A01G133100;TraesCS2D01G279300;TraesCS1A01G416000;TraesCS4B01G300100;TraesCS1D01G383500;TraesCS2D01G057900;TraesCS7D01G549100;TraesCS4A01G286700;TraesCS2D01G236100;TraesCS4B01G193400;TraesCS5D01G105500;TraesCS2A01G193800;TraesCS5B01G476900;TraesCS5D01G026000;TraesCS5B01G409700;TraesCS1D01G367600;TraesCS2A01G467900;TraesCS2B01G154700;TraesCS6D01G195400;TraesCS7D01G343300;TraesCS4B01G028100;TraesCS7A01G335600;TraesCS5B01G036800;TraesCS2A01G132200;TraesCS2A01G239200;TraesCS2B01G257300;TraesCS2B01G070700;TraesCS7B01G129300;TraesCS4D01G025700;TraesCS5A01G093200;TraesCS3A01G288200;TraesCS2B01G297800;TraesCS4D01G120900;TraesCS7D01G224400;TraesCS6B01G173500;TraesCS7A01G560200;TraesCS1D01G198700;TraesCS4A01G093100;TraesCS6B01G242800;TraesCS6D01G047400</t>
  </si>
  <si>
    <t>terpenoid metabolic process</t>
  </si>
  <si>
    <t>TraesCS3D01G426300;TraesCS1B01G261600;TraesCS4B01G015600;TraesCS5D01G219500;TraesCS1D01G101200;TraesCS2D01G492600;TraesCS4A01G226900;TraesCS5A01G513500;TraesCS5B01G141000;TraesCS4B01G288200;TraesCS4B01G213600;TraesCS2B01G528300;TraesCS5B01G227900;TraesCS6A01G143300;TraesCS4D01G153900;TraesCS6D01G122800;TraesCS4B01G226100;TraesCS3A01G181600;TraesCS4B01G220400;TraesCS4D01G214300;TraesCS5D01G181600;TraesCS5A01G501800;TraesCS4D01G013900;TraesCS2A01G280500;TraesCS3A01G381000;TraesCS5B01G324800;TraesCS5D01G429200;TraesCS6A01G133100;TraesCS1A01G092700;TraesCS4A01G116000;TraesCS3A01G151100;TraesCS2B01G340300;TraesCS7A01G307000;TraesCS3A01G103900;TraesCS3A01G189400;TraesCS3D01G527700;TraesCS2A01G193800;TraesCS5B01G476900;TraesCS4D01G220700;TraesCS5A01G173700;TraesCS1B01G254000;TraesCS3A01G513500;TraesCS4A01G101500;TraesCS4D01G204000;TraesCS2D01G094400;TraesCS4A01G298100;TraesCS1A01G007500;TraesCS5B01G174600;TraesCS2B01G297800;TraesCS4D01G120900;TraesCS2A01G252600;TraesCS5B01G171100;TraesCS2A01G500400;TraesCS3A01G191700;TraesCS5A01G212500;TraesCS4D01G240700;TraesCS6D01G047400;TraesCS2D01G154100;TraesCS4A01G091100;TraesCS3A01G367000;TraesCS5B01G300100;TraesCS2A01G114400;TraesCS6A01G314100;TraesCS3D01G434800;TraesCS3A01G084400;TraesCS5D01G149900;TraesCS2B01G592500;TraesCS6A01G290600;TraesCS2D01G194000;TraesCS2B01G133500;TraesCS4D01G339700;TraesCS6D01G065600;TraesCS5B01G502700;TraesCS5B01G084600;TraesCS2A01G342600;TraesCS2B01G272300;TraesCS2D01G520000;TraesCS4D01G327300;TraesCS6B01G176600;TraesCS7A01G190500;TraesCS3D01G083400;TraesCS4B01G287200;TraesCS2D01G279300;TraesCS6A01G267300;TraesCS3B01G370200;TraesCS6B01G344100;TraesCS2A01G296400;TraesCS2B01G520500;TraesCS7A01G359800;TraesCS1D01G094400;TraesCS2D01G500600;TraesCS1D01G390500;TraesCS1A01G195500;TraesCS2A01G492300;TraesCS5A01G324200;TraesCS3D01G084300;TraesCS6D01G132500;TraesCS1D01G199100;TraesCS3D01G514100;TraesCS2A01G467900;TraesCS2D01G238600;TraesCS5B01G256400;TraesCS3A01G521600;TraesCS2B01G312600;TraesCS7D01G169500;TraesCS6B01G171600;TraesCS4A01G298700;TraesCS4D01G189600;TraesCS3A01G082700;TraesCS3D01G087300;TraesCS7D01G000100;TraesCS7B01G207300</t>
  </si>
  <si>
    <t>TraesCS1B01G259800;TraesCS4A01G125000;TraesCS2D01G324900;TraesCS1D01G107300;TraesCS7A01G351100;TraesCS4A01G257800;TraesCS5A01G032500;TraesCS5A01G468600;TraesCS6B01G399000;TraesCS6D01G348000;TraesCS5A01G513500;TraesCS5B01G531900;TraesCS4B01G213600;TraesCS2D01G014800;TraesCS6A01G311200;TraesCS2B01G364900;TraesCS4A01G065400;TraesCS4B01G152900;TraesCS4B01G186700;TraesCS5B01G156500;TraesCS6B01G132300;TraesCS5A01G467500;TraesCSU01G121900;TraesCS5D01G429200;TraesCS2A01G171900;TraesCS4B01G126400;TraesCS4D01G244000;TraesCS5A01G390000;TraesCS2D01G399800;TraesCS7B01G350400;TraesCS5D01G193000;TraesCS1A01G350200;TraesCS3D01G428300;TraesCS6D01G224200;TraesCS5B01G159100;TraesCS6B01G219700;TraesCS3A01G229100;TraesCS6A01G379000;TraesCS5A01G149000;TraesCS1A01G130700;TraesCS7A01G242000;TraesCS4B01G200300;TraesCS7A01G321900;TraesCS2A01G488400;TraesCS4B01G347000;TraesCS6D01G390000;TraesCS3D01G275200;TraesCS6A01G105400;TraesCS5D01G399800;TraesCS7D01G454200;TraesCS1A01G099400;TraesCS4D01G151500;TraesCS1B01G254000;TraesCSU01G093800;TraesCS6D01G162200;TraesCS2A01G027000;TraesCS6D01G298300;TraesCS7A01G151000;TraesCS1D01G229400;TraesCS3B01G246600;TraesCS2D01G093700;TraesCS3A01G077600;TraesCS3D01G205300;TraesCS5B01G484800;TraesCS1D01G020000;TraesCS5A01G472100;TraesCS5D01G396300;TraesCS1B01G462200;TraesCS3D01G188800;TraesCS6A01G364300;TraesCS2B01G501300;TraesCS4A01G091100;TraesCS3B01G425900;TraesCS1D01G409700;TraesCS4A01G167000;TraesCS4D01G341900;TraesCS7D01G439900;TraesCS2D01G561900;TraesCS5B01G562200;TraesCS5D01G143800;TraesCS2D01G322800;TraesCS5B01G171400;TraesCS1B01G326400;TraesCS6B01G282200;TraesCS3D01G065800;TraesCS3A01G332300;TraesCS1D01G315700;TraesCS4B01G263100;TraesCS2A01G387400;TraesCS3B01G214600;TraesCS2B01G221800;TraesCS3D01G256700;TraesCS6B01G238600;TraesCS3A01G336100;TraesCS5A01G416400;TraesCS2D01G238700;TraesCS6A01G103200;TraesCS4D01G339700;TraesCS1D01G242500;TraesCS4A01G042500;TraesCS2A01G157700;TraesCS7D01G278800;TraesCS5D01G444500;TraesCS2A01G344500;TraesCS7D01G207100;TraesCS7A01G490900;TraesCS3A01G272200;TraesCS4A01G030400;TraesCS7D01G072300;TraesCS6B01G365300;TraesCS5B01G479200;TraesCS2B01G375700;TraesCS2A01G592600;TraesCS2A01G185500;TraesCS2B01G520500;TraesCS2A01G095300;TraesCS5D01G044700;TraesCS5B01G503800;TraesCS3D01G268700;TraesCS4A01G078900;TraesCS5D01G405400;TraesCS3D01G114000;TraesCS3A01G391800;TraesCS5B01G185700;TraesCS2A01G467900;TraesCS2B01G229500;TraesCS4D01G039100;TraesCS5B01G036800;TraesCS4A01G342800;TraesCS4B01G041900;TraesCS6D01G363400;TraesCS3B01G363500;TraesCS7D01G152900;TraesCS2D01G488700;TraesCS5B01G397300;TraesCS5B01G395000;TraesCS7D01G409000;TraesCS2D01G202200;TraesCS5B01G534400;TraesCS1D01G314600;TraesCS6B01G342300;TraesCS7A01G279000;TraesCS3A01G268600;TraesCS6D01G106900;TraesCS3B01G303000;TraesCS7D01G499800;TraesCS2A01G487500;TraesCS3D01G224800;TraesCS7A01G466600;TraesCS2D01G213200;TraesCS2D01G477200;TraesCS3B01G423800;TraesCS3B01G083400;TraesCS5B01G409400;TraesCS2B01G514800;TraesCS2B01G271300;TraesCS4A01G375000;TraesCS3D01G384700;TraesCS2B01G246900;TraesCS5D01G481500;TraesCS2D01G492600;TraesCS4B01G050600;TraesCS5D01G099800;TraesCS6B01G169300;TraesCS1B01G377800;TraesCS2B01G410600;TraesCS2B01G343900;TraesCS2B01G505400;TraesCS2B01G528300;TraesCS4A01G101200;TraesCS5D01G530200;TraesCS7B01G181200;TraesCS6A01G040400;TraesCS4D01G147500;TraesCS4D01G214300;TraesCS4B01G056700;TraesCS1D01G316200;TraesCS7A01G076600;TraesCS2B01G004000;TraesCS7D01G025000;TraesCS7D01G327700;TraesCS3A01G151100;TraesCS3B01G299100;TraesCS3B01G362100;TraesCS2D01G380900;TraesCS1D01G155800;TraesCS2D01G487700;TraesCS5B01G058200;TraesCS6A01G209800;TraesCS6A01G312100;TraesCS1A01G258800;TraesCS6B01G341400;TraesCS4A01G264400;TraesCS2D01G232300;TraesCS2D01G385000;TraesCS5D01G504600;TraesCS5D01G208100;TraesCS3D01G240800;TraesCS6D01G149800;TraesCS3B01G252200;TraesCS2A01G233300;TraesCS3A01G435700;TraesCS1A01G001800;TraesCS1A01G177600;TraesCS1A01G095200;TraesCS6B01G285500;TraesCS4A01G334700;TraesCS2A01G221200;TraesCS2A01G149500;TraesCS2D01G304000;TraesCS2B01G174600;TraesCS3A01G184800;TraesCS7B01G111000;TraesCS2B01G348600;TraesCS2B01G250000;TraesCS6D01G091600;TraesCS5A01G059900;TraesCS6B01G450500;TraesCS3D01G325800;TraesCS4B01G242800;TraesCS3B01G268900;TraesCS4B01G179400;TraesCS5D01G078500;TraesCS1A01G315900;TraesCS1A01G249100;TraesCS2A01G226000;TraesCS2B01G405200;TraesCS3A01G275300;TraesCS6D01G094200;TraesCS6D01G130500;TraesCS3A01G097200;TraesCS2A01G480500;TraesCS1D01G003700;TraesCS5B01G418700;TraesCS6A01G040200;TraesCS6B01G134800;TraesCS2A01G338100;TraesCS3D01G271800;TraesCS3D01G150600;TraesCS4B01G245400;TraesCS6D01G221400;TraesCS7A01G450600;TraesCS3D01G326900;TraesCS5D01G484800;TraesCS4B01G164800;TraesCS4D01G057000;TraesCS4D01G263300;TraesCS5B01G037500;TraesCS4B01G344600;TraesCS7B01G169100;TraesCS1D01G134300;TraesCS5D01G231200;TraesCS3B01G257700;TraesCS6A01G117300;TraesCS2A01G391400;TraesCS3B01G306000;TraesCS7A01G204000;TraesCS3D01G304800;TraesCS5A01G036600;TraesCS2D01G154600;TraesCS5A01G223700;TraesCS4A01G144500;TraesCS7A01G260100;TraesCS1D01G258800;TraesCS1B01G293500;TraesCS2D01G226900;TraesCS5A01G515700;TraesCS6B01G151900;TraesCS5B01G147600;TraesCS6D01G174500;TraesCS6B01G331800;TraesCS7D01G190300;TraesCS3B01G470400;TraesCS1A01G158500;TraesCS6A01G311500;TraesCS1A01G284300;TraesCS1D01G353100;TraesCS5B01G074200;TraesCS5B01G481100;TraesCS1A01G020500;TraesCS6A01G319100;TraesCS1B01G269400;TraesCS2A01G382000;TraesCS2B01G293400;TraesCS7B01G421100;TraesCS1A01G314100;TraesCS5D01G480300;TraesCS7B01G119300;TraesCS6B01G189000;TraesCS4D01G242400</t>
  </si>
  <si>
    <t>TraesCS4A01G232300;TraesCS6B01G470900;TraesCS7D01G283600;TraesCS1A01G206900;TraesCS7A01G222800;TraesCS1D01G210200;TraesCS2D01G194000;TraesCS1B01G220700;TraesCS2A01G058700;TraesCS6A01G212200;TraesCS4B01G083600;TraesCS6D01G122800;TraesCS1B01G396800;TraesCS4D01G147100;TraesCS5D01G551200;TraesCS3D01G288000;TraesCS4A01G315700;TraesCS1A01G376400;TraesCS5B01G563800;TraesCS1D01G423500;TraesCS4D01G081600;TraesCS2A01G280500;TraesCS6A01G133100;TraesCS2D01G279300;TraesCS1A01G416000;TraesCS4B01G300100;TraesCS1D01G383500;TraesCS2D01G057900;TraesCS7D01G549100;TraesCS4A01G286700;TraesCS2D01G236100;TraesCS4B01G193400;TraesCS5D01G105500;TraesCS2A01G193800;TraesCS5B01G476900;TraesCS5D01G026000;TraesCS5B01G409700;TraesCS1D01G367600;TraesCS2A01G467900;TraesCS2B01G154700;TraesCS6D01G195400;TraesCS7D01G343300;TraesCS4B01G028100;TraesCS7A01G335600;TraesCS5B01G036800;TraesCS2A01G132200;TraesCS2A01G239200;TraesCS2B01G257300;TraesCS2B01G070700;TraesCS7B01G129300;TraesCS4D01G025700;TraesCS5A01G093200;TraesCS3A01G288200;TraesCS2B01G297800;TraesCS4D01G120900;TraesCS7D01G224400;TraesCS6B01G173500;TraesCS7A01G560200;TraesCS1D01G198700;TraesCS4A01G093100;TraesCS6B01G242800;TraesCS6D01G047400</t>
  </si>
  <si>
    <t>terpenoid biosynthetic process</t>
  </si>
  <si>
    <t>TraesCS1D01G264100;TraesCS4B01G015600;TraesCS1B01G049300;TraesCS5B01G339200;TraesCS1D01G401900;TraesCS3D01G273800;TraesCS1D01G210200;TraesCS2A01G392900;TraesCS5D01G171100;TraesCS6A01G143300;TraesCS7B01G240200;TraesCS4A01G052600;TraesCS4D01G013900;TraesCS5B01G378700;TraesCS4B01G321500;TraesCS2A01G280500;TraesCS3A01G381000;TraesCS5D01G429200;TraesCS5A01G166800;TraesCS7A01G323200;TraesCS2A01G149600;TraesCS2A01G200500;TraesCS4A01G286700;TraesCS3D01G182400;TraesCS3A01G151100;TraesCS2B01G401900;TraesCS1A01G264000;TraesCS6A01G379000;TraesCS5B01G415100;TraesCS5A01G149000;TraesCS1D01G331000;TraesCS3D01G296900;TraesCS2B01G227800;TraesCS5D01G504600;TraesCS4B01G028100;TraesCS3A01G393400;TraesCS5A01G173700;TraesCS7B01G129300;TraesCS4D01G025700;TraesCS4D01G359000;TraesCS4A01G298100;TraesCS4A01G120000;TraesCS2B01G297800;TraesCS4D01G122800;TraesCS7D01G224400;TraesCS4B01G109700;TraesCS2B01G457600;TraesCS5B01G171100;TraesCS5D01G459800;TraesCS2D01G093700;TraesCS2B01G247100;TraesCS5A01G472100;TraesCS6A01G343500;TraesCS2A01G128300;TraesCS5D01G094000;TraesCS1B01G462200;TraesCS5B01G201700;TraesCS5B01G270200;TraesCS5D01G420300;TraesCS3A01G023800;TraesCS5A01G489100;TraesCS3A01G367000;TraesCS1B01G171600;TraesCS2A01G521400;TraesCS5A01G396700;TraesCS5B01G171400;TraesCS7D01G283600;TraesCS3B01G423600;TraesCS2A01G437700;TraesCS5B01G501200;TraesCS2B01G592500;TraesCS2D01G362700;TraesCS1A01G206900;TraesCS4B01G129700;TraesCS5A01G548800;TraesCS1B01G274600;TraesCS7A01G222800;TraesCS3A01G097200;TraesCS7A01G316700;TraesCS5D01G118200;TraesCS4D01G318200;TraesCS1B01G220700;TraesCS1D01G433300;TraesCS1A01G246800;TraesCS1B01G422200;TraesCS2B01G150400;TraesCS5D01G551200;TraesCS1D01G030500;TraesCS4A01G315700;TraesCS1B01G365600;TraesCS5B01G563800;TraesCS5A01G411500;TraesCS3D01G083400;TraesCS2D01G279300;TraesCS6A01G267300;TraesCS3A01G304900;TraesCS3B01G154900;TraesCS2A01G095300;TraesCS4B01G193400;TraesCS2B01G174700;TraesCS7A01G342800;TraesCS1A01G195500;TraesCS1D01G151800;TraesCS1B01G293500;TraesCS6D01G132500;TraesCS1D01G199100;TraesCS5A01G490500;TraesCS5B01G147600;TraesCS5B01G409700;TraesCS3D01G514100;TraesCS2A01G467900;TraesCS7D01G343300;TraesCS7A01G335600;TraesCS7B01G217500;TraesCS2A01G455300;TraesCS5B01G036800;TraesCS1A01G284300;TraesCS2B01G477400;TraesCS2D01G208300;TraesCS6B01G171600;TraesCS7D01G409000;TraesCS1A01G133500;TraesCSU01G132400;TraesCS3A01G082700;TraesCS4D01G003600</t>
  </si>
  <si>
    <t>anatomical structure morphogenesis</t>
  </si>
  <si>
    <t>TraesCS3D01G426300;TraesCS4A01G091100;TraesCS3A01G367000;TraesCS2A01G114400;TraesCS6A01G314100;TraesCS3A01G084400;TraesCS5D01G149900;TraesCS2B01G592500;TraesCS5D01G219500;TraesCS6A01G290600;TraesCS1D01G101200;TraesCS2D01G492600;TraesCS4A01G226900;TraesCS5A01G513500;TraesCS5B01G141000;TraesCS4B01G288200;TraesCS2B01G133500;TraesCS4B01G213600;TraesCS4D01G339700;TraesCS2B01G528300;TraesCS5B01G227900;TraesCS6A01G143300;TraesCS2A01G342600;TraesCS4D01G214300;TraesCS2B01G272300;TraesCS5A01G501800;TraesCS6B01G176600;TraesCS7A01G190500;TraesCS3D01G083400;TraesCS3A01G381000;TraesCS5B01G324800;TraesCS5D01G429200;TraesCS1A01G092700;TraesCS6A01G267300;TraesCS3B01G370200;TraesCS6B01G344100;TraesCS2A01G296400;TraesCS2B01G520500;TraesCS3A01G151100;TraesCS2B01G340300;TraesCS7A01G359800;TraesCS3A01G103900;TraesCS3A01G189400;TraesCS1A01G195500;TraesCS2A01G492300;TraesCS3D01G527700;TraesCS5A01G324200;TraesCS3D01G084300;TraesCS6D01G132500;TraesCS1D01G199100;TraesCS3D01G514100;TraesCS2A01G467900;TraesCS2D01G238600;TraesCS5B01G256400;TraesCS3A01G521600;TraesCS5A01G173700;TraesCS4A01G101500;TraesCS4D01G204000;TraesCS2D01G094400;TraesCS2B01G312600;TraesCS1A01G007500;TraesCS6B01G171600;TraesCS4A01G298700;TraesCS4D01G120900;TraesCS2A01G252600;TraesCS5B01G171100;TraesCS3A01G082700;TraesCS3A01G191700;TraesCS3D01G087300;TraesCS5A01G212500;TraesCS6D01G047400</t>
  </si>
  <si>
    <t>sulfur amino acid biosynthetic process</t>
  </si>
  <si>
    <t>TraesCS3A01G289900;TraesCS5B01G484700;TraesCS7D01G294300;TraesCS5B01G175800;TraesCS4A01G166900;TraesCS7B01G093800;TraesCS1D01G101200;TraesCS3A01G202000;TraesCS3D01G391900;TraesCS5A01G490800;TraesCS4A01G092500;TraesCS5A01G119300;TraesCS4D01G021400;TraesCS1A01G116200;TraesCS4A01G052600;TraesCSU01G142500;TraesCS3B01G161900;TraesCS3B01G324500;TraesCS5D01G517200;TraesCS3A01G381000;TraesCS1A01G092700;TraesCS6B01G315800;TraesCS4A01G355000;TraesCS5B01G146700;TraesCS1B01G368500;TraesCS2A01G102600;TraesCS2B01G309500;TraesCS7B01G197000;TraesCS2B01G050600;TraesCS2A01G309600;TraesCS3D01G289600;TraesCS3A01G189400;TraesCS2D01G310000;TraesCS4D01G184400;TraesCS1B01G167200;TraesCS2B01G330100;TraesCS4D01G151900;TraesCS6D01G287300;TraesCS7A01G555700;TraesCS5D01G230300;TraesCS6A01G420100;TraesCS7B01G129300;TraesCS4D01G122800;TraesCS7D01G224400;TraesCS5D01G144600;TraesCS6A01G303800;TraesCS2B01G457600;TraesCS3A01G398000;TraesCS2A01G313000;TraesCS3D01G220400;TraesCS6D01G047400;TraesCS4A01G248200;TraesCS7D01G554900;TraesCS7B01G006600;TraesCS1D01G409700;TraesCS3A01G367000;TraesCS5D01G470400;TraesCS5A01G396700;TraesCS2A01G437700;TraesCS2A01G123800;TraesCS6A01G290600;TraesCS4B01G129700;TraesCS7A01G222800;TraesCS2A01G387000;TraesCS2A01G293400;TraesCS2D01G102100;TraesCS6B01G182300;TraesCS6A01G308100;TraesCS4D01G212600;TraesCS4D01G317900;TraesCS3B01G229700;TraesCS3D01G288000;TraesCS3A01G232700;TraesCS3A01G292700;TraesCS6D01G405600;TraesCS7D01G117800;TraesCS4B01G321300;TraesCS1D01G146600;TraesCS2B01G119700;TraesCS5D01G321900;TraesCS5B01G517500;TraesCS2D01G126600;TraesCS5A01G315800;TraesCS4D01G194400;TraesCS1D01G356900;TraesCS2B01G145700;TraesCS4A01G290400;TraesCS3D01G271200;TraesCS2B01G328500;TraesCS3B01G430000;TraesCS5A01G395200;TraesCS1D01G117400;TraesCS6B01G104600;TraesCS2D01G148200;TraesCS5B01G409700;TraesCS6D01G283300;TraesCS7A01G182200;TraesCS4B01G211800;TraesCS3B01G398300;TraesCS7D01G343300;TraesCS7A01G335600;TraesCS4B01G383000;TraesCS3A01G417000;TraesCS3A01G288200;TraesCS3D01G412500;TraesCS4D01G065600;TraesCS3A01G271600;TraesCS7D01G409000;TraesCS6A01G077800;TraesCS5A01G222500;TraesCS6A01G154400;TraesCS4A01G093100</t>
  </si>
  <si>
    <t>TraesCS3D01G426300;TraesCS7A01G223300;TraesCS4A01G125000;TraesCS7D01G227300;TraesCS5B01G484700;TraesCS7D01G338600;TraesCS5D01G412600;TraesCS4A01G226900;TraesCS2D01G014800;TraesCS6B01G159200;TraesCS6A01G143300;TraesCS4D01G153900;TraesCS4B01G220400;TraesCS5D01G532100;TraesCS3B01G131400;TraesCS5B01G102600;TraesCS2A01G280500;TraesCS3A01G381000;TraesCS2B01G004000;TraesCS7D01G549100;TraesCS1B01G255100;TraesCS7A01G307000;TraesCS3A01G052700;TraesCS5A01G149000;TraesCS7B01G197000;TraesCS2B01G233400;TraesCS3D01G529200;TraesCS4B01G204500;TraesCS7A01G341000;TraesCS7B01G189500;TraesCS3D01G296900;TraesCS4D01G220700;TraesCS6A01G105400;TraesCS3A01G523700;TraesCS6D01G287300;TraesCS3B01G566600;TraesCS3A01G513500;TraesCS6A01G225200;TraesCS7B01G242200;TraesCS3A01G530100;TraesCS4D01G359000;TraesCS7A01G077400;TraesCS2B01G297800;TraesCS4D01G122800;TraesCS6B01G256400;TraesCS6A01G303800;TraesCS7A01G560200;TraesCS1A01G198400;TraesCS2B01G457600;TraesCS3A01G191700;TraesCS4B01G290300;TraesCS6B01G242800;TraesCS1D01G211600;TraesCS7D01G231600;TraesCS1B01G462200;TraesCS3D01G423300;TraesCS6B01G239000;TraesCS3A01G023800;TraesCS1D01G409700;TraesCS3A01G367000;TraesCS5B01G300100;TraesCS7D01G283600;TraesCS3D01G281100;TraesCS4D01G085700;TraesCS2A01G437700;TraesCS4B01G179400;TraesCS6A01G290600;TraesCS2D01G389900;TraesCS6D01G094200;TraesCS4B01G129700;TraesCS5A01G548800;TraesCS2D01G118000;TraesCS2A01G387000;TraesCS4A01G138800;TraesCS6A01G212200;TraesCS6A01G308100;TraesCS3A01G100000;TraesCS6B01G134800;TraesCS3D01G288000;TraesCS7D01G224900;TraesCS4A01G254100;TraesCS7D01G073000;TraesCS2D01G279300;TraesCS6A01G267300;TraesCS3A01G503200;TraesCS3A01G304900;TraesCS2A01G296400;TraesCS4A01G376000;TraesCS6D01G299200;TraesCS3D01G268700;TraesCS1B01G213300;TraesCS2B01G410100;TraesCS6D01G132500;TraesCS6D01G210000;TraesCS5B01G147600;TraesCS6D01G283300;TraesCS4D01G264800;TraesCS6A01G210200;TraesCS6D01G195400;TraesCS5B01G036800;TraesCS2A01G239200;TraesCS2B01G312600;TraesCS3A01G417000;TraesCS3A01G288200;TraesCS3D01G412500;TraesCS6B01G171600;TraesCS5B01G534400;TraesCS2B01G325100;TraesCS3A01G268600;TraesCS4D01G003600;TraesCS4A01G093100;TraesCS7B01G207300</t>
  </si>
  <si>
    <t>ncRNA processing</t>
  </si>
  <si>
    <t>TraesCS3D01G426300;TraesCS7A01G223300;TraesCS4A01G125000;TraesCS7D01G227300;TraesCS1D01G190900;TraesCS3D01G231200;TraesCS6B01G213100;TraesCS5B01G484700;TraesCS2B01G346500;TraesCS7D01G338600;TraesCS1B01G049300;TraesCS3D01G411200;TraesCS5D01G412600;TraesCS3A01G334800;TraesCS3D01G380100;TraesCS1B01G193700;TraesCS2D01G492600;TraesCS4A01G226900;TraesCS7A01G368900;TraesCS4A01G432400;TraesCS7A01G318800;TraesCS4B01G288200;TraesCS1A01G185900;TraesCS2D01G014800;TraesCS6B01G159200;TraesCS6A01G143300;TraesCS4D01G153900;TraesCS4B01G220400;TraesCS1A01G324800;TraesCS5D01G532100;TraesCS2D01G417300;TraesCS3B01G131400;TraesCS5B01G102600;TraesCS2A01G280500;TraesCS3A01G381000;TraesCS5D01G429200;TraesCS2B01G004000;TraesCS5D01G201300;TraesCS7D01G549100;TraesCS2A01G200500;TraesCS1B01G255100;TraesCS1A01G180200;TraesCS6B01G112700;TraesCS7A01G307000;TraesCS3A01G052700;TraesCS5A01G149000;TraesCS7B01G197000;TraesCS3A01G103900;TraesCS2B01G233400;TraesCS3D01G529200;TraesCS6D01G182200;TraesCS4B01G204500;TraesCS3A01G189400;TraesCS3D01G527700;TraesCS7A01G341000;TraesCS7B01G177700;TraesCS3B01G222400;TraesCS7D01G284200;TraesCS7B01G189500;TraesCS3D01G296900;TraesCS4D01G220700;TraesCS2B01G227800;TraesCS6A01G105400;TraesCS3A01G523700;TraesCS6D01G287300;TraesCS3B01G566600;TraesCS4B01G158000;TraesCS3A01G513500;TraesCS6A01G225200;TraesCS7B01G242200;TraesCS2B01G257300;TraesCS2D01G094400;TraesCS3A01G530100;TraesCS3B01G088300;TraesCS4D01G359000;TraesCS7A01G077400;TraesCS7A01G304400;TraesCS2B01G297800;TraesCS4D01G120900;TraesCS4D01G122800;TraesCS6B01G256400;TraesCS6A01G303800;TraesCS7A01G560200;TraesCS4B01G109700;TraesCS1A01G198400;TraesCS2A01G273400;TraesCS2B01G457600;TraesCS3A01G191700;TraesCS3D01G328100;TraesCS4B01G290300;TraesCS6B01G242800;TraesCS1B01G200300;TraesCS1D01G211600;TraesCS7D01G231600;TraesCS1B01G462200;TraesCS3D01G423300;TraesCS6B01G239000;TraesCS3A01G023800;TraesCS1D01G409700;TraesCS3A01G367000;TraesCS5B01G300100;TraesCS7D01G315400;TraesCS6A01G314100;TraesCS4D01G194300;TraesCS5B01G171400;TraesCS7D01G283600;TraesCS3D01G281100;TraesCS4D01G085700;TraesCS2A01G437700;TraesCS5A01G189600;TraesCS2B01G592500;TraesCS2D01G362700;TraesCS4B01G179400;TraesCS6A01G290600;TraesCS2D01G389900;TraesCS6D01G094200;TraesCS4B01G129700;TraesCS5A01G548800;TraesCS2D01G118000;TraesCS2A01G387000;TraesCS4A01G138800;TraesCS1D01G325500;TraesCS6A01G212200;TraesCS6A01G308100;TraesCS7B01G219700;TraesCS1A01G246800;TraesCS3A01G100000;TraesCS6B01G134800;TraesCS1A01G137000;TraesCS3D01G288000;TraesCS7D01G224900;TraesCS4A01G254100;TraesCS7D01G073000;TraesCS6D01G244900;TraesCS2D01G279300;TraesCS6A01G267300;TraesCS2B01G098800;TraesCS3A01G503200;TraesCS6B01G344100;TraesCS3A01G304900;TraesCS5B01G387600;TraesCS2D01G327400;TraesCS4D01G150700;TraesCS2A01G296400;TraesCS4A01G376000;TraesCS2B01G520500;TraesCS6D01G299200;TraesCS4A01G110800;TraesCS3D01G268700;TraesCS1B01G213300;TraesCS7A01G285800;TraesCS2D01G246100;TraesCS2A01G492300;TraesCS2B01G410100;TraesCS6B01G151900;TraesCS6D01G132500;TraesCS6D01G210000;TraesCS5B01G147600;TraesCS6D01G283300;TraesCS3A01G521600;TraesCS4D01G264800;TraesCS1B01G337800;TraesCS6A01G210200;TraesCS6D01G195400;TraesCS5B01G036800;TraesCS2A01G239200;TraesCS1B01G155600;TraesCS2B01G312600;TraesCS1D01G024800;TraesCS2D01G208300;TraesCS3A01G417000;TraesCS3A01G288200;TraesCS3D01G412500;TraesCS6B01G171600;TraesCS1A01G024700;TraesCS5B01G534400;TraesCS2B01G325100;TraesCS6B01G342300;TraesCS3A01G295400;TraesCS7D01G000100;TraesCS3A01G268600;TraesCS4D01G003600;TraesCS4A01G093100;TraesCS5B01G121000;TraesCS7B01G207300;TraesCS4A01G150500;TraesCS5A01G199600</t>
  </si>
  <si>
    <t>RNA processing</t>
  </si>
  <si>
    <t>TraesCS7D01G298100;TraesCS4B01G015600;TraesCS1B01G049300;TraesCSU01G072700;TraesCS3D01G273800;TraesCS5A01G114000;TraesCS2D01G253100;TraesCS2D01G014800;TraesCS1D01G265200;TraesCS6B01G159200;TraesCS5D01G171100;TraesCS6A01G143300;TraesCS5A01G192000;TraesCS4D01G147100;TraesCS3D01G173500;TraesCS6A01G130900;TraesCS1A01G324800;TraesCS4A01G052600;TraesCS6B01G253900;TraesCS4D01G013900;TraesCS5B01G378700;TraesCS2D01G417300;TraesCS4B01G321500;TraesCS2A01G280500;TraesCS5A01G166800;TraesCS2B01G004000;TraesCS7D01G300000;TraesCS2A01G149600;TraesCS7D01G549100;TraesCS2A01G200500;TraesCS3B01G198800;TraesCS2A01G563500;TraesCS3A01G151100;TraesCS1B01G255100;TraesCS2B01G401900;TraesCS1A01G180200;TraesCS5B01G335500;TraesCS7A01G307000;TraesCS6A01G379000;TraesCS5A01G149000;TraesCS1D01G331000;TraesCS5A01G336500;TraesCS6A01G312100;TraesCS2B01G227800;TraesCS3A01G513500;TraesCS2B01G257300;TraesCS3B01G252200;TraesCS5A01G104800;TraesCS1D01G219200;TraesCS3B01G088300;TraesCS5A01G123700;TraesCS1D01G412600;TraesCS4A01G298100;TraesCS4D01G116000;TraesCS3B01G298400;TraesCS2B01G297800;TraesCS6B01G190300;TraesCS7A01G560200;TraesCS4B01G109700;TraesCS1A01G198400;TraesCS3D01G203400;TraesCS5A01G115400;TraesCS7A01G514900;TraesCS2D01G093700;TraesCS2B01G247100;TraesCS1B01G200300;TraesCS1D01G211600;TraesCS4A01G355100;TraesCS5D01G094000;TraesCS1B01G462200;TraesCS2D01G105300;TraesCS7B01G352800;TraesCS1D01G409700;TraesCS5D01G472300;TraesCS5D01G143800;TraesCS5B01G171400;TraesCS7D01G283600;TraesCS2B01G592500;TraesCS2D01G362700;TraesCS1D01G124400;TraesCS2A01G387000;TraesCS3A01G097200;TraesCS4A01G138800;TraesCS4D01G318200;TraesCS1D01G325500;TraesCS4A01G262900;TraesCS5B01G162300;TraesCS5D01G551200;TraesCS1D01G030500;TraesCS4A01G315700;TraesCS7D01G442100;TraesCS5B01G563800;TraesCS4B01G069200;TraesCS2D01G059400;TraesCS3D01G083400;TraesCS3A01G224000;TraesCS2D01G279300;TraesCS3A01G167400;TraesCS2B01G098800;TraesCS5B01G037500;TraesCS5B01G387600;TraesCS2A01G095300;TraesCS3B01G253500;TraesCS5D01G044700;TraesCS2B01G174700;TraesCS3B01G251200;TraesCS5B01G115000;TraesCS3D01G304800;TraesCS5A01G036600;TraesCS1B01G213300;TraesCS2D01G246100;TraesCS2B01G122500;TraesCS3A01G200400;TraesCS1A01G195500;TraesCS6B01G151900;TraesCS6D01G132500;TraesCS1D01G199100;TraesCS5A01G490500;TraesCS5B01G147600;TraesCS3D01G514100;TraesCS1B01G337800;TraesCS5B01G036800;TraesCS2A01G239200;TraesCS5D01G341200;TraesCS4B01G276500;TraesCS2D01G208300;TraesCS7D01G505300;TraesCS1D01G298400;TraesCS6B01G171600;TraesCS1B01G434400;TraesCS6A01G319100;TraesCS1A01G133500;TraesCS7A01G452800;TraesCS5A01G460600;TraesCS5B01G094300;TraesCS6B01G342300;TraesCS3A01G082700;TraesCS2A01G252400;TraesCS3A01G295400;TraesCS6A01G161200;TraesCS1A01G299500;TraesCS7B01G207300;TraesCS5B01G517400;TraesCS2A01G403100</t>
  </si>
  <si>
    <t>TraesCS3D01G426300;TraesCS2B01G307300;TraesCS5D01G219500;TraesCS1D01G101200;TraesCS2D01G492600;TraesCS4A01G226900;TraesCS5A01G513500;TraesCS5B01G141000;TraesCS4B01G288200;TraesCS4B01G213600;TraesCS2B01G528300;TraesCS5B01G227900;TraesCS6A01G143300;TraesCS6D01G122800;TraesCS4D01G021400;TraesCS4D01G214300;TraesCS5A01G501800;TraesCS3B01G161900;TraesCS7A01G451100;TraesCS2A01G280500;TraesCS3A01G381000;TraesCS5B01G324800;TraesCS5D01G429200;TraesCS6A01G133100;TraesCS1A01G092700;TraesCS4B01G023800;TraesCS7A01G376800;TraesCS3A01G151100;TraesCS1B01G255100;TraesCS2B01G340300;TraesCS2A01G290900;TraesCS7B01G197000;TraesCS3A01G103900;TraesCS2B01G369600;TraesCS4B01G204500;TraesCS3A01G189400;TraesCS3D01G527700;TraesCS2A01G193800;TraesCS5A01G173700;TraesCS4A01G101500;TraesCS4D01G204000;TraesCS2D01G094400;TraesCS1A01G007500;TraesCS2B01G297800;TraesCS4D01G120900;TraesCS2A01G252600;TraesCS7B01G278200;TraesCS5B01G171100;TraesCS3A01G191700;TraesCS3D01G220400;TraesCS5A01G212500;TraesCS6D01G047400;TraesCS4A01G091100;TraesCS2D01G349600;TraesCS7B01G006600;TraesCS3A01G367000;TraesCS2A01G114400;TraesCS6A01G314100;TraesCS2D01G288800;TraesCS3A01G084400;TraesCS5D01G149900;TraesCS2B01G592500;TraesCS6A01G290600;TraesCS2A01G222600;TraesCS2D01G194000;TraesCS2B01G133500;TraesCS4D01G339700;TraesCS2A01G342600;TraesCS3A01G232700;TraesCS2B01G272300;TraesCS6B01G176600;TraesCS7A01G190500;TraesCS3D01G083400;TraesCS2D01G279300;TraesCS6A01G267300;TraesCS3B01G370200;TraesCS6B01G344100;TraesCS2A01G296400;TraesCS2B01G520500;TraesCS7A01G359800;TraesCS4A01G290400;TraesCS1A01G195500;TraesCS2A01G492300;TraesCS5A01G324200;TraesCS3D01G084300;TraesCS6D01G132500;TraesCS1D01G199100;TraesCS3D01G514100;TraesCS2B01G248100;TraesCS2A01G467900;TraesCS2D01G238600;TraesCS5B01G256400;TraesCS3A01G521600;TraesCS2B01G312600;TraesCS6B01G171600;TraesCS7D01G373100;TraesCS4A01G298700;TraesCS3A01G082700;TraesCS3D01G087300</t>
  </si>
  <si>
    <t>TraesCS4B01G252400;TraesCS5B01G249000;TraesCS1B01G049300;TraesCS5D01G219500;TraesCS3D01G273800;TraesCS1D01G210200;TraesCS7D01G121200;TraesCS4B01G238900;TraesCS5D01G171100;TraesCS4D01G153900;TraesCS7B01G240200;TraesCS4D01G135000;TraesCS4B01G321500;TraesCS5B01G324800;TraesCS5D01G429200;TraesCS5A01G166800;TraesCS4D01G244000;TraesCS7A01G323200;TraesCS4A01G286700;TraesCS2D01G399800;TraesCS1B01G255100;TraesCS7A01G250500;TraesCS5D01G260600;TraesCS6A01G379000;TraesCS5B01G415100;TraesCS5A01G149000;TraesCS5A01G336500;TraesCS3D01G296900;TraesCS6B01G039900;TraesCS4D01G220700;TraesCS7D01G326000;TraesCS7D01G454200;TraesCS3A01G091100;TraesCS3A01G393400;TraesCS3A01G513500;TraesCS5A01G251000;TraesCS6A01G225200;TraesCS5D01G230300;TraesCS2B01G070700;TraesCS1D01G412600;TraesCS4D01G025700;TraesCS4D01G359000;TraesCS4A01G298100;TraesCS4A01G120000;TraesCS7D01G224400;TraesCS4B01G109700;TraesCS5B01G171100;TraesCS2D01G093700;TraesCS5A01G472100;TraesCS6A01G343500;TraesCS7B01G117600;TraesCS5D01G396300;TraesCS1B01G462200;TraesCS5B01G201700;TraesCS5B01G270200;TraesCS6D01G337700;TraesCS5D01G420300;TraesCS4A01G194100;TraesCS5B01G025100;TraesCS1D01G092200;TraesCS5B01G171400;TraesCS7D01G283600;TraesCS3B01G423600;TraesCS2A01G437700;TraesCS2D01G362700;TraesCS2D01G251000;TraesCS1D01G013100;TraesCS1A01G206900;TraesCS1B01G375300;TraesCS1B01G274600;TraesCS2D01G118000;TraesCS6B01G238600;TraesCS7A01G222800;TraesCS7A01G316700;TraesCS5D01G118200;TraesCS4A01G138800;TraesCS4D01G132900;TraesCS1D01G433300;TraesCS1A01G246800;TraesCS2D01G356700;TraesCS4B01G091100;TraesCS5A01G411500;TraesCS7D01G072300;TraesCS5B01G387600;TraesCS2A01G095300;TraesCS4B01G193400;TraesCS5D01G044700;TraesCS5A01G357400;TraesCS4A01G078900;TraesCS3A01G214000;TraesCS4A01G051900;TraesCS1A01G254400;TraesCS3D01G114000;TraesCS1A01G195500;TraesCS1D01G151800;TraesCS6D01G132500;TraesCS6D01G210000;TraesCS2D01G148200;TraesCS5A01G490500;TraesCS5B01G409700;TraesCS2A01G467900;TraesCS7B01G217500;TraesCS5B01G036800;TraesCS2A01G480200;TraesCS2B01G477400;TraesCS2D01G208300;TraesCS7D01G409000;TraesCS1A01G133500;TraesCS1A01G100600;TraesCS6B01G342300;TraesCS3A01G082700;TraesCS4D01G003600;TraesCS7A01G466600;TraesCS1D01G264100;TraesCS3A01G212600;TraesCS3D01G231200;TraesCS5B01G205700;TraesCS4B01G015600;TraesCS4B01G114800;TraesCS1D01G226500;TraesCS2B01G271300;TraesCS3A01G270600;TraesCS5B01G339200;TraesCS1D01G401900;TraesCS4A01G375000;TraesCS4B01G286700;TraesCSU01G072700;TraesCS2A01G392900;TraesCS4B01G288200;TraesCS2A01G058700;TraesCS6A01G143300;TraesCS5D01G366500;TraesCS4B01G220400;TraesCS4A01G052600;TraesCS6B01G253900;TraesCS4D01G013900;TraesCS5B01G378700;TraesCS1A01G076000;TraesCS7A01G115400;TraesCS5D01G380900;TraesCS5B01G102600;TraesCS2A01G280500;TraesCS3A01G381000;TraesCS7A01G076600;TraesCS2A01G149600;TraesCS2A01G200500;TraesCS3D01G182400;TraesCS3A01G151100;TraesCS4D01G213800;TraesCS2B01G401900;TraesCS1A01G264000;TraesCS1A01G180200;TraesCS5B01G335500;TraesCS7A01G307000;TraesCS4A01G062200;TraesCS1D01G331000;TraesCS6A01G209800;TraesCS6A01G312100;TraesCS3D01G275600;TraesCS1A01G206600;TraesCS1A01G086500;TraesCS2B01G227800;TraesCS3D01G124400;TraesCS5D01G504600;TraesCS4B01G028100;TraesCS5A01G173700;TraesCS5A01G104800;TraesCS7B01G129300;TraesCS5A01G123700;TraesCS1B01G344300;TraesCS2B01G297800;TraesCS4D01G122800;TraesCS6B01G256400;TraesCS2B01G457600;TraesCS5D01G459800;TraesCS2B01G247100;TraesCS1B01G110400;TraesCS5A01G212500;TraesCS5D01G285200;TraesCS1B01G200300;TraesCS2A01G128300;TraesCS5D01G094000;TraesCS3A01G023800;TraesCS5D01G258900;TraesCS5A01G489100;TraesCS3A01G367000;TraesCS1B01G171600;TraesCS2A01G521400;TraesCS5A01G396700;TraesCS5B01G373600;TraesCS7B01G176200;TraesCS5B01G501200;TraesCS2B01G592500;TraesCS6A01G290600;TraesCS4B01G129700;TraesCS5A01G548800;TraesCS2D01G205900;TraesCS2A01G387000;TraesCS3A01G097200;TraesCS4D01G318200;TraesCS1B01G220700;TraesCS4A01G262900;TraesCS1B01G422200;TraesCS2B01G150400;TraesCS5D01G551200;TraesCS1D01G030500;TraesCS6B01G348700;TraesCS2A01G585800;TraesCS4B01G245400;TraesCS4A01G315700;TraesCS1B01G365600;TraesCS5B01G563800;TraesCS3D01G083400;TraesCS2D01G279300;TraesCS6A01G267300;TraesCS3A01G304900;TraesCS3B01G154900;TraesCS5B01G037500;TraesCS2D01G057900;TraesCS1B01G019300;TraesCS2B01G174700;TraesCS1A01G358800;TraesCS7A01G342800;TraesCS5A01G036600;TraesCS5A01G371500;TraesCS4A01G164900;TraesCS6A01G188100;TraesCS5A01G324200;TraesCS1B01G293500;TraesCS4D01G080700;TraesCS7B01G124100;TraesCS1D01G199100;TraesCS5B01G147600;TraesCS3D01G514100;TraesCS6D01G174500;TraesCS7D01G343300;TraesCS2D01G300400;TraesCS7A01G335600;TraesCS2A01G455300;TraesCS4B01G138200;TraesCS5D01G341200;TraesCS3D01G091000;TraesCS1A01G284300;TraesCS3A01G028600;TraesCS6B01G171600;TraesCS1B01G434400;TraesCSU01G132400;TraesCS6B01G231600;TraesCS7D01G000100;TraesCS7B01G207300</t>
  </si>
  <si>
    <t>anatomical structure development</t>
  </si>
  <si>
    <t>TraesCS3D01G426300;TraesCS7A01G223300;TraesCS4A01G125000;TraesCS7D01G227300;TraesCS5B01G484700;TraesCS7D01G338600;TraesCS5D01G412600;TraesCS4A01G226900;TraesCS2D01G014800;TraesCS6B01G159200;TraesCS6A01G143300;TraesCS4B01G220400;TraesCS5D01G532100;TraesCS3B01G131400;TraesCS2A01G280500;TraesCS3A01G381000;TraesCS2B01G004000;TraesCS7D01G549100;TraesCS1B01G255100;TraesCS7A01G307000;TraesCS3A01G052700;TraesCS5A01G149000;TraesCS7B01G197000;TraesCS2B01G233400;TraesCS3D01G529200;TraesCS6D01G182200;TraesCS4B01G204500;TraesCS7A01G341000;TraesCS2A01G307300;TraesCS7B01G189500;TraesCS3D01G296900;TraesCS4D01G220700;TraesCS6A01G105400;TraesCS3A01G523700;TraesCS6D01G287300;TraesCS3A01G513500;TraesCS6A01G225200;TraesCS7B01G242200;TraesCS3A01G530100;TraesCS4D01G359000;TraesCS7A01G077400;TraesCS2B01G297800;TraesCS4D01G122800;TraesCS6B01G256400;TraesCS6A01G303800;TraesCS7A01G560200;TraesCS1A01G198400;TraesCS2B01G457600;TraesCS3A01G191700;TraesCS6B01G242800;TraesCS1D01G211600;TraesCS1B01G462200;TraesCS3D01G423300;TraesCS6B01G239000;TraesCS3A01G023800;TraesCS1D01G409700;TraesCS3A01G367000;TraesCS5B01G300100;TraesCS7D01G283600;TraesCS3D01G281100;TraesCS4D01G085700;TraesCS2A01G437700;TraesCS4B01G179400;TraesCS6A01G290600;TraesCS2D01G389900;TraesCS6D01G094200;TraesCS4B01G129700;TraesCS5A01G548800;TraesCS2D01G118000;TraesCS2A01G387000;TraesCS6A01G212200;TraesCS6A01G308100;TraesCS3A01G100000;TraesCS6B01G134800;TraesCS3D01G288000;TraesCS7D01G224900;TraesCS7D01G073000;TraesCS2D01G279300;TraesCS6A01G267300;TraesCS3A01G304900;TraesCS2A01G296400;TraesCS4A01G376000;TraesCS6D01G299200;TraesCS7B01G218300;TraesCS3D01G268700;TraesCS1B01G213300;TraesCS2B01G410100;TraesCS6D01G132500;TraesCS6D01G210000;TraesCS5B01G147600;TraesCS6D01G283300;TraesCS4D01G264800;TraesCS6A01G210200;TraesCS6D01G195400;TraesCS5B01G036800;TraesCS2A01G239200;TraesCS2B01G312600;TraesCS3A01G417000;TraesCS3A01G288200;TraesCS3D01G412500;TraesCS6B01G171600;TraesCS5B01G534400;TraesCS2B01G325100;TraesCS3A01G268600;TraesCS4D01G003600;TraesCS4A01G093100;TraesCS7B01G207300</t>
  </si>
  <si>
    <t>ribonucleoprotein complex biogenesis</t>
  </si>
  <si>
    <t>TraesCS3D01G426300;TraesCS4A01G091100;TraesCS3A01G367000;TraesCS2A01G114400;TraesCS6A01G314100;TraesCS3A01G084400;TraesCS5D01G149900;TraesCS2B01G592500;TraesCS5D01G219500;TraesCS6A01G290600;TraesCS1D01G101200;TraesCS2D01G492600;TraesCS4A01G226900;TraesCS5A01G513500;TraesCS5B01G141000;TraesCS2D01G194000;TraesCS4B01G288200;TraesCS2B01G133500;TraesCS4B01G213600;TraesCS4D01G339700;TraesCS2B01G528300;TraesCS5B01G227900;TraesCS6A01G143300;TraesCS6D01G122800;TraesCS2A01G342600;TraesCS4D01G214300;TraesCS2B01G272300;TraesCS5A01G501800;TraesCS6B01G176600;TraesCS7A01G190500;TraesCS3D01G083400;TraesCS2A01G280500;TraesCS3A01G381000;TraesCS5B01G324800;TraesCS5D01G429200;TraesCS6A01G133100;TraesCS1A01G092700;TraesCS2D01G279300;TraesCS6A01G267300;TraesCS3B01G370200;TraesCS6B01G344100;TraesCS2A01G296400;TraesCS2B01G520500;TraesCS3A01G151100;TraesCS2B01G340300;TraesCS7A01G359800;TraesCS3A01G103900;TraesCS3A01G189400;TraesCS1A01G195500;TraesCS2A01G492300;TraesCS3D01G527700;TraesCS2A01G193800;TraesCS5A01G324200;TraesCS3D01G084300;TraesCS6D01G132500;TraesCS1D01G199100;TraesCS3D01G514100;TraesCS2A01G467900;TraesCS2D01G238600;TraesCS5B01G256400;TraesCS3A01G521600;TraesCS5A01G173700;TraesCS4A01G101500;TraesCS4D01G204000;TraesCS2D01G094400;TraesCS2B01G312600;TraesCS1A01G007500;TraesCS6B01G171600;TraesCS2B01G297800;TraesCS4A01G298700;TraesCS4D01G120900;TraesCS2A01G252600;TraesCS5B01G171100;TraesCS3A01G082700;TraesCS3A01G191700;TraesCS3D01G087300;TraesCS5A01G212500;TraesCS6D01G047400</t>
  </si>
  <si>
    <t>sulfur amino acid metabolic process</t>
  </si>
  <si>
    <t>TraesCS3D01G426300;TraesCS4A01G232300;TraesCS3A01G367000;TraesCS5B01G300100;TraesCS6B01G454500;TraesCS7D01G283600;TraesCS7D01G338600;TraesCS5D01G412600;TraesCS6A01G290600;TraesCS6B01G089500;TraesCS6D01G094200;TraesCS4B01G129700;TraesCS2A01G387000;TraesCS6A01G212200;TraesCS3A01G100000;TraesCS4B01G083600;TraesCS6B01G134800;TraesCS2B01G620600;TraesCS5A01G429300;TraesCS6B01G192500;TraesCS4D01G081600;TraesCS3A01G381000;TraesCS6A01G267300;TraesCS6A01G408400;TraesCS3A01G304900;TraesCS7D01G549100;TraesCS2A01G296400;TraesCS1B01G255100;TraesCS6D01G299200;TraesCS3A01G052700;TraesCS5A01G149000;TraesCS7B01G197000;TraesCS1B01G213300;TraesCS4B01G204500;TraesCS1A01G195500;TraesCS7A01G341000;TraesCS1D01G199100;TraesCS5B01G147600;TraesCS6D01G283300;TraesCS7B01G189500;TraesCS3D01G296900;TraesCS6A01G105400;TraesCS2A01G559600;TraesCS6D01G195400;TraesCS4A01G101500;TraesCS5B01G036800;TraesCS7B01G242200;TraesCS4D01G204000;TraesCS2B01G312600;TraesCS6D01G408000;TraesCS4D01G122800;TraesCS6A01G303800;TraesCS7A01G560200;TraesCS6A01G158800;TraesCS1A01G198400;TraesCS3A01G191700;TraesCS4D01G003600;TraesCS4A01G093100;TraesCS6B01G242800;TraesCS5D01G094000</t>
  </si>
  <si>
    <t>photosystem II assembly</t>
  </si>
  <si>
    <t>TraesCS4A01G232300;TraesCS6B01G470900;TraesCS7D01G283600;TraesCS1A01G206900;TraesCS7A01G222800;TraesCS1D01G210200;TraesCS2D01G194000;TraesCS1B01G220700;TraesCS2A01G058700;TraesCS6A01G212200;TraesCS4B01G083600;TraesCS6D01G122800;TraesCS1B01G396800;TraesCS4D01G147100;TraesCS5D01G551200;TraesCS3D01G288000;TraesCS4A01G315700;TraesCS1A01G376400;TraesCS5B01G563800;TraesCS4D01G003100;TraesCS4D01G081600;TraesCS2A01G280500;TraesCS6A01G133100;TraesCS2D01G279300;TraesCS4B01G300100;TraesCS1D01G383500;TraesCS2D01G057900;TraesCS7D01G549100;TraesCS2D01G236100;TraesCS5D01G105500;TraesCS2A01G193800;TraesCS5D01G026000;TraesCS5B01G409700;TraesCS1D01G367600;TraesCS2A01G467900;TraesCS2B01G154700;TraesCS6D01G195400;TraesCS7D01G343300;TraesCS7A01G335600;TraesCS5B01G036800;TraesCS2A01G132200;TraesCS2A01G239200;TraesCS2B01G257300;TraesCS2B01G070700;TraesCS7B01G129300;TraesCS5A01G093200;TraesCS3A01G288200;TraesCS2B01G297800;TraesCS7D01G224400;TraesCS7A01G560200;TraesCS1D01G198700;TraesCS4A01G093100;TraesCS6B01G242800;TraesCS6D01G047400</t>
  </si>
  <si>
    <t>carotenoid metabolic process</t>
  </si>
  <si>
    <t>tetraterpenoid metabolic process</t>
  </si>
  <si>
    <t>TraesCS4A01G232300;TraesCS6B01G470900;TraesCS7D01G283600;TraesCS1A01G206900;TraesCS7A01G222800;TraesCS1D01G210200;TraesCS2D01G194000;TraesCS1B01G220700;TraesCS2A01G058700;TraesCS6A01G212200;TraesCS4B01G083600;TraesCS6D01G122800;TraesCS1B01G396800;TraesCS4D01G147100;TraesCS5D01G551200;TraesCS3D01G288000;TraesCS4A01G315700;TraesCS1A01G376400;TraesCS5B01G563800;TraesCS4D01G081600;TraesCS2A01G280500;TraesCS6A01G133100;TraesCS2D01G279300;TraesCS4B01G300100;TraesCS1D01G383500;TraesCS2D01G057900;TraesCS7D01G549100;TraesCS2D01G236100;TraesCS5D01G105500;TraesCS2A01G193800;TraesCS5D01G026000;TraesCS5B01G409700;TraesCS1D01G367600;TraesCS2A01G467900;TraesCS2B01G154700;TraesCS6D01G195400;TraesCS7D01G343300;TraesCS7A01G335600;TraesCS5B01G036800;TraesCS2A01G132200;TraesCS2A01G239200;TraesCS2B01G257300;TraesCS2B01G070700;TraesCS7B01G129300;TraesCS5A01G093200;TraesCS3A01G288200;TraesCS2B01G297800;TraesCS7D01G224400;TraesCS7A01G560200;TraesCS1D01G198700;TraesCS4A01G093100;TraesCS6B01G242800;TraesCS6D01G047400</t>
  </si>
  <si>
    <t>carotenoid biosynthetic process</t>
  </si>
  <si>
    <t>tetraterpenoid biosynthetic process</t>
  </si>
  <si>
    <t>TraesCS1D01G264100;TraesCS3A01G212600;TraesCS2B01G260800;TraesCS6A01G360600;TraesCS3B01G224600;TraesCS1A01G260500;TraesCS1D01G226500;TraesCS1B01G343100;TraesCS1B01G049300;TraesCS6B01G470700;TraesCS3D01G323700;TraesCS6A01G373400;TraesCS3A01G330200;TraesCS6A01G268600;TraesCS7D01G454700;TraesCS3A01G099300;TraesCS5D01G359800;TraesCS4A01G226500;TraesCS1B01G146200;TraesCS6A01G380200;TraesCS1B01G377800;TraesCS6D01G398100;TraesCS1A01G388400;TraesCS6B01G295700;TraesCS5D01G171100;TraesCS6D01G357100;TraesCS4D01G153900;TraesCS4A01G178600;TraesCS2D01G241800;TraesCS5B01G057300;TraesCS3B01G426500;TraesCS1A01G324800;TraesCS3D01G507500;TraesCS7A01G350000;TraesCS5B01G431500;TraesCS5B01G378700;TraesCS1D01G316200;TraesCS5A01G467500;TraesCS5A01G429500;TraesCS3B01G112900;TraesCS5B01G094600;TraesCS4D01G246300;TraesCS4B01G321500;TraesCS2A01G229300;TraesCS5A01G166800;TraesCS2A01G171900;TraesCS2D01G361800;TraesCS7A01G323200;TraesCS4D01G133500;TraesCS2A01G149600;TraesCS2A01G097900;TraesCS2A01G563500;TraesCS6A01G203300;TraesCS2B01G401900;TraesCS1A01G264000;TraesCS1A01G409600;TraesCS5B01G335500;TraesCS6B01G112700;TraesCS6A01G379000;TraesCS1A01G027200;TraesCS2D01G565200;TraesCS5D01G141200;TraesCS1D01G331000;TraesCS1A01G130700;TraesCS4B01G090000;TraesCS5A01G336500;TraesCS2A01G022000;TraesCS4B01G246900;TraesCS4A01G220100;TraesCS1D01G178000;TraesCS3A01G393400;TraesCS6D01G149800;TraesCS3B01G252200;TraesCS2A01G103300;TraesCS4B01G138800;TraesCS6D01G357600;TraesCS1B01G439600;TraesCS1D01G229400;TraesCS4B01G109700;TraesCS4D01G085900;TraesCS3D01G203400;TraesCS2D01G093700;TraesCS2B01G247100;TraesCS3B01G309700;TraesCS5A01G472100;TraesCS5D01G285200;TraesCS3D01G188800;TraesCS7A01G313900;TraesCS3B01G385400;TraesCS7B01G352800;TraesCS1B01G156600;TraesCS3A01G184800;TraesCS5D01G472300;TraesCS1D01G396300;TraesCS4D01G194300;TraesCS1D01G260500;TraesCS2B01G348600;TraesCS5B01G171400;TraesCS1B01G326400;TraesCS2B01G382000;TraesCS3D01G065800;TraesCS2D01G362700;TraesCS7A01G002900;TraesCS1A01G315900;TraesCS1D01G277100;TraesCS3A01G380100;TraesCS3B01G214600;TraesCS1B01G274600;TraesCS5D01G248300;TraesCS3B01G209400;TraesCS3A01G097200;TraesCS4A01G058000;TraesCS4D01G318200;TraesCS6D01G302200;TraesCS1D01G325500;TraesCS4D01G094700;TraesCS2A01G157700;TraesCS2B01G198300;TraesCS5D01G100800;TraesCS2A01G235900;TraesCS7D01G442100;TraesCS2D01G528800;TraesCS2D01G059400;TraesCS6A01G322400;TraesCS1B01G200800;TraesCS1A01G278000;TraesCS1B01G271100;TraesCS6B01G393500;TraesCS5B01G479200;TraesCS5B01G037500;TraesCS4A01G227500;TraesCS7A01G466900;TraesCS5A01G088400;TraesCS6D01G364900;TraesCS2A01G095300;TraesCS5D01G044700;TraesCS2B01G174700;TraesCS2A01G431900;TraesCS2B01G321700;TraesCS2D01G303500;TraesCS3D01G373300;TraesCS3B01G400900;TraesCS4A01G110800;TraesCS5A01G241800;TraesCS1D01G392400;TraesCS5A01G036600;TraesCS1D01G352300;TraesCS2D01G022800;TraesCS3A01G200400;TraesCS5D01G437600;TraesCS3B01G564100;TraesCS1A01G172100;TraesCS1B01G293500;TraesCS6B01G151900;TraesCS6D01G344100;TraesCS5A01G490500;TraesCS1B01G337800;TraesCS4D01G086000;TraesCS5D01G341200;TraesCS6B01G304100;TraesCS5A01G020800;TraesCS1A01G284300;TraesCS1D01G298400;TraesCS7A01G452800;TraesCS5A01G113700;TraesCS5A01G460600;TraesCS6B01G419000;TraesCS7D01G130500;TraesCS1D01G314600;TraesCS1D01G125300;TraesCS5D01G480300;TraesCS7B01G119300;TraesCS6B01G189000;TraesCS6D01G246300;TraesCS4B01G088400;TraesCS1A01G129400;TraesCS1A01G299500;TraesCS3D01G482500;TraesCS5B01G121000;TraesCS3B01G412600</t>
  </si>
  <si>
    <t>TraesCS3D01G264800;TraesCS5D01G013100;TraesCS6D01G121300;TraesCS2A01G286500;TraesCS4A01G125000;TraesCS5B01G484700;TraesCS2A01G234900;TraesCS5A01G092400;TraesCS7D01G338600;TraesCS5D01G219500;TraesCS1D01G149900;TraesCS5A01G108000;TraesCS2A01G058700;TraesCS2D01G014800;TraesCS6B01G159200;TraesCS2B01G528300;TraesCS6A01G143300;TraesCS5A01G014400;TraesCS5A01G119300;TraesCS4D01G021400;TraesCS1A01G355200;TraesCS7B01G104400;TraesCS5A01G467500;TraesCS7D01G228500;TraesCS2B01G385300;TraesCS1B01G325100;TraesCS2A01G280500;TraesCS5B01G324800;TraesCS2D01G233900;TraesCS2B01G004000;TraesCS3A01G205100;TraesCS7A01G088100;TraesCS2A01G223600;TraesCS7D01G549100;TraesCS5A01G004200;TraesCS4A01G286700;TraesCS1D01G155800;TraesCS1D01G331000;TraesCS2B01G050600;TraesCS2D01G242100;TraesCS3D01G529200;TraesCS4B01G204500;TraesCS7A01G341000;TraesCS6B01G257900;TraesCS5B01G419300;TraesCS7B01G189500;TraesCS3A01G523700;TraesCS6D01G287300;TraesCS4B01G028100;TraesCS1B01G254000;TraesCS5A01G014500;TraesCS7B01G242200;TraesCS2B01G070700;TraesCS4D01G025700;TraesCS4A01G013500;TraesCS2B01G297800;TraesCS4D01G122800;TraesCS6A01G303800;TraesCS7A01G560200;TraesCS4B01G285000;TraesCS2B01G457600;TraesCS2B01G201700;TraesCS6D01G135800;TraesCS3B01G309700;TraesCS5A01G212500;TraesCS2B01G207000;TraesCS6D01G047400;TraesCS4A01G232300;TraesCS7B01G006600;TraesCS3D01G210300;TraesCS5B01G228900;TraesCS3A01G367000;TraesCS5D01G237400;TraesCS6B01G470900;TraesCS2A01G114400;TraesCS4D01G194300;TraesCS1B01G290800;TraesCS7D01G283600;TraesCS1D01G280900;TraesCS2A01G437700;TraesCS2A01G175400;TraesCS4B01G179400;TraesCS6A01G290600;TraesCS1D01G313800;TraesCS4B01G129700;TraesCS2B01G303300;TraesCS6D01G212000;TraesCS2A01G387000;TraesCS2A01G222600;TraesCS3D01G237100;TraesCS4D01G283800;TraesCS2B01G133500;TraesCS6A01G308100;TraesCS7D01G083200;TraesCS2D01G182700;TraesCS4B01G083600;TraesCS3D01G288000;TraesCS4D01G107400;TraesCS6B01G159800;TraesCS1B01G478800;TraesCS6B01G176600;TraesCS2D01G229600;TraesCS4D01G003100;TraesCS2B01G273900;TraesCS4D01G081600;TraesCS2D01G279300;TraesCS6A01G158300;TraesCS6A01G267300;TraesCS2A01G523600;TraesCS2D01G057900;TraesCS1A01G259700;TraesCS2A01G296400;TraesCS5D01G321900;TraesCS1B01G366400;TraesCS4A01G387000;TraesCS3A01G264700;TraesCS6A01G146500;TraesCS4A01G364400;TraesCS5A01G315800;TraesCS7D01G200800;TraesCS4A01G110800;TraesCS6D01G259500;TraesCS4A01G276300;TraesCS6B01G307200;TraesCS4D01G194400;TraesCS4A01G164900;TraesCS4A01G290400;TraesCS5A01G324200;TraesCS5B01G509100;TraesCS6D01G132500;TraesCS7B01G124100;TraesCS1A01G313300;TraesCS6D01G283300;TraesCS2B01G248100;TraesCS2D01G238600;TraesCS7D01G343300;TraesCS4A01G247300;TraesCS7A01G335600;TraesCS4A01G124000;TraesCS5B01G036800;TraesCS1A01G158500;TraesCS5A01G230400;TraesCS4A01G206400;TraesCS2B01G312600;TraesCS6A01G279100;TraesCS3A01G288200;TraesCS6B01G171600;TraesCS7A01G226000;TraesCS1A01G281700;TraesCS4B01G109900;TraesCS5B01G534400;TraesCS7B01G421100;TraesCS4A01G005000;TraesCS3A01G276100;TraesCS4D01G003600;TraesCS4A01G093100</t>
  </si>
  <si>
    <t>TraesCS1D01G264100;TraesCS3A01G212600;TraesCS4B01G252400;TraesCS3D01G231200;TraesCS4B01G015600;TraesCS4B01G114800;TraesCS5B01G249000;TraesCS1D01G226500;TraesCS2B01G271300;TraesCS1B01G049300;TraesCS3A01G270600;TraesCS5B01G339200;TraesCS4A01G375000;TraesCS5D01G219500;TraesCS4B01G286700;TraesCSU01G072700;TraesCS3D01G273800;TraesCS1D01G210200;TraesCS2A01G392900;TraesCS7D01G121200;TraesCS5D01G171100;TraesCS6A01G143300;TraesCS4D01G153900;TraesCS5D01G366500;TraesCS7B01G240200;TraesCS4B01G220400;TraesCS4A01G052600;TraesCS6B01G253900;TraesCS4D01G013900;TraesCS5B01G378700;TraesCS7A01G115400;TraesCS4D01G135000;TraesCS4B01G321500;TraesCS5B01G102600;TraesCS2A01G280500;TraesCS3A01G381000;TraesCS5B01G324800;TraesCS5D01G429200;TraesCS5A01G166800;TraesCS7A01G076600;TraesCS7A01G323200;TraesCS2A01G149600;TraesCS4A01G286700;TraesCS3A01G151100;TraesCS4D01G213800;TraesCS1B01G255100;TraesCS2B01G401900;TraesCS7A01G250500;TraesCS1A01G264000;TraesCS5D01G260600;TraesCS1A01G180200;TraesCS5B01G335500;TraesCS7A01G307000;TraesCS6A01G379000;TraesCS5B01G415100;TraesCS5A01G149000;TraesCS1D01G331000;TraesCS5A01G336500;TraesCS6A01G312100;TraesCS3D01G275600;TraesCS3D01G296900;TraesCS4D01G220700;TraesCS5D01G504600;TraesCS7D01G326000;TraesCS3A01G091100;TraesCS4B01G028100;TraesCS3A01G393400;TraesCS5A01G173700;TraesCS3A01G513500;TraesCS5A01G251000;TraesCS6A01G225200;TraesCS5D01G230300;TraesCS7B01G129300;TraesCS1D01G412600;TraesCS4D01G025700;TraesCS4D01G359000;TraesCS4A01G298100;TraesCS4A01G120000;TraesCS2B01G297800;TraesCS4D01G122800;TraesCS7D01G224400;TraesCS6B01G256400;TraesCS4B01G109700;TraesCS2B01G457600;TraesCS5B01G171100;TraesCS5D01G459800;TraesCS2B01G247100;TraesCS5A01G212500;TraesCS5A01G472100;TraesCS5D01G285200;TraesCS7B01G117600;TraesCS1B01G200300;TraesCS5D01G094000;TraesCS1B01G462200;TraesCS5B01G270200;TraesCS5D01G420300;TraesCS3A01G023800;TraesCS5D01G258900;TraesCS4A01G194100;TraesCS5A01G489100;TraesCS3A01G367000;TraesCS2A01G521400;TraesCS5A01G396700;TraesCS5B01G171400;TraesCS7D01G283600;TraesCS3B01G423600;TraesCS2A01G437700;TraesCS2D01G362700;TraesCS2D01G251000;TraesCS1D01G013100;TraesCS1A01G206900;TraesCS1B01G375300;TraesCS4B01G129700;TraesCS5A01G548800;TraesCS1B01G274600;TraesCS2D01G118000;TraesCS2D01G205900;TraesCS7A01G222800;TraesCS2A01G387000;TraesCS7A01G316700;TraesCS5D01G118200;TraesCS4A01G138800;TraesCS4D01G318200;TraesCS1B01G220700;TraesCS4D01G132900;TraesCS1A01G246800;TraesCS5D01G551200;TraesCS1D01G030500;TraesCS6B01G348700;TraesCS2D01G356700;TraesCS2A01G585800;TraesCS4A01G315700;TraesCS1B01G365600;TraesCS5B01G563800;TraesCS5A01G411500;TraesCS7D01G072300;TraesCS3D01G083400;TraesCS2D01G279300;TraesCS6A01G267300;TraesCS3A01G304900;TraesCS3B01G154900;TraesCS5B01G387600;TraesCS1B01G019300;TraesCS2B01G174700;TraesCS1A01G358800;TraesCS7A01G342800;TraesCS5A01G357400;TraesCS3A01G214000;TraesCS6A01G188100;TraesCS4A01G051900;TraesCS3D01G114000;TraesCS1A01G195500;TraesCS5A01G324200;TraesCS1B01G293500;TraesCS4D01G080700;TraesCS6D01G132500;TraesCS6D01G210000;TraesCS1D01G199100;TraesCS2D01G148200;TraesCS5A01G490500;TraesCS5B01G147600;TraesCS5B01G409700;TraesCS3D01G514100;TraesCS2A01G467900;TraesCS6D01G174500;TraesCS7D01G343300;TraesCS7A01G335600;TraesCS7B01G217500;TraesCS2A01G455300;TraesCS5B01G036800;TraesCS2A01G480200;TraesCS5D01G341200;TraesCS3D01G091000;TraesCS1A01G284300;TraesCS2B01G477400;TraesCS6B01G171600;TraesCS1B01G434400;TraesCS1A01G133500;TraesCS6B01G231600;TraesCS6B01G342300;TraesCS3A01G082700;TraesCS4D01G003600;TraesCS7B01G207300</t>
  </si>
  <si>
    <t>system development</t>
  </si>
  <si>
    <t>TraesCS1D01G264100;TraesCS6A01G360600;TraesCS3B01G224600;TraesCS1D01G226500;TraesCS1B01G049300;TraesCS6A01G373400;TraesCS7D01G454700;TraesCS4A01G226500;TraesCS1B01G146200;TraesCS1B01G377800;TraesCS6D01G398100;TraesCS5D01G171100;TraesCS6D01G357100;TraesCS4A01G178600;TraesCS7A01G350000;TraesCS5B01G431500;TraesCS5B01G378700;TraesCS5A01G429500;TraesCS3B01G112900;TraesCS5B01G094600;TraesCS4D01G246300;TraesCS4B01G321500;TraesCS5A01G166800;TraesCS2D01G361800;TraesCS4D01G133500;TraesCS2A01G149600;TraesCS2A01G097900;TraesCS2B01G401900;TraesCS1A01G264000;TraesCS1A01G409600;TraesCS5B01G335500;TraesCS1A01G130700;TraesCS4B01G090000;TraesCS5A01G336500;TraesCS4B01G246900;TraesCS4A01G220100;TraesCS1D01G178000;TraesCS3B01G252200;TraesCS2A01G103300;TraesCS4B01G138800;TraesCS6D01G357600;TraesCS1B01G439600;TraesCS1D01G229400;TraesCS3D01G203400;TraesCS2D01G093700;TraesCS2B01G247100;TraesCS7A01G313900;TraesCS7B01G352800;TraesCS1B01G156600;TraesCS5D01G472300;TraesCS4D01G194300;TraesCS5B01G171400;TraesCS2B01G382000;TraesCS3A01G380100;TraesCS1B01G274600;TraesCS3B01G209400;TraesCS3A01G097200;TraesCS4A01G058000;TraesCS4D01G318200;TraesCS6D01G302200;TraesCS4D01G094700;TraesCS2A01G157700;TraesCS5D01G100800;TraesCS7D01G442100;TraesCS2D01G528800;TraesCS6A01G322400;TraesCS6B01G393500;TraesCS5B01G037500;TraesCS7A01G466900;TraesCS5A01G088400;TraesCS2A01G095300;TraesCS5D01G044700;TraesCS2B01G174700;TraesCS2B01G321700;TraesCS2D01G303500;TraesCS3D01G373300;TraesCS3B01G400900;TraesCS4A01G110800;TraesCS1D01G392400;TraesCS5A01G036600;TraesCS1D01G352300;TraesCS3A01G200400;TraesCS5D01G437600;TraesCS1A01G172100;TraesCS6D01G344100;TraesCS5A01G490500;TraesCS4D01G086000;TraesCS5D01G341200;TraesCS5A01G020800;TraesCS1D01G298400;TraesCS7A01G452800;TraesCS5A01G113700;TraesCS5A01G460600;TraesCS7D01G130500;TraesCS1D01G125300;TraesCS1A01G129400;TraesCS1A01G299500;TraesCS3B01G412600</t>
  </si>
  <si>
    <t>TraesCS4B01G252400;TraesCS3D01G231200;TraesCS4B01G015600;TraesCS5B01G249000;TraesCS1D01G226500;TraesCS2B01G271300;TraesCS1B01G049300;TraesCS5D01G219500;TraesCS4B01G286700;TraesCSU01G072700;TraesCS1D01G210200;TraesCS2A01G392900;TraesCS5D01G171100;TraesCS6A01G143300;TraesCS5D01G366500;TraesCS7B01G240200;TraesCS4A01G052600;TraesCS6B01G253900;TraesCS4D01G013900;TraesCS5B01G378700;TraesCS4D01G135000;TraesCS4B01G321500;TraesCS5B01G102600;TraesCS2A01G280500;TraesCS3A01G381000;TraesCS5D01G429200;TraesCS5A01G166800;TraesCS7A01G323200;TraesCS2A01G149600;TraesCS4A01G286700;TraesCS3A01G151100;TraesCS1B01G255100;TraesCS2B01G401900;TraesCS5B01G335500;TraesCS6A01G379000;TraesCS5A01G149000;TraesCS1D01G331000;TraesCS5A01G336500;TraesCS3D01G275600;TraesCS3D01G296900;TraesCS5D01G504600;TraesCS3A01G091100;TraesCS4B01G028100;TraesCS3A01G393400;TraesCS5A01G173700;TraesCS3A01G513500;TraesCS5A01G251000;TraesCS6A01G225200;TraesCS7B01G129300;TraesCS4D01G025700;TraesCS4D01G359000;TraesCS4A01G298100;TraesCS4A01G120000;TraesCS2B01G297800;TraesCS4D01G122800;TraesCS7D01G224400;TraesCS6B01G256400;TraesCS4B01G109700;TraesCS2B01G457600;TraesCS5B01G171100;TraesCS5D01G459800;TraesCS2B01G247100;TraesCS5A01G212500;TraesCS5A01G472100;TraesCS5D01G094000;TraesCS1B01G462200;TraesCS5B01G270200;TraesCS3A01G023800;TraesCS5D01G258900;TraesCS3A01G367000;TraesCS2A01G521400;TraesCS5A01G396700;TraesCS5B01G171400;TraesCS7D01G283600;TraesCS2A01G437700;TraesCS2D01G251000;TraesCS1A01G206900;TraesCS4B01G129700;TraesCS5A01G548800;TraesCS7A01G222800;TraesCS2A01G387000;TraesCS7A01G316700;TraesCS5D01G118200;TraesCS4D01G318200;TraesCS1B01G220700;TraesCS1A01G246800;TraesCS5D01G551200;TraesCS1D01G030500;TraesCS6B01G348700;TraesCS2D01G356700;TraesCS4A01G315700;TraesCS1B01G365600;TraesCS5B01G563800;TraesCS3D01G083400;TraesCS2D01G279300;TraesCS6A01G267300;TraesCS3A01G304900;TraesCS3B01G154900;TraesCS2B01G174700;TraesCS7A01G342800;TraesCS5A01G357400;TraesCS6A01G188100;TraesCS4A01G051900;TraesCS1A01G195500;TraesCS1B01G293500;TraesCS6D01G132500;TraesCS6D01G210000;TraesCS1D01G199100;TraesCS2D01G148200;TraesCS5A01G490500;TraesCS5B01G147600;TraesCS5B01G409700;TraesCS3D01G514100;TraesCS2A01G467900;TraesCS7D01G343300;TraesCS7A01G335600;TraesCS7B01G217500;TraesCS2A01G455300;TraesCS5B01G036800;TraesCS5D01G341200;TraesCS3D01G091000;TraesCS1A01G284300;TraesCS2B01G477400;TraesCS6B01G171600;TraesCS1A01G133500;TraesCS3A01G082700;TraesCS4D01G003600</t>
  </si>
  <si>
    <t>shoot system development</t>
  </si>
  <si>
    <t>TraesCS7A01G466600;TraesCS3D01G426300;TraesCS1B01G261600;TraesCS3B01G014900;TraesCS1D01G107300;TraesCS6B01G454500;TraesCS1D01G226500;TraesCS4A01G257800;TraesCS7D01G338600;TraesCS5D01G412600;TraesCS6B01G169300;TraesCS3B01G441000;TraesCS4D01G147100;TraesCS4B01G056700;TraesCS3A01G220000;TraesCS4B01G321500;TraesCS3A01G381000;TraesCS2D01G233900;TraesCS7D01G216000;TraesCS7D01G549100;TraesCS2D01G399800;TraesCS1B01G255100;TraesCS3B01G362500;TraesCS1A01G350200;TraesCS1A01G180200;TraesCS3A01G052700;TraesCS5A01G149000;TraesCS7B01G197000;TraesCS2B01G443900;TraesCS4B01G204500;TraesCS1A01G258800;TraesCS7A01G341000;TraesCS4A01G080100;TraesCS7B01G189500;TraesCS1D01G178400;TraesCS3D01G296900;TraesCS6A01G105400;TraesCS7D01G454200;TraesCS3A01G091100;TraesCS1A01G099400;TraesCS4A01G101500;TraesCS7B01G242200;TraesCS3B01G252200;TraesCS4D01G204000;TraesCS1A01G007500;TraesCS1A01G095200;TraesCS4A01G120000;TraesCS4D01G122800;TraesCS6A01G303800;TraesCS7A01G560200;TraesCS6A01G158800;TraesCS1A01G198400;TraesCS4A01G334700;TraesCS3A01G191700;TraesCS6B01G242800;TraesCS1B01G200300;TraesCS2A01G128300;TraesCS5D01G094000;TraesCS3D01G259000;TraesCS4A01G232300;TraesCS3A01G367000;TraesCS5B01G300100;TraesCS2B01G405600;TraesCS5D01G237400;TraesCS7D01G283600;TraesCS1B01G196500;TraesCS5A01G059900;TraesCS2A01G387800;TraesCS6A01G290600;TraesCS6B01G089500;TraesCS6D01G094200;TraesCS4B01G129700;TraesCS2B01G221800;TraesCS5A01G135700;TraesCS6D01G130500;TraesCS2A01G387000;TraesCS5A01G416400;TraesCS4D01G318200;TraesCS6A01G212200;TraesCS2B01G150400;TraesCS3A01G100000;TraesCS4B01G083600;TraesCS5B01G418700;TraesCS6B01G134800;TraesCS2B01G620600;TraesCS5A01G429300;TraesCS6B01G176600;TraesCS6B01G192500;TraesCS6D01G244900;TraesCS4D01G081600;TraesCS6B01G065300;TraesCS6A01G267300;TraesCS6A01G408400;TraesCS3A01G304900;TraesCS4D01G057000;TraesCS2B01G375700;TraesCS2A01G296400;TraesCS2A01G185500;TraesCS6D01G299200;TraesCS1B01G213300;TraesCS1A01G195500;TraesCS1D01G258800;TraesCS2B01G185800;TraesCS1D01G199100;TraesCS2D01G148200;TraesCS5A01G490500;TraesCS5B01G147600;TraesCS5B01G409700;TraesCS6D01G283300;TraesCS2A01G559600;TraesCS6D01G195400;TraesCS2A01G159900;TraesCS2D01G300400;TraesCS5B01G036800;TraesCS2B01G312600;TraesCS5A01G020800;TraesCS3D01G091000;TraesCS1D01G353100;TraesCS6D01G408000;TraesCS3A01G271600;TraesCS2D01G202200;TraesCS4D01G003600;TraesCS4A01G093100</t>
  </si>
  <si>
    <t>protein complex subunit organization</t>
  </si>
  <si>
    <t>TraesCS3A01G289900;TraesCS5B01G484700;TraesCS7D01G294300;TraesCS5B01G175800;TraesCS1D01G401900;TraesCS4A01G166900;TraesCS7B01G093800;TraesCS1D01G101200;TraesCS3A01G202000;TraesCS3D01G391900;TraesCS5A01G490800;TraesCS4A01G092500;TraesCS5A01G119300;TraesCS4D01G021400;TraesCS1A01G116200;TraesCS4A01G052600;TraesCSU01G142500;TraesCS3B01G161900;TraesCS3B01G324500;TraesCS5D01G517200;TraesCS3A01G381000;TraesCS1A01G092700;TraesCS4D01G244000;TraesCS6B01G315800;TraesCS4A01G355000;TraesCS5B01G146700;TraesCS1B01G368500;TraesCS2A01G102600;TraesCS2B01G309500;TraesCS7B01G197000;TraesCS2B01G050600;TraesCS2A01G309600;TraesCS3D01G289600;TraesCS3A01G189400;TraesCS2D01G310000;TraesCS4D01G184400;TraesCS1B01G167200;TraesCS2B01G330100;TraesCS4D01G151900;TraesCS6D01G287300;TraesCS7A01G555700;TraesCS5D01G230300;TraesCS6A01G420100;TraesCS7B01G129300;TraesCS6B01G455100;TraesCS4D01G122800;TraesCS7D01G224400;TraesCS5D01G144600;TraesCS6A01G303800;TraesCS2B01G457600;TraesCS3A01G398000;TraesCS2A01G313000;TraesCS3D01G220400;TraesCS6D01G047400;TraesCS4A01G248200;TraesCS7D01G554900;TraesCS7B01G006600;TraesCS1D01G409700;TraesCS3A01G367000;TraesCS5D01G470400;TraesCS5A01G396700;TraesCS4D01G194300;TraesCS2A01G437700;TraesCS2A01G123800;TraesCS6A01G290600;TraesCS1B01G375300;TraesCS4B01G129700;TraesCS7A01G222800;TraesCS2A01G387000;TraesCS2A01G293400;TraesCS2D01G102100;TraesCS6B01G182300;TraesCS1D01G250700;TraesCS6A01G308100;TraesCS4D01G212600;TraesCS1B01G422200;TraesCS4D01G317900;TraesCS7A01G192000;TraesCS3B01G229700;TraesCS3D01G288000;TraesCS6B01G348700;TraesCS3A01G232700;TraesCS3A01G292700;TraesCS4B01G245400;TraesCS6D01G405600;TraesCS7D01G117800;TraesCS7D01G107600;TraesCS4B01G321300;TraesCS1D01G146600;TraesCS2B01G119700;TraesCS5D01G321900;TraesCS5B01G517500;TraesCS7D01G193000;TraesCS2D01G126600;TraesCS1B01G261700;TraesCS5A01G315800;TraesCS4A01G110800;TraesCS1A01G358800;TraesCS4B01G244400;TraesCS4A01G078900;TraesCS4D01G194400;TraesCS1D01G356900;TraesCS2B01G145700;TraesCS4A01G290400;TraesCS3D01G271200;TraesCS2B01G328500;TraesCS3B01G430000;TraesCS5A01G395200;TraesCS1D01G117400;TraesCS6B01G104600;TraesCS2D01G148200;TraesCS5B01G409700;TraesCS6D01G283300;TraesCS7A01G182200;TraesCS4B01G211800;TraesCS3B01G398300;TraesCS7D01G343300;TraesCS7A01G335600;TraesCS7B01G097000;TraesCS4B01G383000;TraesCS3A01G417000;TraesCS3A01G288200;TraesCS3D01G412500;TraesCS4D01G065600;TraesCS3A01G271600;TraesCS7D01G409000;TraesCS6A01G077800;TraesCS5A01G222500;TraesCS6A01G154400;TraesCS5D01G157300;TraesCS6D01G238800;TraesCS4A01G093100</t>
  </si>
  <si>
    <t>TraesCS3B01G014900;TraesCS1D01G107300;TraesCS5A01G103100;TraesCS6B01G454500;TraesCS5D01G107900;TraesCS4A01G257800;TraesCS6B01G418400;TraesCS4D01G153900;TraesCSU01G121900;TraesCS4B01G321500;TraesCS2D01G233900;TraesCS7A01G323200;TraesCS7D01G216000;TraesCS7D01G549100;TraesCS2D01G399800;TraesCS1B01G255100;TraesCS3B01G362500;TraesCS1A01G350200;TraesCS4B01G084800;TraesCS5A01G149000;TraesCS2B01G443900;TraesCS5A01G336500;TraesCS6A01G379800;TraesCS1D01G178400;TraesCS3D01G296900;TraesCS4D01G220700;TraesCS6A01G105400;TraesCS7D01G454200;TraesCS3A01G091100;TraesCS1A01G099400;TraesCS3A01G393400;TraesCS1B01G254000;TraesCS3A01G513500;TraesCS4A01G101500;TraesCS6A01G225200;TraesCS4D01G204000;TraesCS1D01G412600;TraesCS4D01G359000;TraesCS4A01G298100;TraesCS1A01G007500;TraesCS7A01G151000;TraesCS6A01G303800;TraesCS2D01G093700;TraesCS4A01G194100;TraesCS6D01G364400;TraesCS5B01G300100;TraesCS2B01G405600;TraesCS7D01G283600;TraesCS3D01G281100;TraesCS1B01G196500;TraesCS4D01G082700;TraesCS2D01G251000;TraesCS2B01G221800;TraesCS5A01G416400;TraesCS6A01G212200;TraesCS4B01G083600;TraesCS2B01G620600;TraesCS7A01G490900;TraesCS6D01G244900;TraesCS4A01G030400;TraesCS4D01G081600;TraesCS2B01G375700;TraesCS2A01G185500;TraesCS2A01G095300;TraesCS1A01G094200;TraesCS1A01G195500;TraesCS6D01G210000;TraesCS2D01G148200;TraesCS5A01G490500;TraesCS5B01G409700;TraesCS2A01G559600;TraesCS2A01G159900;TraesCS5B01G036800;TraesCS2B01G312600;TraesCS1B01G122300;TraesCS7D01G152900;TraesCS3A01G288200;TraesCS6D01G408000;TraesCS2D01G202200;TraesCS3A01G082700;TraesCS4D01G003600;TraesCS7A01G466600;TraesCS3D01G426300;TraesCS1B01G261600;TraesCS4B01G015600;TraesCS1D01G226500;TraesCS2B01G271300;TraesCS7D01G338600;TraesCS5D01G412600;TraesCSU01G072700;TraesCS6B01G169300;TraesCS3B01G441000;TraesCS4B01G220400;TraesCS4B01G056700;TraesCS5A01G091200;TraesCS4D01G013900;TraesCS5B01G378700;TraesCS1D01G316200;TraesCS3A01G220000;TraesCS5B01G396900;TraesCS3A01G381000;TraesCS2A01G149600;TraesCS3D01G182400;TraesCS1A01G180200;TraesCS5B01G335500;TraesCS7A01G307000;TraesCS3A01G052700;TraesCS5D01G141200;TraesCS7B01G197000;TraesCS5B01G058200;TraesCS6D01G182200;TraesCS4B01G204500;TraesCS3D01G275600;TraesCS1A01G258800;TraesCS7A01G341000;TraesCS7B01G189500;TraesCS5D01G208100;TraesCS7B01G242200;TraesCS3B01G252200;TraesCS1A01G095200;TraesCS4D01G122800;TraesCS6B01G256400;TraesCS7A01G560200;TraesCS6A01G158800;TraesCS1A01G198400;TraesCS4A01G334700;TraesCS3A01G191700;TraesCS5A01G392000;TraesCS6B01G242800;TraesCS1B01G200300;TraesCS2A01G128300;TraesCS5D01G094000;TraesCS3D01G259000;TraesCS3A01G023800;TraesCS4A01G232300;TraesCS5D01G401900;TraesCS3A01G367000;TraesCS5D01G237400;TraesCS5A01G396700;TraesCS5A01G059900;TraesCS5B01G501200;TraesCS2A01G387800;TraesCS6A01G290600;TraesCS6B01G089500;TraesCS1A01G315900;TraesCS6D01G094200;TraesCS4B01G129700;TraesCS5A01G095200;TraesCS5A01G548800;TraesCS5A01G135700;TraesCS6D01G130500;TraesCS2A01G387000;TraesCS4D01G318200;TraesCS5B01G107400;TraesCS2B01G150400;TraesCS3A01G100000;TraesCS4A01G231200;TraesCS5B01G418700;TraesCS6A01G040200;TraesCS6B01G134800;TraesCS3D01G288000;TraesCS4B01G152700;TraesCS2A01G434600;TraesCS5A01G429300;TraesCS6B01G176600;TraesCS6B01G192500;TraesCS3D01G083400;TraesCS6B01G065300;TraesCS6A01G267300;TraesCS6A01G408400;TraesCS3A01G304900;TraesCS4D01G057000;TraesCS2A01G296400;TraesCS6D01G299200;TraesCS2B01G174700;TraesCS1D01G103000;TraesCS2A01G391400;TraesCS1B01G213300;TraesCS1D01G258800;TraesCS2B01G185800;TraesCS1D01G199100;TraesCS5B01G147600;TraesCS6D01G283300;TraesCS5B01G101400;TraesCS6D01G195400;TraesCS2D01G300400;TraesCS5D01G341200;TraesCS5A01G020800;TraesCS3D01G091000;TraesCS1D01G353100;TraesCS1B01G434400;TraesCS3A01G271600;TraesCS4A01G093100;TraesCS7B01G207300</t>
  </si>
  <si>
    <t>cellular component assembly</t>
  </si>
  <si>
    <t>TraesCS2B01G174600;TraesCS2D01G213200;TraesCS1B01G259800;TraesCS2D01G561900;TraesCS2B01G514800;TraesCS2D01G322800;TraesCS5A01G032500;TraesCS6D01G091600;TraesCS4A01G375000;TraesCS5D01G078500;TraesCS1A01G249100;TraesCS2B01G405200;TraesCS3A01G275300;TraesCS2A01G387400;TraesCS2D01G492600;TraesCS6A01G103200;TraesCS2A01G480500;TraesCS2B01G505400;TraesCS4A01G101200;TraesCS7B01G181200;TraesCS7D01G278800;TraesCS5D01G444500;TraesCS4D01G147500;TraesCS4B01G186700;TraesCS6D01G221400;TraesCS2A01G344500;TraesCS5B01G156500;TraesCS6B01G132300;TraesCSU01G121900;TraesCS7D01G072300;TraesCS7A01G076600;TraesCS6B01G365300;TraesCS4B01G126400;TraesCS5A01G390000;TraesCS5B01G037500;TraesCS2A01G592600;TraesCS7B01G169100;TraesCS2B01G520500;TraesCS5D01G231200;TraesCS5D01G044700;TraesCS5B01G159100;TraesCS3A01G229100;TraesCS6A01G379000;TraesCS2A01G391400;TraesCS5A01G036600;TraesCS5D01G405400;TraesCS2D01G154600;TraesCS5A01G223700;TraesCS1B01G293500;TraesCS2D01G385000;TraesCS3D01G275200;TraesCS5D01G399800;TraesCS2B01G229500;TraesCS5D01G208100;TraesCS6D01G363400;TraesCS1A01G284300;TraesCS7D01G152900;TraesCS5B01G074200;TraesCS1A01G177600;TraesCS5B01G395000;TraesCS6B01G285500;TraesCS7A01G151000;TraesCS2B01G293400;TraesCS7A01G279000;TraesCS2A01G149500;TraesCS2A01G487500;TraesCS2D01G304000</t>
  </si>
  <si>
    <t>TraesCS1B01G259800;TraesCS5D01G124800;TraesCS6A01G360600;TraesCS1D01G107300;TraesCS2D01G479900;TraesCS3B01G224600;TraesCS1A01G260500;TraesCS4A01G257800;TraesCS5A01G032500;TraesCS5B01G155400;TraesCS3D01G285100;TraesCS3D01G411200;TraesCS6A01G268600;TraesCS3D01G271500;TraesCS1B01G146200;TraesCS6B01G159200;TraesCS6B01G295700;TraesCS4B01G186700;TraesCS5B01G156500;TraesCS5B01G431500;TraesCS6B01G132300;TraesCS4B01G117900;TraesCS5A01G467500;TraesCS5B01G094600;TraesCS3B01G242700;TraesCS3B01G131400;TraesCS2B01G597700;TraesCS4B01G126400;TraesCS4D01G133500;TraesCS5A01G390000;TraesCS1A01G350200;TraesCS3D01G019000;TraesCS5B01G159100;TraesCS3A01G229100;TraesCS6A01G379000;TraesCS2D01G565200;TraesCS3A01G122500;TraesCS2A01G488400;TraesCS6B01G262800;TraesCS3D01G275200;TraesCS3B01G568500;TraesCS5D01G399800;TraesCS7D01G454200;TraesCS1A01G099400;TraesCS2A01G103300;TraesCS3A01G303800;TraesCS4D01G359000;TraesCS1D01G055200;TraesCS6A01G303800;TraesCS3B01G246600;TraesCS1A01G423100;TraesCS5A01G547300;TraesCS5D01G396300;TraesCS3D01G188800;TraesCS2B01G342100;TraesCS1D01G260500;TraesCS2D01G322800;TraesCS5B01G171400;TraesCS2D01G362700;TraesCS2A01G387400;TraesCS2D01G383800;TraesCS3B01G214600;TraesCS1B01G274600;TraesCS2B01G221800;TraesCS2D01G118000;TraesCS5A01G114600;TraesCS6B01G238600;TraesCS5A01G416400;TraesCS6A01G103200;TraesCS3B01G309000;TraesCS5D01G505700;TraesCS7D01G278800;TraesCS5D01G444500;TraesCS5D01G100800;TraesCS2A01G344500;TraesCS7D01G072300;TraesCS6A01G234000;TraesCS1B01G271100;TraesCS4B01G160600;TraesCS6B01G365300;TraesCS6B01G393500;TraesCS5B01G479200;TraesCS7A01G466900;TraesCS2A01G185500;TraesCS5D01G040800;TraesCS5A01G088400;TraesCS3A01G264700;TraesCS5D01G044700;TraesCS4B01G170400;TraesCS2D01G303500;TraesCS5D01G405400;TraesCS1D01G352300;TraesCS3A01G200400;TraesCS4D01G079200;TraesCS1D01G151800;TraesCS4D01G004000;TraesCS6D01G344100;TraesCS2B01G229500;TraesCS4A01G090100;TraesCS3A01G498300;TraesCS5B01G504900;TraesCS5A01G387700;TraesCS6D01G363400;TraesCS3B01G363500;TraesCS1D01G431700;TraesCS4B01G276500;TraesCS2D01G488700;TraesCS1D01G298400;TraesCS5B01G395000;TraesCS4B01G117800;TraesCS2D01G202200;TraesCS7A01G239700;TraesCS1D01G125300;TraesCS6B01G342300;TraesCS4A01G005000;TraesCS7A01G279000;TraesCS6D01G246300;TraesCS1A01G299500;TraesCS2A01G487500;TraesCS3D01G264800;TraesCS7A01G466600;TraesCS1D01G264100;TraesCS2D01G213200;TraesCS5D01G013100;TraesCS3A01G212600;TraesCS6D01G173700;TraesCS3B01G442200;TraesCS3B01G083400;TraesCS5B01G222600;TraesCS3B01G207300;TraesCS2B01G514800;TraesCS4A01G375000;TraesCS7D01G288700;TraesCS7D01G454700;TraesCS4A01G134800;TraesCS6B01G169300;TraesCS2B01G505400;TraesCS4A01G101200;TraesCS4A01G178600;TraesCS7B01G181200;TraesCS4D01G147500;TraesCS3B01G426500;TraesCS6A01G130900;TraesCS4B01G056700;TraesCS5A01G429500;TraesCS3B01G161900;TraesCS5B01G450400;TraesCS3A01G220000;TraesCS7A01G076600;TraesCS2A01G223600;TraesCS5A01G004200;TraesCS3B01G299100;TraesCS1A01G264000;TraesCS2D01G487700;TraesCS5D01G141200;TraesCS6A01G192800;TraesCS6A01G209800;TraesCS6A01G312100;TraesCS2D01G242100;TraesCS1A01G258800;TraesCS6D01G216300;TraesCS2A01G444100;TraesCS2D01G385000;TraesCS3D01G124400;TraesCS3D01G298000;TraesCS4A01G197700;TraesCS1D01G178000;TraesCS5B01G537700;TraesCS4A01G197600;TraesCS4B01G138800;TraesCS2B01G404600;TraesCS1A01G177600;TraesCS6B01G285500;TraesCS3D01G203400;TraesCS7A01G149200;TraesCS4B01G151200;TraesCS6A01G186800;TraesCS2A01G149500;TraesCS2D01G304000;TraesCS7A01G313900;TraesCS2B01G174600;TraesCS3A01G184800;TraesCS7B01G052900;TraesCS1B01G171600;TraesCS4A01G217700;TraesCS2A01G521400;TraesCS6D01G091600;TraesCS3B01G291000;TraesCS5D01G078500;TraesCS1A01G249100;TraesCS2D01G523100;TraesCS4D01G115600;TraesCS2B01G405200;TraesCS3A01G275300;TraesCS5A01G548800;TraesCS2B01G307500;TraesCS6D01G130500;TraesCS6A01G070700;TraesCS2A01G387000;TraesCS6D01G302200;TraesCS2A01G480500;TraesCS4A01G367700;TraesCS5B01G418700;TraesCS4D01G092800;TraesCS4D01G172400;TraesCS7D01G377200;TraesCS6D01G221400;TraesCS3D01G326900;TraesCS2D01G229600;TraesCS2B01G273900;TraesCS6A01G322400;TraesCS1A01G116000;TraesCS4D01G057000;TraesCS5B01G037500;TraesCS7B01G169100;TraesCS5D01G231200;TraesCS5A01G445100;TraesCS5D01G424400;TraesCS2B01G321700;TraesCS5A01G036600;TraesCS2D01G154600;TraesCS5A01G223700;TraesCS4B01G332300;TraesCS4D01G115500;TraesCS5B01G509500;TraesCS5D01G162500;TraesCS2B01G454000;TraesCS5D01G437600;TraesCSU01G131300;TraesCS1D01G258800;TraesCS1B01G293500;TraesCS6D01G283300;TraesCS1A01G101300;TraesCS7D01G190300;TraesCS6D01G193000;TraesCS6B01G161800;TraesCS6B01G304100;TraesCS3B01G607600;TraesCS5D01G087800;TraesCS1A01G284300;TraesCS3B01G141700;TraesCS1D01G353100;TraesCS5B01G074200;TraesCS7B01G089500;TraesCS1B01G269400;TraesCS2B01G293400;TraesCS5D01G480300;TraesCS4D01G292300;TraesCS7D01G000100;TraesCS2D01G594500;TraesCS4B01G380800;TraesCS1A01G129400;TraesCS5A01G067300</t>
  </si>
  <si>
    <t>TraesCS3D01G264800;TraesCS1D01G264100;TraesCS3D01G426300;TraesCS5D01G013100;TraesCS6D01G121300;TraesCS2A01G286500;TraesCS4A01G125000;TraesCS5B01G484700;TraesCS2A01G234900;TraesCS5A01G092400;TraesCS7D01G338600;TraesCS1D01G401900;TraesCS5D01G219500;TraesCS1D01G149900;TraesCS5A01G108000;TraesCS2A01G058700;TraesCS2D01G014800;TraesCS5A01G089900;TraesCS6B01G159200;TraesCS2B01G528300;TraesCS6A01G143300;TraesCS6D01G122800;TraesCS5A01G014400;TraesCS5A01G119300;TraesCS6B01G251600;TraesCS4D01G021400;TraesCS1A01G355200;TraesCS7B01G104400;TraesCS6D01G204800;TraesCS5A01G467500;TraesCS7D01G228500;TraesCS2B01G385300;TraesCS5D01G517600;TraesCS1B01G325100;TraesCS2A01G280500;TraesCS5B01G324800;TraesCS6A01G133100;TraesCS2D01G233900;TraesCS2B01G004000;TraesCS3A01G205100;TraesCS7A01G088100;TraesCS2A01G223600;TraesCS7D01G549100;TraesCS5A01G004200;TraesCS4A01G286700;TraesCS3A01G151100;TraesCS1A01G264000;TraesCS1D01G155800;TraesCS1D01G331000;TraesCS2B01G050600;TraesCS2D01G242100;TraesCS3D01G529200;TraesCS4B01G204500;TraesCS7A01G341000;TraesCS2A01G193800;TraesCS6B01G257900;TraesCS5B01G419300;TraesCS7B01G189500;TraesCS3A01G523700;TraesCS6D01G287300;TraesCS4B01G028100;TraesCS1B01G254000;TraesCS3A01G513500;TraesCS5A01G014500;TraesCS7B01G242200;TraesCS2B01G070700;TraesCS4D01G025700;TraesCS4A01G013500;TraesCS2B01G297800;TraesCS4D01G122800;TraesCS6A01G303800;TraesCS7A01G560200;TraesCS4B01G285000;TraesCS2B01G457600;TraesCS3D01G203400;TraesCS2B01G201700;TraesCS6D01G135800;TraesCS3B01G309700;TraesCS5A01G212500;TraesCS2B01G207000;TraesCS6A01G230100;TraesCS6D01G047400;TraesCS5D01G361000;TraesCS4A01G232300;TraesCS7B01G006600;TraesCS3D01G210300;TraesCS5B01G228900;TraesCS3A01G367000;TraesCS5D01G237400;TraesCS6B01G470900;TraesCS2A01G114400;TraesCS4D01G194300;TraesCS1B01G290800;TraesCS7D01G283600;TraesCS1D01G280900;TraesCS2A01G437700;TraesCS2A01G175400;TraesCS4A01G354500;TraesCS5A01G353700;TraesCS4B01G179400;TraesCS6A01G290600;TraesCS1D01G313800;TraesCS4B01G129700;TraesCS1B01G274600;TraesCS2B01G303300;TraesCS6D01G212000;TraesCS2A01G387000;TraesCS2A01G222600;TraesCS2D01G194000;TraesCS3D01G237100;TraesCS4D01G283800;TraesCS2B01G133500;TraesCS6A01G308100;TraesCS7D01G083200;TraesCS1B01G422200;TraesCS2D01G182700;TraesCS4B01G083600;TraesCS3D01G288000;TraesCS4D01G107400;TraesCS6B01G159800;TraesCS2D01G520000;TraesCS2B01G602100;TraesCS1B01G478800;TraesCS6B01G176600;TraesCS2D01G229600;TraesCS4D01G003100;TraesCS2B01G273900;TraesCS3D01G083400;TraesCS4D01G081600;TraesCS2D01G279300;TraesCS6A01G158300;TraesCS6A01G267300;TraesCS2A01G523600;TraesCS5B01G517900;TraesCS2D01G057900;TraesCS1A01G259700;TraesCS2A01G296400;TraesCS5D01G321900;TraesCS1B01G366400;TraesCS4A01G387000;TraesCS3A01G264700;TraesCS6A01G146500;TraesCS4A01G364400;TraesCS5A01G315800;TraesCS7D01G200800;TraesCS4A01G110800;TraesCS6D01G259500;TraesCS4A01G276300;TraesCS6B01G307200;TraesCS4D01G194400;TraesCS4A01G164900;TraesCS4A01G290400;TraesCS3A01G200400;TraesCS1A01G195500;TraesCS5A01G324200;TraesCS4D01G080700;TraesCS5B01G509100;TraesCS6D01G132500;TraesCS7B01G124100;TraesCS1A01G313300;TraesCS1D01G199100;TraesCS6D01G283300;TraesCS2B01G248100;TraesCS2D01G238600;TraesCS5B01G256400;TraesCS7D01G343300;TraesCS4A01G247300;TraesCS7A01G335600;TraesCS4A01G124000;TraesCS5B01G036800;TraesCS1A01G158500;TraesCS1D01G242400;TraesCS5A01G230400;TraesCS4A01G206400;TraesCS2B01G312600;TraesCS6A01G279100;TraesCS3A01G288200;TraesCS4B01G314600;TraesCS6B01G171600;TraesCS7A01G226000;TraesCS1A01G281700;TraesCS4B01G109900;TraesCS5B01G534400;TraesCS7B01G421100;TraesCS3A01G082700;TraesCS4A01G005000;TraesCS3B01G307600;TraesCS3A01G276100;TraesCS6D01G238800;TraesCS4D01G003600;TraesCS4A01G093100</t>
  </si>
  <si>
    <t>TraesCS3D01G426300;TraesCS7A01G223300;TraesCS4A01G125000;TraesCS7D01G227300;TraesCS5B01G484700;TraesCS7D01G338600;TraesCS5D01G412600;TraesCS4A01G226900;TraesCS2D01G014800;TraesCS6B01G159200;TraesCS6A01G143300;TraesCS4B01G220400;TraesCS5D01G532100;TraesCS3B01G131400;TraesCS2A01G280500;TraesCS3A01G381000;TraesCS2B01G004000;TraesCS7D01G549100;TraesCS1B01G255100;TraesCS7A01G307000;TraesCS3A01G052700;TraesCS5A01G149000;TraesCS7B01G197000;TraesCS2B01G233400;TraesCS3D01G529200;TraesCS4B01G204500;TraesCS7A01G341000;TraesCS2A01G307300;TraesCS7B01G189500;TraesCS3D01G296900;TraesCS4D01G220700;TraesCS6A01G105400;TraesCS3A01G523700;TraesCS6D01G287300;TraesCS3A01G513500;TraesCS6A01G225200;TraesCS7B01G242200;TraesCS3A01G530100;TraesCS4D01G359000;TraesCS7A01G077400;TraesCS2B01G297800;TraesCS4D01G122800;TraesCS6B01G256400;TraesCS6A01G303800;TraesCS7A01G560200;TraesCS1A01G198400;TraesCS2B01G457600;TraesCS3A01G191700;TraesCS6B01G242800;TraesCS1D01G211600;TraesCS1B01G462200;TraesCS3D01G423300;TraesCS6B01G239000;TraesCS3A01G023800;TraesCS1D01G409700;TraesCS3A01G367000;TraesCS5B01G300100;TraesCS7D01G283600;TraesCS3D01G281100;TraesCS4D01G085700;TraesCS2A01G437700;TraesCS4B01G179400;TraesCS6A01G290600;TraesCS2D01G389900;TraesCS6D01G094200;TraesCS4B01G129700;TraesCS5A01G548800;TraesCS2D01G118000;TraesCS2A01G387000;TraesCS6A01G212200;TraesCS6A01G308100;TraesCS3A01G100000;TraesCS6B01G134800;TraesCS3D01G288000;TraesCS7D01G224900;TraesCS7D01G073000;TraesCS2D01G279300;TraesCS6A01G267300;TraesCS3A01G304900;TraesCS2A01G296400;TraesCS4A01G376000;TraesCS6D01G299200;TraesCS7B01G218300;TraesCS3D01G268700;TraesCS1B01G213300;TraesCS2B01G410100;TraesCS6D01G132500;TraesCS6D01G210000;TraesCS5B01G147600;TraesCS6D01G283300;TraesCS4D01G264800;TraesCS6A01G210200;TraesCS6D01G195400;TraesCS5B01G036800;TraesCS2A01G239200;TraesCS2B01G312600;TraesCS3A01G417000;TraesCS3A01G288200;TraesCS3D01G412500;TraesCS6B01G171600;TraesCS5B01G534400;TraesCS2B01G325100;TraesCS3A01G268600;TraesCS4D01G003600;TraesCS4A01G093100;TraesCS7B01G207300</t>
  </si>
  <si>
    <t>ribosome biogenesis</t>
  </si>
  <si>
    <t>TraesCS2B01G174600;TraesCS2D01G213200;TraesCS1B01G259800;TraesCS2B01G514800;TraesCS2D01G322800;TraesCS5A01G032500;TraesCS6D01G091600;TraesCS4A01G375000;TraesCS5D01G078500;TraesCS1A01G249100;TraesCS2B01G405200;TraesCS3A01G275300;TraesCS2A01G387400;TraesCS6A01G103200;TraesCS2A01G480500;TraesCS2B01G505400;TraesCS4A01G101200;TraesCS7B01G181200;TraesCS7D01G278800;TraesCS5D01G444500;TraesCS4D01G147500;TraesCS4B01G186700;TraesCS6D01G221400;TraesCS2A01G344500;TraesCS5B01G156500;TraesCS6B01G132300;TraesCS7D01G072300;TraesCS7A01G076600;TraesCS6B01G365300;TraesCS4B01G126400;TraesCS5A01G390000;TraesCS5B01G037500;TraesCS7B01G169100;TraesCS5D01G231200;TraesCS5D01G044700;TraesCS5B01G159100;TraesCS3A01G229100;TraesCS6A01G379000;TraesCS5A01G036600;TraesCS5D01G405400;TraesCS2D01G154600;TraesCS5A01G223700;TraesCS1B01G293500;TraesCS2D01G385000;TraesCS3D01G275200;TraesCS5D01G399800;TraesCS2B01G229500;TraesCS6D01G363400;TraesCS1A01G284300;TraesCS5B01G074200;TraesCS1A01G177600;TraesCS5B01G395000;TraesCS6B01G285500;TraesCS2B01G293400;TraesCS7A01G279000;TraesCS2A01G149500;TraesCS2A01G487500;TraesCS2D01G304000</t>
  </si>
  <si>
    <t>kinesin complex</t>
  </si>
  <si>
    <t>TraesCS7A01G466600;TraesCS3D01G426300;TraesCS1B01G261600;TraesCS3B01G014900;TraesCS1D01G107300;TraesCS6B01G454500;TraesCS1D01G226500;TraesCS4A01G257800;TraesCS7D01G338600;TraesCS5D01G412600;TraesCS6B01G169300;TraesCS3B01G441000;TraesCS4B01G056700;TraesCS3A01G220000;TraesCS4B01G321500;TraesCS3A01G381000;TraesCS2D01G233900;TraesCS7D01G216000;TraesCS7D01G549100;TraesCS2D01G399800;TraesCS1B01G255100;TraesCS3B01G362500;TraesCS1A01G350200;TraesCS1A01G180200;TraesCS3A01G052700;TraesCS5A01G149000;TraesCS7B01G197000;TraesCS2B01G443900;TraesCS4B01G204500;TraesCS1A01G258800;TraesCS7A01G341000;TraesCS7B01G189500;TraesCS1D01G178400;TraesCS3D01G296900;TraesCS6A01G105400;TraesCS7D01G454200;TraesCS3A01G091100;TraesCS1A01G099400;TraesCS4A01G101500;TraesCS7B01G242200;TraesCS3B01G252200;TraesCS4D01G204000;TraesCS1A01G007500;TraesCS1A01G095200;TraesCS4D01G122800;TraesCS6A01G303800;TraesCS7A01G560200;TraesCS6A01G158800;TraesCS1A01G198400;TraesCS4A01G334700;TraesCS3A01G191700;TraesCS6B01G242800;TraesCS1B01G200300;TraesCS2A01G128300;TraesCS5D01G094000;TraesCS3D01G259000;TraesCS4A01G232300;TraesCS3A01G367000;TraesCS5B01G300100;TraesCS2B01G405600;TraesCS5D01G237400;TraesCS7D01G283600;TraesCS1B01G196500;TraesCS5A01G059900;TraesCS2A01G387800;TraesCS6A01G290600;TraesCS6B01G089500;TraesCS6D01G094200;TraesCS4B01G129700;TraesCS2B01G221800;TraesCS5A01G135700;TraesCS6D01G130500;TraesCS2A01G387000;TraesCS5A01G416400;TraesCS4D01G318200;TraesCS6A01G212200;TraesCS2B01G150400;TraesCS3A01G100000;TraesCS4B01G083600;TraesCS5B01G418700;TraesCS6B01G134800;TraesCS2B01G620600;TraesCS5A01G429300;TraesCS6B01G176600;TraesCS6B01G192500;TraesCS6D01G244900;TraesCS4D01G081600;TraesCS6B01G065300;TraesCS6A01G267300;TraesCS6A01G408400;TraesCS3A01G304900;TraesCS4D01G057000;TraesCS2B01G375700;TraesCS2A01G296400;TraesCS2A01G185500;TraesCS6D01G299200;TraesCS1B01G213300;TraesCS1A01G195500;TraesCS1D01G258800;TraesCS2B01G185800;TraesCS1D01G199100;TraesCS2D01G148200;TraesCS5A01G490500;TraesCS5B01G147600;TraesCS5B01G409700;TraesCS6D01G283300;TraesCS2A01G559600;TraesCS6D01G195400;TraesCS2A01G159900;TraesCS2D01G300400;TraesCS5B01G036800;TraesCS2B01G312600;TraesCS5A01G020800;TraesCS3D01G091000;TraesCS1D01G353100;TraesCS6D01G408000;TraesCS3A01G271600;TraesCS2D01G202200;TraesCS4D01G003600;TraesCS4A01G093100</t>
  </si>
  <si>
    <t>protein complex assembly</t>
  </si>
  <si>
    <t>TraesCS2D01G154100;TraesCS3D01G426300;TraesCS4A01G091100;TraesCS6A01G312200;TraesCS3A01G367000;TraesCS2A01G114400;TraesCS2B01G592500;TraesCS5D01G219500;TraesCS3D01G250600;TraesCS6A01G290600;TraesCS3A01G250200;TraesCS1D01G101200;TraesCS4A01G226900;TraesCS5A01G513500;TraesCS2D01G194000;TraesCS2B01G133500;TraesCS4B01G213600;TraesCS4D01G339700;TraesCS2B01G528300;TraesCS5B01G227900;TraesCS6A01G143300;TraesCS6D01G122800;TraesCS3A01G181600;TraesCS2A01G342600;TraesCS4D01G214300;TraesCS2B01G272300;TraesCS5A01G501800;TraesCS2D01G520000;TraesCS6B01G176600;TraesCS7A01G190500;TraesCS6D01G291600;TraesCS3D01G083400;TraesCS6B01G342400;TraesCS2A01G280500;TraesCS3A01G381000;TraesCS5B01G324800;TraesCS6A01G133100;TraesCS1A01G092700;TraesCS2D01G279300;TraesCS6A01G267300;TraesCS3B01G370200;TraesCS2A01G296400;TraesCS3A01G151100;TraesCS2B01G340300;TraesCS7A01G359800;TraesCS4D01G068100;TraesCS1A01G195500;TraesCS2A01G193800;TraesCS5A01G324200;TraesCS2D01G467900;TraesCS6D01G132500;TraesCS1D01G199100;TraesCS3D01G514100;TraesCS2A01G467900;TraesCS2D01G238600;TraesCS5B01G256400;TraesCS3B01G279700;TraesCS6D01G147700;TraesCS5A01G173700;TraesCS4A01G101500;TraesCS4D01G204000;TraesCS2B01G312600;TraesCS7D01G169500;TraesCS1A01G007500;TraesCS6B01G171600;TraesCS2B01G297800;TraesCS2A01G252600;TraesCS4B01G069300;TraesCS5B01G171100;TraesCS3A01G082700;TraesCS3A01G191700;TraesCS3D01G087300;TraesCS6A01G163500;TraesCS5A01G212500;TraesCS4A01G246100;TraesCS6D01G047400</t>
  </si>
  <si>
    <t>TraesCS3D01G264800;TraesCS1D01G264100;TraesCS3D01G426300;TraesCS5D01G013100;TraesCS6D01G121300;TraesCS2A01G286500;TraesCS4A01G125000;TraesCS5B01G484700;TraesCS2A01G234900;TraesCS5A01G092400;TraesCS7D01G338600;TraesCS5D01G219500;TraesCS1D01G149900;TraesCS5A01G108000;TraesCS2A01G058700;TraesCS2D01G014800;TraesCS5A01G089900;TraesCS6B01G159200;TraesCS2B01G528300;TraesCS6A01G143300;TraesCS6D01G122800;TraesCS5A01G014400;TraesCS5A01G119300;TraesCS4D01G021400;TraesCS1A01G355200;TraesCS7B01G104400;TraesCS5A01G467500;TraesCS7D01G228500;TraesCS2B01G385300;TraesCS5D01G517600;TraesCS1B01G325100;TraesCS2A01G280500;TraesCS5B01G324800;TraesCS6A01G133100;TraesCS2D01G233900;TraesCS2B01G004000;TraesCS3A01G205100;TraesCS7A01G088100;TraesCS2A01G223600;TraesCS7D01G549100;TraesCS5A01G004200;TraesCS4A01G286700;TraesCS3A01G151100;TraesCS1A01G264000;TraesCS1D01G155800;TraesCS1D01G331000;TraesCS2B01G050600;TraesCS2D01G242100;TraesCS3D01G529200;TraesCS4B01G204500;TraesCS7A01G341000;TraesCS2A01G193800;TraesCS6B01G257900;TraesCS5B01G419300;TraesCS7B01G189500;TraesCS3A01G523700;TraesCS6D01G287300;TraesCS4B01G028100;TraesCS1B01G254000;TraesCS3A01G513500;TraesCS5A01G014500;TraesCS7B01G242200;TraesCS2B01G070700;TraesCS4D01G025700;TraesCS4A01G013500;TraesCS2B01G297800;TraesCS4D01G122800;TraesCS6A01G303800;TraesCS7A01G560200;TraesCS4B01G285000;TraesCS2B01G457600;TraesCS3D01G203400;TraesCS2B01G201700;TraesCS6D01G135800;TraesCS3B01G309700;TraesCS5A01G212500;TraesCS2B01G207000;TraesCS6D01G047400;TraesCS4A01G232300;TraesCS7B01G006600;TraesCS3D01G210300;TraesCS5B01G228900;TraesCS3A01G367000;TraesCS5D01G237400;TraesCS6B01G470900;TraesCS2A01G114400;TraesCS4D01G194300;TraesCS1B01G290800;TraesCS7D01G283600;TraesCS1D01G280900;TraesCS2A01G437700;TraesCS2A01G175400;TraesCS4A01G354500;TraesCS4B01G179400;TraesCS6A01G290600;TraesCS1D01G313800;TraesCS4B01G129700;TraesCS1B01G274600;TraesCS2B01G303300;TraesCS6D01G212000;TraesCS2A01G387000;TraesCS2A01G222600;TraesCS2D01G194000;TraesCS3D01G237100;TraesCS4D01G283800;TraesCS2B01G133500;TraesCS6A01G308100;TraesCS7D01G083200;TraesCS2D01G182700;TraesCS4B01G083600;TraesCS3D01G288000;TraesCS4D01G107400;TraesCS6B01G159800;TraesCS2D01G520000;TraesCS1B01G478800;TraesCS6B01G176600;TraesCS2D01G229600;TraesCS4D01G003100;TraesCS2B01G273900;TraesCS3D01G083400;TraesCS4D01G081600;TraesCS2D01G279300;TraesCS6A01G158300;TraesCS6A01G267300;TraesCS2A01G523600;TraesCS5B01G517900;TraesCS2D01G057900;TraesCS1A01G259700;TraesCS2A01G296400;TraesCS5D01G321900;TraesCS1B01G366400;TraesCS4A01G387000;TraesCS3A01G264700;TraesCS6A01G146500;TraesCS4A01G364400;TraesCS5A01G315800;TraesCS7D01G200800;TraesCS4A01G110800;TraesCS6D01G259500;TraesCS4A01G276300;TraesCS6B01G307200;TraesCS4D01G194400;TraesCS4A01G164900;TraesCS4A01G290400;TraesCS3A01G200400;TraesCS1A01G195500;TraesCS5A01G324200;TraesCS4D01G080700;TraesCS5B01G509100;TraesCS6D01G132500;TraesCS7B01G124100;TraesCS1A01G313300;TraesCS1D01G199100;TraesCS6D01G283300;TraesCS2B01G248100;TraesCS2D01G238600;TraesCS5B01G256400;TraesCS7D01G343300;TraesCS4A01G247300;TraesCS7A01G335600;TraesCS4A01G124000;TraesCS5B01G036800;TraesCS1A01G158500;TraesCS1D01G242400;TraesCS5A01G230400;TraesCS4A01G206400;TraesCS2B01G312600;TraesCS6A01G279100;TraesCS3A01G288200;TraesCS6B01G171600;TraesCS7A01G226000;TraesCS1A01G281700;TraesCS4B01G109900;TraesCS5B01G534400;TraesCS7B01G421100;TraesCS3A01G082700;TraesCS4A01G005000;TraesCS3A01G276100;TraesCS4D01G003600;TraesCS4A01G093100</t>
  </si>
  <si>
    <t>TraesCS7A01G466600;TraesCS3D01G426300;TraesCS1B01G261600;TraesCS3B01G014900;TraesCS1D01G107300;TraesCS6B01G454500;TraesCS1D01G226500;TraesCS4A01G257800;TraesCS7D01G338600;TraesCS5D01G412600;TraesCS6B01G169300;TraesCS3B01G441000;TraesCS4B01G056700;TraesCS3A01G220000;TraesCS3B01G131400;TraesCS4B01G321500;TraesCS3A01G381000;TraesCS2D01G233900;TraesCS7D01G216000;TraesCS7D01G549100;TraesCS2D01G399800;TraesCS1B01G255100;TraesCS3B01G362500;TraesCS1A01G350200;TraesCS1A01G180200;TraesCS3A01G052700;TraesCS5A01G149000;TraesCS7B01G197000;TraesCS2B01G443900;TraesCS4B01G204500;TraesCS1A01G258800;TraesCS7A01G341000;TraesCS7B01G189500;TraesCS1D01G178400;TraesCS3D01G296900;TraesCS6A01G105400;TraesCS7D01G454200;TraesCS3A01G091100;TraesCS1A01G099400;TraesCS4A01G101500;TraesCS7B01G242200;TraesCS3B01G252200;TraesCS4D01G204000;TraesCS1A01G007500;TraesCS1A01G095200;TraesCS4D01G122800;TraesCS6A01G303800;TraesCS7A01G560200;TraesCS6A01G158800;TraesCS1A01G198400;TraesCS4A01G334700;TraesCS3A01G191700;TraesCS6B01G242800;TraesCS1B01G200300;TraesCS2A01G128300;TraesCS5D01G094000;TraesCS3D01G259000;TraesCS4A01G232300;TraesCS3A01G367000;TraesCS5B01G300100;TraesCS2B01G405600;TraesCS5D01G237400;TraesCS7D01G283600;TraesCS1B01G196500;TraesCS5A01G059900;TraesCS2A01G387800;TraesCS6A01G290600;TraesCS6B01G089500;TraesCS6D01G094200;TraesCS4B01G129700;TraesCS2B01G221800;TraesCS5A01G135700;TraesCS6D01G130500;TraesCS2A01G387000;TraesCS5A01G416400;TraesCS4D01G318200;TraesCS6A01G212200;TraesCS2B01G150400;TraesCS3A01G100000;TraesCS4B01G083600;TraesCS5B01G418700;TraesCS6B01G134800;TraesCS2B01G620600;TraesCS5A01G429300;TraesCS6B01G176600;TraesCS6B01G192500;TraesCS6D01G244900;TraesCS4D01G081600;TraesCS6B01G065300;TraesCS6A01G267300;TraesCS6A01G408400;TraesCS3A01G304900;TraesCS4D01G057000;TraesCS2B01G375700;TraesCS2A01G296400;TraesCS2A01G185500;TraesCS6D01G299200;TraesCS1B01G213300;TraesCS1A01G195500;TraesCS1D01G258800;TraesCS2B01G185800;TraesCS1D01G199100;TraesCS2D01G148200;TraesCS5A01G490500;TraesCS5B01G147600;TraesCS5B01G409700;TraesCS6D01G283300;TraesCS2A01G559600;TraesCS6D01G195400;TraesCS2A01G159900;TraesCS2D01G300400;TraesCS5B01G036800;TraesCS2B01G312600;TraesCS5A01G020800;TraesCS3D01G091000;TraesCS1D01G353100;TraesCS6D01G408000;TraesCS3A01G271600;TraesCS2D01G202200;TraesCS4D01G003600;TraesCS4A01G093100</t>
  </si>
  <si>
    <t>protein complex biogenesis</t>
  </si>
  <si>
    <t>TraesCS3D01G264800;TraesCS1D01G264100;TraesCS3D01G426300;TraesCS5D01G013100;TraesCS6D01G121300;TraesCS2A01G286500;TraesCS4A01G125000;TraesCS5B01G484700;TraesCS2A01G234900;TraesCS5A01G092400;TraesCS7D01G338600;TraesCS5D01G219500;TraesCS1D01G149900;TraesCS5A01G108000;TraesCS2A01G058700;TraesCS2D01G014800;TraesCS5A01G089900;TraesCS6B01G159200;TraesCS2B01G528300;TraesCS6A01G143300;TraesCS6D01G122800;TraesCS5A01G014400;TraesCS5A01G119300;TraesCS4D01G021400;TraesCS1A01G355200;TraesCS7B01G104400;TraesCS5A01G467500;TraesCS7D01G228500;TraesCS2B01G385300;TraesCS5D01G517600;TraesCS1B01G325100;TraesCS2A01G280500;TraesCS5B01G324800;TraesCS6A01G133100;TraesCS2D01G233900;TraesCS2B01G004000;TraesCS3A01G205100;TraesCS7A01G088100;TraesCS2A01G223600;TraesCS7D01G549100;TraesCS5A01G004200;TraesCS4A01G286700;TraesCS3A01G151100;TraesCS1A01G264000;TraesCS1D01G155800;TraesCS1D01G331000;TraesCS2B01G050600;TraesCS2D01G242100;TraesCS3D01G529200;TraesCS4B01G204500;TraesCS7A01G341000;TraesCS2A01G193800;TraesCS6B01G257900;TraesCS5B01G419300;TraesCS7B01G189500;TraesCS3A01G523700;TraesCS6D01G287300;TraesCS4B01G028100;TraesCS1B01G254000;TraesCS3A01G513500;TraesCS5A01G014500;TraesCS7B01G242200;TraesCS2B01G070700;TraesCS4D01G025700;TraesCS4A01G013500;TraesCS2B01G297800;TraesCS4D01G122800;TraesCS6A01G303800;TraesCS7A01G560200;TraesCS4B01G285000;TraesCS2B01G457600;TraesCS3D01G203400;TraesCS2B01G201700;TraesCS6D01G135800;TraesCS3B01G309700;TraesCS5A01G212500;TraesCS2B01G207000;TraesCS6D01G047400;TraesCS4A01G232300;TraesCS7B01G006600;TraesCS3D01G210300;TraesCS5B01G228900;TraesCS3A01G367000;TraesCS5D01G237400;TraesCS6B01G470900;TraesCS2A01G114400;TraesCS4D01G194300;TraesCS1B01G290800;TraesCS7D01G283600;TraesCS1D01G280900;TraesCS2A01G437700;TraesCS2A01G175400;TraesCS4A01G354500;TraesCS4B01G179400;TraesCS6A01G290600;TraesCS1D01G313800;TraesCS4B01G129700;TraesCS1B01G274600;TraesCS2B01G303300;TraesCS6D01G212000;TraesCS2A01G387000;TraesCS2A01G222600;TraesCS2D01G194000;TraesCS3D01G237100;TraesCS4D01G283800;TraesCS2B01G133500;TraesCS6A01G308100;TraesCS7D01G083200;TraesCS2D01G182700;TraesCS4B01G083600;TraesCS3D01G288000;TraesCS4D01G107400;TraesCS6B01G159800;TraesCS2D01G520000;TraesCS2B01G602100;TraesCS1B01G478800;TraesCS6B01G176600;TraesCS2D01G229600;TraesCS4D01G003100;TraesCS2B01G273900;TraesCS3D01G083400;TraesCS4D01G081600;TraesCS2D01G279300;TraesCS6A01G158300;TraesCS6A01G267300;TraesCS2A01G523600;TraesCS5B01G517900;TraesCS2D01G057900;TraesCS1A01G259700;TraesCS2A01G296400;TraesCS5D01G321900;TraesCS1B01G366400;TraesCS4A01G387000;TraesCS3A01G264700;TraesCS6A01G146500;TraesCS4A01G364400;TraesCS5A01G315800;TraesCS7D01G200800;TraesCS4A01G110800;TraesCS6D01G259500;TraesCS4A01G276300;TraesCS6B01G307200;TraesCS4D01G194400;TraesCS4A01G164900;TraesCS4A01G290400;TraesCS3A01G200400;TraesCS1A01G195500;TraesCS5A01G324200;TraesCS4D01G080700;TraesCS5B01G509100;TraesCS6D01G132500;TraesCS7B01G124100;TraesCS1A01G313300;TraesCS1D01G199100;TraesCS6D01G283300;TraesCS2B01G248100;TraesCS2D01G238600;TraesCS5B01G256400;TraesCS7D01G343300;TraesCS4A01G247300;TraesCS7A01G335600;TraesCS4A01G124000;TraesCS5B01G036800;TraesCS1A01G158500;TraesCS1D01G242400;TraesCS5A01G230400;TraesCS4A01G206400;TraesCS2B01G312600;TraesCS6A01G279100;TraesCS3A01G288200;TraesCS6B01G171600;TraesCS7A01G226000;TraesCS1A01G281700;TraesCS4B01G109900;TraesCS5B01G534400;TraesCS7B01G421100;TraesCS3A01G082700;TraesCS4A01G005000;TraesCS3A01G276100;TraesCS4D01G003600;TraesCS4A01G093100</t>
  </si>
  <si>
    <t>TraesCS3D01G426300;TraesCS4A01G125000;TraesCS5A01G466100;TraesCS6D01G095800;TraesCS7D01G283600;TraesCS4B01G168300;TraesCS2A01G437700;TraesCS7A01G480700;TraesCS4B01G179400;TraesCS6A01G290600;TraesCS1A01G206900;TraesCS6D01G094200;TraesCS1D01G226100;TraesCS1D01G210200;TraesCS2D01G194000;TraesCS4D01G170800;TraesCS1B01G220700;TraesCS2A01G058700;TraesCS6A01G212200;TraesCS6A01G308100;TraesCS6B01G159200;TraesCS6A01G143300;TraesCS7D01G467500;TraesCS2A01G409700;TraesCS3B01G254400;TraesCS6D01G122800;TraesCS4D01G147100;TraesCS6B01G134800;TraesCS2D01G136200;TraesCS3D01G288000;TraesCS7B01G382800;TraesCS3D01G194300;TraesCS2A01G134000;TraesCS4B01G354600;TraesCS3D01G083400;TraesCS2A01G280500;TraesCS6A01G133100;TraesCS2D01G279300;TraesCS3B01G219700;TraesCS6A01G307700;TraesCS2D01G057900;TraesCS3A01G224800;TraesCS7D01G549100;TraesCS3A01G151100;TraesCS5D01G424400;TraesCS5D01G478900;TraesCS1A01G224700;TraesCS1D01G241000;TraesCS3D01G268700;TraesCS1A01G241000;TraesCS1D01G058300;TraesCS1A01G195500;TraesCS2A01G193800;TraesCS5D01G026000;TraesCS6D01G132500;TraesCS1D01G199100;TraesCS6D01G283300;TraesCS3D01G514100;TraesCS5A01G416700;TraesCS2B01G428100;TraesCS6A01G105400;TraesCS6A01G107900;TraesCS6D01G195400;TraesCS6D01G287300;TraesCS5B01G036800;TraesCS2A01G239200;TraesCS2B01G257300;TraesCS2B01G070700;TraesCS2D01G407000;TraesCS3A01G288200;TraesCS6B01G171600;TraesCS2B01G297800;TraesCS4B01G131800;TraesCS5B01G534400;TraesCS3D01G228800;TraesCS6A01G303800;TraesCS7A01G560200;TraesCS1D01G198700;TraesCS2B01G457600;TraesCS6B01G336300;TraesCS3A01G082700;TraesCS3A01G191700;TraesCS5B01G477800;TraesCS3A01G268600;TraesCS2B01G157600;TraesCS4A01G093100;TraesCS6B01G242800;TraesCS6D01G047400</t>
  </si>
  <si>
    <t>TraesCS1B01G259800;TraesCS5D01G124800;TraesCS6A01G360600;TraesCS1D01G107300;TraesCS2D01G479900;TraesCS3B01G224600;TraesCS1A01G260500;TraesCS4A01G257800;TraesCS5A01G032500;TraesCS5B01G155400;TraesCS3D01G285100;TraesCS3D01G411200;TraesCS6A01G268600;TraesCS3D01G271500;TraesCS1B01G146200;TraesCS6B01G159200;TraesCS6B01G295700;TraesCS4B01G186700;TraesCS5B01G156500;TraesCS5B01G431500;TraesCS6B01G132300;TraesCS4B01G117900;TraesCS5A01G467500;TraesCS5B01G094600;TraesCS3B01G242700;TraesCS3B01G131400;TraesCS2B01G597700;TraesCS4B01G126400;TraesCS4D01G133500;TraesCS5A01G390000;TraesCS1A01G350200;TraesCS3D01G019000;TraesCS5B01G159100;TraesCS3A01G229100;TraesCS6A01G379000;TraesCS2D01G565200;TraesCS3A01G103900;TraesCS3A01G122500;TraesCS2A01G488400;TraesCS6B01G262800;TraesCS3D01G275200;TraesCS3B01G568500;TraesCS5D01G399800;TraesCS7D01G454200;TraesCS1A01G099400;TraesCS2D01G587100;TraesCS2A01G103300;TraesCS3A01G303800;TraesCS4D01G359000;TraesCS1D01G055200;TraesCS6A01G303800;TraesCS3B01G246600;TraesCS1A01G423100;TraesCS5A01G547300;TraesCS5D01G396300;TraesCS3D01G188800;TraesCS2B01G342100;TraesCS1D01G260500;TraesCS2D01G322800;TraesCS5B01G171400;TraesCS2D01G362700;TraesCS2A01G387400;TraesCS2D01G383800;TraesCS3B01G214600;TraesCS1B01G274600;TraesCS2B01G221800;TraesCS2D01G118000;TraesCS5A01G114600;TraesCS6B01G238600;TraesCS5A01G416400;TraesCS6A01G103200;TraesCS3B01G309000;TraesCS5D01G505700;TraesCS7D01G278800;TraesCS5D01G444500;TraesCS5D01G100800;TraesCS6D01G252400;TraesCS2A01G344500;TraesCS7D01G072300;TraesCS6A01G234000;TraesCS1B01G271100;TraesCS4B01G160600;TraesCS6B01G365300;TraesCS6B01G393500;TraesCS5B01G479200;TraesCS7A01G466900;TraesCS2A01G185500;TraesCS5D01G040800;TraesCS5A01G088400;TraesCS3A01G264700;TraesCS5D01G044700;TraesCS4B01G170400;TraesCS2D01G303500;TraesCS5D01G405400;TraesCS1D01G352300;TraesCS4A01G290400;TraesCS3A01G200400;TraesCS4D01G079200;TraesCS1D01G151800;TraesCS4D01G004000;TraesCS6D01G344100;TraesCS2B01G229500;TraesCS4A01G090100;TraesCS3A01G498300;TraesCS5B01G504900;TraesCS5A01G387700;TraesCS6D01G363400;TraesCS3B01G363500;TraesCS1D01G431700;TraesCS4B01G276500;TraesCS2D01G488700;TraesCS1D01G298400;TraesCS5B01G395000;TraesCS4B01G117800;TraesCS2D01G202200;TraesCS7A01G239700;TraesCS1D01G125300;TraesCS6B01G342300;TraesCS4A01G005000;TraesCS7A01G279000;TraesCS7B01G042600;TraesCS6D01G246300;TraesCS1A01G299500;TraesCS2A01G487500;TraesCS3D01G264800;TraesCS7A01G466600;TraesCS1D01G264100;TraesCS2D01G213200;TraesCS5D01G013100;TraesCS3A01G212600;TraesCS6D01G173700;TraesCS3B01G442200;TraesCS3B01G083400;TraesCS5B01G222600;TraesCS3B01G207300;TraesCS2B01G514800;TraesCS4A01G375000;TraesCS7D01G288700;TraesCS7D01G454700;TraesCS4A01G134800;TraesCS6B01G169300;TraesCS6B01G299800;TraesCS2B01G505400;TraesCS4A01G101200;TraesCS4A01G178600;TraesCS7B01G181200;TraesCS4D01G021400;TraesCS4D01G147500;TraesCS3B01G426500;TraesCS6A01G130900;TraesCS4B01G056700;TraesCS5A01G429500;TraesCS3B01G161900;TraesCS5B01G450400;TraesCS3A01G220000;TraesCS7A01G076600;TraesCS2A01G223600;TraesCS5A01G004200;TraesCS3B01G299100;TraesCS1A01G264000;TraesCS2D01G487700;TraesCS5D01G141200;TraesCS6A01G192800;TraesCS6A01G209800;TraesCS6A01G312100;TraesCS2D01G242100;TraesCS1A01G258800;TraesCS6D01G216300;TraesCS2A01G444100;TraesCS2D01G385000;TraesCS3D01G124400;TraesCS3D01G298000;TraesCS4A01G197700;TraesCS1D01G178000;TraesCS5B01G537700;TraesCS4A01G197600;TraesCS4B01G138800;TraesCS2B01G404600;TraesCS1A01G177600;TraesCS6B01G285500;TraesCS3D01G203400;TraesCS7A01G149200;TraesCS4B01G151200;TraesCS6A01G186800;TraesCS2A01G149500;TraesCS2D01G304000;TraesCS7A01G313900;TraesCS2B01G174600;TraesCS3A01G184800;TraesCS7B01G052900;TraesCS1B01G171600;TraesCS4A01G217700;TraesCS2A01G521400;TraesCS6D01G091600;TraesCS3B01G291000;TraesCS5D01G078500;TraesCS1A01G249100;TraesCS2D01G523100;TraesCS4D01G115600;TraesCS2B01G405200;TraesCS3A01G275300;TraesCS5A01G548800;TraesCS2B01G307500;TraesCS6D01G130500;TraesCS6A01G070700;TraesCS2A01G387000;TraesCS6D01G302200;TraesCS2A01G480500;TraesCS4A01G367700;TraesCS5B01G418700;TraesCS4D01G092800;TraesCS4D01G172400;TraesCS7D01G377200;TraesCS6D01G221400;TraesCS2B01G602100;TraesCS3D01G068900;TraesCS3D01G326900;TraesCS2D01G229600;TraesCS2B01G273900;TraesCS6A01G322400;TraesCS1A01G116000;TraesCS7D01G386100;TraesCS4D01G057000;TraesCS5B01G037500;TraesCS7B01G169100;TraesCS5D01G231200;TraesCS5A01G445100;TraesCS5D01G424400;TraesCS2B01G321700;TraesCS3A01G069900;TraesCS5A01G036600;TraesCS7A01G390400;TraesCS2D01G154600;TraesCS5A01G223700;TraesCS4B01G332300;TraesCS4D01G115500;TraesCS5B01G509500;TraesCS5D01G162500;TraesCS2B01G454000;TraesCS5D01G437600;TraesCSU01G131300;TraesCS1D01G258800;TraesCS1B01G293500;TraesCS6D01G283300;TraesCS1A01G101300;TraesCS7D01G190300;TraesCS6D01G193000;TraesCS6B01G161800;TraesCS6B01G304100;TraesCS3B01G607600;TraesCS5D01G087800;TraesCS1A01G284300;TraesCS3B01G141700;TraesCS1D01G353100;TraesCS5B01G074200;TraesCS7B01G089500;TraesCS1B01G269400;TraesCS2B01G293400;TraesCS5D01G480300;TraesCS4D01G292300;TraesCS7D01G000100;TraesCS2D01G594500;TraesCS4B01G380800;TraesCS1A01G129400;TraesCS5A01G067300;TraesCS6A01G272300</t>
  </si>
  <si>
    <t>TraesCS1B01G259800;TraesCS5D01G124800;TraesCS6A01G360600;TraesCS1D01G107300;TraesCS2D01G479900;TraesCS3B01G224600;TraesCS1A01G260500;TraesCS4A01G257800;TraesCS5A01G032500;TraesCS5B01G155400;TraesCS3D01G285100;TraesCS3D01G411200;TraesCS6A01G268600;TraesCS3D01G271500;TraesCS1B01G146200;TraesCS6B01G159200;TraesCS6B01G295700;TraesCS4B01G186700;TraesCS5B01G156500;TraesCS5B01G431500;TraesCS6B01G132300;TraesCS4B01G117900;TraesCS5A01G467500;TraesCS5B01G094600;TraesCS3B01G242700;TraesCS3B01G131400;TraesCS2B01G597700;TraesCS4B01G126400;TraesCS4D01G133500;TraesCS5A01G390000;TraesCS1A01G350200;TraesCS3D01G019000;TraesCS5B01G159100;TraesCS3A01G229100;TraesCS6A01G379000;TraesCS2D01G565200;TraesCS3A01G103900;TraesCS3A01G122500;TraesCS2A01G488400;TraesCS6B01G262800;TraesCS3D01G275200;TraesCS3B01G568500;TraesCS5D01G399800;TraesCS7D01G454200;TraesCS1A01G099400;TraesCS2D01G587100;TraesCS2A01G103300;TraesCS3A01G303800;TraesCS4D01G359000;TraesCS1D01G055200;TraesCS6A01G303800;TraesCS3B01G246600;TraesCS1A01G423100;TraesCS5A01G547300;TraesCS5D01G396300;TraesCS3D01G188800;TraesCS2B01G342100;TraesCS1D01G260500;TraesCS2D01G322800;TraesCS5B01G171400;TraesCS2D01G362700;TraesCS2A01G387400;TraesCS2D01G383800;TraesCS3B01G214600;TraesCS1B01G274600;TraesCS2B01G221800;TraesCS2D01G118000;TraesCS5A01G114600;TraesCS6B01G238600;TraesCS5A01G416400;TraesCS6A01G103200;TraesCS3B01G309000;TraesCS5D01G505700;TraesCS7D01G278800;TraesCS5D01G444500;TraesCS5D01G100800;TraesCS6D01G252400;TraesCS2A01G344500;TraesCS7D01G072300;TraesCS6A01G234000;TraesCS1B01G271100;TraesCS4B01G160600;TraesCS6B01G365300;TraesCS6B01G393500;TraesCS5B01G479200;TraesCS7A01G466900;TraesCS2A01G185500;TraesCS5D01G040800;TraesCS5A01G088400;TraesCS3A01G264700;TraesCS5D01G044700;TraesCS4B01G170400;TraesCS2D01G303500;TraesCS4A01G110800;TraesCS5D01G405400;TraesCS1D01G352300;TraesCS4A01G290400;TraesCS3A01G200400;TraesCS4D01G079200;TraesCS1D01G151800;TraesCS4D01G004000;TraesCS6D01G344100;TraesCS2B01G229500;TraesCS4A01G090100;TraesCS3A01G498300;TraesCS5B01G504900;TraesCS5A01G387700;TraesCS6D01G363400;TraesCS3B01G363500;TraesCS1D01G431700;TraesCS4B01G276500;TraesCS2D01G488700;TraesCS1D01G298400;TraesCS5B01G395000;TraesCS4B01G117800;TraesCS2D01G202200;TraesCS7A01G239700;TraesCS1D01G125300;TraesCS6B01G342300;TraesCS4A01G005000;TraesCS7A01G279000;TraesCS7B01G042600;TraesCS6D01G246300;TraesCS1A01G299500;TraesCS2A01G487500;TraesCS3D01G264800;TraesCS7A01G466600;TraesCS1D01G264100;TraesCS2D01G213200;TraesCS5D01G013100;TraesCS3A01G212600;TraesCS6D01G173700;TraesCS3B01G442200;TraesCS3B01G083400;TraesCS5B01G222600;TraesCS3B01G207300;TraesCS2B01G514800;TraesCS4A01G375000;TraesCS7D01G288700;TraesCS7D01G454700;TraesCS4A01G134800;TraesCS6B01G169300;TraesCS6B01G299800;TraesCS2B01G505400;TraesCS4A01G101200;TraesCS4A01G178600;TraesCS7B01G181200;TraesCS4D01G021400;TraesCS4D01G147500;TraesCS3B01G426500;TraesCS6A01G130900;TraesCS4B01G056700;TraesCS5A01G429500;TraesCS3B01G161900;TraesCS5B01G450400;TraesCS3A01G220000;TraesCS7A01G076600;TraesCS2A01G223600;TraesCS5A01G004200;TraesCS3B01G299100;TraesCS1A01G264000;TraesCS2D01G487700;TraesCS5D01G141200;TraesCS6A01G192800;TraesCS6A01G209800;TraesCS6A01G312100;TraesCS2D01G242100;TraesCS1A01G258800;TraesCS6D01G216300;TraesCS2A01G444100;TraesCS2D01G385000;TraesCS3D01G124400;TraesCS3D01G298000;TraesCS4A01G197700;TraesCS1D01G178000;TraesCS5B01G537700;TraesCS4A01G197600;TraesCS4B01G138800;TraesCS2B01G404600;TraesCS1A01G177600;TraesCS6B01G285500;TraesCS3D01G203400;TraesCS7A01G149200;TraesCS4B01G151200;TraesCS6A01G186800;TraesCS2A01G149500;TraesCS2D01G304000;TraesCS7A01G313900;TraesCS2B01G174600;TraesCS3A01G184800;TraesCS7B01G052900;TraesCS1B01G171600;TraesCS4A01G217700;TraesCS2A01G521400;TraesCS4D01G194300;TraesCS6D01G091600;TraesCS3B01G291000;TraesCS5D01G078500;TraesCS1A01G249100;TraesCS2D01G523100;TraesCS4D01G115600;TraesCS2B01G405200;TraesCS3A01G275300;TraesCS5A01G548800;TraesCS2B01G307500;TraesCS6D01G130500;TraesCS6A01G070700;TraesCS2A01G387000;TraesCS6D01G302200;TraesCS2A01G480500;TraesCS4A01G367700;TraesCS5B01G418700;TraesCS4D01G092800;TraesCS4D01G172400;TraesCS7D01G377200;TraesCS6D01G221400;TraesCS2B01G602100;TraesCS3D01G068900;TraesCS3D01G326900;TraesCS2D01G229600;TraesCS2B01G273900;TraesCS6A01G322400;TraesCS1A01G116000;TraesCS7D01G386100;TraesCS4D01G057000;TraesCS5B01G037500;TraesCS7B01G169100;TraesCS5D01G231200;TraesCS5A01G445100;TraesCS5D01G424400;TraesCS2B01G321700;TraesCS3A01G069900;TraesCS5A01G036600;TraesCS7A01G390400;TraesCS2D01G154600;TraesCS5A01G223700;TraesCS4B01G332300;TraesCS4D01G115500;TraesCS5B01G509500;TraesCS5D01G162500;TraesCS2B01G454000;TraesCS5D01G437600;TraesCSU01G131300;TraesCS1D01G258800;TraesCS1B01G293500;TraesCS6D01G283300;TraesCS1A01G101300;TraesCS7D01G190300;TraesCS6D01G193000;TraesCS6B01G161800;TraesCS6B01G304100;TraesCS3B01G607600;TraesCS5D01G087800;TraesCS1A01G284300;TraesCS3B01G141700;TraesCS1D01G353100;TraesCS5B01G074200;TraesCS7B01G089500;TraesCS1B01G269400;TraesCS2B01G293400;TraesCS5D01G480300;TraesCS4D01G292300;TraesCS7D01G000100;TraesCS2D01G594500;TraesCS4B01G380800;TraesCS1A01G129400;TraesCS5A01G067300;TraesCS6A01G272300</t>
  </si>
  <si>
    <t>TraesCS2B01G174600;TraesCS2D01G213200;TraesCS1B01G259800;TraesCS5B01G222600;TraesCS3B01G207300;TraesCS2D01G479900;TraesCS2B01G342100;TraesCS2B01G514800;TraesCS2D01G322800;TraesCS5A01G032500;TraesCS6D01G091600;TraesCS4A01G375000;TraesCS5D01G078500;TraesCS1A01G249100;TraesCS2B01G405200;TraesCS3A01G275300;TraesCS2A01G387400;TraesCS6A01G103200;TraesCS2A01G480500;TraesCS2B01G505400;TraesCS3B01G309000;TraesCS4A01G101200;TraesCS7B01G181200;TraesCS7D01G278800;TraesCS5D01G444500;TraesCS4D01G147500;TraesCS4B01G186700;TraesCS6D01G221400;TraesCS2A01G344500;TraesCS5B01G156500;TraesCS6B01G132300;TraesCS7D01G072300;TraesCS7A01G076600;TraesCS6B01G365300;TraesCS4B01G126400;TraesCS5A01G390000;TraesCS5B01G037500;TraesCS7B01G169100;TraesCS5D01G040800;TraesCS5D01G231200;TraesCS5D01G044700;TraesCS5B01G159100;TraesCS3A01G229100;TraesCS6A01G379000;TraesCS2D01G487700;TraesCS5A01G036600;TraesCS5D01G405400;TraesCS2D01G154600;TraesCS5A01G223700;TraesCS5D01G162500;TraesCS1B01G293500;TraesCS2D01G385000;TraesCS3D01G275200;TraesCS5D01G399800;TraesCS2B01G229500;TraesCS7D01G190300;TraesCS6D01G363400;TraesCS1A01G284300;TraesCS5B01G074200;TraesCS1A01G177600;TraesCS5B01G395000;TraesCS6B01G285500;TraesCS1D01G055200;TraesCS2B01G293400;TraesCS3B01G246600;TraesCS7A01G279000;TraesCS2A01G149500;TraesCS2A01G487500;TraesCS2D01G304000;TraesCS5A01G067300;TraesCS5D01G396300</t>
  </si>
  <si>
    <t>TraesCS1B01G259800;TraesCS5D01G124800;TraesCS6A01G360600;TraesCS1D01G107300;TraesCS2D01G479900;TraesCS3B01G224600;TraesCS1A01G260500;TraesCS4A01G257800;TraesCS5A01G032500;TraesCS5B01G155400;TraesCS3D01G285100;TraesCS3D01G411200;TraesCS6A01G268600;TraesCS3D01G271500;TraesCS1B01G146200;TraesCS6B01G159200;TraesCS6B01G295700;TraesCS4B01G186700;TraesCS5B01G156500;TraesCS5B01G431500;TraesCS6B01G132300;TraesCS4B01G117900;TraesCS5A01G467500;TraesCS5B01G094600;TraesCS3B01G242700;TraesCS3B01G131400;TraesCS2B01G597700;TraesCS4B01G126400;TraesCS4D01G133500;TraesCS5A01G390000;TraesCS1A01G350200;TraesCS3D01G019000;TraesCS5B01G159100;TraesCS3A01G229100;TraesCS6A01G379000;TraesCS2D01G565200;TraesCS3A01G103900;TraesCS3A01G122500;TraesCS2A01G488400;TraesCS6B01G262800;TraesCS3D01G275200;TraesCS3B01G568500;TraesCS5D01G399800;TraesCS7D01G454200;TraesCS1A01G099400;TraesCS2D01G587100;TraesCS2A01G103300;TraesCS3A01G303800;TraesCS4D01G359000;TraesCS1D01G055200;TraesCS6A01G303800;TraesCS3B01G246600;TraesCS1A01G423100;TraesCS5A01G547300;TraesCS5D01G396300;TraesCS3D01G188800;TraesCS2B01G342100;TraesCS1D01G260500;TraesCS2D01G322800;TraesCS5B01G171400;TraesCS2D01G362700;TraesCS2A01G387400;TraesCS2D01G383800;TraesCS3B01G214600;TraesCS1B01G274600;TraesCS2B01G221800;TraesCS2D01G118000;TraesCS5A01G114600;TraesCS6B01G238600;TraesCS5A01G416400;TraesCS6A01G103200;TraesCS3B01G309000;TraesCS5D01G505700;TraesCS7D01G278800;TraesCS5D01G444500;TraesCS5D01G100800;TraesCS6D01G252400;TraesCS2A01G344500;TraesCS7D01G072300;TraesCS6A01G234000;TraesCS1B01G271100;TraesCS4B01G160600;TraesCS6B01G365300;TraesCS6B01G393500;TraesCS5B01G479200;TraesCS7A01G466900;TraesCS2A01G185500;TraesCS5D01G040800;TraesCS5A01G088400;TraesCS3A01G264700;TraesCS5D01G044700;TraesCS4B01G170400;TraesCS2D01G303500;TraesCS5D01G405400;TraesCS1D01G352300;TraesCS4A01G290400;TraesCS3A01G200400;TraesCS4D01G079200;TraesCS1D01G151800;TraesCS4D01G004000;TraesCS6D01G344100;TraesCS2B01G229500;TraesCS4A01G090100;TraesCS3A01G498300;TraesCS5B01G504900;TraesCS5A01G387700;TraesCS6D01G363400;TraesCS3B01G363500;TraesCS1D01G431700;TraesCS4B01G276500;TraesCS2D01G488700;TraesCS1D01G298400;TraesCS5B01G395000;TraesCS4B01G117800;TraesCS2D01G202200;TraesCS7A01G239700;TraesCS1D01G125300;TraesCS6B01G342300;TraesCS4A01G005000;TraesCS7A01G279000;TraesCS7B01G042600;TraesCS6D01G246300;TraesCS1A01G299500;TraesCS2A01G487500;TraesCS3D01G264800;TraesCS7A01G466600;TraesCS1D01G264100;TraesCS2D01G213200;TraesCS5D01G013100;TraesCS3A01G212600;TraesCS6D01G173700;TraesCS3B01G442200;TraesCS3B01G083400;TraesCS5B01G222600;TraesCS3B01G207300;TraesCS2B01G514800;TraesCS4A01G375000;TraesCS7D01G288700;TraesCS7D01G454700;TraesCS4A01G134800;TraesCS6B01G169300;TraesCS6B01G299800;TraesCS2B01G505400;TraesCS4A01G101200;TraesCS4A01G178600;TraesCS7B01G181200;TraesCS4D01G021400;TraesCS4D01G147500;TraesCS3B01G426500;TraesCS6A01G130900;TraesCS4B01G056700;TraesCS5A01G429500;TraesCS3B01G161900;TraesCS5B01G450400;TraesCS3A01G220000;TraesCS7A01G076600;TraesCS2A01G223600;TraesCS5A01G004200;TraesCS3B01G299100;TraesCS1A01G264000;TraesCS2D01G487700;TraesCS5D01G141200;TraesCS6A01G192800;TraesCS6A01G209800;TraesCS6A01G312100;TraesCS2D01G242100;TraesCS1A01G258800;TraesCS6D01G216300;TraesCS2A01G444100;TraesCS2D01G385000;TraesCS3D01G124400;TraesCS3D01G298000;TraesCS4A01G197700;TraesCS1D01G178000;TraesCS5B01G537700;TraesCS4A01G197600;TraesCS4B01G138800;TraesCS2B01G404600;TraesCS1A01G177600;TraesCS6B01G285500;TraesCS3D01G203400;TraesCS7A01G149200;TraesCS4B01G151200;TraesCS6A01G186800;TraesCS2A01G149500;TraesCS2D01G304000;TraesCS7A01G313900;TraesCS2B01G174600;TraesCS3A01G184800;TraesCS7B01G052900;TraesCS1B01G171600;TraesCS4A01G217700;TraesCS2A01G521400;TraesCS6D01G091600;TraesCS3B01G291000;TraesCS5D01G078500;TraesCS1A01G249100;TraesCS2D01G523100;TraesCS4D01G115600;TraesCS2B01G405200;TraesCS3A01G275300;TraesCS5A01G548800;TraesCS2B01G307500;TraesCS6D01G130500;TraesCS6A01G070700;TraesCS2A01G387000;TraesCS6D01G302200;TraesCS2A01G480500;TraesCS4A01G367700;TraesCS5B01G418700;TraesCS4D01G092800;TraesCS4D01G172400;TraesCS7D01G377200;TraesCS6D01G221400;TraesCS2B01G602100;TraesCS3D01G326900;TraesCS2D01G229600;TraesCS2B01G273900;TraesCS6A01G322400;TraesCS1A01G116000;TraesCS7D01G386100;TraesCS4D01G057000;TraesCS5B01G037500;TraesCS7B01G169100;TraesCS5D01G231200;TraesCS5A01G445100;TraesCS5D01G424400;TraesCS2B01G321700;TraesCS5A01G036600;TraesCS7A01G390400;TraesCS2D01G154600;TraesCS5A01G223700;TraesCS4B01G332300;TraesCS4D01G115500;TraesCS5B01G509500;TraesCS5D01G162500;TraesCS2B01G454000;TraesCS5D01G437600;TraesCSU01G131300;TraesCS1D01G258800;TraesCS1B01G293500;TraesCS6D01G283300;TraesCS1A01G101300;TraesCS7D01G190300;TraesCS6D01G193000;TraesCS6B01G161800;TraesCS6B01G304100;TraesCS3B01G607600;TraesCS5D01G087800;TraesCS1A01G284300;TraesCS3B01G141700;TraesCS1D01G353100;TraesCS5B01G074200;TraesCS7B01G089500;TraesCS1B01G269400;TraesCS2B01G293400;TraesCS5D01G480300;TraesCS4D01G292300;TraesCS7D01G000100;TraesCS2D01G594500;TraesCS4B01G380800;TraesCS1A01G129400;TraesCS5A01G067300;TraesCS6A01G272300</t>
  </si>
  <si>
    <t>TraesCS7A01G466600;TraesCS3D01G426300;TraesCS1B01G261600;TraesCS3B01G014900;TraesCS1D01G107300;TraesCS6B01G454500;TraesCS1D01G226500;TraesCS4A01G257800;TraesCS7D01G338600;TraesCS5D01G412600;TraesCS6B01G169300;TraesCS3B01G441000;TraesCS4B01G056700;TraesCS3A01G220000;TraesCS4B01G321500;TraesCS3A01G381000;TraesCS2D01G233900;TraesCS7D01G549100;TraesCS2D01G399800;TraesCS1B01G255100;TraesCS3B01G362500;TraesCS1A01G350200;TraesCS1A01G180200;TraesCS3A01G052700;TraesCS5A01G149000;TraesCS7B01G197000;TraesCS2B01G443900;TraesCS4B01G204500;TraesCS1A01G258800;TraesCS7A01G341000;TraesCS7B01G189500;TraesCS1D01G178400;TraesCS3D01G296900;TraesCS6A01G105400;TraesCS7D01G454200;TraesCS3A01G091100;TraesCS1A01G099400;TraesCS4A01G101500;TraesCS7B01G242200;TraesCS3B01G252200;TraesCS4D01G204000;TraesCS1A01G007500;TraesCS1A01G095200;TraesCS4D01G122800;TraesCS6A01G303800;TraesCS7A01G560200;TraesCS6A01G158800;TraesCS1A01G198400;TraesCS4A01G334700;TraesCS3A01G191700;TraesCS6B01G242800;TraesCS1B01G200300;TraesCS2A01G128300;TraesCS5D01G094000;TraesCS3D01G259000;TraesCS4A01G232300;TraesCS3A01G367000;TraesCS5B01G300100;TraesCS2B01G405600;TraesCS5D01G237400;TraesCS7D01G283600;TraesCS1B01G196500;TraesCS5A01G059900;TraesCS2A01G387800;TraesCS6A01G290600;TraesCS6B01G089500;TraesCS6D01G094200;TraesCS4B01G129700;TraesCS2B01G221800;TraesCS5A01G135700;TraesCS6D01G130500;TraesCS2A01G387000;TraesCS5A01G416400;TraesCS4D01G318200;TraesCS6A01G212200;TraesCS2B01G150400;TraesCS3A01G100000;TraesCS4B01G083600;TraesCS5B01G418700;TraesCS6B01G134800;TraesCS2B01G620600;TraesCS5A01G429300;TraesCS6B01G176600;TraesCS6B01G192500;TraesCS6D01G244900;TraesCS4D01G081600;TraesCS6B01G065300;TraesCS6A01G267300;TraesCS6A01G408400;TraesCS3A01G304900;TraesCS4D01G057000;TraesCS2B01G375700;TraesCS2A01G296400;TraesCS2A01G185500;TraesCS6D01G299200;TraesCS1B01G213300;TraesCS1A01G195500;TraesCS1D01G258800;TraesCS2B01G185800;TraesCS1D01G199100;TraesCS5A01G490500;TraesCS5B01G147600;TraesCS5B01G409700;TraesCS6D01G283300;TraesCS2A01G559600;TraesCS6D01G195400;TraesCS2A01G159900;TraesCS2D01G300400;TraesCS5B01G036800;TraesCS2B01G312600;TraesCS5A01G020800;TraesCS3D01G091000;TraesCS1D01G353100;TraesCS6D01G408000;TraesCS3A01G271600;TraesCS2D01G202200;TraesCS4D01G003600;TraesCS4A01G093100</t>
  </si>
  <si>
    <t>cellular protein complex assembly</t>
  </si>
  <si>
    <t>TraesCS3D01G426300;TraesCS4A01G125000;TraesCS5A01G466100;TraesCS6D01G095800;TraesCS7D01G283600;TraesCS4B01G168300;TraesCS2A01G437700;TraesCS7A01G480700;TraesCS4B01G179400;TraesCS6A01G290600;TraesCS1A01G206900;TraesCS6D01G094200;TraesCS1D01G226100;TraesCS1D01G210200;TraesCS2D01G194000;TraesCS4D01G170800;TraesCS1B01G220700;TraesCS2A01G058700;TraesCS6A01G212200;TraesCS6A01G308100;TraesCS6B01G159200;TraesCS6A01G143300;TraesCS7D01G467500;TraesCS2A01G409700;TraesCS3B01G254400;TraesCS6D01G122800;TraesCS4D01G147100;TraesCS6B01G134800;TraesCS2D01G136200;TraesCS3D01G288000;TraesCS7B01G382800;TraesCS3D01G194300;TraesCS2A01G134000;TraesCS4B01G354600;TraesCS3D01G083400;TraesCS2A01G280500;TraesCS6A01G133100;TraesCS2D01G279300;TraesCS3B01G219700;TraesCS6A01G307700;TraesCS2D01G057900;TraesCS3A01G224800;TraesCS7D01G549100;TraesCS3A01G151100;TraesCS5D01G424400;TraesCS5D01G478900;TraesCS1A01G224700;TraesCS1D01G241000;TraesCS3D01G268700;TraesCS1A01G241000;TraesCS1D01G058300;TraesCS1A01G195500;TraesCS2A01G193800;TraesCS5D01G026000;TraesCS6D01G132500;TraesCS1D01G199100;TraesCS6D01G283300;TraesCS3D01G514100;TraesCS5A01G416700;TraesCS2B01G428100;TraesCS6A01G105400;TraesCS6D01G195400;TraesCS6D01G287300;TraesCS5B01G036800;TraesCS2A01G239200;TraesCS2B01G257300;TraesCS2B01G070700;TraesCS2D01G407000;TraesCS3A01G288200;TraesCS6B01G171600;TraesCS2B01G297800;TraesCS4B01G131800;TraesCS5B01G534400;TraesCS3D01G228800;TraesCS6A01G303800;TraesCS7A01G560200;TraesCS1D01G198700;TraesCS2B01G457600;TraesCS6B01G336300;TraesCS3A01G082700;TraesCS3A01G191700;TraesCS5B01G477800;TraesCS3A01G268600;TraesCS2B01G157600;TraesCS4A01G093100;TraesCS6B01G242800;TraesCS6D01G047400</t>
  </si>
  <si>
    <t>TraesCS3D01G426300;TraesCS4A01G125000;TraesCS4B01G015600;TraesCS2B01G307300;TraesCS2B01G271300;TraesCS4B01G168300;TraesCS1D01G101200;TraesCS1D01G226100;TraesCS1D01G210200;TraesCS4D01G170800;TraesCS2A01G058700;TraesCS6B01G159200;TraesCS6A01G143300;TraesCS7D01G467500;TraesCS3B01G254400;TraesCS4D01G153900;TraesCS6D01G122800;TraesCS4D01G147100;TraesCS4D01G021400;TraesCS2D01G136200;TraesCS4B01G220400;TraesCS7B01G382800;TraesCS4D01G013900;TraesCS5D01G517600;TraesCS7A01G451100;TraesCS2A01G280500;TraesCS6A01G133100;TraesCS1A01G092700;TraesCS3B01G219700;TraesCS7D01G549100;TraesCS3A01G151100;TraesCS1B01G255100;TraesCS2A01G290900;TraesCS7A01G307000;TraesCS1A01G224700;TraesCS5A01G424400;TraesCS1D01G058300;TraesCS3D01G275600;TraesCS2A01G193800;TraesCS5D01G026000;TraesCS4D01G220700;TraesCS6A01G105400;TraesCS6D01G287300;TraesCS1B01G254000;TraesCS3A01G513500;TraesCS6A01G225200;TraesCS2B01G257300;TraesCS5D01G230300;TraesCS2B01G070700;TraesCS1D01G412600;TraesCS4D01G359000;TraesCS4A01G298100;TraesCS2B01G297800;TraesCS6B01G256400;TraesCS3D01G228800;TraesCS6A01G303800;TraesCS7A01G560200;TraesCS2B01G264100;TraesCS2B01G457600;TraesCS3A01G191700;TraesCS2B01G157600;TraesCS6B01G242800;TraesCS6D01G047400;TraesCS2A01G187700;TraesCS3A01G023800;TraesCS4A01G194100;TraesCS5A01G466100;TraesCS5D01G067600;TraesCS5B01G300100;TraesCS6D01G095800;TraesCS5A01G396700;TraesCS7D01G283600;TraesCS2D01G288800;TraesCS5B01G132600;TraesCS2A01G437700;TraesCS4A01G354500;TraesCS7A01G480700;TraesCS4B01G179400;TraesCS2D01G251000;TraesCS1D01G315700;TraesCS1A01G206900;TraesCS6D01G094200;TraesCS1B01G375300;TraesCS5A01G548800;TraesCS2A01G387000;TraesCS2D01G194000;TraesCS1B01G220700;TraesCS6A01G212200;TraesCS6A01G308100;TraesCS6B01G134800;TraesCS3D01G288000;TraesCS3D01G194300;TraesCS5A01G056400;TraesCS2A01G134000;TraesCS3D01G083400;TraesCS2D01G279300;TraesCS5A01G132300;TraesCS6A01G307700;TraesCS5B01G517900;TraesCS2D01G057900;TraesCS3A01G224800;TraesCS5D01G424400;TraesCS5D01G478900;TraesCS1A01G358800;TraesCS3D01G268700;TraesCS4A01G290400;TraesCS1A01G195500;TraesCS5B01G509100;TraesCS6D01G132500;TraesCS6A01G070600;TraesCS6D01G210000;TraesCS1D01G199100;TraesCS6D01G283300;TraesCS3D01G514100;TraesCS5A01G416700;TraesCS1D01G367600;TraesCS2D01G238600;TraesCS6D01G195400;TraesCS5B01G036800;TraesCS1D01G242400;TraesCS2A01G239200;TraesCS3A01G288200;TraesCS6B01G171600;TraesCS1B01G434400;TraesCS4B01G131800;TraesCS5B01G534400;TraesCS1D01G198700;TraesCS6B01G336300;TraesCS3A01G082700;TraesCS5B01G477800;TraesCS3A01G268600;TraesCS4A01G093100;TraesCS7B01G207300</t>
  </si>
  <si>
    <t>TraesCS6D01G016900;TraesCS5B01G484700;TraesCS7D01G294300;TraesCS6B01G454500;TraesCS1D01G449000;TraesCS7A01G175300;TraesCS3D01G273800;TraesCS4B01G213600;TraesCS3B01G206600;TraesCS3B01G193200;TraesCS4D01G147100;TraesCS5B01G412400;TraesCS7D01G056800;TraesCS2D01G394900;TraesCS7A01G541200;TraesCS7A01G190700;TraesCS5B01G094600;TraesCS5D01G056900;TraesCS5D01G429200;TraesCS2D01G233900;TraesCS2A01G171900;TraesCS5B01G255700;TraesCS1B01G202100;TraesCS2B01G448000;TraesCS1A01G130700;TraesCS3A01G216100;TraesCS7B01G411000;TraesCS5A01G336500;TraesCS4B01G135800;TraesCS5D01G376600;TraesCS4B01G347000;TraesCS3D01G296900;TraesCS4D01G220700;TraesCS3A01G091100;TraesCS6D01G287300;TraesCS3A01G393400;TraesCS4A01G101500;TraesCS6A01G225200;TraesCS2B01G257300;TraesCS4D01G204000;TraesCS5A01G093200;TraesCS6D01G162200;TraesCS4D01G250100;TraesCS7D01G339300;TraesCS4A01G120000;TraesCS4D01G120900;TraesCS6B01G190300;TraesCS7A01G415500;TraesCS7D01G224400;TraesCS4B01G109700;TraesCS5A01G143800;TraesCS2D01G093700;TraesCS2A01G313000;TraesCS3B01G309700;TraesCS6D01G047400;TraesCS4A01G248200;TraesCS5A01G229300;TraesCS6A01G245000;TraesCS7B01G103100;TraesCS4D01G278500;TraesCS7A01G269900;TraesCS7D01G283600;TraesCS3B01G423600;TraesCS5A01G189600;TraesCS3A01G380100;TraesCS1B01G375300;TraesCS2D01G383800;TraesCS1B01G274600;TraesCS6B01G238600;TraesCS7A01G222800;TraesCS2D01G102100;TraesCS3A01G223700;TraesCS3D01G369100;TraesCS5D01G118200;TraesCS1A01G275400;TraesCS1A01G403800;TraesCS4A01G138800;TraesCS2D01G328100;TraesCS3D01G407300;TraesCS4D01G132900;TraesCS4D01G094700;TraesCS7B01G219700;TraesCS7B01G162300;TraesCS3A01G292700;TraesCS1B01G271100;TraesCS4A01G158400;TraesCS6A01G125400;TraesCS5D01G321900;TraesCS7A01G466900;TraesCS5B01G517500;TraesCS2B01G520500;TraesCS6B01G166400;TraesCS7A01G252000;TraesCS5A01G315800;TraesCS5D01G044700;TraesCS6B01G296700;TraesCS7A01G510900;TraesCS5A01G357400;TraesCS1A01G025900;TraesCS4D01G165800;TraesCS3D01G271200;TraesCS3A01G137000;TraesCS2D01G597600;TraesCS3D01G336200;TraesCS7D01G291200;TraesCS5B01G185700;TraesCS3A01G521600;TraesCS5D01G280400;TraesCS2B01G477400;TraesCS3B01G103500;TraesCS3A01G288200;TraesCS6B01G062400;TraesCS6D01G189700;TraesCS2B01G325100;TraesCS4A01G078800;TraesCS3A01G268600;TraesCS6B01G099900;TraesCS3D01G224800;TraesCS7B01G092500;TraesCS5A01G199600;TraesCS2A01G517900;TraesCS6A01G123800;TraesCS1D01G264100;TraesCS6D01G041700;TraesCS7D01G227300;TraesCS5B01G409400;TraesCS5A01G229500;TraesCS6B01G213100;TraesCS1B01G343100;TraesCS7A01G390300;TraesCS5B01G339200;TraesCS1D01G401900;TraesCS5D01G412600;TraesCS3A01G330200;TraesCS3A01G334800;TraesCS7D01G288700;TraesCS1D01G275000;TraesCS1B01G193700;TraesCS5D01G099800;TraesCS3D01G391900;TraesCS1A01G218000;TraesCS5B01G539900;TraesCS7A01G276400;TraesCS1D01G265200;TraesCS5D01G530200;TraesCS4A01G178600;TraesCS5A01G119300;TraesCS3D01G217700;TraesCS5A01G123800;TraesCS1A01G116200;TraesCS3D01G507500;TraesCS4A01G052600;TraesCS4D01G252700;TraesCS1B01G348800;TraesCS6A01G355300;TraesCS5A01G050100;TraesCS2B01G079700;TraesCS5B01G154600;TraesCS6B01G199500;TraesCS3A01G528800;TraesCS3B01G324500;TraesCS5D01G517200;TraesCS3A01G381000;TraesCS1A01G092700;TraesCS6D01G007800;TraesCS2A01G093700;TraesCS7D01G025000;TraesCS2A01G187200;TraesCS2A01G200500;TraesCS3A01G151100;TraesCS7B01G054900;TraesCS7A01G277700;TraesCS7D01G250100;TraesCS7A01G307000;TraesCS6D01G362000;TraesCS6B01G246600;TraesCS5D01G141200;TraesCS7B01G197000;TraesCS6D01G186000;TraesCS6A01G209800;TraesCS2A01G309600;TraesCS5B01G396700;TraesCS2B01G086200;TraesCS4B01G246900;TraesCS5A01G054700;TraesCS1D01G252100;TraesCS1B01G167200;TraesCS5D01G261300;TraesCS7A01G220600;TraesCS3A01G412600;TraesCS3D01G298000;TraesCS2D01G362200;TraesCS3B01G254500;TraesCS6B01G356900;TraesCS6D01G149800;TraesCS5A01G104800;TraesCS2D01G094400;TraesCS7B01G129300;TraesCS3A01G435700;TraesCS3D01G376500;TraesCS5D01G238300;TraesCS6B01G256400;TraesCS7D01G407700;TraesCS1B01G378000;TraesCS4B01G151200;TraesCS3A01G278200;TraesCS1D01G211600;TraesCS7D01G231600;TraesCS6D01G179700;TraesCS7A01G313900;TraesCS7D01G332300;TraesCS7B01G006600;TraesCS7A01G139800;TraesCS1B01G301500;TraesCS2B01G348600;TraesCS2D01G397800;TraesCS3B01G093800;TraesCS3B01G268900;TraesCS2A01G123800;TraesCS6D01G094200;TraesCS4B01G129700;TraesCS4B01G150300;TraesCS5D01G248300;TraesCS2A01G092400;TraesCS4D01G318200;TraesCS6A01G308100;TraesCS4A01G262900;TraesCS1D01G003700;TraesCS2B01G150400;TraesCS6A01G336800;TraesCS6B01G134800;TraesCS2A01G338100;TraesCS3D01G271800;TraesCS3D01G288000;TraesCS2A01G342600;TraesCS4B01G245400;TraesCS5D01G402300;TraesCS5B01G563800;TraesCS2D01G528800;TraesCS2D01G059400;TraesCS6A01G322400;TraesCS1B01G200800;TraesCS2D01G279300;TraesCS4D01G107000;TraesCS6A01G259000;TraesCS7A01G076400;TraesCS3B01G154900;TraesCS1D01G383500;TraesCS2D01G327400;TraesCS4A01G227500;TraesCS7D01G032800;TraesCS6A01G146500;TraesCS2A01G110700;TraesCS6A01G192600;TraesCS3B01G400900;TraesCS5A01G241800;TraesCS6D01G293100;TraesCS7D01G447100;TraesCS3A01G187300;TraesCS2B01G185800;TraesCS5D01G005300;TraesCS1A01G172100;TraesCS6D01G283300;TraesCS6B01G331800;TraesCS1A01G265000;TraesCS2A01G455300;TraesCS3B01G497300;TraesCS3D01G412500;TraesCS5D01G329200;TraesCS4B01G154900;TraesCS7B01G236400;TraesCS2B01G604300;TraesCS3A01G271600;TraesCS5A01G460600;TraesCS6A01G077800;TraesCS2A01G382000;TraesCS7B01G446500;TraesCS5D01G480300;TraesCS7B01G119300;TraesCS4A01G093100;TraesCS6D01G121300;TraesCS4B01G252400;TraesCS5D01G525000;TraesCS4A01G125000;TraesCS6A01G184000;TraesCS1A01G260500;TraesCS5A01G468600;TraesCS1B01G049300;TraesCS3D01G323700;TraesCS3D01G411200;TraesCS5D01G162400;TraesCS7D01G150200;TraesCS1D01G101200;TraesCS7A01G368900;TraesCS3A01G099300;TraesCS2B01G229600;TraesCS4A01G119800;TraesCS1D01G219700;TraesCS5D01G171100;TraesCS1A01G292100;TraesCS5D01G148100;TraesCS7D01G276300;TraesCS4B01G152900;TraesCSU01G142500;TraesCS3D01G150400;TraesCS5A01G467500;TraesCS4D01G246300;TraesCS3B01G408800;TraesCS2B01G457300;TraesCS2A01G229300;TraesCS2A01G206200;TraesCS7D01G216000;TraesCS3D01G169000;TraesCS2A01G097900;TraesCS7D01G159000;TraesCS7B01G350400;TraesCS1A01G409600;TraesCS7B01G153100;TraesCS1A01G027200;TraesCS2D01G565200;TraesCS5B01G415100;TraesCS6A01G201800;TraesCS2B01G309500;TraesCS3D01G289600;TraesCS2A01G022000;TraesCS2D01G248600;TraesCS6B01G174500;TraesCS2A01G299200;TraesCS6D01G113900;TraesCS4A01G080100;TraesCS6D01G237400;TraesCS6A01G289200;TraesCS7D01G265200;TraesCS1A01G340400;TraesCS2B01G330100;TraesCS2D01G291200;TraesCS6A01G105400;TraesCS2B01G263300;TraesCS4B01G158000;TraesCS3D01G345500;TraesCS5D01G230300;TraesCS2B01G070700;TraesCS4A01G298100;TraesCS1A01G144300;TraesCS2A01G330000;TraesCS5A01G491400;TraesCS4A01G355100;TraesCS1B01G462200;TraesCS3D01G188800;TraesCS6B01G239000;TraesCS3B01G385400;TraesCS5B01G270200;TraesCS7B01G352800;TraesCS7A01G491200;TraesCS4A01G494400;TraesCS6A01G113000;TraesCS5B01G300100;TraesCS7D01G439900;TraesCS1D01G092200;TraesCS1B01G326400;TraesCS2D01G362700;TraesCS2D01G389900;TraesCS4B01G263100;TraesCS2D01G118000;TraesCS5D01G332000;TraesCS6B01G182300;TraesCS1B01G352700;TraesCS4D01G339700;TraesCS1D01G342400;TraesCS1D01G242500;TraesCS7A01G192000;TraesCS7D01G224900;TraesCS7D01G117800;TraesCS4A01G254100;TraesCS5A01G411500;TraesCS1A01G278000;TraesCS2B01G434600;TraesCS6D01G270400;TraesCS6B01G393500;TraesCS5B01G387600;TraesCS4B01G162900;TraesCS4A01G376000;TraesCS5A01G088400;TraesCS2A01G095300;TraesCS2D01G114900;TraesCS2D01G303500;TraesCS2A01G246700;TraesCS4A01G110800;TraesCS3D01G268700;TraesCS4A01G290400;TraesCS3A01G202700;TraesCS5A01G395200;TraesCS5A01G490500;TraesCS5B01G409700;TraesCS7A01G182200;TraesCS3D01G388400;TraesCS2D01G238600;TraesCS5B01G189500;TraesCS1D01G024800;TraesCS3A01G417000;TraesCS2D01G524500;TraesCS2D01G398400;TraesCS7D01G409000;TraesCS4D01G086400;TraesCS5B01G534400;TraesCS6A01G154400;TraesCS6B01G342300;TraesCS5B01G075800;TraesCS3A01G295400;TraesCS6D01G246300;TraesCS2D01G200700;TraesCS3D01G278500;TraesCS2D01G239700;TraesCS7A01G466600;TraesCS3D01G426300;TraesCS6D01G337500;TraesCS3D01G231200;TraesCS7D01G449900;TraesCS3D01G191100;TraesCS7D01G338600;TraesCS6A01G373400;TraesCS2A01G197900;TraesCS3D01G380100;TraesCS2B01G133300;TraesCS7A01G260600;TraesCS4A01G226900;TraesCS3A01G313300;TraesCS2A01G392900;TraesCS7A01G318800;TraesCS1B01G377800;TraesCS4A01G023500;TraesCS1A01G185900;TraesCS1A01G388400;TraesCS4A01G092500;TraesCS6D01G357100;TraesCS5A01G192000;TraesCS2D01G241800;TraesCS7A01G173500;TraesCS3D01G137800;TraesCS6A01G269400;TraesCS1A01G418700;TraesCS6B01G253900;TraesCS4D01G013900;TraesCS5B01G378700;TraesCS1A01G376400;TraesCS2A01G225100;TraesCS5B01G102600;TraesCS3A01G134100;TraesCS2B01G004000;TraesCS2D01G361800;TraesCS2A01G149600;TraesCS2B01G415500;TraesCS7D01G327700;TraesCS6B01G315800;TraesCS3D01G182400;TraesCS6D01G301300;TraesCS7B01G182300;TraesCS2B01G340300;TraesCS3D01G346200;TraesCS1A01G180200;TraesCS3B01G228900;TraesCS3B01G362100;TraesCS6A01G171300;TraesCS6D01G182200;TraesCS4B01G204500;TraesCS3D01G275600;TraesCS2D01G310000;TraesCS3A01G055300;TraesCS4A01G220100;TraesCS1A01G145000;TraesCS2D01G519500;TraesCS2B01G227800;TraesCS4A01G283000;TraesCS4D01G151900;TraesCS3B01G566600;TraesCS7B01G242200;TraesCS3A01G530100;TraesCS7D01G218000;TraesCS2A01G067500;TraesCS7D01G413700;TraesCS4B01G138800;TraesCS2B01G404600;TraesCS4D01G193500;TraesCS7A01G304400;TraesCS4D01G157200;TraesCS4A01G307900;TraesCS5A01G157000;TraesCS7A01G560200;TraesCS2A01G273400;TraesCS3A01G398000;TraesCS7B01G419900;TraesCS1B01G110400;TraesCS2A01G460000;TraesCS5D01G417400;TraesCS5D01G285200;TraesCS6B01G242800;TraesCS1B01G200300;TraesCS1B01G317500;TraesCS2A01G215100;TraesCS1B01G156600;TraesCS3A01G184800;TraesCS3B01G308200;TraesCS2A01G521400;TraesCS5A01G396700;TraesCS6B01G450500;TraesCS2B01G363200;TraesCS4B01G242800;TraesCS6A01G290600;TraesCS1A01G315900;TraesCS2A01G226000;TraesCS2B01G107200;TraesCS6D01G245600;TraesCS2B01G307500;TraesCS6D01G302200;TraesCS4B01G165100;TraesCS1B01G422200;TraesCS4D01G317900;TraesCS6B01G348700;TraesCS3A01G232700;TraesCS4A01G315700;TraesCS6D01G315500;TraesCS1A01G263400;TraesCS6A01G078200;TraesCS7D01G107600;TraesCS7D01G457900;TraesCS7B01G421800;TraesCS4A01G324400;TraesCS6B01G344100;TraesCS5A01G046600;TraesCS2B01G318400;TraesCS2D01G057900;TraesCS1B01G261700;TraesCS1D01G134300;TraesCS6D01G364900;TraesCS6D01G299200;TraesCS2A01G431900;TraesCS3B01G306000;TraesCS1A01G358800;TraesCS3D01G304800;TraesCS5A01G036600;TraesCS4D01G194400;TraesCS4D01G301300;TraesCS2B01G145700;TraesCS2D01G022800;TraesCS5D01G164800;TraesCS5D01G512300;TraesCS1B01G293500;TraesCS6B01G104600;TraesCS3B01G398300;TraesCS5D01G060900;TraesCS2D01G300400;TraesCS7B01G097000;TraesCS4D01G086000;TraesCS6B01G161800;TraesCS1A01G284300;TraesCS6B01G171600;TraesCS1B01G434400;TraesCS4B01G073200;TraesCS5B01G110000;TraesCS2D01G023900;TraesCS3B01G426600;TraesCS2B01G352300;TraesCS1A01G309200;TraesCS5A01G222500;TraesCS5B01G320100;TraesCS4B01G380800;TraesCS2B01G191800;TraesCS6B01G388100;TraesCS2B01G260800;TraesCS2D01G324900;TraesCS7A01G036200;TraesCS7D01G292000;TraesCS2A01G246200;TraesCS5A01G200800;TraesCS5B01G175800;TraesCS6B01G191500;TraesCS2A01G400900;TraesCS1D01G210200;TraesCS4A01G226500;TraesCS4A01G432400;TraesCS7D01G121200;TraesCS5B01G531900;TraesCS1B01G146200;TraesCS2D01G014800;TraesCS6B01G295700;TraesCS4D01G153900;TraesCS2A01G262700;TraesCS5B01G057300;TraesCS3A01G228000;TraesCS4A01G065400;TraesCS4B01G169900;TraesCS6B01G411900;TraesCS1A01G324800;TraesCS4B01G050200;TraesCS5D01G444700;TraesCS5D01G532100;TraesCS2B01G234500;TraesCS1D01G376900;TraesCS2B01G031800;TraesCS2D01G273000;TraesCS4D01G135000;TraesCS5A01G166800;TraesCS7A01G323200;TraesCS5D01G201300;TraesCS6D01G142900;TraesCS2B01G220100;TraesCS6A01G203300;TraesCS3A01G394600;TraesCS3D01G428300;TraesCS5B01G142900;TraesCS3A01G178900;TraesCS6B01G112700;TraesCS4D01G292900;TraesCS5A01G149000;TraesCS2B01G233400;TraesCS3A01G344300;TraesCS4D01G184400;TraesCS1B01G469400;TraesCS6D01G390000;TraesCS7D01G454200;TraesCS7A01G555700;TraesCS4D01G151500;TraesCS6B01G270400;TraesCS6A01G420100;TraesCSU01G068800;TraesCSU01G093800;TraesCS1A01G437500;TraesCS3A01G303800;TraesCS2D01G092500;TraesCS6A01G319700;TraesCS6D01G357600;TraesCS4A01G361100;TraesCS6D01G298300;TraesCS4D01G085900;TraesCS5B01G284100;TraesCS1A01G125000;TraesCS3B01G376200;TraesCS5A01G472100;TraesCS5D01G396300;TraesCS7B01G241500;TraesCS5D01G420300;TraesCS1D01G409700;TraesCS4A01G167000;TraesCS1D01G396300;TraesCS6D01G161000;TraesCS1D01G260500;TraesCS5B01G171400;TraesCS2B01G382000;TraesCS3D01G281100;TraesCS6B01G282200;TraesCS3D01G065800;TraesCS3A01G332300;TraesCS1D01G315700;TraesCS6A01G321600;TraesCS2A01G293400;TraesCS7D01G270400;TraesCS4A01G191500;TraesCS1D01G250700;TraesCS1D01G325500;TraesCS6A01G212200;TraesCS4D01G172000;TraesCS1A01G246800;TraesCS3B01G149800;TraesCS4A01G042500;TraesCS4D01G130600;TraesCS2A01G157700;TraesCS5D01G100800;TraesCS2D01G356700;TraesCS7A01G327600;TraesCS6B01G159800;TraesCS4A01G182800;TraesCS6D01G244900;TraesCS2B01G119700;TraesCS5B01G479200;TraesCS3D01G421500;TraesCS2D01G213100;TraesCS6D01G358500;TraesCS5A01G229400;TraesCS4A01G078900;TraesCS3D01G327600;TraesCS5D01G161800;TraesCS1A01G254400;TraesCS2B01G328500;TraesCS3B01G430000;TraesCS6D01G344100;TraesCS2D01G148200;TraesCS7D01G364400;TraesCS4B01G089500;TraesCS7B01G242800;TraesCS3A01G099800;TraesCS4A01G193700;TraesCS2A01G159900;TraesCS3A01G322500;TraesCS5B01G036800;TraesCS4A01G342800;TraesCS4B01G041900;TraesCS4B01G383000;TraesCS6B01G451100;TraesCS1A01G152800;TraesCS1A01G024700;TraesCS4D01G160000;TraesCS1D01G314600;TraesCS5D01G157300;TraesCS3B01G303000;TraesCS4A01G374600;TraesCS4B01G088400;TraesCS1A01G299500;TraesCS4D01G003600;TraesCS3B01G412600;TraesCS5B01G517400;TraesCS2D01G049500;TraesCS2D01G477200;TraesCS1D01G190900;TraesCS5B01G205700;TraesCS4B01G015600;TraesCS7B01G321700;TraesCS3A01G457400;TraesCS2B01G346500;TraesCS7D01G072100;TraesCS3A01G342300;TraesCS6B01G470700;TraesCS5D01G481500;TraesCS3D01G229800;TraesCS4A01G163000;TraesCSU01G158800;TraesCS2D01G492600;TraesCS3A01G202000;TraesCS4B01G288200;TraesCS6D01G398100;TraesCS6D01G227300;TraesCS6A01G143300;TraesCS6A01G147900;TraesCS4A01G283700;TraesCS4B01G138100;TraesCS7D01G188300;TraesCS5D01G366500;TraesCS4B01G220400;TraesCS4D01G214300;TraesCS3B01G185300;TraesCS6B01G174100;TraesCS7A01G264300;TraesCS1D01G316200;TraesCS7A01G419600;TraesCS5B01G322900;TraesCS2A01G280500;TraesCS3D01G241900;TraesCS2B01G401900;TraesCS1B01G368500;TraesCS1A01G264000;TraesCS2B01G275000;TraesCS3A01G052700;TraesCS3A01G189400;TraesCS4D01G167900;TraesCS3D01G527700;TraesCS7A01G341000;TraesCS7B01G177700;TraesCS3D01G282800;TraesCS7D01G284200;TraesCS3A01G282800;TraesCS7B01G189500;TraesCS3D01G240800;TraesCS2A01G398900;TraesCS3B01G252200;TraesCS7A01G004000;TraesCS1D01G219200;TraesCS3B01G088300;TraesCS6B01G455100;TraesCS1B01G344300;TraesCS4D01G122800;TraesCS5D01G144600;TraesCS3B01G435900;TraesCS1B01G439600;TraesCS2B01G304900;TraesCS1A01G198400;TraesCS3D01G203400;TraesCS2D01G138200;TraesCS5D01G459800;TraesCS3A01G191700;TraesCS3D01G328100;TraesCS4B01G290300;TraesCS7B01G241900;TraesCS2A01G128300;TraesCS2D01G105300;TraesCS6D01G062500;TraesCS6B01G414800;TraesCS5A01G367700;TraesCS3D01G109700;TraesCS5D01G470400;TraesCS2D01G320900;TraesCS7B01G176200;TraesCS3B01G316500;TraesCS7B01G085700;TraesCS4D01G085700;TraesCS2B01G592500;TraesCS1A01G361400;TraesCS1D01G277100;TraesCS3A01G060300;TraesCS2D01G205900;TraesCS3B01G209400;TraesCS3D01G386400;TraesCS5D01G229900;TraesCS4A01G111600;TraesCS4A01G058000;TraesCS5A01G156400;TraesCS1B01G220700;TraesCS6B01G352400;TraesCS3A01G402500;TraesCS5D01G551200;TraesCS1A01G137000;TraesCS7D01G450700;TraesCS7A01G381900;TraesCS6D01G405600;TraesCS7A01G450600;TraesCS7D01G073000;TraesCS2D01G231000;TraesCS3A01G503200;TraesCS4B01G164800;TraesCS5B01G037500;TraesCS2A01G202600;TraesCS7D01G011800;TraesCS2B01G174700;TraesCS3B01G257700;TraesCS3D01G373300;TraesCS6B01G223200;TraesCS4B01G244400;TraesCS7D01G378400;TraesCS2A01G150000;TraesCS4A01G144500;TraesCS5D01G437600;TraesCSU01G131300;TraesCS1D01G117400;TraesCS7D01G123400;TraesCS1B01G337800;TraesCS2B01G240100;TraesCS7D01G343300;TraesCS7A01G335600;TraesCS5D01G341200;TraesCS6B01G304100;TraesCS3A01G538300;TraesCS5A01G020800;TraesCS7B01G269300;TraesCS3D01G091000;TraesCS7A01G062100;TraesCS3A01G028600;TraesCS6A01G319100;TraesCS6B01G117100;TraesCS7A01G452800;TraesCS5A01G113700;TraesCS3B01G269900;TraesCS6B01G419000;TraesCSU01G132400;TraesCS3A01G488100;TraesCS7B01G421100;TraesCS7D01G386000;TraesCS1A01G129400;TraesCS6A01G360600;TraesCS1D01G411300;TraesCS3B01G224600;TraesCS7A01G351100;TraesCS3A01G178200;TraesCS4A01G166900;TraesCS7A01G238400;TraesCS6A01G268600;TraesCS5A01G272400;TraesCS5A01G513500;TraesCSU01G001100;TraesCS1D01G329100;TraesCS5D01G359800;TraesCS6A01G380200;TraesCS7A01G148600;TraesCS1B01G472100;TraesCS6B01G159200;TraesCS1A01G112800;TraesCS5B01G227900;TraesCS5D01G528400;TraesCS5A01G263700;TraesCS7A01G350000;TraesCS5B01G431500;TraesCS6A01G153600;TraesCS6B01G226000;TraesCS6D01G180500;TraesCS7A01G286700;TraesCS2D01G417300;TraesCS3B01G112900;TraesCS3A01G205900;TraesCS3B01G131400;TraesCS4B01G321500;TraesCS6B01G233800;TraesCS6D01G236400;TraesCS4D01G244000;TraesCS4D01G133500;TraesCS7D01G549100;TraesCS4A01G355000;TraesCS5B01G146700;TraesCS7A01G510000;TraesCS2A01G563500;TraesCS1B01G255100;TraesCS5D01G193000;TraesCS3A01G159900;TraesCS6D01G224200;TraesCS6B01G219700;TraesCS7D01G313600;TraesCS6A01G379000;TraesCS5D01G044100;TraesCS3A01G103900;TraesCS4B01G090000;TraesCS3B01G222400;TraesCS6B01G039900;TraesCS4B01G171300;TraesCS6B01G056200;TraesCS5A01G454300;TraesCS1B01G254000;TraesCS3A01G513500;TraesCS2A01G103300;TraesCS1D01G412600;TraesCS4D01G359000;TraesCS7A01G077400;TraesCS4A01G015800;TraesCS1A01G007500;TraesCS7B01G363600;TraesCS1D01G229400;TraesCS6A01G303800;TraesCS1D01G202100;TraesCS6B01G231400;TraesCS6D01G135800;TraesCS5A01G547300;TraesCS7B01G052200;TraesCS2D01G237600;TraesCS3D01G423300;TraesCS2B01G501300;TraesCS4A01G091100;TraesCS5D01G206500;TraesCS7D01G554900;TraesCS4A01G194100;TraesCS4D01G341900;TraesCS5D01G472300;TraesCS7B01G199200;TraesCS5D01G143800;TraesCS3B01G555600;TraesCS2A01G437700;TraesCS3A01G275700;TraesCS7A01G002900;TraesCS1A01G206900;TraesCS3B01G214600;TraesCS6D01G350000;TraesCS2B01G263600;TraesCS3A01G336100;TraesCS6B01G402300;TraesCS7A01G293200;TraesCS5A01G150700;TraesCS4D01G212600;TraesCS1B01G396800;TraesCS3D01G341200;TraesCS2A01G235900;TraesCS7D01G148200;TraesCS4A01G036500;TraesCS5B01G099300;TraesCS1D01G443100;TraesCS3A01G272200;TraesCS4B01G069200;TraesCS2D01G065800;TraesCS4A01G185400;TraesCS2B01G159600;TraesCS3B01G374400;TraesCS2A01G380200;TraesCS4A01G452700;TraesCS7B01G455500;TraesCS5B01G503800;TraesCS2D01G301200;TraesCS4A01G238100;TraesCS1D01G392400;TraesCS5B01G377700;TraesCS7A01G285800;TraesCS2D01G246100;TraesCS1D01G352300;TraesCS1D01G356900;TraesCS4A01G051900;TraesCS1D01G445300;TraesCS3A01G200400;TraesCS5B01G199400;TraesCS2A01G492300;TraesCS1D01G151800;TraesCS3B01G564100;TraesCS5D01G399200;TraesCS6D01G132500;TraesCS6D01G210000;TraesCS7B01G420400;TraesCS5D01G357600;TraesCS3A01G376300;TraesCS4B01G211800;TraesCS5B01G214400;TraesCS4D01G264800;TraesCS4D01G039100;TraesCS2A01G478000;TraesCS2B01G312600;TraesCS3D01G217600;TraesCS2D01G208300;TraesCS5B01G397300;TraesCS1D01G298400;TraesCS4D01G065600;TraesCS1A01G431600;TraesCS1A01G133500;TraesCS4D01G298800;TraesCS1A01G100600;TraesCS6B01G173500;TraesCS3A01G274600;TraesCS1D01G125300;TraesCS6D01G238800;TraesCS7D01G499800;TraesCS3D01G482500;TraesCS3A01G241700;TraesCS5D01G155800;TraesCS1D01G155100;TraesCS3A01G212600;TraesCS7A01G223300;TraesCS3A01G289900;TraesCS1D01G226500;TraesCS1D01G426400;TraesCS5D01G081700;TraesCS7B01G093800;TraesCS4B01G133200;TraesCS7D01G454700;TraesCS5A01G490800;TraesCS2A01G058700;TraesCS5A01G215900;TraesCS2B01G343900;TraesCS4D01G021400;TraesCS3B01G426500;TraesCS6A01G130900;TraesCS2A01G302500;TraesCS1B01G434100;TraesCS5A01G429500;TraesCS3B01G161900;TraesCS1A01G060100;TraesCS7A01G120300;TraesCS4A01G139700;TraesCS6B01G181300;TraesCS4B01G191300;TraesCS5B01G335500;TraesCS2A01G102600;TraesCS7B01G451500;TraesCS7D01G174700;TraesCS1D01G331000;TraesCS2B01G050600;TraesCS6A01G312100;TraesCS3D01G529200;TraesCS5B01G263800;TraesCS3B01G216800;TraesCS4A01G157100;TraesCS1A01G086500;TraesCS7B01G393400;TraesCS5D01G504600;TraesCS1D01G178000;TraesCS3A01G523700;TraesCS4B01G341300;TraesCS6D01G172500;TraesCS7D01G004500;TraesCS1A01G001800;TraesCS2B01G297800;TraesCS6A01G200200;TraesCS2D01G111300;TraesCS1D01G144000;TraesCS7B01G230100;TraesCS2B01G457600;TraesCS5B01G529300;TraesCS2B01G411000;TraesCS2B01G247100;TraesCS3D01G220400;TraesCS1D01G083200;TraesCS7D01G476500;TraesCS3A01G023800;TraesCS1D01G440900;TraesCS3A01G367000;TraesCS7D01G315400;TraesCS5B01G155200;TraesCS6A01G314100;TraesCS3A01G161800;TraesCS4D01G194300;TraesCS6B01G170600;TraesCS3D01G325800;TraesCS4B01G179400;TraesCS5A01G548800;TraesCS2D01G167300;TraesCS3D01G162700;TraesCS2A01G387000;TraesCS3A01G097200;TraesCS5B01G344200;TraesCS5A01G328900;TraesCS3A01G100000;TraesCS2B01G198300;TraesCS6D01G174700;TraesCS1A01G322300;TraesCS3B01G309400;TraesCS3B01G229700;TraesCS6B01G319000;TraesCS2B01G217700;TraesCS7D01G442100;TraesCS5A01G429300;TraesCS2D01G229600;TraesCS4B01G321300;TraesCS5B01G511800;TraesCS2D01G249200;TraesCS6A01G267300;TraesCS6A01G408400;TraesCS1D01G146600;TraesCS2B01G098800;TraesCS3A01G304900;TraesCS4D01G263300;TraesCS5B01G220900;TraesCS3A01G310100;TraesCS4B01G344600;TraesCS4D01G150700;TraesCS2A01G296400;TraesCS7D01G193000;TraesCS2D01G126600;TraesCSU01G009200;TraesCS2B01G321700;TraesCS6D01G152700;TraesCS7B01G184800;TraesCS3B01G425400;TraesCS5D01G105500;TraesCS6D01G224800;TraesCS1B01G213300;TraesCS1A01G111100;TraesCS4A01G164900;TraesCS5B01G136500;TraesCS2B01G122500;TraesCS3A01G107900;TraesCS5B01G509500;TraesCS5B01G510500;TraesCS2B01G051500;TraesCS2B01G410100;TraesCS5A01G515700;TraesCS5D01G223700;TraesCS6B01G151900;TraesCS7B01G124100;TraesCS6D01G245500;TraesCS5B01G147600;TraesCS6D01G174500;TraesCS6A01G210200;TraesCS6D01G195400;TraesCS7A01G421400;TraesCS2B01G225300;TraesCS3B01G470400;TraesCS2A01G239200;TraesCS6D01G193000;TraesCS1B01G155600;TraesCS7A01G329600;TraesCS5B01G481100;TraesCS2B01G108200;TraesCS7D01G130500;TraesCS6A01G161200;TraesCS6B01G189000;TraesCS7D01G000100;TraesCS4B01G029400;TraesCS4D01G242400;TraesCS5B01G121000;TraesCS7B01G207300;TraesCS4A01G150500</t>
  </si>
  <si>
    <t>TraesCS3A01G289900;TraesCS5B01G484700;TraesCS7D01G294300;TraesCS5B01G175800;TraesCS5B01G339200;TraesCS1D01G401900;TraesCS4A01G166900;TraesCS7B01G093800;TraesCS1D01G101200;TraesCS2A01G400900;TraesCS3A01G202000;TraesCS3D01G391900;TraesCS5A01G490800;TraesCS4A01G092500;TraesCS4A01G283700;TraesCS7D01G188300;TraesCS5A01G119300;TraesCS5D01G148100;TraesCS4D01G021400;TraesCS1A01G116200;TraesCS4A01G052600;TraesCSU01G142500;TraesCS1D01G376900;TraesCS3B01G161900;TraesCS3B01G324500;TraesCS5D01G517200;TraesCS3A01G381000;TraesCS1A01G092700;TraesCS4D01G244000;TraesCS5B01G255700;TraesCS6B01G315800;TraesCS4A01G355000;TraesCS5B01G146700;TraesCS1B01G368500;TraesCS5B01G142900;TraesCS3A01G159900;TraesCS2A01G102600;TraesCS2B01G309500;TraesCS7B01G197000;TraesCS2B01G050600;TraesCS2A01G309600;TraesCS3D01G289600;TraesCS3A01G189400;TraesCS2D01G310000;TraesCS4D01G184400;TraesCS1B01G167200;TraesCS2B01G330100;TraesCS3D01G298000;TraesCS4D01G151900;TraesCS6D01G287300;TraesCS7A01G555700;TraesCS5D01G230300;TraesCS6A01G420100;TraesCS7B01G129300;TraesCS6B01G455100;TraesCS3A01G303800;TraesCS4D01G122800;TraesCS7D01G224400;TraesCS5D01G144600;TraesCS4A01G307900;TraesCS6A01G303800;TraesCS2B01G457600;TraesCS3A01G398000;TraesCS5A01G143800;TraesCS2A01G313000;TraesCS3D01G220400;TraesCS6D01G047400;TraesCS4A01G248200;TraesCS7D01G554900;TraesCS2A01G215100;TraesCS7B01G006600;TraesCS1D01G409700;TraesCS3A01G367000;TraesCS5D01G470400;TraesCS2A01G521400;TraesCS5A01G396700;TraesCS4D01G194300;TraesCS2A01G437700;TraesCS2A01G123800;TraesCS6A01G290600;TraesCS1B01G375300;TraesCS4B01G129700;TraesCS7A01G222800;TraesCS2A01G387000;TraesCS2A01G293400;TraesCS2D01G102100;TraesCS6B01G182300;TraesCS1D01G250700;TraesCS6A01G308100;TraesCS4D01G212600;TraesCS1B01G422200;TraesCS4D01G317900;TraesCS7A01G192000;TraesCS3B01G229700;TraesCS3D01G288000;TraesCS6B01G348700;TraesCS3A01G232700;TraesCS3A01G292700;TraesCS4B01G245400;TraesCS6D01G405600;TraesCS7D01G117800;TraesCS7D01G107600;TraesCS4B01G321300;TraesCS1D01G146600;TraesCS2B01G119700;TraesCS5D01G321900;TraesCS5B01G517500;TraesCS7D01G193000;TraesCS2D01G126600;TraesCS1B01G261700;TraesCS5A01G315800;TraesCS4A01G110800;TraesCS1A01G358800;TraesCS4B01G244400;TraesCS4A01G078900;TraesCS4D01G194400;TraesCS1D01G356900;TraesCS2B01G145700;TraesCS4A01G290400;TraesCS3D01G271200;TraesCS2B01G328500;TraesCS3B01G430000;TraesCS5A01G395200;TraesCS1D01G117400;TraesCS6B01G104600;TraesCS2D01G148200;TraesCS5B01G409700;TraesCS6D01G283300;TraesCS7A01G182200;TraesCS4B01G211800;TraesCS3B01G398300;TraesCS2B01G240100;TraesCS7D01G343300;TraesCS7A01G335600;TraesCS7B01G097000;TraesCS5B01G036800;TraesCS4B01G383000;TraesCS3A01G417000;TraesCS3A01G288200;TraesCS3D01G412500;TraesCS4D01G065600;TraesCS2D01G398400;TraesCS3A01G271600;TraesCS7D01G409000;TraesCS6A01G077800;TraesCS5A01G222500;TraesCS6A01G154400;TraesCS5B01G320100;TraesCS5D01G157300;TraesCS6D01G238800;TraesCS4B01G029400;TraesCS4A01G093100;TraesCS7B01G092500</t>
  </si>
  <si>
    <t>TraesCS2B01G174600;TraesCS5B01G201700;TraesCS2D01G213200;TraesCS1B01G259800;TraesCS5B01G222600;TraesCS3B01G207300;TraesCS2D01G479900;TraesCS2B01G342100;TraesCS2B01G514800;TraesCS2D01G322800;TraesCS5A01G032500;TraesCS6D01G091600;TraesCS4A01G375000;TraesCS5D01G078500;TraesCS1A01G249100;TraesCS2B01G405200;TraesCS3A01G275300;TraesCS2A01G387400;TraesCS6A01G103200;TraesCS2A01G480500;TraesCS2B01G505400;TraesCS3B01G309000;TraesCS4A01G101200;TraesCS7B01G181200;TraesCS7D01G278800;TraesCS5D01G444500;TraesCS4D01G147500;TraesCS4B01G186700;TraesCS6D01G221400;TraesCS2A01G344500;TraesCS5B01G156500;TraesCS6B01G132300;TraesCS7D01G072300;TraesCS7A01G076600;TraesCS6B01G365300;TraesCS4B01G126400;TraesCS5A01G390000;TraesCS5B01G037500;TraesCS7B01G169100;TraesCS5D01G040800;TraesCS5D01G231200;TraesCS5D01G044700;TraesCS5B01G159100;TraesCS3A01G229100;TraesCS6A01G379000;TraesCS2D01G487700;TraesCS5A01G036600;TraesCS5D01G405400;TraesCS2D01G154600;TraesCS5A01G223700;TraesCS5D01G162500;TraesCS1B01G293500;TraesCS2D01G385000;TraesCS3D01G275200;TraesCS5D01G399800;TraesCS2B01G229500;TraesCS6D01G363400;TraesCS1A01G284300;TraesCS5B01G074200;TraesCS1A01G177600;TraesCS5B01G395000;TraesCS6B01G285500;TraesCS1D01G055200;TraesCS2B01G293400;TraesCS3B01G246600;TraesCS7A01G279000;TraesCS2A01G149500;TraesCS2A01G487500;TraesCS2D01G304000;TraesCS5A01G067300;TraesCS5D01G396300</t>
  </si>
  <si>
    <t>TraesCS3A01G289900;TraesCS5B01G484700;TraesCS7D01G294300;TraesCS5B01G175800;TraesCS4A01G166900;TraesCS7B01G093800;TraesCS1D01G101200;TraesCS3A01G202000;TraesCS5A01G490800;TraesCS4A01G092500;TraesCS5A01G119300;TraesCS4D01G021400;TraesCS1A01G116200;TraesCS4A01G052600;TraesCSU01G142500;TraesCS3B01G161900;TraesCS3B01G324500;TraesCS5D01G517200;TraesCS3A01G381000;TraesCS1A01G092700;TraesCS6B01G315800;TraesCS4A01G355000;TraesCS5B01G146700;TraesCS1B01G368500;TraesCS2A01G102600;TraesCS2B01G309500;TraesCS7B01G197000;TraesCS2B01G050600;TraesCS2A01G309600;TraesCS3D01G289600;TraesCS3A01G189400;TraesCS2D01G310000;TraesCS4D01G184400;TraesCS1B01G167200;TraesCS2B01G330100;TraesCS4D01G151900;TraesCS6D01G287300;TraesCS7A01G555700;TraesCS5D01G230300;TraesCS6A01G420100;TraesCS7B01G129300;TraesCS4D01G122800;TraesCS7D01G224400;TraesCS6A01G303800;TraesCS2B01G457600;TraesCS2A01G313000;TraesCS3D01G220400;TraesCS6D01G047400;TraesCS7D01G554900;TraesCS7B01G006600;TraesCS1D01G409700;TraesCS3A01G367000;TraesCS5D01G470400;TraesCS5A01G396700;TraesCS2A01G437700;TraesCS2A01G123800;TraesCS6A01G290600;TraesCS4B01G129700;TraesCS7A01G222800;TraesCS2A01G387000;TraesCS2A01G293400;TraesCS2D01G102100;TraesCS6B01G182300;TraesCS6A01G308100;TraesCS4D01G212600;TraesCS4D01G317900;TraesCS3B01G229700;TraesCS3D01G288000;TraesCS3A01G232700;TraesCS3A01G292700;TraesCS6D01G405600;TraesCS7D01G117800;TraesCS4B01G321300;TraesCS1D01G146600;TraesCS2B01G119700;TraesCS5D01G321900;TraesCS5B01G517500;TraesCS2D01G126600;TraesCS5A01G315800;TraesCS4D01G194400;TraesCS1D01G356900;TraesCS2B01G145700;TraesCS4A01G290400;TraesCS3D01G271200;TraesCS2B01G328500;TraesCS5A01G395200;TraesCS1D01G117400;TraesCS6B01G104600;TraesCS2D01G148200;TraesCS5B01G409700;TraesCS6D01G283300;TraesCS7A01G182200;TraesCS4B01G211800;TraesCS3B01G398300;TraesCS7D01G343300;TraesCS7A01G335600;TraesCS3A01G417000;TraesCS3A01G288200;TraesCS3D01G412500;TraesCS3A01G271600;TraesCS7D01G409000;TraesCS6A01G077800;TraesCS5A01G222500;TraesCS6A01G154400;TraesCS4A01G093100</t>
  </si>
  <si>
    <t>TraesCS4A01G125000;TraesCS5D01G219500;TraesCS5A01G513500;TraesCS1A01G369600;TraesCS1D01G210200;TraesCS4B01G213600;TraesCS6B01G159200;TraesCS2B01G530100;TraesCS4D01G153900;TraesCS4D01G147100;TraesCS4B01G150600;TraesCS5B01G324800;TraesCS6A01G133100;TraesCS5B01G171200;TraesCS1A01G416000;TraesCS7B01G113100;TraesCS5B01G121500;TraesCS7D01G549100;TraesCS4A01G286700;TraesCS7B01G350400;TraesCS1B01G402900;TraesCS5B01G415100;TraesCS6A01G201800;TraesCS5A01G128300;TraesCS4B01G017400;TraesCS2A01G193800;TraesCS5D01G026000;TraesCS6D01G390000;TraesCS2B01G330100;TraesCS3B01G006700;TraesCS6A01G105400;TraesCS1B01G254000;TraesCS2B01G257300;TraesCS2B01G070700;TraesCS1D01G412600;TraesCS4D01G025700;TraesCS6D01G147900;TraesCS4D01G359000;TraesCS5A01G093200;TraesCS4D01G015900;TraesCS4D01G120900;TraesCS7D01G224400;TraesCS6A01G303800;TraesCS5D01G178300;TraesCS6D01G135800;TraesCS2A01G313000;TraesCS6D01G047400;TraesCS1B01G462200;TraesCS6B01G239000;TraesCS4A01G091100;TraesCS5D01G420300;TraesCS5B01G300100;TraesCS7D01G439900;TraesCS1D01G092200;TraesCS7D01G283600;TraesCS2A01G437700;TraesCS1B01G304500;TraesCS2D01G251000;TraesCS2D01G389900;TraesCS1A01G206900;TraesCS6B01G238600;TraesCS6A01G321600;TraesCS7A01G222800;TraesCS7A01G316700;TraesCS3D01G407300;TraesCS4D01G339700;TraesCS6A01G212200;TraesCS4B01G083600;TraesCS1B01G396800;TraesCS3D01G341200;TraesCS5A01G173800;TraesCS7D01G543200;TraesCS4D01G157500;TraesCS2D01G356700;TraesCS4B01G091100;TraesCS1D01G423500;TraesCS5A01G411500;TraesCS4D01G081600;TraesCS4B01G300100;TraesCS5B01G102000;TraesCS4B01G193400;TraesCS1D01G356900;TraesCS4A01G165600;TraesCS4A01G290400;TraesCS1A01G195500;TraesCS2B01G328500;TraesCS6D01G132500;TraesCS3D01G258900;TraesCS4D01G159800;TraesCS5B01G409700;TraesCS2A01G467900;TraesCS2D01G238600;TraesCS2B01G154700;TraesCS4A01G193700;TraesCS7B01G217500;TraesCS5B01G036800;TraesCS2A01G132200;TraesCS4B01G041900;TraesCS1D01G024800;TraesCS3A01G288200;TraesCS1A01G024700;TraesCS1A01G133500;TraesCS5A01G221800;TraesCS5B01G534400;TraesCS1A01G100600;TraesCS6B01G173500;TraesCS3A01G082700;TraesCS4D01G036500;TraesCS3D01G426300;TraesCS5A01G092400;TraesCS2B01G271300;TraesCS7D01G338600;TraesCS1D01G401900;TraesCS3B01G046100;TraesCS3D01G436100;TraesCS3D01G041900;TraesCS5D01G481500;TraesCS4B01G286700;TraesCS1A01G420900;TraesCS1A01G231100;TraesCS2A01G058700;TraesCS6A01G143300;TraesCS6D01G122800;TraesCS5A01G119300;TraesCS5A01G123800;TraesCS4D01G021400;TraesCS3B01G011800;TraesCS4D01G214300;TraesCS4A01G052600;TraesCS1A01G376400;TraesCS5B01G102600;TraesCS2A01G280500;TraesCS1A01G060100;TraesCS3A01G134100;TraesCS5A01G096100;TraesCS3A01G484800;TraesCS6B01G315800;TraesCS6D01G301300;TraesCS3A01G151100;TraesCS2D01G236100;TraesCS1B01G368500;TraesCS6A01G203700;TraesCS2B01G050600;TraesCS6D01G186000;TraesCS6A01G209800;TraesCS2A01G309600;TraesCS1D01G241800;TraesCS2D01G310000;TraesCS7A01G341000;TraesCS5B01G476900;TraesCS1A01G036200;TraesCS3A01G443700;TraesCS2D01G198300;TraesCS2A01G501900;TraesCS3A01G412600;TraesCS4B01G028100;TraesCS6D01G172500;TraesCS7B01G242200;TraesCS7B01G129300;TraesCS5D01G108700;TraesCS2B01G297800;TraesCS7A01G560200;TraesCS5B01G127300;TraesCS1A01G198400;TraesCS2B01G457600;TraesCS4A01G296200;TraesCS4B01G151200;TraesCS5D01G459800;TraesCS3A01G191700;TraesCS1B01G110400;TraesCS2A01G460000;TraesCS5A01G212500;TraesCS6B01G242800;TraesCS4A01G232300;TraesCS7B01G006600;TraesCS3A01G367000;TraesCS1B01G253500;TraesCS6B01G470900;TraesCS5A01G396700;TraesCS6B01G450500;TraesCS4B01G179400;TraesCS6A01G290600;TraesCS6D01G094200;TraesCS5A01G548800;TraesCS5D01G135900;TraesCS2D01G194000;TraesCS1B01G220700;TraesCS6B01G352400;TraesCS1B01G422200;TraesCS1D01G003700;TraesCS5D01G551200;TraesCS6B01G134800;TraesCS3D01G288000;TraesCS2B01G217700;TraesCS4A01G315700;TraesCS5B01G563800;TraesCS6B01G176600;TraesCS7A01G450600;TraesCS3D01G228900;TraesCS4D01G003100;TraesCS3D01G083400;TraesCS2D01G279300;TraesCS1D01G383500;TraesCS2D01G057900;TraesCS1A01G259700;TraesCS6A01G146500;TraesCS6B01G223200;TraesCS5B01G155100;TraesCS5D01G105500;TraesCS1B01G213300;TraesCS4D01G194400;TraesCS5A01G324200;TraesCS1D01G231000;TraesCS2B01G410100;TraesCS7A01G314100;TraesCS1D01G199100;TraesCS6D01G283300;TraesCS1D01G367600;TraesCS5D01G208300;TraesCS6A01G210200;TraesCS6D01G195400;TraesCS7D01G343300;TraesCS7A01G335600;TraesCS2A01G239200;TraesCS5B01G481100;TraesCS6B01G171600;TraesCS1B01G434400;TraesCS4B01G131800;TraesCS1D01G198700;TraesCS4A01G093100</t>
  </si>
  <si>
    <t>TraesCS6D01G016900;TraesCS5B01G484700;TraesCS7D01G294300;TraesCS6B01G454500;TraesCS1D01G449000;TraesCS7A01G175300;TraesCS3D01G273800;TraesCS4B01G213600;TraesCS3B01G206600;TraesCS3B01G193200;TraesCS4D01G147100;TraesCS5B01G412400;TraesCS7D01G056800;TraesCS2D01G394900;TraesCS7A01G541200;TraesCS7A01G190700;TraesCS5B01G094600;TraesCS5D01G056900;TraesCS5D01G429200;TraesCS2D01G233900;TraesCS2A01G171900;TraesCS2B01G448000;TraesCS1A01G130700;TraesCS3A01G216100;TraesCS7B01G411000;TraesCS5A01G336500;TraesCS5D01G376600;TraesCS4B01G347000;TraesCS3D01G296900;TraesCS4D01G220700;TraesCS3A01G091100;TraesCS6D01G287300;TraesCS3A01G393400;TraesCS4A01G101500;TraesCS6A01G225200;TraesCS2B01G257300;TraesCS4D01G204000;TraesCS5A01G093200;TraesCS6D01G162200;TraesCS4D01G250100;TraesCS7D01G339300;TraesCS4A01G120000;TraesCS4D01G120900;TraesCS6B01G190300;TraesCS7A01G415500;TraesCS7D01G224400;TraesCS4B01G109700;TraesCS2D01G093700;TraesCS2A01G313000;TraesCS3B01G309700;TraesCS6D01G047400;TraesCS4A01G248200;TraesCS5A01G229300;TraesCS6A01G245000;TraesCS7B01G103100;TraesCS4D01G278500;TraesCS7D01G283600;TraesCS3B01G423600;TraesCS5A01G189600;TraesCS3A01G380100;TraesCS1B01G375300;TraesCS2D01G383800;TraesCS1B01G274600;TraesCS6B01G238600;TraesCS7A01G222800;TraesCS2D01G102100;TraesCS3D01G369100;TraesCS5D01G118200;TraesCS1A01G275400;TraesCS1A01G403800;TraesCS4A01G138800;TraesCS2D01G328100;TraesCS3D01G407300;TraesCS4D01G132900;TraesCS4D01G094700;TraesCS7B01G219700;TraesCS7B01G162300;TraesCS3A01G292700;TraesCS1B01G271100;TraesCS4A01G158400;TraesCS6A01G125400;TraesCS5D01G321900;TraesCS7A01G466900;TraesCS5B01G517500;TraesCS2B01G520500;TraesCS6B01G166400;TraesCS7A01G252000;TraesCS5A01G315800;TraesCS5D01G044700;TraesCS6B01G296700;TraesCS7A01G510900;TraesCS5A01G357400;TraesCS1A01G025900;TraesCS4D01G165800;TraesCS3D01G271200;TraesCS3A01G137000;TraesCS2D01G597600;TraesCS3D01G336200;TraesCS7D01G291200;TraesCS5B01G185700;TraesCS3A01G521600;TraesCS5D01G280400;TraesCS2B01G477400;TraesCS3B01G103500;TraesCS3A01G288200;TraesCS6D01G189700;TraesCS2B01G325100;TraesCS4A01G078800;TraesCS3A01G268600;TraesCS6B01G099900;TraesCS3D01G224800;TraesCS5A01G199600;TraesCS2A01G517900;TraesCS6A01G123800;TraesCS1D01G264100;TraesCS7D01G227300;TraesCS5B01G409400;TraesCS5A01G229500;TraesCS6B01G213100;TraesCS1B01G343100;TraesCS7A01G390300;TraesCS1D01G401900;TraesCS5D01G412600;TraesCS3A01G330200;TraesCS3A01G334800;TraesCS7D01G288700;TraesCS1D01G275000;TraesCS1B01G193700;TraesCS5D01G099800;TraesCS3D01G391900;TraesCS1A01G218000;TraesCS5B01G539900;TraesCS7A01G276400;TraesCS1D01G265200;TraesCS5D01G530200;TraesCS4A01G178600;TraesCS5A01G119300;TraesCS3D01G217700;TraesCS5A01G123800;TraesCS1A01G116200;TraesCS3D01G507500;TraesCS4A01G052600;TraesCS4D01G252700;TraesCS1B01G348800;TraesCS6A01G355300;TraesCS5A01G050100;TraesCS5B01G154600;TraesCS6B01G199500;TraesCS3B01G324500;TraesCS5D01G517200;TraesCS3A01G381000;TraesCS1A01G092700;TraesCS6D01G007800;TraesCS2A01G093700;TraesCS7D01G025000;TraesCS2A01G187200;TraesCS2A01G200500;TraesCS3A01G151100;TraesCS7A01G277700;TraesCS7D01G250100;TraesCS7A01G307000;TraesCS6D01G362000;TraesCS6B01G246600;TraesCS5D01G141200;TraesCS7B01G197000;TraesCS6D01G186000;TraesCS6A01G209800;TraesCS2A01G309600;TraesCS5B01G396700;TraesCS4B01G246900;TraesCS5A01G054700;TraesCS1D01G252100;TraesCS1B01G167200;TraesCS5D01G261300;TraesCS7A01G220600;TraesCS3A01G412600;TraesCS2D01G362200;TraesCS3B01G254500;TraesCS6D01G149800;TraesCS5A01G104800;TraesCS2D01G094400;TraesCS7B01G129300;TraesCS3A01G435700;TraesCS3D01G376500;TraesCS5D01G238300;TraesCS6B01G256400;TraesCS7D01G407700;TraesCS1B01G378000;TraesCS1D01G211600;TraesCS7D01G231600;TraesCS6D01G179700;TraesCS7A01G313900;TraesCS7D01G332300;TraesCS7B01G006600;TraesCS7A01G139800;TraesCS1B01G301500;TraesCS2B01G348600;TraesCS2D01G397800;TraesCS3B01G093800;TraesCS3B01G268900;TraesCS2A01G123800;TraesCS6D01G094200;TraesCS4B01G129700;TraesCS4B01G150300;TraesCS5D01G248300;TraesCS2A01G092400;TraesCS4D01G318200;TraesCS6A01G308100;TraesCS4A01G262900;TraesCS1D01G003700;TraesCS2B01G150400;TraesCS6A01G336800;TraesCS6B01G134800;TraesCS2A01G338100;TraesCS3D01G271800;TraesCS3D01G288000;TraesCS2A01G342600;TraesCS4B01G245400;TraesCS5D01G402300;TraesCS5B01G563800;TraesCS2D01G528800;TraesCS2D01G059400;TraesCS6A01G322400;TraesCS1B01G200800;TraesCS2D01G279300;TraesCS4D01G107000;TraesCS6A01G259000;TraesCS3B01G154900;TraesCS1D01G383500;TraesCS2D01G327400;TraesCS4A01G227500;TraesCS7D01G032800;TraesCS6A01G146500;TraesCS2A01G110700;TraesCS6A01G192600;TraesCS3B01G400900;TraesCS5A01G241800;TraesCS6D01G293100;TraesCS7D01G447100;TraesCS2B01G185800;TraesCS5D01G005300;TraesCS1A01G172100;TraesCS6D01G283300;TraesCS6B01G331800;TraesCS1A01G265000;TraesCS2A01G455300;TraesCS3B01G497300;TraesCS3D01G412500;TraesCS5D01G329200;TraesCS7B01G236400;TraesCS2B01G604300;TraesCS3A01G271600;TraesCS5A01G460600;TraesCS6A01G077800;TraesCS2A01G382000;TraesCS7B01G446500;TraesCS5D01G480300;TraesCS7B01G119300;TraesCS4A01G093100;TraesCS6D01G121300;TraesCS4B01G252400;TraesCS5D01G525000;TraesCS4A01G125000;TraesCS6A01G184000;TraesCS1A01G260500;TraesCS5A01G468600;TraesCS1B01G049300;TraesCS3D01G323700;TraesCS3D01G411200;TraesCS5D01G162400;TraesCS7D01G150200;TraesCS1D01G101200;TraesCS7A01G368900;TraesCS3A01G099300;TraesCS2B01G229600;TraesCS4A01G119800;TraesCS1D01G219700;TraesCS5D01G171100;TraesCS1A01G292100;TraesCS7D01G276300;TraesCS4B01G152900;TraesCSU01G142500;TraesCS3D01G150400;TraesCS5A01G467500;TraesCS4D01G246300;TraesCS3B01G408800;TraesCS2B01G457300;TraesCS2A01G229300;TraesCS2A01G206200;TraesCS3D01G169000;TraesCS2A01G097900;TraesCS7B01G350400;TraesCS1A01G409600;TraesCS7B01G153100;TraesCS1A01G027200;TraesCS2D01G565200;TraesCS6A01G201800;TraesCS2B01G309500;TraesCS3D01G289600;TraesCS2A01G022000;TraesCS2D01G248600;TraesCS2A01G299200;TraesCS6D01G113900;TraesCS4A01G080100;TraesCS6D01G237400;TraesCS6A01G289200;TraesCS7D01G265200;TraesCS1A01G340400;TraesCS2B01G330100;TraesCS2D01G291200;TraesCS6A01G105400;TraesCS2B01G263300;TraesCS4B01G158000;TraesCS3D01G345500;TraesCS5D01G230300;TraesCS2B01G070700;TraesCS4A01G298100;TraesCS1A01G144300;TraesCS2A01G330000;TraesCS5A01G491400;TraesCS4A01G355100;TraesCS1B01G462200;TraesCS3D01G188800;TraesCS6B01G239000;TraesCS3B01G385400;TraesCS5B01G270200;TraesCS7B01G352800;TraesCS7A01G491200;TraesCS4A01G494400;TraesCS6A01G113000;TraesCS5B01G300100;TraesCS7D01G439900;TraesCS1D01G092200;TraesCS1B01G326400;TraesCS2D01G362700;TraesCS2D01G389900;TraesCS4B01G263100;TraesCS2D01G118000;TraesCS5D01G332000;TraesCS6B01G182300;TraesCS1B01G352700;TraesCS4D01G339700;TraesCS1D01G342400;TraesCS1D01G242500;TraesCS7A01G192000;TraesCS7D01G224900;TraesCS7D01G117800;TraesCS4A01G254100;TraesCS1A01G278000;TraesCS6D01G270400;TraesCS6B01G393500;TraesCS5B01G387600;TraesCS4B01G162900;TraesCS4A01G376000;TraesCS5A01G088400;TraesCS2A01G095300;TraesCS2D01G114900;TraesCS2D01G303500;TraesCS2A01G246700;TraesCS4A01G110800;TraesCS3D01G268700;TraesCS4A01G290400;TraesCS3A01G202700;TraesCS5A01G395200;TraesCS5A01G490500;TraesCS5B01G409700;TraesCS7A01G182200;TraesCS3D01G388400;TraesCS2D01G238600;TraesCS1D01G024800;TraesCS3A01G417000;TraesCS2D01G524500;TraesCS7D01G409000;TraesCS4D01G086400;TraesCS5B01G534400;TraesCS6A01G154400;TraesCS6B01G342300;TraesCS5B01G075800;TraesCS3A01G295400;TraesCS6D01G246300;TraesCS2D01G200700;TraesCS2D01G239700;TraesCS7A01G466600;TraesCS3D01G426300;TraesCS6D01G337500;TraesCS3D01G231200;TraesCS7D01G449900;TraesCS7D01G338600;TraesCS6A01G373400;TraesCS2A01G197900;TraesCS3D01G380100;TraesCS2B01G133300;TraesCS7A01G260600;TraesCS4A01G226900;TraesCS3A01G313300;TraesCS2A01G392900;TraesCS7A01G318800;TraesCS1B01G377800;TraesCS4A01G023500;TraesCS1A01G185900;TraesCS1A01G388400;TraesCS4A01G092500;TraesCS6D01G357100;TraesCS5A01G192000;TraesCS2D01G241800;TraesCS3D01G137800;TraesCS6A01G269400;TraesCS1A01G418700;TraesCS6B01G253900;TraesCS4D01G013900;TraesCS5B01G378700;TraesCS1A01G376400;TraesCS5B01G102600;TraesCS3A01G134100;TraesCS2B01G004000;TraesCS2D01G361800;TraesCS2A01G149600;TraesCS2B01G415500;TraesCS7D01G327700;TraesCS6B01G315800;TraesCS3D01G182400;TraesCS6D01G301300;TraesCS7B01G182300;TraesCS2B01G340300;TraesCS1A01G180200;TraesCS3B01G362100;TraesCS6A01G171300;TraesCS6D01G182200;TraesCS4B01G204500;TraesCS3D01G275600;TraesCS2D01G310000;TraesCS4A01G220100;TraesCS1A01G145000;TraesCS2D01G519500;TraesCS2B01G227800;TraesCS4A01G283000;TraesCS4D01G151900;TraesCS3B01G566600;TraesCS7B01G242200;TraesCS3A01G530100;TraesCS7D01G218000;TraesCS4B01G138800;TraesCS2B01G404600;TraesCS4D01G193500;TraesCS7A01G304400;TraesCS5A01G157000;TraesCS7A01G560200;TraesCS2A01G273400;TraesCS3A01G398000;TraesCS1B01G110400;TraesCS2A01G460000;TraesCS5D01G417400;TraesCS5D01G285200;TraesCS6B01G242800;TraesCS1B01G200300;TraesCS1B01G317500;TraesCS1B01G156600;TraesCS3A01G184800;TraesCS3B01G308200;TraesCS5A01G396700;TraesCS6B01G450500;TraesCS2B01G363200;TraesCS4B01G242800;TraesCS6A01G290600;TraesCS1A01G315900;TraesCS2A01G226000;TraesCS2B01G107200;TraesCS6D01G245600;TraesCS6D01G302200;TraesCS1B01G422200;TraesCS4D01G317900;TraesCS6B01G348700;TraesCS3A01G232700;TraesCS4A01G315700;TraesCS6D01G315500;TraesCS1A01G263400;TraesCS6A01G078200;TraesCS7D01G107600;TraesCS7D01G457900;TraesCS7B01G421800;TraesCS4A01G324400;TraesCS6B01G344100;TraesCS5A01G046600;TraesCS2B01G318400;TraesCS2D01G057900;TraesCS1B01G261700;TraesCS1D01G134300;TraesCS6D01G364900;TraesCS6D01G299200;TraesCS2A01G431900;TraesCS3B01G306000;TraesCS1A01G358800;TraesCS3D01G304800;TraesCS5A01G036600;TraesCS4D01G194400;TraesCS2B01G145700;TraesCS2D01G022800;TraesCS5D01G164800;TraesCS5D01G512300;TraesCS1B01G293500;TraesCS6B01G104600;TraesCS3B01G398300;TraesCS5D01G060900;TraesCS2D01G300400;TraesCS7B01G097000;TraesCS4D01G086000;TraesCS6B01G161800;TraesCS1A01G284300;TraesCS6B01G171600;TraesCS1B01G434400;TraesCS4B01G073200;TraesCS5B01G110000;TraesCS3B01G426600;TraesCS2B01G352300;TraesCS1A01G309200;TraesCS5A01G222500;TraesCS2B01G191800;TraesCS6B01G388100;TraesCS2B01G260800;TraesCS2D01G324900;TraesCS7A01G036200;TraesCS7D01G292000;TraesCS2A01G246200;TraesCS5A01G200800;TraesCS5B01G175800;TraesCS6B01G191500;TraesCS1D01G210200;TraesCS4A01G226500;TraesCS4A01G432400;TraesCS5B01G531900;TraesCS1B01G146200;TraesCS2D01G014800;TraesCS6B01G295700;TraesCS4D01G153900;TraesCS2A01G262700;TraesCS5B01G057300;TraesCS3A01G228000;TraesCS4A01G065400;TraesCS4B01G169900;TraesCS6B01G411900;TraesCS1A01G324800;TraesCS4B01G050200;TraesCS5D01G444700;TraesCS5D01G532100;TraesCS2B01G234500;TraesCS4D01G135000;TraesCS5A01G166800;TraesCS7A01G323200;TraesCS5D01G201300;TraesCS6D01G142900;TraesCS2B01G220100;TraesCS6A01G203300;TraesCS3A01G394600;TraesCS3D01G428300;TraesCS3A01G178900;TraesCS6B01G112700;TraesCS4D01G292900;TraesCS5A01G149000;TraesCS2B01G233400;TraesCS3A01G344300;TraesCS4D01G184400;TraesCS1B01G469400;TraesCS6D01G390000;TraesCS7D01G454200;TraesCS7A01G555700;TraesCS4D01G151500;TraesCS6B01G270400;TraesCS6A01G420100;TraesCSU01G068800;TraesCSU01G093800;TraesCS2D01G092500;TraesCS6A01G319700;TraesCS6D01G357600;TraesCS4A01G361100;TraesCS6D01G298300;TraesCS4D01G085900;TraesCS5B01G284100;TraesCS1A01G125000;TraesCS3B01G376200;TraesCS5A01G472100;TraesCS5D01G396300;TraesCS7B01G241500;TraesCS1D01G409700;TraesCS4A01G167000;TraesCS1D01G396300;TraesCS6D01G161000;TraesCS1D01G260500;TraesCS5B01G171400;TraesCS2B01G382000;TraesCS3D01G281100;TraesCS6B01G282200;TraesCS3D01G065800;TraesCS3A01G332300;TraesCS1D01G315700;TraesCS6A01G321600;TraesCS2A01G293400;TraesCS4A01G191500;TraesCS1D01G250700;TraesCS1D01G325500;TraesCS6A01G212200;TraesCS4D01G172000;TraesCS1A01G246800;TraesCS3B01G149800;TraesCS4A01G042500;TraesCS2A01G157700;TraesCS5D01G100800;TraesCS2D01G356700;TraesCS7A01G327600;TraesCS6B01G159800;TraesCS6D01G244900;TraesCS2B01G119700;TraesCS5B01G479200;TraesCS3D01G421500;TraesCS2D01G213100;TraesCS6D01G358500;TraesCS5A01G229400;TraesCS4A01G078900;TraesCS3D01G327600;TraesCS5D01G161800;TraesCS1A01G254400;TraesCS2B01G328500;TraesCS3B01G430000;TraesCS6D01G344100;TraesCS2D01G148200;TraesCS7D01G364400;TraesCS4B01G089500;TraesCS7B01G242800;TraesCS4A01G193700;TraesCS2A01G159900;TraesCS3A01G322500;TraesCS5B01G036800;TraesCS4A01G342800;TraesCS4B01G041900;TraesCS4B01G383000;TraesCS1A01G152800;TraesCS1A01G024700;TraesCS4D01G160000;TraesCS1D01G314600;TraesCS5D01G157300;TraesCS3B01G303000;TraesCS4B01G088400;TraesCS1A01G299500;TraesCS4D01G003600;TraesCS3B01G412600;TraesCS5B01G517400;TraesCS2D01G049500;TraesCS2D01G477200;TraesCS1D01G190900;TraesCS5B01G205700;TraesCS4B01G015600;TraesCS3A01G457400;TraesCS2B01G346500;TraesCS3A01G342300;TraesCS6B01G470700;TraesCS5D01G481500;TraesCS4A01G163000;TraesCSU01G158800;TraesCS2D01G492600;TraesCS3A01G202000;TraesCS4B01G288200;TraesCS6D01G398100;TraesCS6D01G227300;TraesCS6A01G143300;TraesCS6A01G147900;TraesCS4B01G138100;TraesCS5D01G366500;TraesCS4B01G220400;TraesCS4D01G214300;TraesCS3B01G185300;TraesCS6B01G174100;TraesCS7A01G264300;TraesCS1D01G316200;TraesCS7A01G419600;TraesCS5B01G322900;TraesCS2A01G280500;TraesCS3D01G241900;TraesCS2B01G401900;TraesCS1B01G368500;TraesCS1A01G264000;TraesCS3A01G052700;TraesCS3A01G189400;TraesCS3D01G527700;TraesCS7A01G341000;TraesCS7B01G177700;TraesCS3D01G282800;TraesCS7D01G284200;TraesCS3A01G282800;TraesCS7B01G189500;TraesCS3D01G240800;TraesCS3B01G252200;TraesCS7A01G004000;TraesCS1D01G219200;TraesCS3B01G088300;TraesCS6B01G455100;TraesCS1B01G344300;TraesCS4D01G122800;TraesCS5D01G144600;TraesCS3B01G435900;TraesCS1B01G439600;TraesCS2B01G304900;TraesCS1A01G198400;TraesCS3D01G203400;TraesCS5D01G459800;TraesCS3A01G191700;TraesCS3D01G328100;TraesCS4B01G290300;TraesCS7B01G241900;TraesCS2A01G128300;TraesCS2D01G105300;TraesCS6D01G062500;TraesCS6B01G414800;TraesCS5A01G367700;TraesCS3D01G109700;TraesCS5D01G470400;TraesCS2D01G320900;TraesCS7B01G176200;TraesCS3B01G316500;TraesCS7B01G085700;TraesCS4D01G085700;TraesCS2B01G592500;TraesCS1A01G361400;TraesCS1D01G277100;TraesCS3A01G060300;TraesCS2D01G205900;TraesCS3B01G209400;TraesCS5D01G229900;TraesCS4A01G111600;TraesCS4A01G058000;TraesCS5A01G156400;TraesCS1B01G220700;TraesCS6B01G352400;TraesCS3A01G402500;TraesCS5D01G551200;TraesCS1A01G137000;TraesCS7D01G450700;TraesCS7A01G381900;TraesCS6D01G405600;TraesCS7A01G450600;TraesCS7D01G073000;TraesCS2D01G231000;TraesCS3A01G503200;TraesCS4B01G164800;TraesCS5B01G037500;TraesCS2A01G202600;TraesCS7D01G011800;TraesCS2B01G174700;TraesCS3B01G257700;TraesCS3D01G373300;TraesCS6B01G223200;TraesCS4B01G244400;TraesCS7D01G378400;TraesCS2A01G150000;TraesCS4A01G144500;TraesCS5D01G437600;TraesCS1D01G117400;TraesCS7D01G123400;TraesCS1B01G337800;TraesCS7D01G343300;TraesCS7A01G335600;TraesCS5D01G341200;TraesCS6B01G304100;TraesCS3A01G538300;TraesCS5A01G020800;TraesCS7B01G269300;TraesCS3D01G091000;TraesCS7A01G062100;TraesCS3A01G028600;TraesCS6A01G319100;TraesCS6B01G117100;TraesCS7A01G452800;TraesCS5A01G113700;TraesCS3B01G269900;TraesCS6B01G419000;TraesCSU01G132400;TraesCS3A01G488100;TraesCS7B01G421100;TraesCS7D01G386000;TraesCS1A01G129400;TraesCS6A01G360600;TraesCS1D01G411300;TraesCS3B01G224600;TraesCS7A01G351100;TraesCS4A01G166900;TraesCS7A01G238400;TraesCS6A01G268600;TraesCS5A01G272400;TraesCS5A01G513500;TraesCS1D01G329100;TraesCS5D01G359800;TraesCS6A01G380200;TraesCS7A01G148600;TraesCS6B01G159200;TraesCS1A01G112800;TraesCS5B01G227900;TraesCS5D01G528400;TraesCS7A01G350000;TraesCS5B01G431500;TraesCS6A01G153600;TraesCS6B01G226000;TraesCS6D01G180500;TraesCS7A01G286700;TraesCS2D01G417300;TraesCS3B01G112900;TraesCS3B01G131400;TraesCS4B01G321500;TraesCS6D01G236400;TraesCS4D01G244000;TraesCS4D01G133500;TraesCS7D01G549100;TraesCS4A01G355000;TraesCS5B01G146700;TraesCS2A01G563500;TraesCS1B01G255100;TraesCS5D01G193000;TraesCS6D01G224200;TraesCS6B01G219700;TraesCS7D01G313600;TraesCS6A01G379000;TraesCS3A01G103900;TraesCS4B01G090000;TraesCS3B01G222400;TraesCS6B01G039900;TraesCS4B01G171300;TraesCS6B01G056200;TraesCS5A01G454300;TraesCS1B01G254000;TraesCS3A01G513500;TraesCS2A01G103300;TraesCS1D01G412600;TraesCS4D01G359000;TraesCS7A01G077400;TraesCS1A01G007500;TraesCS7B01G363600;TraesCS1D01G229400;TraesCS6A01G303800;TraesCS6B01G231400;TraesCS6D01G135800;TraesCS7B01G052200;TraesCS2D01G237600;TraesCS3D01G423300;TraesCS2B01G501300;TraesCS4A01G091100;TraesCS5D01G206500;TraesCS7D01G554900;TraesCS4A01G194100;TraesCS4D01G341900;TraesCS5D01G472300;TraesCS7B01G199200;TraesCS5D01G143800;TraesCS3B01G555600;TraesCS2A01G437700;TraesCS3A01G275700;TraesCS7A01G002900;TraesCS1A01G206900;TraesCS3B01G214600;TraesCS2B01G263600;TraesCS3A01G336100;TraesCS7A01G293200;TraesCS5A01G150700;TraesCS4D01G212600;TraesCS1B01G396800;TraesCS3D01G341200;TraesCS2A01G235900;TraesCS7D01G148200;TraesCS4A01G036500;TraesCS5B01G099300;TraesCS1D01G443100;TraesCS3A01G272200;TraesCS4B01G069200;TraesCS4A01G185400;TraesCS3B01G374400;TraesCS4A01G452700;TraesCS7B01G455500;TraesCS5B01G503800;TraesCS2D01G301200;TraesCS1D01G392400;TraesCS7A01G285800;TraesCS2D01G246100;TraesCS1D01G352300;TraesCS1D01G356900;TraesCS4A01G051900;TraesCS3A01G200400;TraesCS5B01G199400;TraesCS2A01G492300;TraesCS1D01G151800;TraesCS3B01G564100;TraesCS5D01G399200;TraesCS6D01G132500;TraesCS6D01G210000;TraesCS5D01G357600;TraesCS3A01G376300;TraesCS4B01G211800;TraesCS5B01G214400;TraesCS4D01G264800;TraesCS4D01G039100;TraesCS2A01G478000;TraesCS2B01G312600;TraesCS3D01G217600;TraesCS2D01G208300;TraesCS5B01G397300;TraesCS1D01G298400;TraesCS4D01G065600;TraesCS1A01G431600;TraesCS1A01G133500;TraesCS4D01G298800;TraesCS1A01G100600;TraesCS6B01G173500;TraesCS3A01G274600;TraesCS1D01G125300;TraesCS6D01G238800;TraesCS7D01G499800;TraesCS3D01G482500;TraesCS3A01G241700;TraesCS5D01G155800;TraesCS1D01G155100;TraesCS3A01G212600;TraesCS7A01G223300;TraesCS3A01G289900;TraesCS1D01G226500;TraesCS1D01G426400;TraesCS5D01G081700;TraesCS7B01G093800;TraesCS4B01G133200;TraesCS7D01G454700;TraesCS5A01G490800;TraesCS2A01G058700;TraesCS5A01G215900;TraesCS2B01G343900;TraesCS4D01G021400;TraesCS3B01G426500;TraesCS6A01G130900;TraesCS2A01G302500;TraesCS5A01G429500;TraesCS3B01G161900;TraesCS1A01G060100;TraesCS6B01G181300;TraesCS4B01G191300;TraesCS5B01G335500;TraesCS2A01G102600;TraesCS7B01G451500;TraesCS7D01G174700;TraesCS1D01G331000;TraesCS2B01G050600;TraesCS6A01G312100;TraesCS3D01G529200;TraesCS5B01G263800;TraesCS4A01G157100;TraesCS1A01G086500;TraesCS7B01G393400;TraesCS5D01G504600;TraesCS1D01G178000;TraesCS3A01G523700;TraesCS4B01G341300;TraesCS6D01G172500;TraesCS7D01G004500;TraesCS1A01G001800;TraesCS2B01G297800;TraesCS6A01G200200;TraesCS2D01G111300;TraesCS1D01G144000;TraesCS7B01G230100;TraesCS2B01G457600;TraesCS5B01G529300;TraesCS2B01G411000;TraesCS2B01G247100;TraesCS3D01G220400;TraesCS7D01G476500;TraesCS3A01G023800;TraesCS1D01G440900;TraesCS3A01G367000;TraesCS7D01G315400;TraesCS5B01G155200;TraesCS6A01G314100;TraesCS3A01G161800;TraesCS4D01G194300;TraesCS3D01G325800;TraesCS4B01G179400;TraesCS5A01G548800;TraesCS2D01G167300;TraesCS3D01G162700;TraesCS2A01G387000;TraesCS3A01G097200;TraesCS5B01G344200;TraesCS5A01G328900;TraesCS3A01G100000;TraesCS2B01G198300;TraesCS6D01G174700;TraesCS3B01G309400;TraesCS3B01G229700;TraesCS6B01G319000;TraesCS2B01G217700;TraesCS7D01G442100;TraesCS4B01G321300;TraesCS5B01G511800;TraesCS2D01G249200;TraesCS6A01G267300;TraesCS6A01G408400;TraesCS1D01G146600;TraesCS2B01G098800;TraesCS3A01G304900;TraesCS4D01G263300;TraesCS5B01G220900;TraesCS4B01G344600;TraesCS4D01G150700;TraesCS2A01G296400;TraesCS7D01G193000;TraesCS2D01G126600;TraesCSU01G009200;TraesCS2B01G321700;TraesCS6D01G152700;TraesCS7B01G184800;TraesCS5D01G105500;TraesCS1B01G213300;TraesCS1A01G111100;TraesCS4A01G164900;TraesCS5B01G136500;TraesCS2B01G122500;TraesCS3A01G107900;TraesCS5B01G509500;TraesCS5B01G510500;TraesCS2B01G051500;TraesCS2B01G410100;TraesCS5A01G515700;TraesCS5D01G223700;TraesCS6B01G151900;TraesCS7B01G124100;TraesCS6D01G245500;TraesCS5B01G147600;TraesCS6D01G174500;TraesCS6A01G210200;TraesCS6D01G195400;TraesCS2B01G225300;TraesCS3B01G470400;TraesCS2A01G239200;TraesCS6D01G193000;TraesCS1B01G155600;TraesCS7A01G329600;TraesCS5B01G481100;TraesCS2B01G108200;TraesCS7D01G130500;TraesCS6A01G161200;TraesCS6B01G189000;TraesCS7D01G000100;TraesCS4D01G242400;TraesCS5B01G121000;TraesCS7B01G207300;TraesCS4A01G150500</t>
  </si>
  <si>
    <t>TraesCS3D01G426300;TraesCS4A01G125000;TraesCS5A01G466100;TraesCS7D01G283600;TraesCS4B01G168300;TraesCS2A01G437700;TraesCS7A01G480700;TraesCS4B01G179400;TraesCS6A01G290600;TraesCS1A01G206900;TraesCS6D01G094200;TraesCS1D01G226100;TraesCS1D01G210200;TraesCS2D01G194000;TraesCS1B01G220700;TraesCS2A01G058700;TraesCS6A01G212200;TraesCS6A01G308100;TraesCS6B01G159200;TraesCS6A01G143300;TraesCS7D01G467500;TraesCS2A01G409700;TraesCS6D01G122800;TraesCS6B01G134800;TraesCS2D01G136200;TraesCS3D01G288000;TraesCS7B01G382800;TraesCS3D01G194300;TraesCS2A01G134000;TraesCS4B01G354600;TraesCS3D01G083400;TraesCS2A01G280500;TraesCS6A01G133100;TraesCS2D01G279300;TraesCS3B01G219700;TraesCS6A01G307700;TraesCS2D01G057900;TraesCS3A01G224800;TraesCS7D01G549100;TraesCS3A01G151100;TraesCS5D01G478900;TraesCS1A01G224700;TraesCS1D01G241000;TraesCS3D01G268700;TraesCS1A01G241000;TraesCS1A01G195500;TraesCS2A01G193800;TraesCS5D01G026000;TraesCS6D01G132500;TraesCS1D01G199100;TraesCS6D01G283300;TraesCS3D01G514100;TraesCS2B01G428100;TraesCS6A01G105400;TraesCS6D01G195400;TraesCS6D01G287300;TraesCS5B01G036800;TraesCS2A01G239200;TraesCS2B01G257300;TraesCS2B01G070700;TraesCS2D01G407000;TraesCS3A01G288200;TraesCS6B01G171600;TraesCS2B01G297800;TraesCS5B01G534400;TraesCS3D01G228800;TraesCS6A01G303800;TraesCS7A01G560200;TraesCS1D01G198700;TraesCS2B01G457600;TraesCS6B01G336300;TraesCS3A01G082700;TraesCS3A01G191700;TraesCS5B01G477800;TraesCS3A01G268600;TraesCS2B01G157600;TraesCS4A01G093100;TraesCS6B01G242800;TraesCS6D01G047400</t>
  </si>
  <si>
    <t>TraesCS3D01G426300;TraesCS4B01G252400;TraesCS7A01G223300;TraesCS4A01G125000;TraesCS7D01G227300;TraesCS5B01G484700;TraesCS2A01G246200;TraesCS7D01G338600;TraesCS5D01G412600;TraesCS3A01G334800;TraesCS4A01G226900;TraesCS2A01G058700;TraesCS2D01G014800;TraesCS6B01G159200;TraesCS6A01G143300;TraesCS4D01G153900;TraesCS4D01G147100;TraesCS5D01G366500;TraesCS2A01G262700;TraesCS4B01G220400;TraesCS5D01G532100;TraesCS4D01G252700;TraesCS7A01G264300;TraesCS1A01G376400;TraesCS3B01G131400;TraesCS5B01G102600;TraesCS2A01G280500;TraesCS3A01G381000;TraesCS2B01G004000;TraesCS6B01G315800;TraesCS7D01G549100;TraesCS1B01G255100;TraesCS7A01G307000;TraesCS3A01G052700;TraesCS5A01G149000;TraesCS7B01G197000;TraesCS2B01G050600;TraesCS2B01G233400;TraesCS2D01G248600;TraesCS3D01G529200;TraesCS4B01G204500;TraesCS3D01G275600;TraesCS7A01G341000;TraesCS7D01G265200;TraesCS7B01G189500;TraesCS3D01G296900;TraesCS4D01G220700;TraesCS6A01G105400;TraesCS2B01G263300;TraesCS3A01G523700;TraesCS6D01G287300;TraesCS3B01G566600;TraesCS1B01G254000;TraesCS3A01G513500;TraesCS6A01G225200;TraesCS7B01G242200;TraesCS7A01G004000;TraesCS2B01G070700;TraesCS3A01G530100;TraesCS3B01G088300;TraesCS7B01G129300;TraesCS4D01G359000;TraesCS7A01G077400;TraesCS5A01G093200;TraesCS7D01G004500;TraesCS2B01G297800;TraesCS4D01G122800;TraesCS7D01G224400;TraesCS6B01G256400;TraesCS6A01G303800;TraesCS7A01G560200;TraesCS2B01G304900;TraesCS1A01G198400;TraesCS2B01G457600;TraesCS3A01G191700;TraesCS3D01G328100;TraesCS4B01G290300;TraesCS6B01G242800;TraesCS1D01G211600;TraesCS6D01G047400;TraesCS7D01G231600;TraesCS1B01G462200;TraesCS3D01G423300;TraesCS6B01G239000;TraesCS3A01G023800;TraesCS4A01G494400;TraesCS1D01G409700;TraesCS3A01G367000;TraesCS5B01G300100;TraesCS7D01G283600;TraesCS3D01G281100;TraesCS4D01G085700;TraesCS2A01G437700;TraesCS3A01G275700;TraesCS4B01G179400;TraesCS6A01G290600;TraesCS2D01G389900;TraesCS6D01G094200;TraesCS4B01G129700;TraesCS5A01G548800;TraesCS2D01G118000;TraesCS7A01G222800;TraesCS2A01G387000;TraesCS4A01G138800;TraesCS6A01G212200;TraesCS6A01G308100;TraesCS3A01G100000;TraesCS1B01G396800;TraesCS5D01G551200;TraesCS3B01G309400;TraesCS6A01G336800;TraesCS7B01G162300;TraesCS6B01G134800;TraesCS3D01G288000;TraesCS4A01G315700;TraesCS7D01G224900;TraesCS4A01G254100;TraesCS5B01G563800;TraesCS7D01G073000;TraesCS2D01G249200;TraesCS2D01G279300;TraesCS6A01G267300;TraesCS3A01G503200;TraesCS3A01G304900;TraesCS1D01G383500;TraesCS2D01G057900;TraesCS2A01G296400;TraesCS4A01G376000;TraesCS6D01G299200;TraesCS5A01G357400;TraesCS5D01G105500;TraesCS3D01G268700;TraesCS1B01G213300;TraesCS1A01G111100;TraesCS5B01G136500;TraesCS4A01G051900;TraesCS2B01G410100;TraesCS6D01G132500;TraesCS6D01G210000;TraesCS5B01G147600;TraesCS6D01G283300;TraesCS4D01G264800;TraesCS6A01G210200;TraesCS6D01G195400;TraesCS5B01G036800;TraesCS2A01G239200;TraesCS2B01G312600;TraesCS3A01G417000;TraesCS3A01G288200;TraesCS3D01G412500;TraesCS6B01G171600;TraesCS1A01G133500;TraesCS5B01G534400;TraesCS2B01G325100;TraesCS4A01G078800;TraesCS3A01G268600;TraesCS4D01G003600;TraesCS4A01G093100;TraesCS7B01G207300</t>
  </si>
  <si>
    <t>TraesCS5B01G117800;TraesCS3A01G289900;TraesCS5B01G484700;TraesCS7D01G294300;TraesCS5B01G175800;TraesCS1D01G401900;TraesCS4A01G166900;TraesCS7B01G093800;TraesCS1D01G101200;TraesCS3A01G202000;TraesCS5A01G490800;TraesCS4A01G092500;TraesCS5A01G119300;TraesCS4D01G021400;TraesCS1A01G116200;TraesCS4A01G052600;TraesCSU01G142500;TraesCS3B01G161900;TraesCS3B01G324500;TraesCS5D01G517200;TraesCS3A01G381000;TraesCS1A01G092700;TraesCS4D01G244000;TraesCS1D01G341100;TraesCS6B01G315800;TraesCS4A01G355000;TraesCS5B01G146700;TraesCS1B01G368500;TraesCS2A01G102600;TraesCS2B01G309500;TraesCS7B01G197000;TraesCS2B01G050600;TraesCS2A01G309600;TraesCS3D01G289600;TraesCS3A01G189400;TraesCS2D01G310000;TraesCS4D01G184400;TraesCS1B01G167200;TraesCS2B01G330100;TraesCS4D01G151900;TraesCS6D01G287300;TraesCS7A01G555700;TraesCS5D01G230300;TraesCS6A01G420100;TraesCS7B01G129300;TraesCS6B01G455100;TraesCS1A01G339300;TraesCS4D01G122800;TraesCS7D01G224400;TraesCS6A01G303800;TraesCS2B01G457600;TraesCS2A01G313000;TraesCS3D01G220400;TraesCS6D01G047400;TraesCS7D01G554900;TraesCS7B01G006600;TraesCS1D01G409700;TraesCS3A01G367000;TraesCS5D01G470400;TraesCS5A01G396700;TraesCS4D01G194300;TraesCS2A01G437700;TraesCS2A01G123800;TraesCS6A01G290600;TraesCS1B01G375300;TraesCS4B01G129700;TraesCS7A01G222800;TraesCS2A01G387000;TraesCS2A01G293400;TraesCS2D01G102100;TraesCS6B01G182300;TraesCS1D01G250700;TraesCS6A01G308100;TraesCS4D01G212600;TraesCS1B01G422200;TraesCS4D01G317900;TraesCS7A01G192000;TraesCS3B01G229700;TraesCS3D01G288000;TraesCS6B01G348700;TraesCS3A01G232700;TraesCS3A01G292700;TraesCS4B01G245400;TraesCS6D01G405600;TraesCS7D01G117800;TraesCS7D01G107600;TraesCS4B01G321300;TraesCS1D01G146600;TraesCS2B01G119700;TraesCS5D01G321900;TraesCS5B01G517500;TraesCS7D01G193000;TraesCS2D01G126600;TraesCS1B01G261700;TraesCS5A01G315800;TraesCS4A01G110800;TraesCS1A01G358800;TraesCS4B01G244400;TraesCS4A01G078900;TraesCS4D01G194400;TraesCS1D01G356900;TraesCS2B01G145700;TraesCS4A01G290400;TraesCS3D01G271200;TraesCS2B01G328500;TraesCS5A01G395200;TraesCS1D01G117400;TraesCS6B01G104600;TraesCS2D01G148200;TraesCS5B01G409700;TraesCS6D01G283300;TraesCS7A01G182200;TraesCS4B01G211800;TraesCS3B01G398300;TraesCS7D01G343300;TraesCS7A01G335600;TraesCS7B01G097000;TraesCS3A01G417000;TraesCS3A01G288200;TraesCS3D01G412500;TraesCS3A01G271600;TraesCS7D01G409000;TraesCS6A01G077800;TraesCS5A01G222500;TraesCS6A01G154400;TraesCS5D01G157300;TraesCS6D01G238800;TraesCS4A01G093100</t>
  </si>
  <si>
    <t>TraesCS5B01G117800;TraesCS3A01G289900;TraesCS5B01G484700;TraesCS7D01G294300;TraesCS5B01G175800;TraesCS1D01G401900;TraesCS4A01G111000;TraesCS4A01G166900;TraesCS7B01G093800;TraesCS1D01G101200;TraesCS3A01G202000;TraesCS3D01G391900;TraesCS5A01G490800;TraesCS4A01G092500;TraesCS4D01G088200;TraesCS3D01G236200;TraesCS5A01G119300;TraesCS1A01G110900;TraesCS4D01G021400;TraesCS1A01G355200;TraesCS1A01G116200;TraesCS4A01G052600;TraesCSU01G142500;TraesCS7B01G104400;TraesCS3B01G161900;TraesCS3B01G324500;TraesCS5D01G517200;TraesCS3A01G381000;TraesCS5B01G324800;TraesCS1A01G092700;TraesCS4D01G244000;TraesCS1D01G341100;TraesCS7A01G088100;TraesCS6B01G315800;TraesCS4A01G355000;TraesCS5B01G146700;TraesCS2B01G352000;TraesCS1B01G368500;TraesCS1A01G155200;TraesCS2A01G102600;TraesCS2B01G309500;TraesCS7B01G197000;TraesCS2B01G050600;TraesCS2A01G309600;TraesCS3D01G289600;TraesCS3A01G189400;TraesCS2D01G310000;TraesCS1D01G153900;TraesCS4D01G184400;TraesCS7D01G232000;TraesCS7D01G508100;TraesCS1B01G167200;TraesCS2B01G330100;TraesCS4D01G151900;TraesCS6D01G287300;TraesCS7A01G555700;TraesCS2A01G430500;TraesCS5D01G230300;TraesCS6A01G420100;TraesCS7B01G129300;TraesCS6B01G455100;TraesCS6A01G200600;TraesCS1A01G339300;TraesCS5B01G412500;TraesCS4D01G122800;TraesCS7D01G224400;TraesCS5D01G144600;TraesCS6A01G303800;TraesCS2B01G457600;TraesCS3A01G398000;TraesCS2A01G313000;TraesCS3D01G220400;TraesCS3B01G309700;TraesCS6D01G047400;TraesCS4A01G248200;TraesCS7D01G554900;TraesCS7B01G006600;TraesCS1D01G409700;TraesCS3A01G367000;TraesCS5D01G470400;TraesCS2B01G451100;TraesCS5A01G396700;TraesCS4D01G194300;TraesCS2A01G437700;TraesCS2A01G123800;TraesCS6A01G290600;TraesCS1B01G375300;TraesCS4B01G129700;TraesCS7A01G222800;TraesCS2A01G387000;TraesCS2A01G293400;TraesCS2D01G102100;TraesCS6B01G182300;TraesCS1D01G250700;TraesCS6A01G308100;TraesCS7D01G083200;TraesCS4D01G212600;TraesCS1B01G422200;TraesCS4D01G317900;TraesCS7A01G192000;TraesCS3B01G229700;TraesCS3D01G288000;TraesCS6B01G348700;TraesCS3A01G232700;TraesCS3A01G292700;TraesCS4B01G245400;TraesCS6D01G405600;TraesCS7D01G117800;TraesCS4B01G091100;TraesCS7D01G107600;TraesCS3A01G193900;TraesCS4B01G321300;TraesCS1D01G146600;TraesCS2B01G119700;TraesCS5D01G321900;TraesCS7A01G518200;TraesCS5B01G517500;TraesCS7D01G193000;TraesCS1B01G443200;TraesCS2D01G126600;TraesCS1B01G261700;TraesCS1B01G366400;TraesCS4A01G387000;TraesCS5A01G315800;TraesCS7D01G200800;TraesCS4A01G110800;TraesCS1A01G358800;TraesCS4B01G244400;TraesCS6D01G259500;TraesCS4A01G078900;TraesCS5A01G407700;TraesCS4A01G446700;TraesCS4D01G194400;TraesCS1D01G356900;TraesCS2B01G145700;TraesCS4A01G290400;TraesCS3D01G271200;TraesCS2B01G328500;TraesCS3B01G430000;TraesCS5A01G324200;TraesCS5A01G395200;TraesCS1D01G117400;TraesCS6B01G104600;TraesCS2D01G148200;TraesCS5B01G409700;TraesCS6D01G283300;TraesCS7A01G182200;TraesCS4B01G211800;TraesCS3B01G398300;TraesCS7D01G343300;TraesCS7A01G335600;TraesCS7B01G097000;TraesCS4B01G383000;TraesCS3A01G417000;TraesCS6A01G279100;TraesCS3A01G288200;TraesCS3D01G412500;TraesCS4D01G065600;TraesCS3A01G271600;TraesCS7D01G409000;TraesCS7A01G226000;TraesCS6A01G077800;TraesCS5A01G222500;TraesCS6A01G154400;TraesCS5D01G157300;TraesCS5D01G417600;TraesCS3A01G276100;TraesCS6D01G238800;TraesCS2A01G330200;TraesCS4A01G093100</t>
  </si>
  <si>
    <t>TraesCS3D01G426300;TraesCS7A01G223300;TraesCS3A01G023800;TraesCS4A01G125000;TraesCS5A01G489100;TraesCS5B01G484700;TraesCS6B01G470900;TraesCS5A01G396700;TraesCS7D01G283600;TraesCS2B01G271300;TraesCS4B01G179400;TraesCS2D01G251000;TraesCS3D01G436100;TraesCS2D01G118000;TraesCS7A01G222800;TraesCS2A01G387000;TraesCS4A01G134800;TraesCS2A01G058700;TraesCS6A01G212200;TraesCS1B01G197100;TraesCS6B01G159200;TraesCS5D01G530200;TraesCS3A01G100000;TraesCS1B01G396800;TraesCS4D01G147100;TraesCS5A01G119300;TraesCS5D01G366500;TraesCS5D01G551200;TraesCS7B01G240200;TraesCS3D01G288000;TraesCS4A01G315700;TraesCS7D01G224900;TraesCS7A01G190700;TraesCS1A01G376400;TraesCS5A01G429300;TraesCS5B01G563800;TraesCS3D01G083400;TraesCS3A01G381000;TraesCS1D01G383500;TraesCS2D01G057900;TraesCS6B01G315800;TraesCS7D01G549100;TraesCS1B01G255100;TraesCS6D01G299200;TraesCS3A01G075700;TraesCS4B01G170400;TraesCS7A01G307000;TraesCS7A01G342800;TraesCS5A01G149000;TraesCS5A01G357400;TraesCS5D01G105500;TraesCS2B01G050600;TraesCS1B01G213300;TraesCS5D01G164800;TraesCS3D01G275600;TraesCS4B01G397700;TraesCS3A01G443700;TraesCS6D01G210000;TraesCS5B01G147600;TraesCS5B01G409700;TraesCS6D01G283300;TraesCS2B01G154700;TraesCS6D01G174500;TraesCS6D01G195400;TraesCS7D01G343300;TraesCS7A01G335600;TraesCS1B01G254000;TraesCS3A01G513500;TraesCS5B01G036800;TraesCS6A01G225200;TraesCS2A01G132200;TraesCS4A01G342800;TraesCS2B01G070700;TraesCS7B01G129300;TraesCS5A01G093200;TraesCS3A01G288200;TraesCS7D01G224400;TraesCS1A01G133500;TraesCS5B01G534400;TraesCS6B01G256400;TraesCS2B01G325100;TraesCS6A01G303800;TraesCS7A01G560200;TraesCS1A01G198400;TraesCS3A01G082700;TraesCS3A01G191700;TraesCS7D01G000100;TraesCS4A01G093100;TraesCS6B01G242800;TraesCS1D01G211600;TraesCS7B01G207300;TraesCS6D01G047400;TraesCS1B01G462200;TraesCS3D01G075800</t>
  </si>
  <si>
    <t>TraesCS2B01G174600;TraesCS2D01G213200;TraesCS1B01G259800;TraesCS5B01G222600;TraesCS3B01G207300;TraesCS2D01G479900;TraesCS2B01G342100;TraesCS2B01G514800;TraesCS2D01G322800;TraesCS5A01G032500;TraesCS6D01G091600;TraesCS4A01G375000;TraesCS5D01G078500;TraesCS1A01G249100;TraesCS2B01G405200;TraesCS3A01G275300;TraesCS2A01G387400;TraesCS6A01G103200;TraesCS2A01G480500;TraesCS2B01G505400;TraesCS3B01G309000;TraesCS4A01G101200;TraesCS7B01G181200;TraesCS7D01G278800;TraesCS5D01G444500;TraesCS4D01G147500;TraesCS4B01G186700;TraesCS6D01G221400;TraesCS2A01G344500;TraesCS5B01G156500;TraesCS6B01G132300;TraesCS7D01G072300;TraesCS7A01G076600;TraesCS6B01G365300;TraesCS4B01G126400;TraesCS5A01G390000;TraesCS5B01G037500;TraesCS7B01G169100;TraesCS5D01G040800;TraesCS5D01G231200;TraesCS5D01G044700;TraesCS5B01G159100;TraesCS3A01G229100;TraesCS6A01G379000;TraesCS2D01G487700;TraesCS5A01G036600;TraesCS5D01G405400;TraesCS2D01G154600;TraesCS5A01G223700;TraesCS5D01G162500;TraesCS1B01G293500;TraesCS2D01G385000;TraesCS3D01G275200;TraesCS5D01G399800;TraesCS2B01G229500;TraesCS6D01G363400;TraesCS1A01G284300;TraesCS5B01G074200;TraesCS1A01G177600;TraesCS5B01G395000;TraesCS6B01G285500;TraesCS1D01G055200;TraesCS2B01G293400;TraesCS3B01G246600;TraesCS7A01G279000;TraesCS2A01G149500;TraesCS2A01G487500;TraesCS2D01G304000;TraesCS5A01G067300</t>
  </si>
  <si>
    <t>TraesCS3D01G426300;TraesCS7A01G223300;TraesCS4A01G125000;TraesCS7D01G227300;TraesCS5B01G484700;TraesCS7D01G338600;TraesCS5D01G412600;TraesCS3A01G334800;TraesCS4A01G226900;TraesCS2D01G014800;TraesCS6B01G159200;TraesCS6A01G143300;TraesCS4B01G220400;TraesCS5D01G532100;TraesCS3B01G131400;TraesCS2A01G280500;TraesCS3A01G381000;TraesCS2B01G004000;TraesCS7D01G549100;TraesCS1B01G255100;TraesCS7A01G307000;TraesCS3A01G052700;TraesCS5A01G149000;TraesCS7B01G197000;TraesCS2B01G233400;TraesCS3D01G529200;TraesCS4B01G204500;TraesCS7A01G341000;TraesCS7B01G189500;TraesCS3D01G296900;TraesCS4D01G220700;TraesCS6A01G105400;TraesCS3A01G523700;TraesCS6D01G287300;TraesCS3A01G513500;TraesCS6A01G225200;TraesCS7B01G242200;TraesCS3A01G530100;TraesCS4D01G359000;TraesCS7A01G077400;TraesCS2B01G297800;TraesCS4D01G122800;TraesCS6B01G256400;TraesCS6A01G303800;TraesCS7A01G560200;TraesCS1A01G198400;TraesCS2B01G457600;TraesCS3A01G191700;TraesCS3D01G328100;TraesCS6B01G242800;TraesCS1D01G211600;TraesCS1B01G462200;TraesCS3D01G423300;TraesCS6B01G239000;TraesCS3A01G023800;TraesCS1D01G409700;TraesCS3A01G367000;TraesCS5B01G300100;TraesCS7D01G283600;TraesCS3D01G281100;TraesCS4D01G085700;TraesCS2A01G437700;TraesCS4B01G179400;TraesCS6A01G290600;TraesCS2D01G389900;TraesCS6D01G094200;TraesCS4B01G129700;TraesCS5A01G548800;TraesCS2D01G118000;TraesCS2A01G387000;TraesCS6A01G212200;TraesCS6A01G308100;TraesCS3A01G100000;TraesCS6B01G134800;TraesCS3D01G288000;TraesCS7D01G224900;TraesCS7D01G073000;TraesCS2D01G279300;TraesCS6A01G267300;TraesCS3A01G304900;TraesCS2A01G296400;TraesCS4A01G376000;TraesCS6D01G299200;TraesCS3D01G268700;TraesCS1B01G213300;TraesCS2B01G410100;TraesCS6D01G132500;TraesCS6D01G210000;TraesCS5B01G147600;TraesCS6D01G283300;TraesCS4D01G264800;TraesCS6A01G210200;TraesCS6D01G195400;TraesCS5B01G036800;TraesCS2A01G239200;TraesCS2B01G312600;TraesCS3A01G417000;TraesCS3A01G288200;TraesCS3D01G412500;TraesCS6B01G171600;TraesCS5B01G534400;TraesCS2B01G325100;TraesCS3A01G268600;TraesCS4D01G003600;TraesCS4A01G093100;TraesCS7B01G207300</t>
  </si>
  <si>
    <t>rRNA metabolic process</t>
  </si>
  <si>
    <t>TraesCS3D01G426300;TraesCS7A01G223300;TraesCS4A01G125000;TraesCS7D01G227300;TraesCS5B01G484700;TraesCS7D01G338600;TraesCS5D01G412600;TraesCS4A01G226900;TraesCS2D01G014800;TraesCS6B01G159200;TraesCS6A01G143300;TraesCS4B01G220400;TraesCS5D01G532100;TraesCS3B01G131400;TraesCS2A01G280500;TraesCS3A01G381000;TraesCS2B01G004000;TraesCS7D01G549100;TraesCS1B01G255100;TraesCS7A01G307000;TraesCS3A01G052700;TraesCS5A01G149000;TraesCS7B01G197000;TraesCS2B01G233400;TraesCS3D01G529200;TraesCS4B01G204500;TraesCS7A01G341000;TraesCS7B01G189500;TraesCS3D01G296900;TraesCS4D01G220700;TraesCS6A01G105400;TraesCS3A01G523700;TraesCS6D01G287300;TraesCS3A01G513500;TraesCS6A01G225200;TraesCS7B01G242200;TraesCS3A01G530100;TraesCS4D01G359000;TraesCS7A01G077400;TraesCS2B01G297800;TraesCS4D01G122800;TraesCS6B01G256400;TraesCS6A01G303800;TraesCS7A01G560200;TraesCS1A01G198400;TraesCS2B01G457600;TraesCS3A01G191700;TraesCS6B01G242800;TraesCS1D01G211600;TraesCS1B01G462200;TraesCS3D01G423300;TraesCS6B01G239000;TraesCS3A01G023800;TraesCS1D01G409700;TraesCS3A01G367000;TraesCS5B01G300100;TraesCS7D01G283600;TraesCS3D01G281100;TraesCS4D01G085700;TraesCS2A01G437700;TraesCS4B01G179400;TraesCS6A01G290600;TraesCS2D01G389900;TraesCS6D01G094200;TraesCS4B01G129700;TraesCS5A01G548800;TraesCS2D01G118000;TraesCS2A01G387000;TraesCS6A01G212200;TraesCS6A01G308100;TraesCS3A01G100000;TraesCS6B01G134800;TraesCS3D01G288000;TraesCS7D01G224900;TraesCS7D01G073000;TraesCS2D01G279300;TraesCS6A01G267300;TraesCS3A01G304900;TraesCS2A01G296400;TraesCS4A01G376000;TraesCS6D01G299200;TraesCS3D01G268700;TraesCS1B01G213300;TraesCS2B01G410100;TraesCS6D01G132500;TraesCS6D01G210000;TraesCS5B01G147600;TraesCS6D01G283300;TraesCS4D01G264800;TraesCS6A01G210200;TraesCS6D01G195400;TraesCS5B01G036800;TraesCS2A01G239200;TraesCS2B01G312600;TraesCS3A01G417000;TraesCS3A01G288200;TraesCS3D01G412500;TraesCS6B01G171600;TraesCS5B01G534400;TraesCS2B01G325100;TraesCS3A01G268600;TraesCS4D01G003600;TraesCS4A01G093100;TraesCS7B01G207300</t>
  </si>
  <si>
    <t>rRNA processing</t>
  </si>
  <si>
    <t>TraesCS7A01G466600;TraesCS2D01G213200;TraesCS1B01G259800;TraesCS1D01G107300;TraesCS2B01G514800;TraesCS4A01G257800;TraesCS5A01G032500;TraesCS4A01G375000;TraesCS2B01G246900;TraesCS2D01G492600;TraesCS6B01G169300;TraesCS2B01G505400;TraesCS4A01G101200;TraesCS7B01G181200;TraesCS4D01G147500;TraesCS4B01G186700;TraesCS4B01G056700;TraesCS5B01G156500;TraesCS6B01G132300;TraesCSU01G121900;TraesCS7A01G076600;TraesCS4B01G126400;TraesCS4D01G244000;TraesCS5A01G390000;TraesCS2D01G399800;TraesCS3B01G299100;TraesCS1A01G350200;TraesCS5B01G159100;TraesCS3A01G229100;TraesCS6A01G379000;TraesCS1A01G258800;TraesCS2A01G488400;TraesCS2D01G232300;TraesCS2D01G385000;TraesCS3D01G275200;TraesCS5D01G399800;TraesCS7D01G454200;TraesCS5D01G208100;TraesCS1A01G099400;TraesCS2A01G233300;TraesCS1A01G177600;TraesCS1A01G095200;TraesCS6B01G285500;TraesCS7A01G151000;TraesCS4A01G334700;TraesCS3B01G246600;TraesCS2A01G221200;TraesCS2A01G149500;TraesCS2D01G304000;TraesCS5D01G396300;TraesCS2B01G174600;TraesCS2D01G561900;TraesCS2D01G322800;TraesCS2B01G250000;TraesCS6D01G091600;TraesCS5A01G059900;TraesCS5D01G078500;TraesCS1A01G249100;TraesCS2B01G405200;TraesCS3A01G275300;TraesCS2A01G387400;TraesCS2B01G221800;TraesCS6D01G130500;TraesCS5A01G416400;TraesCS6A01G103200;TraesCS2A01G480500;TraesCS5B01G418700;TraesCS7D01G278800;TraesCS5D01G444500;TraesCS4B01G245400;TraesCS6D01G221400;TraesCS2A01G344500;TraesCS3D01G326900;TraesCS7D01G072300;TraesCS6B01G365300;TraesCS4D01G057000;TraesCS5B01G037500;TraesCS2B01G375700;TraesCS2A01G592600;TraesCS7B01G169100;TraesCS2A01G185500;TraesCS2B01G520500;TraesCS5D01G231200;TraesCS5D01G044700;TraesCS2A01G391400;TraesCS4A01G078900;TraesCS5A01G036600;TraesCS5D01G405400;TraesCS2D01G154600;TraesCS5A01G223700;TraesCS7A01G260100;TraesCS1D01G258800;TraesCS1B01G293500;TraesCS2D01G226900;TraesCS2B01G229500;TraesCS7D01G190300;TraesCS6D01G363400;TraesCS3B01G363500;TraesCS6A01G311500;TraesCS1A01G284300;TraesCS7D01G152900;TraesCS2D01G488700;TraesCS1D01G353100;TraesCS5B01G074200;TraesCS5B01G395000;TraesCS2D01G202200;TraesCS1B01G269400;TraesCS2B01G293400;TraesCS7A01G279000;TraesCS2A01G487500</t>
  </si>
  <si>
    <t>TraesCS1D01G264100;TraesCS3D01G426300;TraesCS4B01G015600;TraesCS2B01G307300;TraesCS2B01G271300;TraesCS5D01G219500;TraesCS1D01G101200;TraesCS2B01G334800;TraesCS2D01G492600;TraesCS4A01G226900;TraesCS5A01G513500;TraesCS5B01G141000;TraesCS4B01G288200;TraesCS4B01G213600;TraesCS2B01G528300;TraesCS5B01G227900;TraesCS6A01G143300;TraesCS4D01G153900;TraesCS6D01G122800;TraesCS5A01G119300;TraesCS4D01G021400;TraesCS4B01G220400;TraesCS4D01G214300;TraesCS5A01G501800;TraesCS4D01G013900;TraesCS3B01G161900;TraesCS7A01G451100;TraesCS2A01G280500;TraesCS3A01G381000;TraesCS5B01G324800;TraesCS5D01G429200;TraesCS6A01G133100;TraesCS1A01G092700;TraesCS4B01G023800;TraesCS1A01G416000;TraesCS7A01G376800;TraesCS5B01G121500;TraesCS3A01G151100;TraesCS1B01G255100;TraesCS2B01G340300;TraesCS1A01G264000;TraesCS2A01G290900;TraesCS7A01G307000;TraesCS7B01G197000;TraesCS3A01G103900;TraesCS2B01G369600;TraesCS4B01G204500;TraesCS3A01G189400;TraesCS3D01G275600;TraesCS3D01G527700;TraesCS2A01G193800;TraesCS4D01G220700;TraesCS5A01G173700;TraesCS1B01G254000;TraesCS3A01G513500;TraesCS4A01G101500;TraesCS6A01G225200;TraesCS4D01G204000;TraesCS2D01G094400;TraesCS1D01G303800;TraesCS1D01G412600;TraesCS4D01G359000;TraesCS4A01G298100;TraesCS1A01G007500;TraesCS2B01G297800;TraesCS4D01G120900;TraesCS6B01G256400;TraesCS2A01G252600;TraesCS6A01G303800;TraesCS7B01G278200;TraesCS2B01G457600;TraesCS5B01G171100;TraesCS3A01G191700;TraesCS4D01G160200;TraesCS3D01G220400;TraesCS5A01G212500;TraesCS6D01G047400;TraesCS4A01G091100;TraesCS2D01G349600;TraesCS3A01G023800;TraesCS4A01G194100;TraesCS7B01G006600;TraesCS3A01G367000;TraesCS5B01G300100;TraesCS2A01G114400;TraesCS5A01G396700;TraesCS6A01G314100;TraesCS4D01G194300;TraesCS2D01G288800;TraesCS3A01G084400;TraesCS2A01G437700;TraesCS5D01G149900;TraesCS2B01G592500;TraesCS6A01G290600;TraesCS2D01G251000;TraesCS4B01G154100;TraesCS5A01G548800;TraesCS1B01G274600;TraesCS2A01G387000;TraesCS2A01G222600;TraesCS2D01G194000;TraesCS2B01G133500;TraesCS4D01G339700;TraesCS3D01G288000;TraesCS2A01G342600;TraesCS3A01G232700;TraesCS2B01G272300;TraesCS6B01G176600;TraesCS7A01G190500;TraesCS1D01G423500;TraesCS3D01G083400;TraesCS2D01G279300;TraesCS6A01G267300;TraesCS3B01G370200;TraesCS6B01G344100;TraesCS2A01G296400;TraesCS2B01G520500;TraesCS4A01G110800;TraesCS7A01G359800;TraesCS4D01G194400;TraesCS4A01G290400;TraesCS1A01G195500;TraesCS2A01G492300;TraesCS5A01G324200;TraesCS3D01G084300;TraesCS6D01G132500;TraesCS6D01G210000;TraesCS1D01G199100;TraesCS6D01G283300;TraesCS3D01G514100;TraesCS2B01G248100;TraesCS2A01G467900;TraesCS2D01G238600;TraesCS5B01G256400;TraesCS3A01G521600;TraesCS2B01G312600;TraesCS3A01G288200;TraesCS6B01G171600;TraesCS7D01G373100;TraesCS1B01G434400;TraesCS4A01G298700;TraesCS3A01G082700;TraesCS3D01G087300;TraesCS7B01G207300</t>
  </si>
  <si>
    <t>TraesCS3D01G426300;TraesCS4A01G125000;TraesCS5A01G466100;TraesCS6D01G095800;TraesCS7D01G283600;TraesCS4B01G168300;TraesCS2A01G437700;TraesCS7A01G480700;TraesCS4B01G179400;TraesCS1A01G206900;TraesCS6D01G094200;TraesCS1D01G226100;TraesCS1D01G210200;TraesCS2D01G194000;TraesCS4D01G170800;TraesCS1B01G220700;TraesCS2A01G058700;TraesCS6A01G212200;TraesCS6A01G308100;TraesCS6B01G159200;TraesCS6A01G143300;TraesCS7D01G467500;TraesCS3B01G254400;TraesCS6D01G122800;TraesCS4D01G147100;TraesCS6B01G134800;TraesCS2D01G136200;TraesCS3D01G288000;TraesCS7B01G382800;TraesCS3D01G194300;TraesCS2A01G134000;TraesCS3D01G083400;TraesCS2A01G280500;TraesCS6A01G133100;TraesCS2D01G279300;TraesCS3B01G219700;TraesCS6A01G307700;TraesCS2D01G057900;TraesCS3A01G224800;TraesCS7D01G549100;TraesCS3A01G151100;TraesCS5D01G424400;TraesCS5D01G478900;TraesCS1A01G224700;TraesCS3D01G268700;TraesCS1D01G058300;TraesCS1A01G195500;TraesCS2A01G193800;TraesCS5D01G026000;TraesCS6D01G132500;TraesCS1D01G199100;TraesCS6D01G283300;TraesCS3D01G514100;TraesCS5A01G416700;TraesCS6A01G105400;TraesCS6A01G107900;TraesCS6D01G195400;TraesCS6D01G287300;TraesCS5B01G036800;TraesCS2A01G239200;TraesCS2B01G257300;TraesCS2B01G070700;TraesCS3A01G288200;TraesCS6B01G171600;TraesCS2B01G297800;TraesCS4B01G131800;TraesCS5B01G534400;TraesCS3D01G228800;TraesCS6A01G303800;TraesCS7A01G560200;TraesCS1D01G198700;TraesCS2B01G457600;TraesCS6B01G336300;TraesCS3A01G082700;TraesCS3A01G191700;TraesCS5B01G477800;TraesCS3A01G268600;TraesCS2B01G157600;TraesCS4A01G093100;TraesCS6B01G242800;TraesCS6D01G047400</t>
  </si>
  <si>
    <t>TraesCS6D01G016900;TraesCS5B01G484700;TraesCS6B01G454500;TraesCS1D01G449000;TraesCS7A01G175300;TraesCS6D01G344200;TraesCS3D01G273800;TraesCS1A01G369600;TraesCS4B01G213600;TraesCS3B01G206600;TraesCS3B01G193200;TraesCS4D01G147100;TraesCS5A01G014400;TraesCS5B01G412400;TraesCS7D01G056800;TraesCS2D01G394900;TraesCS7A01G541200;TraesCS1A01G355200;TraesCS7B01G382800;TraesCS7B01G104400;TraesCS7A01G190700;TraesCS5B01G094600;TraesCS5D01G056900;TraesCS3B01G242700;TraesCS5B01G324800;TraesCS5D01G429200;TraesCS2D01G233900;TraesCS3B01G219700;TraesCS2A01G171900;TraesCS1B01G202100;TraesCS2B01G448000;TraesCS4A01G286700;TraesCS1A01G130700;TraesCS3A01G216100;TraesCS7B01G411000;TraesCS5A01G336500;TraesCS4B01G135800;TraesCS5D01G376600;TraesCS4B01G347000;TraesCS5D01G026000;TraesCS3D01G296900;TraesCS4D01G220700;TraesCS3A01G091100;TraesCS6D01G287300;TraesCS3A01G393400;TraesCS4A01G101500;TraesCS6A01G225200;TraesCS2B01G257300;TraesCS4D01G204000;TraesCS4D01G025700;TraesCS5A01G093200;TraesCS6D01G162200;TraesCS4D01G250100;TraesCS7D01G339300;TraesCS5B01G174600;TraesCS4A01G120000;TraesCS4D01G120900;TraesCS6B01G190300;TraesCS7A01G415500;TraesCS7D01G224400;TraesCS4B01G109700;TraesCS5B01G171100;TraesCS2A01G500400;TraesCS2B01G201700;TraesCS2D01G093700;TraesCS3B01G309700;TraesCS2B01G207000;TraesCS6D01G047400;TraesCS5A01G229300;TraesCS6A01G245000;TraesCS7B01G103100;TraesCS4D01G278500;TraesCS7A01G269900;TraesCS7D01G283600;TraesCS3B01G423600;TraesCS5A01G189600;TraesCS3A01G380100;TraesCS1B01G375300;TraesCS2D01G383800;TraesCS1B01G274600;TraesCS2B01G303300;TraesCS6B01G238600;TraesCS7A01G222800;TraesCS3A01G223700;TraesCS3D01G369100;TraesCS5D01G118200;TraesCS1A01G275400;TraesCS1A01G403800;TraesCS4A01G138800;TraesCS2D01G328100;TraesCS3D01G407300;TraesCS4D01G132900;TraesCS4D01G094700;TraesCS7B01G219700;TraesCS7B01G162300;TraesCS5B01G084600;TraesCS7A01G190500;TraesCS4D01G081600;TraesCS1B01G271100;TraesCS6A01G158300;TraesCS4A01G158400;TraesCS6A01G125400;TraesCS3A01G224800;TraesCS5D01G321900;TraesCS7A01G466900;TraesCS2B01G520500;TraesCS6B01G166400;TraesCS7A01G252000;TraesCS1B01G366400;TraesCS2B01G315300;TraesCS5A01G315800;TraesCS5D01G044700;TraesCS6B01G296700;TraesCS7A01G510900;TraesCS5A01G357400;TraesCS1A01G025900;TraesCS4D01G165800;TraesCS3A01G137000;TraesCS2D01G597600;TraesCS3D01G336200;TraesCS7D01G291200;TraesCS5B01G185700;TraesCS2A01G467900;TraesCS3A01G521600;TraesCS5D01G280400;TraesCS2B01G477400;TraesCS3B01G103500;TraesCS3A01G288200;TraesCS6B01G062400;TraesCS4A01G298700;TraesCS6D01G189700;TraesCS2B01G325100;TraesCS4A01G005000;TraesCS4A01G078800;TraesCS3A01G268600;TraesCS6B01G099900;TraesCS3D01G224800;TraesCS5A01G199600;TraesCS2A01G517900;TraesCS6A01G123800;TraesCS1D01G264100;TraesCS5D01G013100;TraesCS6D01G041700;TraesCS7D01G227300;TraesCS5B01G409400;TraesCS5A01G229500;TraesCS6A01G018600;TraesCS6B01G213100;TraesCS1B01G343100;TraesCS7A01G390300;TraesCS1D01G401900;TraesCS5D01G412600;TraesCS3A01G330200;TraesCS3A01G334800;TraesCS7D01G288700;TraesCS1D01G275000;TraesCS1B01G193700;TraesCS5D01G099800;TraesCS1A01G218000;TraesCS5B01G539900;TraesCS7A01G276400;TraesCS1D01G265200;TraesCS5D01G530200;TraesCS4A01G178600;TraesCS5A01G119300;TraesCS3D01G217700;TraesCS5A01G123800;TraesCS3D01G507500;TraesCS4D01G252700;TraesCS1B01G348800;TraesCS6A01G355300;TraesCS5A01G050100;TraesCS2B01G079700;TraesCS5B01G154600;TraesCS6B01G199500;TraesCS3A01G528800;TraesCS3A01G381000;TraesCS1A01G092700;TraesCS6D01G007800;TraesCS2A01G093700;TraesCS7D01G025000;TraesCS2A01G187200;TraesCS2A01G223600;TraesCS2A01G200500;TraesCS5A01G004200;TraesCS3A01G151100;TraesCS7B01G054900;TraesCS7A01G277700;TraesCS7D01G250100;TraesCS7A01G307000;TraesCS1A01G224700;TraesCS1D01G241000;TraesCS6D01G362000;TraesCS6B01G246600;TraesCS1D01G155800;TraesCS5D01G141200;TraesCS7B01G197000;TraesCS6D01G186000;TraesCS6A01G209800;TraesCS2A01G309600;TraesCS5B01G396700;TraesCS1A01G241000;TraesCS2B01G086200;TraesCS4B01G246900;TraesCS5A01G054700;TraesCS1D01G252100;TraesCS5D01G261300;TraesCS7A01G220600;TraesCS3A01G412600;TraesCS2D01G362200;TraesCS3B01G254500;TraesCS6B01G356900;TraesCS6D01G149800;TraesCS5A01G104800;TraesCS2D01G094400;TraesCS7B01G129300;TraesCS3A01G435700;TraesCS3D01G376500;TraesCS5D01G238300;TraesCS6B01G256400;TraesCS3D01G228800;TraesCS7D01G407700;TraesCS1B01G378000;TraesCS4B01G151200;TraesCS3A01G278200;TraesCS1D01G211600;TraesCS4D01G240700;TraesCS7D01G231600;TraesCS6D01G179700;TraesCS7A01G313900;TraesCS7D01G332300;TraesCS7B01G006600;TraesCS5D01G237400;TraesCS7A01G139800;TraesCS1B01G301500;TraesCS2B01G348600;TraesCS2D01G397800;TraesCS3A01G084400;TraesCS3B01G093800;TraesCS2A01G175400;TraesCS3B01G268900;TraesCS4A01G354500;TraesCS6D01G094200;TraesCS4B01G129700;TraesCS4B01G150300;TraesCS5D01G248300;TraesCS2A01G092400;TraesCS2D01G194000;TraesCS4D01G318200;TraesCS6A01G308100;TraesCS4A01G262900;TraesCS1D01G003700;TraesCS2B01G150400;TraesCS6A01G336800;TraesCS6B01G134800;TraesCS2A01G338100;TraesCS3D01G271800;TraesCS3D01G288000;TraesCS2A01G342600;TraesCS5D01G402300;TraesCS2B01G602100;TraesCS5B01G563800;TraesCS6B01G176600;TraesCS2D01G528800;TraesCS4D01G003100;TraesCS2D01G059400;TraesCS6A01G322400;TraesCS1B01G200800;TraesCS4B01G287200;TraesCS2D01G279300;TraesCS4D01G107000;TraesCS3B01G370200;TraesCS6A01G259000;TraesCS7A01G076400;TraesCS3B01G154900;TraesCS1D01G383500;TraesCS2D01G327400;TraesCS5B01G517900;TraesCS4A01G227500;TraesCS7D01G032800;TraesCS6A01G146500;TraesCS5D01G424400;TraesCS2A01G110700;TraesCS6A01G192600;TraesCS3B01G400900;TraesCS5A01G241800;TraesCS6D01G293100;TraesCS7D01G447100;TraesCS3A01G187300;TraesCS2B01G185800;TraesCS5D01G005300;TraesCS1A01G172100;TraesCS6D01G283300;TraesCS5A01G416700;TraesCS5B01G256400;TraesCS4A01G247300;TraesCS6B01G331800;TraesCS1A01G265000;TraesCS2A01G455300;TraesCS2D01G407000;TraesCS7D01G169500;TraesCS3B01G497300;TraesCS3D01G412500;TraesCS5D01G329200;TraesCS4B01G154900;TraesCS7B01G236400;TraesCS2B01G604300;TraesCS4B01G131800;TraesCS1A01G281700;TraesCS4B01G109900;TraesCS5A01G460600;TraesCS2A01G382000;TraesCS1D01G198700;TraesCS4D01G189600;TraesCS7B01G446500;TraesCS5D01G480300;TraesCS7B01G119300;TraesCS4A01G093100;TraesCS6D01G121300;TraesCS4B01G252400;TraesCS5D01G525000;TraesCS4A01G125000;TraesCS6A01G184000;TraesCS1A01G260500;TraesCS2A01G234900;TraesCS5A01G468600;TraesCS1B01G049300;TraesCS3D01G323700;TraesCS3D01G411200;TraesCS5D01G219500;TraesCS5A01G108000;TraesCS5D01G162400;TraesCS6D01G077500;TraesCS7D01G150200;TraesCS1D01G101200;TraesCS7A01G368900;TraesCS3A01G099300;TraesCS4D01G170800;TraesCS2B01G229600;TraesCS4A01G119800;TraesCS1D01G219700;TraesCS5D01G171100;TraesCS1A01G292100;TraesCS4B01G226100;TraesCS7D01G276300;TraesCS4B01G152900;TraesCS3D01G150400;TraesCS5A01G467500;TraesCS5D01G517600;TraesCS4D01G246300;TraesCS3B01G408800;TraesCS2B01G457300;TraesCS2A01G229300;TraesCS2A01G206200;TraesCS7D01G216000;TraesCS3D01G169000;TraesCS2A01G097900;TraesCS7D01G159000;TraesCS6A01G232300;TraesCS7B01G350400;TraesCS1A01G409600;TraesCS7B01G153100;TraesCS1A01G027200;TraesCS2D01G565200;TraesCS6A01G201800;TraesCS2A01G022000;TraesCS2D01G248600;TraesCS6B01G174500;TraesCS2A01G299200;TraesCS6D01G113900;TraesCS4A01G080100;TraesCS6B01G257900;TraesCS6D01G237400;TraesCS6A01G289200;TraesCS7D01G265200;TraesCS1A01G340400;TraesCS2D01G291200;TraesCS6A01G105400;TraesCS2B01G263300;TraesCS4B01G158000;TraesCS3D01G345500;TraesCS5D01G230300;TraesCS2B01G070700;TraesCS4A01G013500;TraesCS4A01G298100;TraesCS4B01G069300;TraesCS1A01G144300;TraesCS2A01G330000;TraesCS5A01G491400;TraesCS4A01G355100;TraesCS6A01G230100;TraesCS1B01G462200;TraesCS2A01G187700;TraesCS3D01G188800;TraesCS6B01G239000;TraesCS2D01G154100;TraesCS3B01G385400;TraesCS5B01G270200;TraesCS6A01G312200;TraesCS7B01G352800;TraesCS7A01G491200;TraesCS4A01G494400;TraesCS5B01G228900;TraesCS6A01G113000;TraesCS5B01G300100;TraesCS7D01G439900;TraesCS1D01G092200;TraesCS1B01G326400;TraesCS2D01G362700;TraesCS2D01G389900;TraesCS4B01G263100;TraesCS2D01G118000;TraesCS5D01G332000;TraesCS3D01G237100;TraesCS1B01G352700;TraesCS4D01G339700;TraesCS1D01G342400;TraesCS7D01G083200;TraesCS1D01G242500;TraesCS4B01G083600;TraesCS4D01G107400;TraesCS7D01G224900;TraesCS1B01G478800;TraesCS4A01G254100;TraesCS4D01G327300;TraesCS1A01G278000;TraesCS2B01G434600;TraesCS6D01G270400;TraesCS6B01G393500;TraesCS5B01G387600;TraesCS4B01G162900;TraesCS4A01G376000;TraesCS5A01G088400;TraesCS2A01G095300;TraesCS3A01G264700;TraesCS2D01G114900;TraesCS2D01G303500;TraesCS2A01G246700;TraesCS4A01G110800;TraesCS1D01G094400;TraesCS6B01G026900;TraesCS3D01G268700;TraesCS4A01G290400;TraesCS3A01G202700;TraesCS2D01G467900;TraesCS1A01G313300;TraesCS3D01G258900;TraesCS5A01G490500;TraesCS5B01G409700;TraesCS2B01G248100;TraesCS3D01G388400;TraesCS2D01G238600;TraesCS4A01G206400;TraesCS5B01G189500;TraesCS1D01G024800;TraesCS3A01G417000;TraesCS2D01G524500;TraesCS7D01G409000;TraesCS4D01G086400;TraesCS5B01G534400;TraesCS6B01G342300;TraesCS5B01G075800;TraesCS3A01G295400;TraesCS5B01G477800;TraesCS6D01G246300;TraesCS2D01G200700;TraesCS3D01G278500;TraesCS2D01G239700;TraesCS7A01G466600;TraesCS3D01G426300;TraesCS2A01G286500;TraesCS6D01G337500;TraesCS3D01G231200;TraesCS7D01G449900;TraesCS3D01G191100;TraesCS7D01G338600;TraesCS6A01G373400;TraesCS2A01G197900;TraesCS3D01G380100;TraesCS2B01G133300;TraesCS7A01G260600;TraesCS4A01G226900;TraesCS3A01G313300;TraesCS2A01G392900;TraesCS7A01G318800;TraesCS1B01G377800;TraesCS4A01G023500;TraesCS1A01G185900;TraesCS1A01G388400;TraesCS4A01G092500;TraesCS2B01G528300;TraesCS6D01G357100;TraesCS5A01G192000;TraesCS6D01G122800;TraesCS2D01G241800;TraesCS7A01G173500;TraesCS3D01G137800;TraesCS6A01G269400;TraesCS1A01G418700;TraesCS6B01G253900;TraesCS4D01G013900;TraesCS5B01G378700;TraesCS1A01G376400;TraesCS2A01G225100;TraesCS1B01G325100;TraesCS5B01G102600;TraesCS4B01G023800;TraesCS3A01G134100;TraesCS2B01G004000;TraesCS2D01G361800;TraesCS2A01G149600;TraesCS2B01G415500;TraesCS7D01G327700;TraesCS6B01G315800;TraesCS3D01G182400;TraesCS6D01G301300;TraesCS7B01G182300;TraesCS2B01G340300;TraesCS3D01G346200;TraesCS1A01G180200;TraesCS3B01G228900;TraesCS3B01G362100;TraesCS3D01G495100;TraesCS6A01G171300;TraesCS6D01G182200;TraesCS4B01G204500;TraesCS3D01G275600;TraesCS2D01G310000;TraesCS3A01G055300;TraesCS4A01G220100;TraesCS5B01G476900;TraesCS1A01G145000;TraesCS2D01G519500;TraesCS2B01G227800;TraesCS4A01G283000;TraesCS3B01G566600;TraesCS5A01G173700;TraesCS7B01G242200;TraesCS3A01G530100;TraesCS7D01G218000;TraesCS2A01G067500;TraesCS7D01G413700;TraesCS4B01G138800;TraesCS2B01G404600;TraesCS4D01G193500;TraesCS7A01G304400;TraesCS4D01G157200;TraesCS5A01G157000;TraesCS7A01G560200;TraesCS2A01G273400;TraesCS7B01G419900;TraesCS1B01G110400;TraesCS2A01G460000;TraesCS5A01G212500;TraesCS5D01G417400;TraesCS5D01G285200;TraesCS6B01G242800;TraesCS1B01G200300;TraesCS1B01G317500;TraesCS4A01G232300;TraesCS1B01G156600;TraesCS3A01G184800;TraesCS3B01G308200;TraesCS6B01G450500;TraesCS2B01G363200;TraesCS4B01G242800;TraesCS7A01G480700;TraesCS6A01G290600;TraesCS1A01G315900;TraesCS2A01G226000;TraesCS2B01G107200;TraesCS6D01G245600;TraesCS2B01G307500;TraesCS1D01G086600;TraesCS2B01G133500;TraesCS6D01G302200;TraesCS4B01G165100;TraesCS1B01G422200;TraesCS3A01G232700;TraesCS4A01G315700;TraesCS6D01G315500;TraesCS1A01G263400;TraesCS6A01G078200;TraesCS7D01G457900;TraesCS2B01G273900;TraesCS7B01G421800;TraesCS6D01G163700;TraesCS2A01G523600;TraesCS4A01G324400;TraesCS6A01G307700;TraesCS6B01G344100;TraesCS5A01G046600;TraesCS2B01G318400;TraesCS2D01G057900;TraesCS5D01G138500;TraesCS1D01G134300;TraesCS6D01G364900;TraesCS6D01G299200;TraesCS2A01G431900;TraesCS3B01G306000;TraesCS1A01G358800;TraesCS3D01G304800;TraesCS4A01G276300;TraesCS5A01G036600;TraesCS4D01G194400;TraesCS4D01G301300;TraesCS1D01G390500;TraesCS2D01G022800;TraesCS5D01G164800;TraesCS5D01G512300;TraesCS5A01G324200;TraesCS1B01G293500;TraesCS4D01G080700;TraesCSU01G047800;TraesCS5D01G060900;TraesCS2D01G300400;TraesCS1A01G158500;TraesCS4D01G086000;TraesCS6B01G161800;TraesCS1A01G284300;TraesCS6B01G171600;TraesCS1B01G434400;TraesCS4B01G073200;TraesCS5B01G110000;TraesCS2D01G023900;TraesCS3B01G426600;TraesCS2B01G352300;TraesCS1A01G309200;TraesCS3D01G087300;TraesCS4B01G380800;TraesCS6A01G163500;TraesCS2B01G191800;TraesCS6B01G388100;TraesCS2B01G260800;TraesCS2D01G324900;TraesCS7A01G036200;TraesCS7D01G292000;TraesCS2A01G246200;TraesCS5A01G200800;TraesCS6B01G191500;TraesCS1D01G210200;TraesCS4A01G226500;TraesCS4A01G432400;TraesCS7D01G121200;TraesCS5B01G531900;TraesCS1B01G146200;TraesCS2D01G014800;TraesCS6B01G295700;TraesCS7D01G467500;TraesCS2A01G409700;TraesCS4D01G153900;TraesCS2A01G262700;TraesCS5B01G057300;TraesCS3A01G228000;TraesCS4A01G065400;TraesCS4B01G169900;TraesCS6B01G411900;TraesCS2D01G136200;TraesCS5D01G181600;TraesCS1A01G324800;TraesCS4B01G050200;TraesCS5D01G444700;TraesCS5D01G532100;TraesCS2B01G234500;TraesCS2B01G031800;TraesCS2D01G273000;TraesCS4D01G135000;TraesCS6A01G133100;TraesCS5A01G166800;TraesCS7A01G323200;TraesCS5D01G201300;TraesCS6D01G142900;TraesCS3A01G205100;TraesCS2B01G220100;TraesCS6A01G203300;TraesCS3A01G394600;TraesCS3D01G428300;TraesCS3A01G178900;TraesCS6B01G112700;TraesCS4D01G292900;TraesCS5A01G149000;TraesCS4D01G068100;TraesCS2B01G233400;TraesCS3A01G344300;TraesCS2A01G193800;TraesCS4D01G184400;TraesCS1B01G469400;TraesCS6D01G390000;TraesCS7D01G454200;TraesCS4D01G151500;TraesCS6B01G270400;TraesCS5A01G014500;TraesCSU01G068800;TraesCSU01G093800;TraesCS1A01G437500;TraesCS2D01G092500;TraesCS6A01G319700;TraesCS6D01G357600;TraesCS4A01G361100;TraesCS6D01G298300;TraesCS4D01G085900;TraesCS5B01G284100;TraesCS1A01G125000;TraesCS3B01G376200;TraesCS5A01G472100;TraesCS7B01G241500;TraesCS3D01G210300;TraesCS1D01G409700;TraesCS4A01G167000;TraesCS1D01G396300;TraesCS6D01G095800;TraesCS6D01G161000;TraesCS1D01G260500;TraesCS5B01G171400;TraesCS2B01G382000;TraesCS3D01G281100;TraesCS3D01G434800;TraesCS6B01G282200;TraesCS3D01G065800;TraesCS5D01G149900;TraesCS3A01G332300;TraesCS3D01G250600;TraesCS1D01G315700;TraesCS6A01G321600;TraesCS7D01G270400;TraesCS4A01G191500;TraesCS1D01G325500;TraesCS6A01G212200;TraesCS4D01G172000;TraesCS1A01G246800;TraesCS3B01G149800;TraesCS4A01G042500;TraesCS4D01G130600;TraesCS2A01G157700;TraesCS5D01G100800;TraesCS2D01G356700;TraesCS7A01G327600;TraesCS6B01G159800;TraesCS4A01G182800;TraesCS6D01G244900;TraesCS5B01G479200;TraesCS3D01G421500;TraesCS2D01G213100;TraesCS6D01G358500;TraesCS5A01G229400;TraesCS3D01G327600;TraesCS5D01G161800;TraesCS1A01G254400;TraesCS1A01G195500;TraesCS2B01G328500;TraesCS3D01G084300;TraesCS6D01G344100;TraesCS7D01G364400;TraesCS4B01G089500;TraesCS7B01G242800;TraesCS3A01G099800;TraesCS4A01G193700;TraesCS2A01G159900;TraesCS3A01G322500;TraesCS5B01G036800;TraesCS4A01G342800;TraesCS5A01G230400;TraesCS4B01G041900;TraesCS6A01G279100;TraesCS4B01G314600;TraesCS6B01G451100;TraesCS7D01G373100;TraesCS1A01G152800;TraesCS1A01G024700;TraesCS4D01G160000;TraesCS1D01G314600;TraesCS6B01G336300;TraesCS3A01G082700;TraesCS3B01G307600;TraesCS3A01G276100;TraesCS3B01G303000;TraesCS4A01G374600;TraesCS4B01G088400;TraesCS1A01G299500;TraesCS4D01G003600;TraesCS3B01G412600;TraesCS5B01G517400;TraesCS2D01G049500;TraesCS2D01G477200;TraesCS1D01G190900;TraesCS4B01G015600;TraesCS7B01G321700;TraesCS3A01G457400;TraesCS2B01G346500;TraesCS7D01G072100;TraesCS3A01G342300;TraesCS6B01G470700;TraesCS5D01G481500;TraesCS3D01G229800;TraesCS4A01G163000;TraesCSU01G158800;TraesCS2D01G492600;TraesCSU01G072700;TraesCS4B01G288200;TraesCS6D01G398100;TraesCS5A01G089900;TraesCS6D01G227300;TraesCS6A01G143300;TraesCS6A01G147900;TraesCS3B01G254400;TraesCS4B01G138100;TraesCS5D01G366500;TraesCS4B01G220400;TraesCS4D01G214300;TraesCS3B01G185300;TraesCS5A01G501800;TraesCS6B01G174100;TraesCS7A01G264300;TraesCS1D01G316200;TraesCS7A01G419600;TraesCS7D01G228500;TraesCS5B01G322900;TraesCS6B01G342400;TraesCS2A01G280500;TraesCS4A01G116000;TraesCS3D01G241900;TraesCS2B01G401900;TraesCS1A01G264000;TraesCS2B01G275000;TraesCS3A01G052700;TraesCS1D01G058300;TraesCS2B01G369600;TraesCS2D01G242100;TraesCS3A01G189400;TraesCS4D01G167900;TraesCS3D01G527700;TraesCS7A01G341000;TraesCS7B01G177700;TraesCS3D01G282800;TraesCS5B01G419300;TraesCS7D01G284200;TraesCS3A01G282800;TraesCS7B01G189500;TraesCS2B01G428100;TraesCS3D01G240800;TraesCS2A01G398900;TraesCS3B01G252200;TraesCS7A01G004000;TraesCS1D01G219200;TraesCS3B01G088300;TraesCS5A01G142200;TraesCS1B01G344300;TraesCS4D01G122800;TraesCS5D01G144600;TraesCS3B01G435900;TraesCS1B01G439600;TraesCS7B01G278200;TraesCS2B01G304900;TraesCS1A01G198400;TraesCS3D01G203400;TraesCS2D01G138200;TraesCS5D01G459800;TraesCS3A01G191700;TraesCS3D01G328100;TraesCS4B01G290300;TraesCS7B01G241900;TraesCS2A01G128300;TraesCS2D01G105300;TraesCS6D01G062500;TraesCS5D01G361000;TraesCS6B01G414800;TraesCS5A01G367700;TraesCS3D01G109700;TraesCS6B01G470900;TraesCS2D01G320900;TraesCS7B01G176200;TraesCS1B01G290800;TraesCS3B01G316500;TraesCS7B01G085700;TraesCS4D01G085700;TraesCS2B01G592500;TraesCS1A01G361400;TraesCS1D01G277100;TraesCS3A01G060300;TraesCS2D01G205900;TraesCS6D01G212000;TraesCS3B01G209400;TraesCS3D01G386400;TraesCS5D01G229900;TraesCS4A01G111600;TraesCS4A01G058000;TraesCS4D01G283800;TraesCS5A01G156400;TraesCS1B01G220700;TraesCS6D01G065600;TraesCS6B01G352400;TraesCS3A01G402500;TraesCS5D01G551200;TraesCS1A01G137000;TraesCS7D01G450700;TraesCS7A01G381900;TraesCS7A01G450600;TraesCS7D01G073000;TraesCS3D01G083400;TraesCS2D01G231000;TraesCS3A01G503200;TraesCS4B01G164800;TraesCS5B01G037500;TraesCS1A01G259700;TraesCS2A01G202600;TraesCS7D01G011800;TraesCS4A01G364400;TraesCS2B01G174700;TraesCS3B01G257700;TraesCS3D01G373300;TraesCS6B01G223200;TraesCS7A01G359800;TraesCS7D01G378400;TraesCS2A01G150000;TraesCS4A01G144500;TraesCS5D01G437600;TraesCSU01G131300;TraesCS3D01G514100;TraesCS7D01G123400;TraesCS1B01G337800;TraesCS7D01G343300;TraesCS3B01G279700;TraesCS6D01G147700;TraesCS7A01G335600;TraesCS5D01G341200;TraesCS6B01G304100;TraesCS3A01G538300;TraesCS5A01G020800;TraesCS7B01G269300;TraesCS3D01G091000;TraesCS7A01G062100;TraesCS3A01G028600;TraesCS6A01G319100;TraesCS6B01G117100;TraesCS7A01G226000;TraesCS7A01G452800;TraesCS5A01G113700;TraesCS3B01G269900;TraesCS6B01G419000;TraesCSU01G132400;TraesCS3A01G488100;TraesCS7B01G421100;TraesCS7D01G386000;TraesCS1A01G129400;TraesCS4A01G246100;TraesCS6A01G360600;TraesCS1D01G411300;TraesCS3B01G224600;TraesCS7A01G351100;TraesCS3A01G178200;TraesCS7A01G238400;TraesCS6A01G268600;TraesCS1D01G226100;TraesCS2B01G334800;TraesCS5A01G272400;TraesCS5A01G513500;TraesCSU01G001100;TraesCS1D01G329100;TraesCS5D01G359800;TraesCS5B01G141000;TraesCS6A01G380200;TraesCS7A01G148600;TraesCS1B01G472100;TraesCS6B01G159200;TraesCS1A01G112800;TraesCS5B01G227900;TraesCS5D01G528400;TraesCS6B01G113200;TraesCS3A01G181600;TraesCS5A01G263700;TraesCS7A01G350000;TraesCS5B01G431500;TraesCS6A01G153600;TraesCS6B01G226000;TraesCS6D01G180500;TraesCS6D01G204800;TraesCS7A01G286700;TraesCS2D01G417300;TraesCS3B01G112900;TraesCS3A01G205900;TraesCS3B01G131400;TraesCS4B01G321500;TraesCS6B01G233800;TraesCS6D01G236400;TraesCS4D01G133500;TraesCS7A01G088100;TraesCS7D01G549100;TraesCS5B01G146700;TraesCS7A01G510000;TraesCS2A01G563500;TraesCS1B01G255100;TraesCS5D01G193000;TraesCS6D01G224200;TraesCS6B01G219700;TraesCS7D01G313600;TraesCS6A01G379000;TraesCS5D01G044100;TraesCS3A01G103900;TraesCS4B01G090000;TraesCS3B01G222400;TraesCS6B01G039900;TraesCS4B01G171300;TraesCS6B01G056200;TraesCS5A01G454300;TraesCS1B01G254000;TraesCS3A01G513500;TraesCS2A01G103300;TraesCS1D01G412600;TraesCS4D01G359000;TraesCS7A01G077400;TraesCS1A01G007500;TraesCS7B01G363600;TraesCS1D01G229400;TraesCS6A01G303800;TraesCS1D01G202100;TraesCS4B01G285000;TraesCS6B01G393600;TraesCS6B01G231400;TraesCS6D01G135800;TraesCS5A01G547300;TraesCS7B01G052200;TraesCS2D01G237600;TraesCS3D01G423300;TraesCS2B01G501300;TraesCS4A01G091100;TraesCS5D01G206500;TraesCS2D01G349600;TraesCS4A01G194100;TraesCS5A01G466100;TraesCS4D01G341900;TraesCS5D01G472300;TraesCS7B01G199200;TraesCS5D01G143800;TraesCS1D01G280900;TraesCS3B01G555600;TraesCS2A01G437700;TraesCS3A01G275700;TraesCS5A01G353700;TraesCS7A01G002900;TraesCS1A01G206900;TraesCS3B01G214600;TraesCS6D01G350000;TraesCS2B01G263600;TraesCS3A01G336100;TraesCS2A01G222600;TraesCS6B01G402300;TraesCS7A01G293200;TraesCS5A01G150700;TraesCS4D01G212600;TraesCS1B01G396800;TraesCS5B01G502700;TraesCS3D01G341200;TraesCS2A01G235900;TraesCS2B01G272300;TraesCS3D01G194300;TraesCS7D01G148200;TraesCS2D01G520000;TraesCS4A01G036500;TraesCS5B01G099300;TraesCS1D01G443100;TraesCS3A01G272200;TraesCS4B01G069200;TraesCS2D01G065800;TraesCS4A01G185400;TraesCS2B01G159600;TraesCS3B01G374400;TraesCS2A01G380200;TraesCS4A01G387000;TraesCS4A01G452700;TraesCS7B01G455500;TraesCS5B01G503800;TraesCS7D01G200800;TraesCS2D01G301200;TraesCS6D01G259500;TraesCS4A01G238100;TraesCS6B01G307200;TraesCS1D01G392400;TraesCS5B01G377700;TraesCS7A01G285800;TraesCS2D01G246100;TraesCS1D01G352300;TraesCS4A01G051900;TraesCS1D01G445300;TraesCS3A01G200400;TraesCS5B01G199400;TraesCS2A01G492300;TraesCS1D01G151800;TraesCS3B01G564100;TraesCS5D01G399200;TraesCS5B01G509100;TraesCS6D01G132500;TraesCS6D01G210000;TraesCS7B01G420400;TraesCS5D01G357600;TraesCS3A01G376300;TraesCS4B01G211800;TraesCS5B01G214400;TraesCS4D01G264800;TraesCS6A01G107900;TraesCS4D01G039100;TraesCS1D01G242400;TraesCS2A01G478000;TraesCS2B01G312600;TraesCS3D01G217600;TraesCS2D01G208300;TraesCS5B01G397300;TraesCS1D01G298400;TraesCS1A01G431600;TraesCS1A01G133500;TraesCS4D01G298800;TraesCS1A01G100600;TraesCS6B01G173500;TraesCS3A01G274600;TraesCS1D01G125300;TraesCS6D01G238800;TraesCS7D01G499800;TraesCS3D01G482500;TraesCS3A01G241700;TraesCS2D01G296800;TraesCS5D01G155800;TraesCS3D01G264800;TraesCS1D01G155100;TraesCS3A01G212600;TraesCS7A01G223300;TraesCS1B01G261600;TraesCS1D01G226500;TraesCS1D01G426400;TraesCS5A01G092400;TraesCS4B01G168300;TraesCS1D01G149900;TraesCS5D01G081700;TraesCS3A01G250200;TraesCS4B01G133200;TraesCS7D01G454700;TraesCS2A01G058700;TraesCS5A01G215900;TraesCS2B01G343900;TraesCS6B01G251600;TraesCS4D01G021400;TraesCS3B01G426500;TraesCS4D01G348500;TraesCS6A01G130900;TraesCS2A01G302500;TraesCS2B01G385300;TraesCS1B01G434100;TraesCS4B01G354600;TraesCS5A01G429500;TraesCS3B01G161900;TraesCS1A01G060100;TraesCS7A01G376800;TraesCS4A01G139700;TraesCS6B01G181300;TraesCS4B01G191300;TraesCS3D01G206100;TraesCS5B01G335500;TraesCS7B01G451500;TraesCS7D01G174700;TraesCS1D01G331000;TraesCS2B01G050600;TraesCS6A01G312100;TraesCS3D01G529200;TraesCS5B01G263800;TraesCS3B01G216800;TraesCS4A01G157100;TraesCS1A01G086500;TraesCS7B01G393400;TraesCS5D01G504600;TraesCS1D01G178000;TraesCS3A01G523700;TraesCS4B01G028100;TraesCS4B01G341300;TraesCS6D01G172500;TraesCS7D01G004500;TraesCS1A01G001800;TraesCS2B01G297800;TraesCS6A01G200200;TraesCS2D01G111300;TraesCS1D01G144000;TraesCS2A01G252600;TraesCS7B01G230100;TraesCS2B01G457600;TraesCS5B01G529300;TraesCS2B01G411000;TraesCS2B01G247100;TraesCS3D01G220400;TraesCS2B01G157600;TraesCS1D01G083200;TraesCS7D01G476500;TraesCS3A01G023800;TraesCS1D01G440900;TraesCS3A01G367000;TraesCS7D01G315400;TraesCS2A01G114400;TraesCS5B01G155200;TraesCS6A01G314100;TraesCS3A01G161800;TraesCS4D01G194300;TraesCS6B01G170600;TraesCS3D01G325800;TraesCS4B01G179400;TraesCS1D01G313800;TraesCS5A01G548800;TraesCS2D01G167300;TraesCS3D01G162700;TraesCS2A01G387000;TraesCS3A01G097200;TraesCS5B01G344200;TraesCS5A01G328900;TraesCS2D01G182700;TraesCS3A01G100000;TraesCS2B01G198300;TraesCS6D01G174700;TraesCS1A01G322300;TraesCS3B01G309400;TraesCS6B01G319000;TraesCS2B01G217700;TraesCS7D01G442100;TraesCS5A01G429300;TraesCS2A01G134000;TraesCS6D01G291600;TraesCS2D01G229600;TraesCS5B01G511800;TraesCS2D01G249200;TraesCS6A01G267300;TraesCS6A01G408400;TraesCS2B01G098800;TraesCS3A01G304900;TraesCS4D01G263300;TraesCS5B01G220900;TraesCS3A01G310100;TraesCS4B01G344600;TraesCS4D01G150700;TraesCS2A01G296400;TraesCSU01G009200;TraesCS2B01G321700;TraesCS5D01G478900;TraesCS6D01G152700;TraesCS7B01G184800;TraesCS3B01G425400;TraesCS5D01G105500;TraesCS6D01G224800;TraesCS1B01G213300;TraesCS2D01G500600;TraesCS1A01G111100;TraesCS4A01G164900;TraesCS5B01G136500;TraesCS2B01G122500;TraesCS3A01G107900;TraesCS5B01G509500;TraesCS5B01G510500;TraesCS2B01G051500;TraesCS2B01G410100;TraesCS5A01G515700;TraesCS5D01G223700;TraesCS6B01G151900;TraesCS7B01G124100;TraesCS6A01G070600;TraesCS6D01G245500;TraesCS1D01G199100;TraesCS5B01G147600;TraesCS5D01G208300;TraesCS6D01G174500;TraesCS6A01G210200;TraesCS6D01G195400;TraesCS7A01G421400;TraesCS2B01G225300;TraesCS3B01G470400;TraesCS4A01G124000;TraesCS2A01G239200;TraesCS6D01G193000;TraesCS1B01G155600;TraesCS7A01G329600;TraesCS5B01G481100;TraesCS2B01G108200;TraesCS7D01G130500;TraesCS6A01G161200;TraesCS6B01G189000;TraesCS7D01G000100;TraesCS4D01G242400;TraesCS5B01G121000;TraesCS7B01G207300;TraesCS4A01G150500</t>
  </si>
  <si>
    <t>TraesCS3A01G289900;TraesCS5B01G484700;TraesCS7D01G294300;TraesCS5B01G175800;TraesCS1D01G401900;TraesCS4A01G166900;TraesCS7B01G093800;TraesCS1D01G101200;TraesCS3A01G202000;TraesCS5A01G490800;TraesCS4A01G092500;TraesCS5A01G119300;TraesCS4D01G021400;TraesCS1A01G116200;TraesCS4A01G052600;TraesCSU01G142500;TraesCS3B01G161900;TraesCS3B01G324500;TraesCS5D01G517200;TraesCS3A01G381000;TraesCS1A01G092700;TraesCS4D01G244000;TraesCS6B01G315800;TraesCS4A01G355000;TraesCS5B01G146700;TraesCS1B01G368500;TraesCS2A01G102600;TraesCS2B01G309500;TraesCS7B01G197000;TraesCS2B01G050600;TraesCS2A01G309600;TraesCS3D01G289600;TraesCS3A01G189400;TraesCS2D01G310000;TraesCS4D01G184400;TraesCS1B01G167200;TraesCS2B01G330100;TraesCS4D01G151900;TraesCS6D01G287300;TraesCS7A01G555700;TraesCS5D01G230300;TraesCS6A01G420100;TraesCS7B01G129300;TraesCS6B01G455100;TraesCS4D01G122800;TraesCS7D01G224400;TraesCS6A01G303800;TraesCS2B01G457600;TraesCS2A01G313000;TraesCS3D01G220400;TraesCS6D01G047400;TraesCS7D01G554900;TraesCS7B01G006600;TraesCS1D01G409700;TraesCS3A01G367000;TraesCS5D01G470400;TraesCS5A01G396700;TraesCS4D01G194300;TraesCS2A01G437700;TraesCS2A01G123800;TraesCS6A01G290600;TraesCS1B01G375300;TraesCS4B01G129700;TraesCS7A01G222800;TraesCS2A01G387000;TraesCS2A01G293400;TraesCS2D01G102100;TraesCS6B01G182300;TraesCS1D01G250700;TraesCS6A01G308100;TraesCS4D01G212600;TraesCS1B01G422200;TraesCS4D01G317900;TraesCS7A01G192000;TraesCS3B01G229700;TraesCS3D01G288000;TraesCS6B01G348700;TraesCS3A01G232700;TraesCS3A01G292700;TraesCS4B01G245400;TraesCS6D01G405600;TraesCS7D01G117800;TraesCS7D01G107600;TraesCS4B01G321300;TraesCS1D01G146600;TraesCS2B01G119700;TraesCS5D01G321900;TraesCS5B01G517500;TraesCS7D01G193000;TraesCS2D01G126600;TraesCS1B01G261700;TraesCS5A01G315800;TraesCS4A01G110800;TraesCS1A01G358800;TraesCS4B01G244400;TraesCS4A01G078900;TraesCS4D01G194400;TraesCS1D01G356900;TraesCS2B01G145700;TraesCS4A01G290400;TraesCS3D01G271200;TraesCS2B01G328500;TraesCS5A01G395200;TraesCS1D01G117400;TraesCS6B01G104600;TraesCS2D01G148200;TraesCS5B01G409700;TraesCS6D01G283300;TraesCS7A01G182200;TraesCS4B01G211800;TraesCS3B01G398300;TraesCS7D01G343300;TraesCS7A01G335600;TraesCS7B01G097000;TraesCS3A01G417000;TraesCS3A01G288200;TraesCS3D01G412500;TraesCS3A01G271600;TraesCS7D01G409000;TraesCS6A01G077800;TraesCS5A01G222500;TraesCS6A01G154400;TraesCS5D01G157300;TraesCS6D01G238800;TraesCS4A01G093100</t>
  </si>
  <si>
    <t>TraesCS6D01G121300;TraesCS4A01G125000;TraesCS2B01G307300;TraesCS5D01G219500;TraesCS5A01G108000;TraesCS5A01G513500;TraesCS1D01G210200;TraesCS7D01G121200;TraesCS4B01G213600;TraesCS6B01G159200;TraesCS5A01G014400;TraesCS4B01G150600;TraesCS1A01G355200;TraesCS7B01G104400;TraesCS4D01G135000;TraesCS5B01G324800;TraesCS6A01G133100;TraesCS5B01G171200;TraesCS2D01G233900;TraesCS7B01G113100;TraesCS7A01G088100;TraesCS4A01G286700;TraesCS7B01G350400;TraesCS5B01G415100;TraesCS2A01G193800;TraesCS5D01G026000;TraesCS6D01G390000;TraesCS2B01G330100;TraesCS6A01G105400;TraesCS3A01G393400;TraesCS1B01G254000;TraesCS5A01G014500;TraesCS2B01G070700;TraesCS1D01G412600;TraesCS4D01G025700;TraesCS4D01G359000;TraesCS5A01G093200;TraesCS7D01G224400;TraesCS6A01G303800;TraesCS5D01G178300;TraesCS6D01G135800;TraesCS2A01G313000;TraesCS3B01G309700;TraesCS6D01G047400;TraesCS6B01G239000;TraesCS4A01G091100;TraesCS5D01G420300;TraesCS5B01G300100;TraesCS7D01G439900;TraesCS1D01G092200;TraesCS7D01G283600;TraesCS2A01G437700;TraesCS2D01G251000;TraesCS2D01G389900;TraesCS1A01G206900;TraesCS6B01G238600;TraesCS7A01G222800;TraesCS2A01G222600;TraesCS7A01G316700;TraesCS4D01G339700;TraesCS6A01G212200;TraesCS7D01G083200;TraesCS1B01G396800;TraesCS3D01G341200;TraesCS5A01G173800;TraesCS5B01G084600;TraesCS4D01G157500;TraesCS4D01G107400;TraesCS6B01G159800;TraesCS5A01G411500;TraesCS6A01G158300;TraesCS3A01G224800;TraesCS5B01G102000;TraesCS1B01G366400;TraesCS4A01G387000;TraesCS4B01G193400;TraesCS7D01G200800;TraesCS6D01G259500;TraesCS6B01G307200;TraesCS4A01G165600;TraesCS4A01G290400;TraesCS1A01G195500;TraesCS2B01G328500;TraesCS6D01G132500;TraesCS1A01G313300;TraesCS4D01G159800;TraesCS5B01G409700;TraesCS2B01G248100;TraesCS2D01G238600;TraesCS2B01G154700;TraesCS7B01G217500;TraesCS5B01G036800;TraesCS2A01G132200;TraesCS4A01G206400;TraesCS4B01G041900;TraesCS1D01G024800;TraesCS6A01G279100;TraesCS3A01G288200;TraesCS1A01G024700;TraesCS1A01G133500;TraesCS5B01G534400;TraesCS1A01G100600;TraesCS6B01G173500;TraesCS3A01G082700;TraesCS2D01G549100;TraesCS3A01G276100;TraesCS3D01G426300;TraesCS5A01G092400;TraesCS2B01G271300;TraesCS7D01G338600;TraesCS1D01G401900;TraesCS3B01G046100;TraesCS3D01G436100;TraesCS3D01G041900;TraesCS5D01G481500;TraesCS5D01G099800;TraesCS1A01G231100;TraesCS2A01G058700;TraesCS2B01G528300;TraesCS6A01G143300;TraesCS6D01G122800;TraesCS5A01G119300;TraesCS4D01G021400;TraesCS4D01G214300;TraesCS3B01G185300;TraesCS4A01G052600;TraesCS1A01G376400;TraesCS7D01G228500;TraesCS1B01G325100;TraesCS5B01G102600;TraesCS2A01G280500;TraesCS5A01G096100;TraesCS3A01G484800;TraesCS6B01G315800;TraesCS3A01G151100;TraesCS2A01G290900;TraesCS2B01G050600;TraesCS6A01G209800;TraesCS2A01G309600;TraesCS4B01G204500;TraesCS2D01G310000;TraesCS7A01G341000;TraesCS5B01G476900;TraesCS1A01G036200;TraesCS3A01G443700;TraesCS4B01G028100;TraesCS2A01G430500;TraesCS7B01G242200;TraesCS7B01G129300;TraesCS5D01G108700;TraesCS2B01G297800;TraesCS3D01G228800;TraesCS1A01G198400;TraesCS2B01G457600;TraesCS4B01G151200;TraesCS5D01G459800;TraesCS3A01G191700;TraesCS1B01G110400;TraesCS5A01G212500;TraesCS6B01G242800;TraesCS7B01G006600;TraesCS3A01G367000;TraesCS2B01G451100;TraesCS6B01G470900;TraesCS5A01G396700;TraesCS2D01G288800;TraesCS6B01G450500;TraesCS4B01G179400;TraesCS6A01G290600;TraesCS6D01G094200;TraesCS1D01G313800;TraesCS5A01G548800;TraesCS2D01G194000;TraesCS1D01G086600;TraesCS1B01G220700;TraesCS1B01G422200;TraesCS1D01G003700;TraesCS5D01G551200;TraesCS6B01G134800;TraesCS3D01G288000;TraesCS4A01G315700;TraesCS2B01G602100;TraesCS5B01G563800;TraesCS6B01G176600;TraesCS7A01G450600;TraesCS3D01G083400;TraesCS2D01G279300;TraesCS6A01G267300;TraesCS1D01G383500;TraesCS2D01G057900;TraesCS1A01G259700;TraesCS6A01G146500;TraesCS5B01G155100;TraesCS5D01G105500;TraesCS1B01G213300;TraesCS4D01G194400;TraesCS1D01G390500;TraesCS5A01G324200;TraesCS1D01G231000;TraesCS2B01G410100;TraesCS7A01G314100;TraesCS1D01G199100;TraesCS6D01G283300;TraesCS6A01G210200;TraesCS6D01G195400;TraesCS4A01G247300;TraesCS5B01G481100;TraesCS6B01G171600;TraesCS1B01G434400;TraesCS4B01G131800;TraesCS7A01G226000;TraesCS4B01G109900;TraesCS1D01G198700</t>
  </si>
  <si>
    <t>TraesCS6D01G121300;TraesCS4A01G125000;TraesCS5B01G484700;TraesCS2A01G234900;TraesCS7D01G338600;TraesCS5D01G219500;TraesCS5A01G108000;TraesCS2A01G058700;TraesCS6B01G159200;TraesCS2B01G528300;TraesCS6A01G143300;TraesCS5A01G014400;TraesCS5A01G119300;TraesCS4D01G021400;TraesCS1A01G355200;TraesCS7B01G104400;TraesCS7D01G228500;TraesCS2B01G385300;TraesCS5D01G517600;TraesCS1B01G325100;TraesCS2A01G280500;TraesCS5B01G324800;TraesCS2D01G233900;TraesCS3A01G205100;TraesCS7A01G088100;TraesCS7D01G549100;TraesCS4A01G286700;TraesCS2B01G050600;TraesCS3D01G529200;TraesCS4B01G204500;TraesCS7A01G341000;TraesCS5B01G419300;TraesCS7B01G189500;TraesCS3A01G523700;TraesCS6D01G287300;TraesCS4B01G028100;TraesCS1B01G254000;TraesCS5A01G014500;TraesCS7B01G242200;TraesCS2B01G070700;TraesCS4D01G025700;TraesCS2B01G297800;TraesCS4D01G122800;TraesCS6A01G303800;TraesCS7A01G560200;TraesCS4B01G285000;TraesCS2B01G457600;TraesCS2B01G201700;TraesCS6D01G135800;TraesCS3B01G309700;TraesCS5A01G212500;TraesCS6D01G047400;TraesCS4A01G232300;TraesCS7B01G006600;TraesCS3D01G210300;TraesCS5B01G228900;TraesCS3A01G367000;TraesCS5D01G237400;TraesCS6B01G470900;TraesCS2A01G114400;TraesCS7D01G283600;TraesCS2A01G437700;TraesCS2A01G175400;TraesCS4A01G354500;TraesCS4B01G179400;TraesCS6A01G290600;TraesCS1D01G313800;TraesCS4B01G129700;TraesCS2A01G387000;TraesCS2A01G222600;TraesCS4D01G283800;TraesCS2B01G133500;TraesCS6A01G308100;TraesCS7D01G083200;TraesCS2D01G182700;TraesCS4B01G083600;TraesCS3D01G288000;TraesCS4D01G107400;TraesCS6B01G159800;TraesCS6B01G176600;TraesCS4D01G003100;TraesCS4D01G081600;TraesCS2D01G279300;TraesCS6A01G158300;TraesCS6A01G267300;TraesCS2A01G523600;TraesCS5B01G517900;TraesCS2D01G057900;TraesCS1A01G259700;TraesCS2A01G296400;TraesCS5D01G321900;TraesCS1B01G366400;TraesCS4A01G387000;TraesCS6A01G146500;TraesCS5A01G315800;TraesCS7D01G200800;TraesCS6D01G259500;TraesCS6B01G307200;TraesCS4D01G194400;TraesCS4A01G290400;TraesCS5A01G324200;TraesCS4D01G080700;TraesCS6D01G132500;TraesCS1A01G313300;TraesCS6D01G283300;TraesCS2B01G248100;TraesCS2D01G238600;TraesCS5B01G256400;TraesCS7D01G343300;TraesCS4A01G247300;TraesCS7A01G335600;TraesCS5B01G036800;TraesCS1D01G242400;TraesCS5A01G230400;TraesCS4A01G206400;TraesCS2B01G312600;TraesCS6A01G279100;TraesCS3A01G288200;TraesCS6B01G171600;TraesCS7A01G226000;TraesCS4B01G109900;TraesCS5B01G534400;TraesCS7B01G421100;TraesCS3A01G276100;TraesCS4D01G003600;TraesCS4A01G093100</t>
  </si>
  <si>
    <t>TraesCS4A01G125000;TraesCS3B01G014900;TraesCS1D01G107300;TraesCS5B01G484700;TraesCS5A01G103100;TraesCS6B01G454500;TraesCS5D01G107900;TraesCS4A01G257800;TraesCS6B01G418400;TraesCS2D01G014800;TraesCS6B01G159200;TraesCS4D01G153900;TraesCS5D01G532100;TraesCSU01G121900;TraesCS3B01G131400;TraesCS4B01G321500;TraesCS2D01G233900;TraesCS4D01G244000;TraesCS7A01G323200;TraesCS7D01G216000;TraesCS7D01G549100;TraesCS2D01G399800;TraesCS1B01G255100;TraesCS3A01G103100;TraesCS3B01G362500;TraesCS1A01G350200;TraesCS4B01G084800;TraesCS5A01G149000;TraesCS2B01G443900;TraesCS5A01G336500;TraesCS3D01G289600;TraesCS2B01G233400;TraesCS6A01G379800;TraesCS1D01G178400;TraesCS3D01G296900;TraesCS4D01G220700;TraesCS6A01G105400;TraesCS7D01G454200;TraesCS3A01G091100;TraesCS6D01G287300;TraesCS1A01G099400;TraesCS3A01G393400;TraesCS1B01G254000;TraesCS3A01G513500;TraesCS4A01G101500;TraesCS6A01G225200;TraesCS4D01G204000;TraesCS5D01G230300;TraesCS1D01G412600;TraesCS4D01G359000;TraesCS7A01G077400;TraesCS4A01G298100;TraesCS1A01G007500;TraesCS7A01G151000;TraesCS6A01G303800;TraesCS2D01G093700;TraesCS1B01G462200;TraesCS3D01G423300;TraesCS6B01G239000;TraesCS4A01G194100;TraesCS6D01G364400;TraesCS1D01G409700;TraesCS5B01G300100;TraesCS2B01G405600;TraesCS7D01G283600;TraesCS3D01G281100;TraesCS1B01G196500;TraesCS2A01G437700;TraesCS4D01G082700;TraesCS2D01G251000;TraesCS2D01G389900;TraesCS1B01G375300;TraesCS2B01G221800;TraesCS2D01G118000;TraesCS5A01G416400;TraesCS1D01G250700;TraesCS6A01G212200;TraesCS4B01G083600;TraesCS7A01G192000;TraesCS2B01G620600;TraesCS7D01G224900;TraesCS7A01G490900;TraesCS6D01G244900;TraesCS4A01G030400;TraesCS4D01G081600;TraesCS2B01G375700;TraesCS4A01G376000;TraesCS2A01G185500;TraesCS2A01G095300;TraesCS4A01G110800;TraesCS1A01G094200;TraesCS3D01G268700;TraesCS4A01G078900;TraesCS1A01G195500;TraesCS6D01G132500;TraesCS6D01G210000;TraesCS2D01G148200;TraesCS5A01G490500;TraesCS5B01G409700;TraesCS4D01G264800;TraesCS2A01G559600;TraesCS2A01G159900;TraesCS5B01G036800;TraesCS2B01G312600;TraesCS1B01G122300;TraesCS4B01G383000;TraesCS7D01G152900;TraesCS3A01G417000;TraesCS3A01G288200;TraesCS6D01G408000;TraesCS4B01G180100;TraesCS2D01G202200;TraesCS5B01G534400;TraesCS2B01G325100;TraesCS3A01G082700;TraesCS5D01G157300;TraesCS3A01G268600;TraesCS4D01G003600;TraesCS7A01G466600;TraesCS3D01G426300;TraesCS7A01G223300;TraesCS1B01G261600;TraesCS7D01G227300;TraesCS4B01G015600;TraesCS1D01G226500;TraesCS2B01G271300;TraesCS7D01G338600;TraesCS5D01G412600;TraesCS4A01G226900;TraesCSU01G072700;TraesCS6B01G169300;TraesCS3B01G441000;TraesCS6A01G143300;TraesCS4B01G220400;TraesCS4B01G056700;TraesCS5A01G091200;TraesCS4D01G013900;TraesCS5B01G378700;TraesCS1D01G316200;TraesCS3A01G220000;TraesCS3B01G324500;TraesCS5B01G396900;TraesCS2A01G280500;TraesCS3A01G381000;TraesCS2B01G004000;TraesCS2A01G149600;TraesCS3D01G182400;TraesCS1A01G180200;TraesCS5B01G335500;TraesCS7A01G307000;TraesCS3A01G052700;TraesCS5D01G141200;TraesCS7B01G197000;TraesCS5B01G058200;TraesCS3D01G529200;TraesCS6D01G182200;TraesCS4B01G204500;TraesCS3D01G275600;TraesCS1A01G258800;TraesCS7A01G341000;TraesCS2A01G307300;TraesCS7B01G189500;TraesCS5D01G504600;TraesCS3A01G523700;TraesCS5D01G208100;TraesCS7B01G242200;TraesCS3B01G252200;TraesCS3A01G530100;TraesCS1A01G095200;TraesCS2B01G297800;TraesCS4D01G122800;TraesCS6B01G256400;TraesCS7A01G560200;TraesCS6A01G158800;TraesCS1A01G198400;TraesCS2B01G457600;TraesCS4A01G334700;TraesCS3A01G191700;TraesCS5A01G392000;TraesCS6B01G242800;TraesCS1B01G200300;TraesCS1D01G211600;TraesCS2A01G128300;TraesCS5D01G094000;TraesCS3D01G259000;TraesCS3A01G023800;TraesCS4A01G232300;TraesCS5D01G401900;TraesCS3A01G367000;TraesCS5D01G237400;TraesCS5A01G396700;TraesCS4D01G194300;TraesCS4D01G085700;TraesCS5A01G059900;TraesCS5B01G501200;TraesCS2A01G387800;TraesCS4B01G179400;TraesCS6A01G290600;TraesCS6B01G089500;TraesCS1A01G315900;TraesCS2B01G107200;TraesCS6D01G094200;TraesCS4B01G129700;TraesCS5A01G095200;TraesCS5A01G548800;TraesCS5A01G135700;TraesCS6D01G130500;TraesCS2A01G387000;TraesCS2A01G092400;TraesCS4D01G318200;TraesCS5B01G107400;TraesCS6A01G308100;TraesCS2B01G150400;TraesCS3A01G100000;TraesCS4A01G231200;TraesCS5B01G418700;TraesCS6A01G040200;TraesCS6B01G134800;TraesCS3D01G288000;TraesCS6B01G348700;TraesCS4B01G152700;TraesCS4B01G245400;TraesCS3A01G251200;TraesCS2A01G434600;TraesCS5A01G429300;TraesCS6B01G176600;TraesCS7D01G073000;TraesCS6B01G192500;TraesCS7D01G107600;TraesCS3D01G083400;TraesCS6B01G065300;TraesCS2D01G279300;TraesCS6A01G267300;TraesCS6A01G408400;TraesCS3A01G304900;TraesCS4D01G057000;TraesCS2A01G296400;TraesCS7D01G193000;TraesCS1B01G261700;TraesCS6D01G299200;TraesCS2B01G174700;TraesCS7B01G218300;TraesCS1D01G103000;TraesCS2A01G391400;TraesCS1A01G358800;TraesCS4B01G244400;TraesCS1B01G213300;TraesCS1D01G258800;TraesCS2B01G185800;TraesCS2B01G410100;TraesCS1D01G199100;TraesCS5B01G147600;TraesCS6D01G283300;TraesCS5B01G101400;TraesCS6A01G210200;TraesCS6D01G195400;TraesCS2D01G300400;TraesCS7B01G097000;TraesCS2A01G239200;TraesCS5D01G341200;TraesCS5A01G020800;TraesCS3D01G091000;TraesCS1D01G353100;TraesCS3D01G412500;TraesCS6B01G171600;TraesCS1B01G434400;TraesCS3A01G271600;TraesCS5A01G222500;TraesCS4A01G093100;TraesCS7B01G207300</t>
  </si>
  <si>
    <t>cellular component biogenesis</t>
  </si>
  <si>
    <t>TraesCS1D01G264100;TraesCS3D01G426300;TraesCS6D01G121300;TraesCS4A01G125000;TraesCS5B01G484700;TraesCS2B01G307300;TraesCS2A01G234900;TraesCS7D01G338600;TraesCS5D01G219500;TraesCS5A01G108000;TraesCS1D01G101200;TraesCS2A01G058700;TraesCS6B01G159200;TraesCS2B01G528300;TraesCS6A01G143300;TraesCS6D01G122800;TraesCS5A01G014400;TraesCS5A01G119300;TraesCS4D01G021400;TraesCS1A01G355200;TraesCS7B01G104400;TraesCS7D01G228500;TraesCS2B01G385300;TraesCS5D01G517600;TraesCS7A01G451100;TraesCS1B01G325100;TraesCS2A01G280500;TraesCS5B01G324800;TraesCS6A01G133100;TraesCS1A01G092700;TraesCS1A01G416000;TraesCS2D01G233900;TraesCS3A01G205100;TraesCS7A01G088100;TraesCS7D01G549100;TraesCS4A01G286700;TraesCS3A01G151100;TraesCS1A01G264000;TraesCS2A01G290900;TraesCS2B01G050600;TraesCS4D01G068100;TraesCS3D01G529200;TraesCS4B01G204500;TraesCS7A01G341000;TraesCS2A01G193800;TraesCS5B01G419300;TraesCS7B01G189500;TraesCS3A01G523700;TraesCS6D01G287300;TraesCS4B01G028100;TraesCS1B01G254000;TraesCS5A01G014500;TraesCS7B01G242200;TraesCS2B01G070700;TraesCS1D01G303800;TraesCS4D01G025700;TraesCS2B01G297800;TraesCS4D01G122800;TraesCS6A01G303800;TraesCS7A01G560200;TraesCS4B01G285000;TraesCS2B01G457600;TraesCS4D01G160200;TraesCS2B01G201700;TraesCS6D01G135800;TraesCS3B01G309700;TraesCS5A01G212500;TraesCS6D01G047400;TraesCS2A01G187700;TraesCS4A01G232300;TraesCS7B01G006600;TraesCS3D01G210300;TraesCS5B01G228900;TraesCS3A01G367000;TraesCS5D01G067600;TraesCS5D01G237400;TraesCS6B01G470900;TraesCS2A01G114400;TraesCS7D01G283600;TraesCS2D01G288800;TraesCS5B01G132600;TraesCS2A01G437700;TraesCS2A01G175400;TraesCS4A01G354500;TraesCS4B01G179400;TraesCS6A01G290600;TraesCS4B01G154100;TraesCS1D01G315700;TraesCS1D01G313800;TraesCS4B01G129700;TraesCS1B01G274600;TraesCS2A01G387000;TraesCS2A01G222600;TraesCS2D01G194000;TraesCS4D01G283800;TraesCS2B01G133500;TraesCS6A01G308100;TraesCS7D01G083200;TraesCS2D01G182700;TraesCS4B01G083600;TraesCS3D01G288000;TraesCS4D01G107400;TraesCS6B01G159800;TraesCS5A01G056400;TraesCS6B01G176600;TraesCS1D01G423500;TraesCS4D01G003100;TraesCS3D01G083400;TraesCS4D01G081600;TraesCS2D01G279300;TraesCS5A01G132300;TraesCS6A01G158300;TraesCS6A01G267300;TraesCS2A01G523600;TraesCS5B01G517900;TraesCS2D01G057900;TraesCS1A01G259700;TraesCS2A01G296400;TraesCS5D01G321900;TraesCS1B01G366400;TraesCS4A01G387000;TraesCS6A01G146500;TraesCS5A01G315800;TraesCS7D01G200800;TraesCS6D01G259500;TraesCS6B01G307200;TraesCS4D01G194400;TraesCS4A01G290400;TraesCS1A01G195500;TraesCS5A01G324200;TraesCS4D01G080700;TraesCS5B01G509100;TraesCS6D01G132500;TraesCS1A01G313300;TraesCS6A01G070600;TraesCS1D01G199100;TraesCS6D01G283300;TraesCS2B01G248100;TraesCS1D01G367600;TraesCS2D01G238600;TraesCS5B01G256400;TraesCS7D01G343300;TraesCS4A01G247300;TraesCS7A01G335600;TraesCS5B01G036800;TraesCS1D01G242400;TraesCS5A01G230400;TraesCS4A01G206400;TraesCS2B01G312600;TraesCS6A01G279100;TraesCS3A01G288200;TraesCS6B01G171600;TraesCS7A01G226000;TraesCS4B01G109900;TraesCS5B01G534400;TraesCS7B01G421100;TraesCS3A01G082700;TraesCS3A01G276100;TraesCS4D01G003600;TraesCS4A01G093100;TraesCS4A01G246100</t>
  </si>
  <si>
    <t>TraesCS7A01G466600;TraesCS2D01G213200;TraesCS1B01G259800;TraesCS1D01G107300;TraesCS2B01G514800;TraesCS4A01G257800;TraesCS5A01G032500;TraesCS4A01G375000;TraesCS2B01G246900;TraesCS2D01G492600;TraesCS4B01G050600;TraesCS6B01G169300;TraesCS2B01G410600;TraesCS2B01G505400;TraesCS4A01G101200;TraesCS7B01G181200;TraesCS4D01G147500;TraesCS4B01G186700;TraesCS4B01G056700;TraesCS5B01G156500;TraesCS6B01G132300;TraesCSU01G121900;TraesCS5D01G429200;TraesCS7A01G076600;TraesCS4B01G126400;TraesCS4D01G244000;TraesCS5A01G390000;TraesCS2D01G399800;TraesCS3B01G299100;TraesCS1A01G350200;TraesCS5B01G159100;TraesCS3A01G229100;TraesCS6A01G379000;TraesCS2D01G487700;TraesCS1A01G258800;TraesCS2A01G488400;TraesCS4A01G264400;TraesCS2D01G232300;TraesCS2D01G385000;TraesCS3D01G275200;TraesCS5D01G399800;TraesCS7D01G454200;TraesCS5D01G208100;TraesCS1A01G099400;TraesCS2A01G233300;TraesCS1A01G177600;TraesCS1A01G095200;TraesCS6B01G285500;TraesCS7A01G151000;TraesCS4A01G334700;TraesCS3B01G246600;TraesCS2A01G221200;TraesCS2D01G093700;TraesCS5B01G484800;TraesCS2A01G149500;TraesCS1D01G020000;TraesCS2D01G304000;TraesCS5A01G472100;TraesCS5D01G396300;TraesCS2B01G174600;TraesCS2D01G561900;TraesCS2D01G322800;TraesCS2B01G250000;TraesCS6D01G091600;TraesCS5A01G059900;TraesCS5D01G078500;TraesCS1A01G249100;TraesCS2B01G405200;TraesCS3A01G275300;TraesCS2A01G387400;TraesCS2B01G221800;TraesCS6D01G130500;TraesCS5A01G416400;TraesCS6A01G103200;TraesCS2A01G480500;TraesCS5B01G418700;TraesCS7D01G278800;TraesCS5D01G444500;TraesCS3D01G150600;TraesCS4B01G245400;TraesCS6D01G221400;TraesCS2A01G344500;TraesCS3D01G326900;TraesCS7D01G072300;TraesCS5D01G484800;TraesCS6B01G365300;TraesCS4D01G057000;TraesCS5B01G037500;TraesCS2B01G375700;TraesCS2A01G592600;TraesCS7B01G169100;TraesCS2A01G185500;TraesCS2B01G520500;TraesCS2A01G095300;TraesCS5D01G231200;TraesCS5D01G044700;TraesCS2A01G391400;TraesCS4A01G078900;TraesCS5A01G036600;TraesCS5D01G405400;TraesCS2D01G154600;TraesCS5A01G223700;TraesCS7A01G260100;TraesCS1D01G258800;TraesCS1B01G293500;TraesCS2D01G226900;TraesCS2B01G229500;TraesCS7D01G190300;TraesCS6D01G363400;TraesCS3B01G363500;TraesCS6A01G311500;TraesCS1A01G284300;TraesCS7D01G152900;TraesCS2D01G488700;TraesCS1D01G353100;TraesCS5B01G074200;TraesCS5B01G395000;TraesCS1A01G020500;TraesCS2D01G202200;TraesCS1B01G269400;TraesCS2B01G293400;TraesCS7A01G279000;TraesCS2A01G487500</t>
  </si>
  <si>
    <t>TraesCS4A01G125000;TraesCS4A01G232300;TraesCS7B01G006600;TraesCS3D01G210300;TraesCS5B01G228900;TraesCS3A01G367000;TraesCS5B01G484700;TraesCS5D01G237400;TraesCS6B01G470900;TraesCS2A01G114400;TraesCS7D01G283600;TraesCS2A01G234900;TraesCS7D01G338600;TraesCS2A01G437700;TraesCS2A01G175400;TraesCS4B01G179400;TraesCS6A01G290600;TraesCS4B01G129700;TraesCS2A01G387000;TraesCS4D01G283800;TraesCS2B01G133500;TraesCS2A01G058700;TraesCS6A01G308100;TraesCS6B01G159200;TraesCS2B01G528300;TraesCS6A01G143300;TraesCS2D01G182700;TraesCS4B01G083600;TraesCS5A01G119300;TraesCS4D01G021400;TraesCS3D01G288000;TraesCS2B01G385300;TraesCS6B01G176600;TraesCS4D01G003100;TraesCS4D01G081600;TraesCS2A01G280500;TraesCS2D01G279300;TraesCS6A01G267300;TraesCS2A01G523600;TraesCS3A01G205100;TraesCS2D01G057900;TraesCS1A01G259700;TraesCS7D01G549100;TraesCS2A01G296400;TraesCS5D01G321900;TraesCS4A01G286700;TraesCS6A01G146500;TraesCS5A01G315800;TraesCS2B01G050600;TraesCS4D01G194400;TraesCS3D01G529200;TraesCS4A01G290400;TraesCS4B01G204500;TraesCS7A01G341000;TraesCS6D01G132500;TraesCS5B01G419300;TraesCS6D01G283300;TraesCS7B01G189500;TraesCS2D01G238600;TraesCS5B01G256400;TraesCS3A01G523700;TraesCS6D01G287300;TraesCS7D01G343300;TraesCS4B01G028100;TraesCS7A01G335600;TraesCS1B01G254000;TraesCS5B01G036800;TraesCS7B01G242200;TraesCS1D01G242400;TraesCS5A01G230400;TraesCS2B01G070700;TraesCS2B01G312600;TraesCS4D01G025700;TraesCS3A01G288200;TraesCS6B01G171600;TraesCS2B01G297800;TraesCS4D01G122800;TraesCS5B01G534400;TraesCS6A01G303800;TraesCS7A01G560200;TraesCS4B01G285000;TraesCS7B01G421100;TraesCS2B01G457600;TraesCS2B01G201700;TraesCS6D01G135800;TraesCS4D01G003600;TraesCS4A01G093100;TraesCS6D01G047400</t>
  </si>
  <si>
    <t>TraesCS4A01G125000;TraesCS4A01G232300;TraesCS7B01G006600;TraesCS3D01G210300;TraesCS5B01G228900;TraesCS3A01G367000;TraesCS5B01G484700;TraesCS5D01G237400;TraesCS6B01G470900;TraesCS2A01G114400;TraesCS7D01G283600;TraesCS2A01G234900;TraesCS7D01G338600;TraesCS2A01G437700;TraesCS2A01G175400;TraesCS4B01G179400;TraesCS6A01G290600;TraesCS4B01G129700;TraesCS2A01G387000;TraesCS4D01G283800;TraesCS2B01G133500;TraesCS2A01G058700;TraesCS6A01G308100;TraesCS6B01G159200;TraesCS2B01G528300;TraesCS6A01G143300;TraesCS2D01G182700;TraesCS4B01G083600;TraesCS5A01G119300;TraesCS4D01G021400;TraesCS3D01G288000;TraesCS2B01G385300;TraesCS6B01G176600;TraesCS4D01G003100;TraesCS4D01G081600;TraesCS2A01G280500;TraesCS2D01G279300;TraesCS6A01G267300;TraesCS2A01G523600;TraesCS3A01G205100;TraesCS2D01G057900;TraesCS1A01G259700;TraesCS7D01G549100;TraesCS2A01G296400;TraesCS5D01G321900;TraesCS4A01G286700;TraesCS6A01G146500;TraesCS5A01G315800;TraesCS2B01G050600;TraesCS4D01G194400;TraesCS3D01G529200;TraesCS4A01G290400;TraesCS4B01G204500;TraesCS7A01G341000;TraesCS6D01G132500;TraesCS5B01G419300;TraesCS6D01G283300;TraesCS7B01G189500;TraesCS2D01G238600;TraesCS3A01G523700;TraesCS6D01G287300;TraesCS7D01G343300;TraesCS4B01G028100;TraesCS7A01G335600;TraesCS1B01G254000;TraesCS5B01G036800;TraesCS7B01G242200;TraesCS5A01G230400;TraesCS2B01G070700;TraesCS2B01G312600;TraesCS4D01G025700;TraesCS3A01G288200;TraesCS6B01G171600;TraesCS2B01G297800;TraesCS4D01G122800;TraesCS5B01G534400;TraesCS6A01G303800;TraesCS7A01G560200;TraesCS4B01G285000;TraesCS7B01G421100;TraesCS2B01G457600;TraesCS2B01G201700;TraesCS6D01G135800;TraesCS4D01G003600;TraesCS4A01G093100;TraesCS6D01G047400</t>
  </si>
  <si>
    <t>TraesCS3D01G426300;TraesCS4A01G125000;TraesCS5A01G466100;TraesCS6D01G095800;TraesCS7D01G283600;TraesCS4B01G168300;TraesCS2A01G437700;TraesCS7A01G480700;TraesCS4B01G179400;TraesCS1A01G206900;TraesCS6D01G094200;TraesCS1D01G226100;TraesCS1D01G210200;TraesCS2D01G194000;TraesCS4D01G170800;TraesCS1B01G220700;TraesCS2A01G058700;TraesCS6A01G212200;TraesCS6A01G308100;TraesCS6B01G159200;TraesCS6A01G143300;TraesCS7D01G467500;TraesCS3B01G254400;TraesCS6D01G122800;TraesCS4D01G147100;TraesCS6B01G134800;TraesCS2D01G136200;TraesCS3D01G288000;TraesCS7B01G382800;TraesCS3D01G194300;TraesCS2A01G134000;TraesCS3D01G083400;TraesCS2A01G280500;TraesCS6A01G133100;TraesCS2D01G279300;TraesCS3B01G219700;TraesCS6A01G307700;TraesCS2D01G057900;TraesCS3A01G224800;TraesCS7D01G549100;TraesCS3A01G151100;TraesCS5D01G424400;TraesCS5D01G478900;TraesCS1A01G224700;TraesCS3D01G268700;TraesCS1D01G058300;TraesCS1A01G195500;TraesCS2A01G193800;TraesCS5D01G026000;TraesCS6D01G132500;TraesCS1D01G199100;TraesCS6D01G283300;TraesCS3D01G514100;TraesCS5A01G416700;TraesCS6A01G105400;TraesCS6D01G195400;TraesCS6D01G287300;TraesCS5B01G036800;TraesCS2A01G239200;TraesCS2B01G257300;TraesCS2B01G070700;TraesCS3A01G288200;TraesCS6B01G171600;TraesCS2B01G297800;TraesCS5B01G534400;TraesCS3D01G228800;TraesCS6A01G303800;TraesCS7A01G560200;TraesCS1D01G198700;TraesCS2B01G457600;TraesCS6B01G336300;TraesCS3A01G082700;TraesCS3A01G191700;TraesCS5B01G477800;TraesCS3A01G268600;TraesCS2B01G157600;TraesCS4A01G093100;TraesCS6B01G242800;TraesCS6D01G047400</t>
  </si>
  <si>
    <t>TraesCS3D01G426300;TraesCS4A01G125000;TraesCS4B01G168300;TraesCS1D01G226100;TraesCS1D01G210200;TraesCS2A01G058700;TraesCS6B01G159200;TraesCS6A01G143300;TraesCS7D01G467500;TraesCS2A01G409700;TraesCS6D01G122800;TraesCS4D01G147100;TraesCS6B01G251600;TraesCS2D01G136200;TraesCS7B01G382800;TraesCS6D01G204800;TraesCS1A01G376400;TraesCS4B01G354600;TraesCS2A01G280500;TraesCS6A01G133100;TraesCS3B01G219700;TraesCS7D01G549100;TraesCS3A01G151100;TraesCS2D01G236100;TraesCS1A01G224700;TraesCS1D01G058300;TraesCS2A01G193800;TraesCS5D01G026000;TraesCS2B01G428100;TraesCS6A01G105400;TraesCS6D01G287300;TraesCS2B01G257300;TraesCS2B01G070700;TraesCS7B01G129300;TraesCS5A01G093200;TraesCS2B01G297800;TraesCS7D01G224400;TraesCS3D01G228800;TraesCS6A01G303800;TraesCS7A01G560200;TraesCS2B01G457600;TraesCS3A01G191700;TraesCS2B01G157600;TraesCS6B01G242800;TraesCS6A01G230100;TraesCS6D01G047400;TraesCS4A01G232300;TraesCS5A01G466100;TraesCS6B01G470900;TraesCS7D01G283600;TraesCS2A01G437700;TraesCS7A01G480700;TraesCS4B01G179400;TraesCS1A01G206900;TraesCS6D01G094200;TraesCS7A01G222800;TraesCS2D01G194000;TraesCS1B01G220700;TraesCS6A01G212200;TraesCS6A01G308100;TraesCS4B01G083600;TraesCS1B01G396800;TraesCS5D01G551200;TraesCS6B01G134800;TraesCS3D01G288000;TraesCS3D01G194300;TraesCS4A01G315700;TraesCS5B01G563800;TraesCS2A01G134000;TraesCS3D01G083400;TraesCS4D01G081600;TraesCS2D01G279300;TraesCS6A01G307700;TraesCS4B01G300100;TraesCS1D01G383500;TraesCS2D01G057900;TraesCS3A01G224800;TraesCS5D01G424400;TraesCS5D01G478900;TraesCS5D01G105500;TraesCS3D01G268700;TraesCS1A01G195500;TraesCS6D01G132500;TraesCS1D01G199100;TraesCS5B01G409700;TraesCS6D01G283300;TraesCS3D01G514100;TraesCS5A01G416700;TraesCS1D01G367600;TraesCS2A01G467900;TraesCS2B01G154700;TraesCS6D01G195400;TraesCS7D01G343300;TraesCS7A01G335600;TraesCS5B01G036800;TraesCS2A01G132200;TraesCS2A01G239200;TraesCS2D01G407000;TraesCS3A01G288200;TraesCS4B01G314600;TraesCS6B01G171600;TraesCS4B01G131800;TraesCS5B01G534400;TraesCS1D01G198700;TraesCS6B01G336300;TraesCS3A01G082700;TraesCS5B01G477800;TraesCS3A01G268600;TraesCS4A01G093100</t>
  </si>
  <si>
    <t>TraesCS2B01G174600;TraesCS7A01G466600;TraesCS2D01G213200;TraesCS1B01G259800;TraesCS1D01G107300;TraesCS2D01G322800;TraesCS4A01G257800;TraesCS5A01G032500;TraesCS2B01G250000;TraesCS6D01G091600;TraesCS4A01G375000;TraesCS5D01G078500;TraesCS1A01G249100;TraesCS2B01G246900;TraesCS2B01G405200;TraesCS3A01G275300;TraesCS2A01G387400;TraesCS2B01G221800;TraesCS6D01G130500;TraesCS5A01G416400;TraesCS6A01G103200;TraesCS6B01G169300;TraesCS2A01G480500;TraesCS2B01G505400;TraesCS4A01G101200;TraesCS5B01G418700;TraesCS7B01G181200;TraesCS7D01G278800;TraesCS4D01G147500;TraesCS4B01G186700;TraesCS4B01G056700;TraesCS4B01G245400;TraesCS6D01G221400;TraesCS2A01G344500;TraesCS5B01G156500;TraesCS6B01G132300;TraesCS3D01G326900;TraesCS7D01G072300;TraesCS7A01G076600;TraesCS4B01G126400;TraesCS4D01G244000;TraesCS4D01G057000;TraesCS5A01G390000;TraesCS5B01G037500;TraesCS7B01G169100;TraesCS2A01G185500;TraesCS3B01G299100;TraesCS1A01G350200;TraesCS5D01G044700;TraesCS5B01G159100;TraesCS3A01G229100;TraesCS6A01G379000;TraesCS4A01G078900;TraesCS5A01G036600;TraesCS5D01G405400;TraesCS2D01G154600;TraesCS5A01G223700;TraesCS7A01G260100;TraesCS1A01G258800;TraesCS1D01G258800;TraesCS1B01G293500;TraesCS2A01G488400;TraesCS2D01G226900;TraesCS2D01G232300;TraesCS2D01G385000;TraesCS3D01G275200;TraesCS5D01G399800;TraesCS7D01G454200;TraesCS2B01G229500;TraesCS5D01G208100;TraesCS1A01G099400;TraesCS6D01G363400;TraesCS3B01G363500;TraesCS6A01G311500;TraesCS2A01G233300;TraesCS1A01G284300;TraesCS2D01G488700;TraesCS1D01G353100;TraesCS5B01G074200;TraesCS1A01G177600;TraesCS5B01G395000;TraesCS6B01G285500;TraesCS2D01G202200;TraesCS1B01G269400;TraesCS2B01G293400;TraesCS3B01G246600;TraesCS7A01G279000;TraesCS2A01G221200;TraesCS2A01G149500;TraesCS2D01G304000</t>
  </si>
  <si>
    <t>supramolecular fiber</t>
  </si>
  <si>
    <t>supramolecular polymer</t>
  </si>
  <si>
    <t>TraesCS3D01G426300;TraesCS5B01G270200;TraesCS4A01G232300;TraesCS7D01G227300;TraesCS5A01G466100;TraesCS4A01G167000;TraesCS1D01G092200;TraesCS2A01G114400;TraesCS7D01G283600;TraesCS3A01G212000;TraesCS7D01G072100;TraesCS2A01G437700;TraesCS6A01G290600;TraesCS3D01G256700;TraesCS4A01G226900;TraesCS6B01G238600;TraesCS2D01G238700;TraesCS2B01G133500;TraesCS6A01G212200;TraesCS1B01G472100;TraesCS5B01G227900;TraesCS4B01G083600;TraesCS7B01G240200;TraesCS7D01G161000;TraesCS7D01G293100;TraesCS2A01G342600;TraesCS3A01G232700;TraesCS6B01G319000;TraesCS2B01G272300;TraesCS2B01G234500;TraesCS4D01G081600;TraesCS2A01G280500;TraesCS3A01G381000;TraesCS2D01G279300;TraesCS2A01G523600;TraesCS3B01G219700;TraesCS4B01G164800;TraesCS2A01G187200;TraesCS7D01G549100;TraesCS5D01G321900;TraesCS2D01G236100;TraesCS3A01G210000;TraesCS2B01G340300;TraesCS5A01G315800;TraesCS3A01G075700;TraesCS3A01G052700;TraesCS2D01G380900;TraesCS6B01G286300;TraesCS7A01G342800;TraesCS6A01G209800;TraesCS2B01G233400;TraesCS4B01G204500;TraesCS1D01G445300;TraesCS3D01G060600;TraesCS5B01G263800;TraesCS4D01G184400;TraesCS6A01G289200;TraesCS7B01G114100;TraesCS6D01G283300;TraesCS7B01G189500;TraesCS6A01G237800;TraesCS2A01G467900;TraesCS5B01G256400;TraesCS6D01G195400;TraesCS5A01G173700;TraesCS4A01G101500;TraesCS4D01G204000;TraesCS2B01G070700;TraesCS1A01G437500;TraesCS1A01G007500;TraesCS2B01G297800;TraesCS3A01G271600;TraesCS7D01G280600;TraesCS1A01G100600;TraesCS2A01G252600;TraesCS6A01G303800;TraesCS7A01G560200;TraesCS2B01G457600;TraesCS5B01G171100;TraesCS5B01G316400;TraesCS3A01G191700;TraesCS3B01G240500;TraesCS3D01G220400;TraesCS1B01G110400;TraesCS4D01G003600;TraesCS6B01G242800;TraesCS1B01G462200</t>
  </si>
  <si>
    <t>chloroplast thylakoid</t>
  </si>
  <si>
    <t>TraesCS2D01G324900;TraesCS2A01G246200;TraesCS1A01G369600;TraesCS1D01G210200;TraesCS5B01G531900;TraesCS4B01G213600;TraesCS2D01G014800;TraesCS7D01G467500;TraesCS4D01G153900;TraesCS4D01G147100;TraesCS2A01G262700;TraesCS4A01G065400;TraesCS2D01G136200;TraesCS5D01G181600;TraesCS7B01G382800;TraesCS5D01G056900;TraesCS5B01G324800;TraesCS5D01G429200;TraesCS6A01G133100;TraesCS3B01G219700;TraesCS3D01G428300;TraesCS2A01G193800;TraesCS4B01G347000;TraesCS5D01G026000;TraesCS4D01G220700;TraesCS6D01G390000;TraesCS6D01G287300;TraesCS4D01G151500;TraesCS4A01G101500;TraesCS6A01G225200;TraesCS2B01G257300;TraesCS4D01G204000;TraesCSU01G093800;TraesCS5A01G093200;TraesCS6D01G162200;TraesCS5B01G174600;TraesCS4A01G120000;TraesCS4D01G120900;TraesCS7A01G415500;TraesCS6D01G298300;TraesCS5B01G171100;TraesCS2A01G500400;TraesCS2B01G207000;TraesCS6D01G047400;TraesCS7B01G241500;TraesCS7B01G103100;TraesCS4A01G167000;TraesCS6D01G095800;TraesCS7D01G283600;TraesCS3D01G434800;TraesCS6B01G282200;TraesCS5D01G149900;TraesCS3A01G332300;TraesCS2D01G383800;TraesCS2B01G303300;TraesCS6B01G238600;TraesCS3D01G407300;TraesCS6A01G212200;TraesCS4A01G042500;TraesCS7B01G162300;TraesCS5B01G084600;TraesCS2D01G356700;TraesCS7A01G327600;TraesCS7A01G190500;TraesCS3A01G224800;TraesCS2B01G520500;TraesCS6B01G166400;TraesCS5A01G357400;TraesCS1A01G195500;TraesCS3D01G084300;TraesCS2A01G467900;TraesCS3A01G521600;TraesCS4A01G193700;TraesCS5B01G036800;TraesCS4A01G342800;TraesCS4B01G041900;TraesCS3A01G288200;TraesCS4B01G314600;TraesCS7D01G373100;TraesCS4A01G298700;TraesCS6B01G336300;TraesCS3A01G082700;TraesCS4A01G005000;TraesCS4A01G078800;TraesCS3A01G268600;TraesCS3B01G307600;TraesCS3B01G303000;TraesCS3D01G224800;TraesCS5D01G013100;TraesCS5B01G409400;TraesCS4B01G015600;TraesCS7D01G288700;TraesCS5D01G481500;TraesCS2D01G492600;TraesCS5D01G099800;TraesCS4B01G288200;TraesCS5A01G089900;TraesCS5D01G530200;TraesCS6A01G143300;TraesCS3B01G254400;TraesCS5D01G366500;TraesCS5A01G123800;TraesCS4B01G220400;TraesCS4D01G214300;TraesCS5A01G501800;TraesCS4D01G252700;TraesCS7A01G264300;TraesCS6A01G355300;TraesCS2A01G280500;TraesCS3A01G381000;TraesCS1A01G092700;TraesCS4A01G116000;TraesCS7D01G025000;TraesCS2A01G223600;TraesCS5A01G004200;TraesCS3A01G151100;TraesCS7A01G307000;TraesCS1A01G224700;TraesCS6B01G246600;TraesCS1D01G155800;TraesCS7B01G197000;TraesCS6D01G186000;TraesCS6A01G209800;TraesCS1D01G058300;TraesCS2B01G369600;TraesCS2D01G242100;TraesCS3A01G189400;TraesCS3D01G527700;TraesCS3A01G412600;TraesCS3D01G240800;TraesCS5A01G104800;TraesCS7A01G004000;TraesCS2D01G094400;TraesCS3A01G435700;TraesCS6B01G256400;TraesCS3D01G228800;TraesCS7D01G407700;TraesCS7B01G278200;TraesCS2B01G304900;TraesCS3A01G191700;TraesCS4D01G240700;TraesCS2A01G128300;TraesCS7D01G332300;TraesCS7B01G006600;TraesCS7A01G139800;TraesCS1B01G290800;TraesCS3A01G084400;TraesCS2B01G592500;TraesCS3B01G268900;TraesCS4A01G354500;TraesCS6D01G094200;TraesCS2D01G205900;TraesCS6D01G212000;TraesCS2A01G092400;TraesCS2D01G194000;TraesCS1B01G220700;TraesCS6A01G308100;TraesCS6D01G065600;TraesCS1D01G003700;TraesCS2B01G150400;TraesCS6A01G336800;TraesCS6B01G134800;TraesCS2A01G338100;TraesCS3D01G271800;TraesCS3D01G288000;TraesCS2A01G342600;TraesCS6B01G176600;TraesCS7A01G450600;TraesCS3D01G083400;TraesCS4B01G287200;TraesCS2D01G279300;TraesCS3B01G370200;TraesCS4B01G164800;TraesCS5B01G517900;TraesCS4A01G364400;TraesCS5D01G424400;TraesCS3B01G257700;TraesCS6B01G223200;TraesCS7A01G359800;TraesCS4A01G144500;TraesCS6D01G283300;TraesCS3D01G514100;TraesCS5A01G416700;TraesCS5B01G256400;TraesCS6B01G331800;TraesCS7D01G169500;TraesCS3D01G412500;TraesCS4B01G131800;TraesCS6A01G319100;TraesCS1A01G281700;TraesCSU01G132400;TraesCS1D01G198700;TraesCS3A01G488100;TraesCS4D01G189600;TraesCS7B01G421100;TraesCS4A01G093100;TraesCS4B01G252400;TraesCS4A01G125000;TraesCS7A01G351100;TraesCS5A01G468600;TraesCS1B01G049300;TraesCS5D01G219500;TraesCS1D01G101200;TraesCS1D01G226100;TraesCS5A01G513500;TraesCS5B01G141000;TraesCS4D01G170800;TraesCS6B01G159200;TraesCS5B01G227900;TraesCS4B01G226100;TraesCS3A01G181600;TraesCS6D01G204800;TraesCS5A01G467500;TraesCS5D01G517600;TraesCS7D01G549100;TraesCS7B01G350400;TraesCS1B01G255100;TraesCS6D01G224200;TraesCS6B01G219700;TraesCS7D01G313600;TraesCS6A01G201800;TraesCS3A01G103900;TraesCS2D01G248600;TraesCS4A01G080100;TraesCS6B01G257900;TraesCS7D01G265200;TraesCS1A01G340400;TraesCS6A01G105400;TraesCS2B01G263300;TraesCS1B01G254000;TraesCS3A01G513500;TraesCS2B01G070700;TraesCS4A01G013500;TraesCS4A01G298100;TraesCS1A01G007500;TraesCS6A01G303800;TraesCS6A01G230100;TraesCS2A01G187700;TraesCS2D01G154100;TraesCS4A01G091100;TraesCS2D01G349600;TraesCS4A01G194100;TraesCS4A01G494400;TraesCS5A01G466100;TraesCS4D01G341900;TraesCS5B01G300100;TraesCS7D01G439900;TraesCS1D01G280900;TraesCS2A01G437700;TraesCS3A01G275700;TraesCS1A01G206900;TraesCS4B01G263100;TraesCS2A01G222600;TraesCS3D01G237100;TraesCS7A01G293200;TraesCS1B01G352700;TraesCS4D01G339700;TraesCS1D01G342400;TraesCS1D01G242500;TraesCS5B01G502700;TraesCS3D01G341200;TraesCS2B01G272300;TraesCS3D01G194300;TraesCS2D01G520000;TraesCS1B01G478800;TraesCS4D01G327300;TraesCS5B01G099300;TraesCS3A01G272200;TraesCS3A01G264700;TraesCS5B01G503800;TraesCS1D01G094400;TraesCS3D01G268700;TraesCS4A01G051900;TraesCS4A01G290400;TraesCS2A01G492300;TraesCS5B01G509100;TraesCS6D01G132500;TraesCS3D01G258900;TraesCS6D01G210000;TraesCS2B01G248100;TraesCS2D01G238600;TraesCS6A01G107900;TraesCS4D01G039100;TraesCS1D01G242400;TraesCS2B01G312600;TraesCS3A01G417000;TraesCS7D01G409000;TraesCS5B01G534400;TraesCS3A01G274600;TraesCS5B01G477800;TraesCS7D01G499800;TraesCS3D01G264800;TraesCS3D01G426300;TraesCS1B01G261600;TraesCS2A01G286500;TraesCS6D01G337500;TraesCS5A01G092400;TraesCS4B01G168300;TraesCS1D01G149900;TraesCS2A01G197900;TraesCS4A01G226900;TraesCS2A01G058700;TraesCS2B01G343900;TraesCS2B01G528300;TraesCS6D01G122800;TraesCS6B01G251600;TraesCS4D01G021400;TraesCS4D01G348500;TraesCS6A01G130900;TraesCS4D01G013900;TraesCS3B01G161900;TraesCS5B01G102600;TraesCS4B01G023800;TraesCS1A01G060100;TraesCS3A01G134100;TraesCS2B01G004000;TraesCS7A01G376800;TraesCS7D01G327700;TraesCS2B01G340300;TraesCS3B01G362100;TraesCS7D01G174700;TraesCS1D01G331000;TraesCS4B01G204500;TraesCS3D01G275600;TraesCS5B01G476900;TraesCS5D01G504600;TraesCS5A01G173700;TraesCS6D01G172500;TraesCS7D01G004500;TraesCS1A01G001800;TraesCS2B01G404600;TraesCS2B01G297800;TraesCS2A01G252600;TraesCS7A01G560200;TraesCS2B01G457600;TraesCS3D01G220400;TraesCS2A01G460000;TraesCS2B01G157600;TraesCS5A01G212500;TraesCS6B01G242800;TraesCS3A01G023800;TraesCS3A01G367000;TraesCS3B01G308200;TraesCS2A01G114400;TraesCS6A01G314100;TraesCS6B01G450500;TraesCS3D01G325800;TraesCS4B01G242800;TraesCS7A01G480700;TraesCS4B01G179400;TraesCS6A01G290600;TraesCS2B01G107200;TraesCS2A01G387000;TraesCS1D01G086600;TraesCS2B01G133500;TraesCS3B01G309400;TraesCS3A01G232700;TraesCS2A01G134000;TraesCS2D01G229600;TraesCS2B01G273900;TraesCS2D01G249200;TraesCS6A01G267300;TraesCS6A01G307700;TraesCS6B01G344100;TraesCS4D01G263300;TraesCS5A01G046600;TraesCS2D01G057900;TraesCS4B01G344600;TraesCS2A01G296400;TraesCS5D01G478900;TraesCS3B01G306000;TraesCS4A01G276300;TraesCS5D01G105500;TraesCS2D01G500600;TraesCS1A01G111100;TraesCS1D01G390500;TraesCS4A01G164900;TraesCS5B01G136500;TraesCS5B01G509500;TraesCS5A01G324200;TraesCS5A01G515700;TraesCS7B01G124100;TraesCS6A01G070600;TraesCSU01G047800;TraesCS1D01G199100;TraesCS6D01G174500;TraesCS6D01G195400;TraesCS2B01G225300;TraesCS3B01G470400;TraesCS4A01G124000;TraesCS1A01G158500;TraesCS2A01G239200;TraesCS6D01G193000;TraesCS5B01G481100;TraesCS6B01G171600;TraesCS3D01G087300;TraesCS7D01G000100;TraesCS4D01G242400;TraesCS7B01G207300;TraesCS6B01G388100</t>
  </si>
  <si>
    <t>TraesCS3D01G426300;TraesCS7A01G223300;TraesCS3A01G023800;TraesCS4A01G125000;TraesCS5B01G484700;TraesCS6B01G470900;TraesCS5A01G396700;TraesCS7D01G283600;TraesCS2B01G271300;TraesCS4B01G179400;TraesCS2D01G251000;TraesCS3D01G436100;TraesCS2D01G118000;TraesCS7A01G222800;TraesCS2A01G387000;TraesCS2A01G058700;TraesCS6A01G212200;TraesCS6B01G159200;TraesCS5D01G530200;TraesCS3A01G100000;TraesCS1B01G396800;TraesCS4D01G147100;TraesCS5A01G119300;TraesCS5D01G551200;TraesCS7B01G240200;TraesCS3D01G288000;TraesCS4A01G315700;TraesCS7D01G224900;TraesCS7A01G190700;TraesCS1A01G376400;TraesCS5A01G429300;TraesCS5B01G563800;TraesCS3D01G083400;TraesCS3A01G381000;TraesCS1D01G383500;TraesCS2D01G057900;TraesCS6B01G315800;TraesCS7D01G549100;TraesCS1B01G255100;TraesCS6D01G299200;TraesCS3A01G075700;TraesCS7A01G307000;TraesCS7A01G342800;TraesCS5A01G149000;TraesCS5D01G105500;TraesCS2B01G050600;TraesCS1B01G213300;TraesCS5D01G164800;TraesCS3D01G275600;TraesCS3A01G443700;TraesCS6D01G210000;TraesCS5B01G147600;TraesCS5B01G409700;TraesCS6D01G283300;TraesCS2B01G154700;TraesCS6D01G174500;TraesCS6D01G195400;TraesCS7D01G343300;TraesCS7A01G335600;TraesCS1B01G254000;TraesCS3A01G513500;TraesCS5B01G036800;TraesCS6A01G225200;TraesCS2A01G132200;TraesCS4A01G342800;TraesCS2B01G070700;TraesCS7B01G129300;TraesCS5A01G093200;TraesCS3A01G288200;TraesCS7D01G224400;TraesCS1A01G133500;TraesCS5B01G534400;TraesCS6B01G256400;TraesCS2B01G325100;TraesCS6A01G303800;TraesCS7A01G560200;TraesCS1A01G198400;TraesCS3A01G082700;TraesCS3A01G191700;TraesCS7D01G000100;TraesCS4A01G093100;TraesCS6B01G242800;TraesCS1D01G211600;TraesCS7B01G207300;TraesCS6D01G047400;TraesCS1B01G462200</t>
  </si>
  <si>
    <t>thylakoid membrane organization</t>
  </si>
  <si>
    <t>plastid membrane organization</t>
  </si>
  <si>
    <t>TraesCS4A01G125000;TraesCS5D01G219500;TraesCS5A01G513500;TraesCS1A01G369600;TraesCS1D01G210200;TraesCS4B01G213600;TraesCS6B01G159200;TraesCS2B01G530100;TraesCS4D01G153900;TraesCS4D01G147100;TraesCS4B01G150600;TraesCS5B01G324800;TraesCS6A01G133100;TraesCS5B01G171200;TraesCS1A01G416000;TraesCS7B01G113100;TraesCS7D01G549100;TraesCS4A01G286700;TraesCS7B01G350400;TraesCS1B01G402900;TraesCS5B01G415100;TraesCS6A01G201800;TraesCS5A01G128300;TraesCS2A01G193800;TraesCS5D01G026000;TraesCS6D01G390000;TraesCS2B01G330100;TraesCS3B01G006700;TraesCS6A01G105400;TraesCS1B01G254000;TraesCS2B01G257300;TraesCS2B01G070700;TraesCS1D01G412600;TraesCS4D01G025700;TraesCS4D01G359000;TraesCS5A01G093200;TraesCS4D01G120900;TraesCS7D01G224400;TraesCS6A01G303800;TraesCS4D01G160200;TraesCS5D01G178300;TraesCS6D01G135800;TraesCS2A01G313000;TraesCS6D01G047400;TraesCS1B01G462200;TraesCS6B01G239000;TraesCS4A01G091100;TraesCS5D01G420300;TraesCS5B01G300100;TraesCS7D01G439900;TraesCS1D01G092200;TraesCS7D01G283600;TraesCS2A01G437700;TraesCS4D01G343400;TraesCS1B01G304500;TraesCS2D01G251000;TraesCS2D01G389900;TraesCS1A01G206900;TraesCS6A01G321600;TraesCS7A01G222800;TraesCS7A01G316700;TraesCS3D01G407300;TraesCS4D01G339700;TraesCS6A01G212200;TraesCS4B01G083600;TraesCS1B01G396800;TraesCS5A01G173800;TraesCS4D01G157500;TraesCS4B01G091100;TraesCS1D01G423500;TraesCS5A01G411500;TraesCS4D01G081600;TraesCS4B01G300100;TraesCS5B01G102000;TraesCS4B01G193400;TraesCS1D01G356900;TraesCS4A01G165600;TraesCS4A01G290400;TraesCS1A01G195500;TraesCS2B01G328500;TraesCS6D01G132500;TraesCS3D01G258900;TraesCS4D01G159800;TraesCS5B01G409700;TraesCS2A01G467900;TraesCS2D01G238600;TraesCS2B01G154700;TraesCS4A01G193700;TraesCS7B01G217500;TraesCS5B01G036800;TraesCS2A01G132200;TraesCS4B01G041900;TraesCS1D01G024800;TraesCS3A01G288200;TraesCS4A01G147500;TraesCS1A01G024700;TraesCS1A01G133500;TraesCS5A01G221800;TraesCS5B01G534400;TraesCS1A01G100600;TraesCS6B01G173500;TraesCS3A01G082700;TraesCS3D01G426300;TraesCS5A01G092400;TraesCS2B01G271300;TraesCS7D01G338600;TraesCS1D01G401900;TraesCS3B01G046100;TraesCS3D01G436100;TraesCS3D01G041900;TraesCS5D01G481500;TraesCS4B01G286700;TraesCS1A01G420900;TraesCS2A01G058700;TraesCS6A01G143300;TraesCS6D01G122800;TraesCS5A01G119300;TraesCS5A01G123800;TraesCS4D01G021400;TraesCS3B01G011800;TraesCS4D01G214300;TraesCS4A01G052600;TraesCS1A01G376400;TraesCS5B01G102600;TraesCS2A01G280500;TraesCS1A01G060100;TraesCS5A01G096100;TraesCS3A01G484800;TraesCS6B01G315800;TraesCS6D01G301300;TraesCS3A01G151100;TraesCS2D01G236100;TraesCS1B01G368500;TraesCS6A01G203700;TraesCS2B01G050600;TraesCS6D01G186000;TraesCS2A01G309600;TraesCS1D01G241800;TraesCS2D01G310000;TraesCS7A01G341000;TraesCS5B01G476900;TraesCS3A01G443700;TraesCS2A01G501900;TraesCS3A01G412600;TraesCS4B01G028100;TraesCS6D01G172500;TraesCS7B01G242200;TraesCS7B01G129300;TraesCS1D01G303800;TraesCS5D01G108700;TraesCS2B01G297800;TraesCS7A01G560200;TraesCS5B01G127300;TraesCS1A01G198400;TraesCS2B01G457600;TraesCS4B01G151200;TraesCS3A01G191700;TraesCS1B01G110400;TraesCS2A01G460000;TraesCS5A01G212500;TraesCS6B01G242800;TraesCS4A01G232300;TraesCS7B01G006600;TraesCS3A01G367000;TraesCS1B01G253500;TraesCS6B01G470900;TraesCS5A01G396700;TraesCS6B01G450500;TraesCS4B01G179400;TraesCS6A01G290600;TraesCS4B01G154100;TraesCS6D01G094200;TraesCS5A01G548800;TraesCS5D01G135900;TraesCS2D01G194000;TraesCS1B01G220700;TraesCS6B01G352400;TraesCS1B01G422200;TraesCS1D01G003700;TraesCS5D01G551200;TraesCS4D01G157900;TraesCS6B01G134800;TraesCS3D01G288000;TraesCS4A01G315700;TraesCS5B01G563800;TraesCS6B01G176600;TraesCS7A01G450600;TraesCS3D01G228900;TraesCS3D01G083400;TraesCS2D01G279300;TraesCS1D01G383500;TraesCS2D01G057900;TraesCS1A01G259700;TraesCS6A01G146500;TraesCS6B01G223200;TraesCS5B01G155100;TraesCS5D01G105500;TraesCS1B01G213300;TraesCS4D01G194400;TraesCS5A01G324200;TraesCS2B01G410100;TraesCS7A01G314100;TraesCS1D01G199100;TraesCS6D01G283300;TraesCS1D01G367600;TraesCS6A01G210200;TraesCS6D01G195400;TraesCS7D01G343300;TraesCS7A01G335600;TraesCS2A01G239200;TraesCS5B01G481100;TraesCS6B01G171600;TraesCS1B01G434400;TraesCS4B01G131800;TraesCS1D01G198700;TraesCS4A01G093100</t>
  </si>
  <si>
    <t>TraesCS2D01G324900;TraesCS7D01G292000;TraesCS5B01G484700;TraesCS7D01G294300;TraesCS2A01G246200;TraesCS5B01G175800;TraesCS4A01G226500;TraesCS5B01G531900;TraesCS1B01G146200;TraesCS4B01G213600;TraesCS2D01G014800;TraesCS4D01G147100;TraesCS2A01G262700;TraesCS4A01G065400;TraesCS5B01G094600;TraesCS5D01G056900;TraesCS5A01G166800;TraesCS7A01G323200;TraesCS3D01G428300;TraesCS6B01G112700;TraesCS5A01G149000;TraesCS1A01G130700;TraesCS7B01G411000;TraesCS5A01G336500;TraesCS4D01G184400;TraesCS4B01G347000;TraesCS6D01G390000;TraesCS6D01G287300;TraesCS7A01G555700;TraesCS4D01G151500;TraesCS6A01G225200;TraesCS6A01G420100;TraesCSU01G093800;TraesCS5A01G093200;TraesCS6D01G162200;TraesCS7D01G339300;TraesCS6D01G357600;TraesCS4A01G120000;TraesCS7A01G415500;TraesCS7D01G224400;TraesCS6D01G298300;TraesCS2D01G093700;TraesCS2A01G313000;TraesCS6D01G047400;TraesCS7B01G241500;TraesCS7B01G103100;TraesCS1D01G409700;TraesCS4A01G167000;TraesCS5B01G171400;TraesCS7D01G283600;TraesCS2B01G382000;TraesCS3B01G423600;TraesCS6B01G282200;TraesCS3A01G332300;TraesCS3A01G380100;TraesCS1B01G375300;TraesCS2D01G383800;TraesCS1B01G274600;TraesCS6B01G238600;TraesCS7A01G222800;TraesCS2A01G293400;TraesCS2D01G102100;TraesCS5D01G118200;TraesCS1D01G250700;TraesCS3D01G407300;TraesCS6A01G212200;TraesCS4D01G094700;TraesCS1A01G246800;TraesCS3B01G149800;TraesCS4A01G042500;TraesCS2A01G157700;TraesCS7B01G162300;TraesCS5D01G100800;TraesCS2D01G356700;TraesCS7A01G327600;TraesCS3A01G292700;TraesCS2B01G119700;TraesCS5D01G321900;TraesCS7A01G466900;TraesCS5B01G517500;TraesCS6B01G166400;TraesCS7A01G252000;TraesCS5A01G315800;TraesCS5D01G044700;TraesCS5A01G357400;TraesCS4A01G078900;TraesCS3D01G327600;TraesCS3D01G271200;TraesCS2B01G328500;TraesCS6D01G344100;TraesCS2D01G148200;TraesCS7B01G242800;TraesCS4A01G193700;TraesCS5B01G036800;TraesCS4A01G342800;TraesCS4B01G041900;TraesCS3A01G288200;TraesCS4D01G160000;TraesCS4A01G078800;TraesCS5D01G157300;TraesCS3A01G268600;TraesCS3B01G303000;TraesCS1A01G299500;TraesCS3D01G224800;TraesCS3B01G412600;TraesCS6A01G123800;TraesCS1D01G264100;TraesCS5B01G409400;TraesCS4B01G015600;TraesCS1D01G401900;TraesCS7D01G288700;TraesCS5D01G481500;TraesCS5D01G099800;TraesCS3A01G202000;TraesCS6D01G398100;TraesCS5D01G530200;TraesCS4A01G178600;TraesCS5A01G119300;TraesCS5D01G366500;TraesCS5A01G123800;TraesCS4D01G214300;TraesCS1A01G116200;TraesCS4A01G052600;TraesCS4D01G252700;TraesCS7A01G264300;TraesCS6A01G355300;TraesCS3B01G324500;TraesCS5D01G517200;TraesCS3A01G381000;TraesCS1A01G092700;TraesCS7D01G025000;TraesCS2B01G401900;TraesCS1B01G368500;TraesCS7D01G250100;TraesCS1A01G264000;TraesCS6D01G362000;TraesCS6B01G246600;TraesCS7B01G197000;TraesCS6D01G186000;TraesCS6A01G209800;TraesCS2A01G309600;TraesCS5B01G396700;TraesCS4B01G246900;TraesCS3A01G189400;TraesCS1B01G167200;TraesCS3A01G412600;TraesCS3D01G240800;TraesCS3B01G252200;TraesCS5A01G104800;TraesCS7A01G004000;TraesCS7B01G129300;TraesCS6B01G455100;TraesCS3A01G435700;TraesCS4D01G122800;TraesCS3B01G435900;TraesCS6B01G256400;TraesCS1B01G439600;TraesCS7D01G407700;TraesCS2B01G304900;TraesCS1A01G198400;TraesCS3D01G203400;TraesCS5D01G459800;TraesCS1D01G211600;TraesCS2A01G128300;TraesCS2D01G105300;TraesCS6D01G062500;TraesCS7A01G313900;TraesCS6B01G414800;TraesCS7D01G332300;TraesCS7B01G006600;TraesCS5D01G470400;TraesCS7A01G139800;TraesCS7B01G085700;TraesCS3B01G268900;TraesCS2A01G123800;TraesCS6D01G094200;TraesCS4B01G129700;TraesCS2D01G205900;TraesCS4B01G150300;TraesCS3B01G209400;TraesCS2A01G092400;TraesCS4A01G058000;TraesCS4D01G318200;TraesCS6A01G308100;TraesCS4A01G262900;TraesCS1D01G003700;TraesCS2B01G150400;TraesCS3A01G402500;TraesCS5D01G551200;TraesCS6A01G336800;TraesCS6B01G134800;TraesCS2A01G338100;TraesCS3D01G271800;TraesCS3D01G288000;TraesCS4B01G245400;TraesCS7A01G381900;TraesCS6D01G405600;TraesCS5B01G563800;TraesCS7A01G450600;TraesCS2D01G528800;TraesCS6A01G322400;TraesCS6A01G259000;TraesCS4B01G164800;TraesCS5B01G037500;TraesCS2A01G110700;TraesCS2B01G174700;TraesCS3B01G257700;TraesCS3D01G373300;TraesCS6B01G223200;TraesCS3B01G400900;TraesCS4B01G244400;TraesCS7D01G378400;TraesCS4A01G144500;TraesCS7D01G447100;TraesCS5D01G437600;TraesCS1A01G172100;TraesCS1D01G117400;TraesCS6D01G283300;TraesCS7D01G343300;TraesCS6B01G331800;TraesCS7A01G335600;TraesCS5D01G341200;TraesCS5A01G020800;TraesCS3D01G412500;TraesCS3A01G271600;TraesCS6A01G319100;TraesCS7A01G452800;TraesCS5A01G113700;TraesCS5A01G460600;TraesCS6A01G077800;TraesCSU01G132400;TraesCS3A01G488100;TraesCS7B01G421100;TraesCS1A01G129400;TraesCS4A01G093100;TraesCS4B01G252400;TraesCS6A01G360600;TraesCS3B01G224600;TraesCS7A01G351100;TraesCS5A01G468600;TraesCS1B01G049300;TraesCS4A01G166900;TraesCS1D01G101200;TraesCS5A01G513500;TraesCS6B01G159200;TraesCS1A01G112800;TraesCS5D01G171100;TraesCS7A01G350000;TraesCSU01G142500;TraesCS5B01G431500;TraesCS5A01G467500;TraesCS3B01G112900;TraesCS4D01G246300;TraesCS2B01G457300;TraesCS4B01G321500;TraesCS4D01G244000;TraesCS4D01G133500;TraesCS2A01G097900;TraesCS7D01G549100;TraesCS4A01G355000;TraesCS5B01G146700;TraesCS7B01G350400;TraesCS1B01G255100;TraesCS1A01G409600;TraesCS6D01G224200;TraesCS6B01G219700;TraesCS7D01G313600;TraesCS6A01G201800;TraesCS2B01G309500;TraesCS4B01G090000;TraesCS3D01G289600;TraesCS2D01G248600;TraesCS6D01G113900;TraesCS4A01G080100;TraesCS6D01G237400;TraesCS7D01G265200;TraesCS1A01G340400;TraesCS2B01G330100;TraesCS6A01G105400;TraesCS2B01G263300;TraesCS1B01G254000;TraesCS5D01G230300;TraesCS2A01G103300;TraesCS2B01G070700;TraesCS1D01G412600;TraesCS4A01G298100;TraesCS1D01G229400;TraesCS6A01G303800;TraesCS1B01G462200;TraesCS4A01G091100;TraesCS7D01G554900;TraesCS7B01G352800;TraesCS4A01G194100;TraesCS4A01G494400;TraesCS6A01G113000;TraesCS4D01G341900;TraesCS5D01G472300;TraesCS7D01G439900;TraesCS5D01G143800;TraesCS2A01G437700;TraesCS2D01G362700;TraesCS3A01G275700;TraesCS4B01G263100;TraesCS5D01G332000;TraesCS6B01G182300;TraesCS7A01G293200;TraesCS1B01G352700;TraesCS4D01G339700;TraesCS1D01G342400;TraesCS4D01G212600;TraesCS1D01G242500;TraesCS3D01G341200;TraesCS7A01G192000;TraesCS7D01G148200;TraesCS7D01G117800;TraesCS5B01G099300;TraesCS3A01G272200;TraesCS4A01G185400;TraesCS6B01G393500;TraesCS5A01G088400;TraesCS2A01G095300;TraesCS5B01G503800;TraesCS2D01G303500;TraesCS4A01G110800;TraesCS1D01G392400;TraesCS3D01G268700;TraesCS1D01G352300;TraesCS1D01G356900;TraesCS4A01G051900;TraesCS4A01G290400;TraesCS3A01G200400;TraesCS5A01G395200;TraesCS6D01G210000;TraesCS5A01G490500;TraesCS5B01G409700;TraesCS7A01G182200;TraesCS4B01G211800;TraesCS5B01G214400;TraesCS4D01G039100;TraesCS3A01G417000;TraesCS1D01G298400;TraesCS2D01G524500;TraesCS1A01G431600;TraesCS7D01G409000;TraesCS1A01G133500;TraesCS5B01G534400;TraesCS3A01G274600;TraesCS1D01G125300;TraesCS6A01G154400;TraesCS6D01G238800;TraesCS7D01G499800;TraesCS1D01G155100;TraesCS3A01G289900;TraesCS6D01G337500;TraesCS7D01G449900;TraesCS1D01G226500;TraesCS6A01G373400;TraesCS2A01G197900;TraesCS7B01G093800;TraesCS7A01G260600;TraesCS4B01G133200;TraesCS7D01G454700;TraesCS1B01G377800;TraesCS5A01G490800;TraesCS2A01G058700;TraesCS5A01G215900;TraesCS2B01G343900;TraesCS4A01G092500;TraesCS6D01G357100;TraesCS4D01G021400;TraesCS6A01G130900;TraesCS6B01G253900;TraesCS4D01G013900;TraesCS5B01G378700;TraesCS5A01G429500;TraesCS3B01G161900;TraesCS5B01G102600;TraesCS1A01G060100;TraesCS3A01G134100;TraesCS2B01G004000;TraesCS2D01G361800;TraesCS2A01G149600;TraesCS7D01G327700;TraesCS6B01G315800;TraesCS3B01G362100;TraesCS5B01G335500;TraesCS2A01G102600;TraesCS7D01G174700;TraesCS2B01G050600;TraesCS3D01G275600;TraesCS2D01G310000;TraesCS4A01G220100;TraesCS4A01G157100;TraesCS4A01G283000;TraesCS5D01G504600;TraesCS1D01G178000;TraesCS4D01G151900;TraesCS6D01G172500;TraesCS4B01G138800;TraesCS7D01G004500;TraesCS1A01G001800;TraesCS2B01G404600;TraesCS2D01G111300;TraesCS7A01G560200;TraesCS7B01G230100;TraesCS2B01G457600;TraesCS2B01G247100;TraesCS3D01G220400;TraesCS2A01G460000;TraesCS6B01G242800;TraesCS3A01G023800;TraesCS1B01G156600;TraesCS1D01G440900;TraesCS3A01G367000;TraesCS3B01G308200;TraesCS5A01G396700;TraesCS4D01G194300;TraesCS6B01G450500;TraesCS2B01G363200;TraesCS3D01G325800;TraesCS4B01G242800;TraesCS6A01G290600;TraesCS2B01G107200;TraesCS3D01G162700;TraesCS2A01G387000;TraesCS3A01G097200;TraesCS5B01G344200;TraesCS6D01G302200;TraesCS1B01G422200;TraesCS3B01G309400;TraesCS4D01G317900;TraesCS3B01G229700;TraesCS6B01G348700;TraesCS3A01G232700;TraesCS4A01G315700;TraesCS7D01G442100;TraesCS1A01G263400;TraesCS7D01G107600;TraesCS4B01G321300;TraesCS2D01G249200;TraesCS1D01G146600;TraesCS4D01G263300;TraesCS5A01G046600;TraesCS2D01G057900;TraesCS4B01G344600;TraesCS7D01G193000;TraesCS2D01G126600;TraesCS1B01G261700;TraesCS2B01G321700;TraesCS7B01G184800;TraesCS3B01G306000;TraesCS1A01G358800;TraesCS3D01G304800;TraesCS5D01G105500;TraesCS5A01G036600;TraesCS1B01G213300;TraesCS4D01G194400;TraesCS1A01G111100;TraesCS5B01G136500;TraesCS2B01G145700;TraesCS2B01G122500;TraesCS5D01G164800;TraesCS5B01G509500;TraesCS5B01G510500;TraesCS5A01G515700;TraesCS5D01G223700;TraesCS6B01G151900;TraesCS6B01G104600;TraesCS5B01G147600;TraesCS3B01G398300;TraesCS6D01G174500;TraesCS6D01G195400;TraesCS2B01G225300;TraesCS7B01G097000;TraesCS3B01G470400;TraesCS4D01G086000;TraesCS6D01G193000;TraesCS7A01G329600;TraesCS5B01G481100;TraesCS1B01G434400;TraesCS4B01G073200;TraesCS7D01G130500;TraesCS1A01G309200;TraesCS5A01G222500;TraesCS4D01G242400;TraesCS6B01G388100</t>
  </si>
  <si>
    <t>TraesCS7A01G466600;TraesCS2D01G213200;TraesCS1B01G259800;TraesCS1D01G107300;TraesCS2B01G514800;TraesCS4A01G257800;TraesCS5A01G032500;TraesCS4A01G375000;TraesCS2B01G246900;TraesCS2D01G492600;TraesCS6B01G169300;TraesCS2B01G505400;TraesCS4A01G101200;TraesCS7B01G181200;TraesCS4D01G147500;TraesCS4B01G186700;TraesCS4B01G056700;TraesCS5B01G156500;TraesCS6B01G132300;TraesCSU01G121900;TraesCS7A01G076600;TraesCS4B01G126400;TraesCS4D01G244000;TraesCS5A01G390000;TraesCS2D01G399800;TraesCS3B01G299100;TraesCS1A01G350200;TraesCS5B01G159100;TraesCS3A01G229100;TraesCS6A01G379000;TraesCS1A01G258800;TraesCS2A01G488400;TraesCS2D01G232300;TraesCS2D01G385000;TraesCS3D01G275200;TraesCS5D01G399800;TraesCS7D01G454200;TraesCS5D01G208100;TraesCS1A01G099400;TraesCS2A01G233300;TraesCS1A01G177600;TraesCS1A01G095200;TraesCS6B01G285500;TraesCS7A01G151000;TraesCS3B01G246600;TraesCS2A01G221200;TraesCS2A01G149500;TraesCS2D01G304000;TraesCS2B01G174600;TraesCS2D01G561900;TraesCS2D01G322800;TraesCS2B01G250000;TraesCS6D01G091600;TraesCS5A01G059900;TraesCS5D01G078500;TraesCS1A01G249100;TraesCS2B01G405200;TraesCS3A01G275300;TraesCS2A01G387400;TraesCS2B01G221800;TraesCS6D01G130500;TraesCS5A01G416400;TraesCS6A01G103200;TraesCS2A01G480500;TraesCS5B01G418700;TraesCS7D01G278800;TraesCS5D01G444500;TraesCS4B01G245400;TraesCS6D01G221400;TraesCS2A01G344500;TraesCS3D01G326900;TraesCS7D01G072300;TraesCS6B01G365300;TraesCS4D01G057000;TraesCS5B01G037500;TraesCS2B01G375700;TraesCS2A01G592600;TraesCS7B01G169100;TraesCS2A01G185500;TraesCS2B01G520500;TraesCS5D01G231200;TraesCS5D01G044700;TraesCS2A01G391400;TraesCS4A01G078900;TraesCS5A01G036600;TraesCS5D01G405400;TraesCS2D01G154600;TraesCS5A01G223700;TraesCS7A01G260100;TraesCS1D01G258800;TraesCS1B01G293500;TraesCS2D01G226900;TraesCS2B01G229500;TraesCS6D01G363400;TraesCS3B01G363500;TraesCS6A01G311500;TraesCS1A01G284300;TraesCS7D01G152900;TraesCS2D01G488700;TraesCS1D01G353100;TraesCS5B01G074200;TraesCS5B01G395000;TraesCS2D01G202200;TraesCS1B01G269400;TraesCS2B01G293400;TraesCS7A01G279000;TraesCS2A01G487500</t>
  </si>
  <si>
    <t>TraesCS3A01G289900;TraesCS5B01G484700;TraesCS7D01G294300;TraesCS5B01G175800;TraesCS5B01G339200;TraesCS1D01G401900;TraesCS4A01G166900;TraesCS7B01G093800;TraesCS1D01G101200;TraesCS3A01G202000;TraesCS5A01G490800;TraesCS4A01G092500;TraesCS4A01G283700;TraesCS7D01G188300;TraesCS5A01G119300;TraesCS5D01G148100;TraesCS4D01G021400;TraesCS1A01G116200;TraesCS4A01G052600;TraesCSU01G142500;TraesCS1D01G376900;TraesCS3B01G161900;TraesCS3B01G324500;TraesCS5D01G517200;TraesCS3A01G381000;TraesCS1A01G092700;TraesCS4D01G244000;TraesCS5B01G255700;TraesCS6B01G315800;TraesCS4A01G355000;TraesCS5B01G146700;TraesCS1B01G368500;TraesCS5B01G142900;TraesCS2A01G102600;TraesCS2B01G309500;TraesCS7B01G197000;TraesCS2B01G050600;TraesCS2A01G309600;TraesCS3D01G289600;TraesCS3A01G189400;TraesCS2D01G310000;TraesCS4D01G184400;TraesCS1B01G167200;TraesCS2B01G330100;TraesCS3D01G298000;TraesCS4D01G151900;TraesCS6D01G287300;TraesCS7A01G555700;TraesCS5D01G230300;TraesCS6A01G420100;TraesCS7B01G129300;TraesCS6B01G455100;TraesCS3A01G303800;TraesCS4D01G122800;TraesCS7D01G224400;TraesCS6A01G303800;TraesCS2B01G457600;TraesCS5A01G143800;TraesCS2A01G313000;TraesCS3D01G220400;TraesCS6D01G047400;TraesCS7D01G554900;TraesCS7B01G006600;TraesCS1D01G409700;TraesCS3A01G367000;TraesCS5D01G470400;TraesCS2A01G521400;TraesCS5A01G396700;TraesCS4D01G194300;TraesCS2A01G437700;TraesCS2A01G123800;TraesCS6A01G290600;TraesCS1B01G375300;TraesCS4B01G129700;TraesCS7A01G222800;TraesCS2A01G387000;TraesCS2A01G293400;TraesCS2D01G102100;TraesCS6B01G182300;TraesCS1D01G250700;TraesCS6A01G308100;TraesCS4D01G212600;TraesCS1B01G422200;TraesCS4D01G317900;TraesCS7A01G192000;TraesCS3B01G229700;TraesCS3D01G288000;TraesCS6B01G348700;TraesCS3A01G232700;TraesCS3A01G292700;TraesCS4B01G245400;TraesCS6D01G405600;TraesCS7D01G117800;TraesCS7D01G107600;TraesCS4B01G321300;TraesCS1D01G146600;TraesCS2B01G119700;TraesCS5D01G321900;TraesCS5B01G517500;TraesCS7D01G193000;TraesCS2D01G126600;TraesCS1B01G261700;TraesCS5A01G315800;TraesCS4A01G110800;TraesCS1A01G358800;TraesCS4B01G244400;TraesCS4A01G078900;TraesCS4D01G194400;TraesCS1D01G356900;TraesCS2B01G145700;TraesCS4A01G290400;TraesCS3D01G271200;TraesCS2B01G328500;TraesCS5A01G395200;TraesCS1D01G117400;TraesCS6B01G104600;TraesCS2D01G148200;TraesCS5B01G409700;TraesCS6D01G283300;TraesCS7A01G182200;TraesCS4B01G211800;TraesCS3B01G398300;TraesCS7D01G343300;TraesCS7A01G335600;TraesCS7B01G097000;TraesCS3A01G417000;TraesCS3A01G288200;TraesCS3D01G412500;TraesCS3A01G271600;TraesCS7D01G409000;TraesCS6A01G077800;TraesCS5A01G222500;TraesCS6A01G154400;TraesCS5B01G320100;TraesCS5D01G157300;TraesCS6D01G238800;TraesCS4B01G029400;TraesCS4A01G093100;TraesCS7B01G092500</t>
  </si>
  <si>
    <t>TraesCS3D01G426300;TraesCS4A01G125000;TraesCS5A01G466100;TraesCS7D01G283600;TraesCS4B01G168300;TraesCS2A01G437700;TraesCS7A01G480700;TraesCS4B01G179400;TraesCS1A01G206900;TraesCS6D01G094200;TraesCS1D01G226100;TraesCS1D01G210200;TraesCS2D01G194000;TraesCS1B01G220700;TraesCS2A01G058700;TraesCS6A01G212200;TraesCS6A01G308100;TraesCS6B01G159200;TraesCS6A01G143300;TraesCS7D01G467500;TraesCS6D01G122800;TraesCS6B01G134800;TraesCS2D01G136200;TraesCS3D01G288000;TraesCS7B01G382800;TraesCS3D01G194300;TraesCS2A01G134000;TraesCS3D01G083400;TraesCS2A01G280500;TraesCS6A01G133100;TraesCS2D01G279300;TraesCS3B01G219700;TraesCS6A01G307700;TraesCS2D01G057900;TraesCS3A01G224800;TraesCS7D01G549100;TraesCS3A01G151100;TraesCS5D01G478900;TraesCS1A01G224700;TraesCS3D01G268700;TraesCS1A01G195500;TraesCS2A01G193800;TraesCS5D01G026000;TraesCS6D01G132500;TraesCS1D01G199100;TraesCS6D01G283300;TraesCS3D01G514100;TraesCS6A01G105400;TraesCS6D01G195400;TraesCS6D01G287300;TraesCS5B01G036800;TraesCS2A01G239200;TraesCS2B01G257300;TraesCS2B01G070700;TraesCS3A01G288200;TraesCS6B01G171600;TraesCS2B01G297800;TraesCS5B01G534400;TraesCS3D01G228800;TraesCS6A01G303800;TraesCS7A01G560200;TraesCS1D01G198700;TraesCS2B01G457600;TraesCS6B01G336300;TraesCS3A01G082700;TraesCS3A01G191700;TraesCS5B01G477800;TraesCS3A01G268600;TraesCS2B01G157600;TraesCS4A01G093100;TraesCS6B01G242800;TraesCS6D01G047400</t>
  </si>
  <si>
    <t>TraesCS3D01G426300;TraesCS6D01G121300;TraesCS4A01G125000;TraesCS5B01G484700;TraesCS2A01G234900;TraesCS7D01G338600;TraesCS5D01G219500;TraesCS5A01G108000;TraesCS2A01G058700;TraesCS6B01G159200;TraesCS2B01G528300;TraesCS6A01G143300;TraesCS6D01G122800;TraesCS5A01G014400;TraesCS5A01G119300;TraesCS4D01G021400;TraesCS1A01G355200;TraesCS7B01G104400;TraesCS7D01G228500;TraesCS2B01G385300;TraesCS5D01G517600;TraesCS1B01G325100;TraesCS2A01G280500;TraesCS5B01G324800;TraesCS6A01G133100;TraesCS2D01G233900;TraesCS3A01G205100;TraesCS7A01G088100;TraesCS7D01G549100;TraesCS4A01G286700;TraesCS3A01G151100;TraesCS2B01G050600;TraesCS3D01G529200;TraesCS4B01G204500;TraesCS7A01G341000;TraesCS2A01G193800;TraesCS5B01G419300;TraesCS7B01G189500;TraesCS3A01G523700;TraesCS6D01G287300;TraesCS4B01G028100;TraesCS1B01G254000;TraesCS5A01G014500;TraesCS7B01G242200;TraesCS2B01G070700;TraesCS4D01G025700;TraesCS2B01G297800;TraesCS4D01G122800;TraesCS6A01G303800;TraesCS7A01G560200;TraesCS4B01G285000;TraesCS2B01G457600;TraesCS2B01G201700;TraesCS6D01G135800;TraesCS3B01G309700;TraesCS5A01G212500;TraesCS6D01G047400;TraesCS4A01G232300;TraesCS7B01G006600;TraesCS3D01G210300;TraesCS5B01G228900;TraesCS3A01G367000;TraesCS5D01G237400;TraesCS6B01G470900;TraesCS2A01G114400;TraesCS7D01G283600;TraesCS2A01G437700;TraesCS2A01G175400;TraesCS4A01G354500;TraesCS4B01G179400;TraesCS6A01G290600;TraesCS1D01G315700;TraesCS1D01G313800;TraesCS4B01G129700;TraesCS2A01G387000;TraesCS2A01G222600;TraesCS2D01G194000;TraesCS4D01G283800;TraesCS2B01G133500;TraesCS6A01G308100;TraesCS7D01G083200;TraesCS2D01G182700;TraesCS4B01G083600;TraesCS3D01G288000;TraesCS4D01G107400;TraesCS6B01G159800;TraesCS6B01G176600;TraesCS4D01G003100;TraesCS3D01G083400;TraesCS4D01G081600;TraesCS2D01G279300;TraesCS6A01G158300;TraesCS6A01G267300;TraesCS2A01G523600;TraesCS5B01G517900;TraesCS2D01G057900;TraesCS1A01G259700;TraesCS2A01G296400;TraesCS5D01G321900;TraesCS1B01G366400;TraesCS4A01G387000;TraesCS6A01G146500;TraesCS5A01G315800;TraesCS7D01G200800;TraesCS6D01G259500;TraesCS6B01G307200;TraesCS4D01G194400;TraesCS4A01G290400;TraesCS1A01G195500;TraesCS5A01G324200;TraesCS4D01G080700;TraesCS5B01G509100;TraesCS6D01G132500;TraesCS1A01G313300;TraesCS1D01G199100;TraesCS6D01G283300;TraesCS2B01G248100;TraesCS2D01G238600;TraesCS5B01G256400;TraesCS7D01G343300;TraesCS4A01G247300;TraesCS7A01G335600;TraesCS5B01G036800;TraesCS1D01G242400;TraesCS5A01G230400;TraesCS4A01G206400;TraesCS2B01G312600;TraesCS6A01G279100;TraesCS3A01G288200;TraesCS6B01G171600;TraesCS7A01G226000;TraesCS4B01G109900;TraesCS5B01G534400;TraesCS7B01G421100;TraesCS3A01G082700;TraesCS3A01G276100;TraesCS4D01G003600;TraesCS4A01G093100</t>
  </si>
  <si>
    <t>TraesCS4A01G125000;TraesCS5D01G219500;TraesCS5A01G513500;TraesCS1A01G369600;TraesCS1D01G210200;TraesCS4B01G213600;TraesCS2D01G014800;TraesCS6B01G159200;TraesCS4D01G153900;TraesCS5A01G467500;TraesCS5D01G517600;TraesCS5B01G324800;TraesCS6A01G133100;TraesCS5B01G171200;TraesCS4A01G286700;TraesCS7B01G350400;TraesCS6A01G201800;TraesCS2A01G193800;TraesCS6B01G257900;TraesCS5D01G026000;TraesCS6D01G390000;TraesCS2B01G330100;TraesCS5A01G305400;TraesCS6A01G105400;TraesCS1B01G254000;TraesCS3A01G513500;TraesCS2B01G070700;TraesCS1D01G412600;TraesCS4D01G025700;TraesCS4D01G359000;TraesCS4A01G013500;TraesCS5A01G093200;TraesCS7D01G224400;TraesCS6A01G303800;TraesCS5D01G178300;TraesCS6D01G135800;TraesCS2A01G313000;TraesCS2B01G207000;TraesCS6D01G047400;TraesCS1B01G462200;TraesCS6B01G239000;TraesCS4A01G091100;TraesCS5B01G300100;TraesCS7D01G439900;TraesCS1D01G092200;TraesCS7D01G283600;TraesCS1D01G280900;TraesCS2A01G437700;TraesCS2D01G251000;TraesCS2D01G389900;TraesCS1A01G206900;TraesCS1B01G274600;TraesCS2B01G303300;TraesCS7A01G222800;TraesCS7A01G316700;TraesCS3D01G237100;TraesCS3D01G407300;TraesCS4D01G339700;TraesCS6A01G212200;TraesCS1B01G396800;TraesCS5D01G312400;TraesCS5A01G173800;TraesCS2D01G520000;TraesCS1B01G478800;TraesCS3A01G264700;TraesCS4A01G290400;TraesCS3A01G200400;TraesCS1A01G195500;TraesCS2B01G328500;TraesCS5B01G509100;TraesCS6D01G132500;TraesCS3D01G258900;TraesCS5B01G409700;TraesCS2D01G238600;TraesCS2B01G154700;TraesCS4A01G193700;TraesCS7B01G217500;TraesCS5B01G036800;TraesCS1D01G242400;TraesCS2A01G132200;TraesCS4B01G041900;TraesCS1D01G024800;TraesCS3A01G288200;TraesCS1A01G024700;TraesCS1A01G133500;TraesCS5B01G534400;TraesCS1A01G100600;TraesCS3A01G082700;TraesCS4A01G005000;TraesCS3D01G264800;TraesCS1D01G264100;TraesCS3D01G426300;TraesCS5D01G013100;TraesCS2A01G286500;TraesCS5A01G092400;TraesCS2B01G271300;TraesCS7D01G338600;TraesCS1D01G149900;TraesCS3D01G436100;TraesCS5D01G481500;TraesCS4B01G286700;TraesCS2A01G058700;TraesCS5A01G089900;TraesCS6A01G143300;TraesCS6D01G122800;TraesCS5A01G119300;TraesCS5A01G123800;TraesCS4D01G021400;TraesCS4D01G214300;TraesCS4A01G052600;TraesCS1A01G376400;TraesCS5B01G102600;TraesCS2A01G280500;TraesCS1A01G060100;TraesCS2B01G004000;TraesCS2A01G223600;TraesCS6B01G315800;TraesCS5A01G004200;TraesCS3A01G151100;TraesCS2D01G236100;TraesCS1A01G264000;TraesCS1D01G155800;TraesCS1D01G331000;TraesCS2B01G050600;TraesCS6D01G186000;TraesCS2A01G309600;TraesCS2D01G242100;TraesCS4B01G204500;TraesCS2D01G310000;TraesCS7A01G341000;TraesCS3A01G443700;TraesCS3A01G412600;TraesCS4B01G028100;TraesCS6D01G172500;TraesCS7B01G242200;TraesCS7B01G129300;TraesCS2B01G297800;TraesCS1A01G198400;TraesCS2B01G457600;TraesCS3D01G203400;TraesCS4B01G151200;TraesCS3A01G191700;TraesCS1B01G110400;TraesCS2A01G460000;TraesCS5A01G212500;TraesCS6B01G242800;TraesCS7B01G006600;TraesCS3A01G367000;TraesCS6B01G470900;TraesCS5A01G396700;TraesCS1B01G290800;TraesCS6B01G450500;TraesCS4A01G354500;TraesCS4B01G179400;TraesCS6A01G290600;TraesCS6D01G094200;TraesCS5A01G548800;TraesCS6D01G212000;TraesCS2D01G194000;TraesCS1B01G220700;TraesCS1D01G003700;TraesCS5D01G551200;TraesCS6B01G134800;TraesCS3D01G288000;TraesCS4A01G315700;TraesCS5B01G563800;TraesCS6B01G176600;TraesCS7A01G450600;TraesCS4D01G199300;TraesCS2D01G229600;TraesCS2B01G273900;TraesCS3D01G083400;TraesCS2D01G279300;TraesCS1D01G383500;TraesCS5B01G517900;TraesCS2D01G057900;TraesCS1A01G259700;TraesCS6A01G146500;TraesCS4A01G364400;TraesCS3A01G405300;TraesCS6B01G223200;TraesCS4A01G276300;TraesCS5D01G105500;TraesCS1B01G213300;TraesCS4D01G194400;TraesCS4A01G164900;TraesCS6A01G188100;TraesCS5A01G324200;TraesCS2B01G410100;TraesCS7B01G124100;TraesCS1D01G199100;TraesCS6D01G283300;TraesCS6A01G210200;TraesCS6D01G195400;TraesCS4A01G124000;TraesCS1A01G158500;TraesCS5B01G481100;TraesCS6B01G171600;TraesCS1B01G434400;TraesCS4A01G105500;TraesCS4B01G131800;TraesCS1A01G281700;TraesCS1D01G198700</t>
  </si>
  <si>
    <t>TraesCS2D01G213200;TraesCS1B01G259800;TraesCS3A01G264600;TraesCS5B01G222600;TraesCS3B01G207300;TraesCS2D01G479900;TraesCS2B01G514800;TraesCS5A01G103100;TraesCS5A01G032500;TraesCS4A01G375000;TraesCS7D01G261100;TraesCS1A01G256800;TraesCS4B01G230500;TraesCS2B01G505400;TraesCS4A01G101200;TraesCS5A01G119300;TraesCS7B01G181200;TraesCS4D01G147500;TraesCS4B01G186700;TraesCS5B01G156500;TraesCS6B01G132300;TraesCS1B01G267200;TraesCS2D01G554500;TraesCS7A01G076600;TraesCS4B01G126400;TraesCS4D01G244000;TraesCS5A01G390000;TraesCS5B01G232400;TraesCS6B01G311200;TraesCS2D01G399800;TraesCS3B01G299100;TraesCS5D01G065600;TraesCS1A01G180200;TraesCS5B01G159100;TraesCS3A01G229100;TraesCS6A01G379000;TraesCS3D01G264700;TraesCS2D01G487700;TraesCS6A01G282800;TraesCS1D01G178400;TraesCS2D01G385000;TraesCS3D01G275200;TraesCS5D01G399800;TraesCS5D01G208100;TraesCS1A01G177600;TraesCS1A01G095200;TraesCS6B01G285500;TraesCS1D01G055200;TraesCS5D01G058900;TraesCS3B01G246600;TraesCS2A01G149500;TraesCS2D01G304000;TraesCS1B01G200300;TraesCS5D01G396300;TraesCS2B01G174600;TraesCS2D01G561900;TraesCS2B01G342100;TraesCS7D01G399400;TraesCS2D01G322800;TraesCS3B01G297900;TraesCS5B01G000600;TraesCS6D01G091600;TraesCS5A01G059900;TraesCS1D01G113900;TraesCS5D01G078500;TraesCS1A01G249100;TraesCS2B01G405200;TraesCS3A01G275300;TraesCS2A01G387400;TraesCS4A01G029000;TraesCS6A01G103200;TraesCS5B01G107400;TraesCS2A01G480500;TraesCS3B01G309000;TraesCS5D01G387100;TraesCS7D01G278800;TraesCS3D01G150600;TraesCS4B01G152700;TraesCS4B01G245400;TraesCS6D01G221400;TraesCS2A01G344500;TraesCS2A01G434600;TraesCS5D01G000100;TraesCS7D01G072300;TraesCS4D01G275400;TraesCS6B01G365300;TraesCS5B01G037500;TraesCS2B01G375700;TraesCS2A01G592600;TraesCS7B01G169100;TraesCS5A01G048500;TraesCS5D01G040800;TraesCS5D01G231200;TraesCS5D01G044700;TraesCS6D01G278500;TraesCS1D01G103000;TraesCS1A01G094200;TraesCS4A01G078900;TraesCS5A01G036600;TraesCS5D01G405400;TraesCS2D01G154600;TraesCS5A01G223700;TraesCS2D01G523000;TraesCS7A01G260100;TraesCS5D01G162500;TraesCS1B01G293500;TraesCS2B01G229500;TraesCS5B01G380700;TraesCS6D01G363400;TraesCS1B01G122300;TraesCS5D01G240800;TraesCS1A01G284300;TraesCS5B01G074200;TraesCS5B01G395000;TraesCS6D01G263300;TraesCS2B01G293400;TraesCS4A01G074200;TraesCS7A01G279000;TraesCS2A01G487500;TraesCS5A01G377100;TraesCS5B01G062100;TraesCS5A01G067300;TraesCS7A01G200700;TraesCS5A01G233900</t>
  </si>
  <si>
    <t>TraesCS5B01G117800;TraesCS6D01G121300;TraesCS5B01G484700;TraesCS7D01G294300;TraesCS5B01G175800;TraesCS1B01G288000;TraesCS4A01G166900;TraesCS5D01G219500;TraesCS5A01G108000;TraesCS2B01G456200;TraesCS3D01G359900;TraesCS5A01G165700;TraesCSU01G242100;TraesCS1D01G101200;TraesCS2A01G400900;TraesCS2A01G501600;TraesCS5A01G272400;TraesCS1D01G363700;TraesCS3B01G398000;TraesCS5A01G014400;TraesCS5D01G148100;TraesCS4B01G274300;TraesCS1A01G355200;TraesCSU01G142500;TraesCS3B01G258600;TraesCS7B01G104400;TraesCS1D01G376900;TraesCS5B01G265500;TraesCS1D01G259600;TraesCS5B01G324800;TraesCS2D01G233900;TraesCS4D01G244000;TraesCS5B01G255700;TraesCS1D01G341100;TraesCS4B01G323000;TraesCS7A01G088100;TraesCS4A01G355000;TraesCS5B01G146700;TraesCS2B01G352000;TraesCS5B01G142900;TraesCS5D01G176700;TraesCS3A01G159900;TraesCS1A01G155200;TraesCS5B01G295000;TraesCS3A01G386300;TraesCS1B01G255900;TraesCS2B01G309500;TraesCS2B01G342200;TraesCS3D01G289600;TraesCS1D01G153900;TraesCS6D01G350300;TraesCS4D01G184400;TraesCS7D01G508100;TraesCS2B01G330100;TraesCS4B01G066700;TraesCS7D01G454200;TraesCS3A01G208600;TraesCS6D01G287300;TraesCS7A01G555700;TraesCS7B01G076500;TraesCS5A01G014500;TraesCS5D01G230300;TraesCS6A01G420100;TraesCS3A01G303800;TraesCS6A01G200600;TraesCS5D01G169600;TraesCS1A01G339300;TraesCS5B01G412500;TraesCS7D01G224400;TraesCS5B01G097100;TraesCS6A01G303800;TraesCS3B01G483500;TraesCS4B01G285000;TraesCS5A01G143800;TraesCS2B01G201700;TraesCS6D01G135800;TraesCS2A01G313000;TraesCS3B01G309700;TraesCS2B01G079400;TraesCS6D01G047400;TraesCS4A01G248200;TraesCS1D01G239100;TraesCS6D01G142200;TraesCS7D01G554900;TraesCS7B01G103100;TraesCS1D01G409700;TraesCS5D01G067600;TraesCS5A01G143600;TraesCS4D01G047300;TraesCS2A01G437700;TraesCS6D01G098400;TraesCS1B01G375300;TraesCS7A01G222800;TraesCS4D01G180300;TraesCS2A01G293400;TraesCS2A01G222600;TraesCS2D01G102100;TraesCS3A01G223700;TraesCS6B01G182300;TraesCS1D01G250700;TraesCS5B01G162800;TraesCS7D01G083200;TraesCS4D01G212600;TraesCS7A01G192000;TraesCS4D01G107400;TraesCS5A01G165400;TraesCS3A01G292700;TraesCS6B01G159800;TraesCS7D01G117800;TraesCS4B01G091100;TraesCS6D01G141100;TraesCS7A01G190500;TraesCS3A01G193900;TraesCS6A01G158300;TraesCS2B01G119700;TraesCS5A01G155600;TraesCS2D01G202900;TraesCS3B01G265000;TraesCS3B01G410400;TraesCS5D01G321900;TraesCS5B01G517500;TraesCS1B01G366400;TraesCS4A01G387000;TraesCS5A01G315800;TraesCS3B01G276700;TraesCS7D01G200800;TraesCS4A01G110800;TraesCS6D01G259500;TraesCS6B01G307200;TraesCS4A01G078900;TraesCS5A01G407700;TraesCS4A01G446700;TraesCS1D01G356900;TraesCS5D01G298700;TraesCS4A01G290400;TraesCS2D01G201000;TraesCS3D01G271200;TraesCS6B01G174700;TraesCS2B01G328500;TraesCS3B01G430000;TraesCS5A01G395200;TraesCS5D01G303100;TraesCS1A01G313300;TraesCS2D01G148200;TraesCS5B01G409700;TraesCS6D01G247400;TraesCS2B01G248100;TraesCS7A01G182200;TraesCS4B01G211800;TraesCS2D01G238600;TraesCS2A01G039400;TraesCS6D01G199600;TraesCS5D01G280400;TraesCS5B01G036800;TraesCS4A01G206400;TraesCS4B01G383000;TraesCS7A01G302300;TraesCS3A01G417000;TraesCS6A01G279100;TraesCS2A01G344600;TraesCS3A01G288200;TraesCS4D01G065600;TraesCS2D01G398400;TraesCS3A01G366400;TraesCS7D01G409000;TraesCS4B01G220500;TraesCS6A01G154400;TraesCS4B01G178700;TraesCS5D01G157300;TraesCS5D01G329600;TraesCS5D01G417600;TraesCS3A01G276100;TraesCS6D01G238800;TraesCS2A01G330200;TraesCS7B01G092500;TraesCS7A01G466600;TraesCS3A01G289900;TraesCS4D01G175300;TraesCS4D01G127100;TraesCS1B01G251000;TraesCS2A01G343500;TraesCS3A01G478100;TraesCS5B01G339200;TraesCS1D01G401900;TraesCS4A01G111000;TraesCS3A01G248000;TraesCS7B01G093800;TraesCS3D01G229800;TraesCS4B01G286700;TraesCS2D01G037400;TraesCS3A01G202000;TraesCS5B01G323300;TraesCS3D01G391900;TraesCS5A01G490800;TraesCS4A01G092500;TraesCS2B01G528300;TraesCS4A01G283700;TraesCS4D01G088200;TraesCS7D01G188300;TraesCS2A01G186900;TraesCS3D01G236200;TraesCS5A01G119300;TraesCS4A01G321500;TraesCS1A01G110900;TraesCS4D01G021400;TraesCS1A01G116200;TraesCS3B01G185300;TraesCS4A01G052600;TraesCS4D01G212000;TraesCS3B01G235100;TraesCS7D01G228500;TraesCS3B01G161900;TraesCS1B01G325100;TraesCS3B01G324500;TraesCS5D01G517200;TraesCS3A01G381000;TraesCS4A01G187100;TraesCS5A01G264400;TraesCS1A01G092700;TraesCS6A01G215900;TraesCS6B01G315800;TraesCS1B01G368500;TraesCS2D01G097800;TraesCS2A01G102600;TraesCS2A01G343600;TraesCS7B01G197000;TraesCS2B01G050600;TraesCS2D01G322900;TraesCS2A01G309600;TraesCS7D01G283900;TraesCS3A01G189400;TraesCS2D01G310000;TraesCS7D01G232000;TraesCS1B01G167200;TraesCS4B01G041200;TraesCS3A01G447500;TraesCS3D01G298000;TraesCS4D01G151900;TraesCS4B01G047300;TraesCS2A01G430500;TraesCS5D01G148400;TraesCS7B01G129300;TraesCS6B01G455100;TraesCS5D01G551900;TraesCS4D01G122800;TraesCS5D01G144600;TraesCS5B01G557300;TraesCS7D01G374900;TraesCS4A01G307900;TraesCS2B01G457600;TraesCS3A01G398000;TraesCS4D01G038600;TraesCS3D01G220400;TraesCS4A01G131400;TraesCS5A01G212500;TraesCS5B01G182500;TraesCS2A01G038400;TraesCS6B01G294700;TraesCS2A01G215100;TraesCS7B01G006600;TraesCS3A01G367000;TraesCS5D01G470400;TraesCS5A01G495100;TraesCS2B01G451100;TraesCS2A01G521400;TraesCS5A01G396700;TraesCS4D01G194300;TraesCS3A01G476000;TraesCS5B01G132600;TraesCS3B01G483900;TraesCS2A01G175400;TraesCS2A01G123800;TraesCS6A01G290600;TraesCS2B01G051600;TraesCS1D01G313800;TraesCS4B01G129700;TraesCS3A01G447800;TraesCS2A01G387000;TraesCS4D01G283800;TraesCS6A01G308100;TraesCS3B01G418400;TraesCS1B01G422200;TraesCS1D01G244400;TraesCS2A01G289800;TraesCS2D01G182700;TraesCS4D01G317900;TraesCS2A01G098400;TraesCS5A01G171900;TraesCS3B01G229700;TraesCS3D01G288000;TraesCS6B01G348700;TraesCS3A01G232700;TraesCS4B01G245400;TraesCS6A01G110000;TraesCS6D01G405600;TraesCS5A01G056400;TraesCS4A01G267000;TraesCS7D01G107600;TraesCS4B01G321300;TraesCS2B01G220300;TraesCS2B01G222600;TraesCS5A01G132300;TraesCS6A01G267300;TraesCS1D01G146600;TraesCS1A01G238900;TraesCS7A01G518200;TraesCS7D01G193000;TraesCS1B01G443200;TraesCS2D01G126600;TraesCS4D01G319400;TraesCS1B01G261700;TraesCS6A01G146500;TraesCS7A01G231700;TraesCS1A01G358800;TraesCS4B01G244400;TraesCS4D01G194400;TraesCS4A01G164900;TraesCS2B01G145700;TraesCS2B01G376500;TraesCS1B01G165500;TraesCS5A01G324200;TraesCS5B01G393900;TraesCSU01G135100;TraesCS5D01G189500;TraesCS7B01G124100;TraesCS1D01G117400;TraesCS6B01G104600;TraesCS5B01G294900;TraesCS6D01G283300;TraesCS5A01G322700;TraesCS5B01G290300;TraesCS7D01G123400;TraesCS3D01G181400;TraesCS3B01G398300;TraesCS2B01G240100;TraesCS7D01G343300;TraesCS4A01G247300;TraesCS7A01G335600;TraesCS7B01G097000;TraesCS7A01G205200;TraesCS3D01G412500;TraesCS3A01G271600;TraesCS7A01G226000;TraesCS4B01G109900;TraesCS6A01G077800;TraesCS7A01G288900;TraesCS5A01G222500;TraesCS5B01G320100;TraesCS4B01G029400;TraesCS4A01G093100;TraesCS1A01G259800</t>
  </si>
  <si>
    <t>TraesCS1B01G259800;TraesCS6A01G360600;TraesCS2D01G179600;TraesCS1D01G411300;TraesCS1D01G107300;TraesCS3B01G224600;TraesCS6B01G454500;TraesCS6D01G165800;TraesCS4A01G257800;TraesCS5A01G032500;TraesCS5D01G388000;TraesCS6B01G191500;TraesCS7A01G238400;TraesCS2A01G247300;TraesCS3D01G273800;TraesCS5A01G378000;TraesCS5B01G239200;TraesCS2D01G427900;TraesCS5D01G359800;TraesCS1B01G146200;TraesCS1B01G472100;TraesCS1D01G051300;TraesCS5B01G227900;TraesCS2B01G469400;TraesCS6A01G311200;TraesCS7B01G240200;TraesCS2A01G262700;TraesCS2D01G220800;TraesCS7D01G276300;TraesCS4B01G186700;TraesCS2A01G245100;TraesCS5B01G156500;TraesCS6B01G132300;TraesCS5A01G467500;TraesCSU01G121900;TraesCS5B01G094600;TraesCS5B01G496000;TraesCS7D01G290500;TraesCS2D01G233900;TraesCS2A01G171900;TraesCS2A01G206200;TraesCS4B01G126400;TraesCS7A01G323200;TraesCS5A01G390000;TraesCS2B01G220100;TraesCS7D01G549100;TraesCS5B01G381600;TraesCS1A01G350200;TraesCS7D01G311300;TraesCS3A01G321900;TraesCS5B01G159100;TraesCS6B01G112700;TraesCS3A01G229100;TraesCS6A01G379000;TraesCS1A01G027200;TraesCS2D01G112000;TraesCS5A01G336500;TraesCS5A01G482800;TraesCS6A01G119800;TraesCS2B01G233400;TraesCS4B01G397700;TraesCS4D01G184400;TraesCS6D01G237400;TraesCS3A01G192400;TraesCS3D01G275200;TraesCS5A01G454300;TraesCS5D01G399800;TraesCS7D01G454200;TraesCS6D01G287300;TraesCS5D01G265500;TraesCS1A01G099400;TraesCS6D01G168300;TraesCS7B01G215000;TraesCS4A01G101500;TraesCS4D01G204000;TraesCS1A01G437500;TraesCS4A01G015800;TraesCS6A01G319700;TraesCSU01G129600;TraesCS6D01G357600;TraesCS4B01G373400;TraesCS7A01G151000;TraesCS7D01G153000;TraesCS3B01G221200;TraesCS3D01G205300;TraesCS2B01G130300;TraesCS3B01G309700;TraesCS5A01G472100;TraesCS5D01G396300;TraesCS2A01G239000;TraesCS5A01G229300;TraesCS4A01G062100;TraesCS5B01G228900;TraesCS2B01G405600;TraesCS2D01G561900;TraesCS7B01G142700;TraesCS2D01G322800;TraesCS5B01G171400;TraesCS2B01G382000;TraesCS1B01G196500;TraesCS6A01G373200;TraesCS3D01G311800;TraesCS1A01G365600;TraesCS4A01G077600;TraesCS2A01G387400;TraesCS1B01G274600;TraesCS2B01G221800;TraesCS2D01G496200;TraesCS5A01G416400;TraesCS2D01G238700;TraesCS6A01G103200;TraesCS1A01G403800;TraesCS2A01G448600;TraesCS1D01G433300;TraesCS4B01G083600;TraesCS2A01G157700;TraesCS7D01G278800;TraesCS5D01G444500;TraesCS5D01G100800;TraesCS2B01G272300;TraesCS2A01G344500;TraesCS7D01G207100;TraesCS2D01G249600;TraesCS4D01G223400;TraesCS7D01G072300;TraesCS4D01G081600;TraesCS6B01G365300;TraesCS6B01G393500;TraesCS2A01G592600;TraesCS5A01G457500;TraesCS2A01G185500;TraesCS2B01G520500;TraesCS5A01G088400;TraesCS3A01G264700;TraesCS5D01G044700;TraesCS7A01G504900;TraesCS5B01G377700;TraesCS5D01G405400;TraesCS2D01G248400;TraesCS1D01G445300;TraesCS3A01G200400;TraesCS3D01G114000;TraesCS3B01G344200;TraesCS6D01G344100;TraesCS2D01G148200;TraesCS3A01G391800;TraesCS4B01G089500;TraesCS5D01G357600;TraesCS3B01G061700;TraesCS2D01G253200;TraesCS2B01G229500;TraesCS1A01G049300;TraesCS5A01G230400;TraesCS2B01G312600;TraesCS6D01G363400;TraesCS4B01G379300;TraesCS2D01G208300;TraesCS7D01G152900;TraesCS1D01G298400;TraesCS5B01G395000;TraesCS5A01G110700;TraesCS4D01G086400;TraesCS2D01G202200;TraesCS4D01G160000;TraesCS2B01G325100;TraesCS3D01G309400;TraesCS1D01G125300;TraesCS5A01G545600;TraesCS7A01G279000;TraesCS2D01G200700;TraesCS1A01G299500;TraesCS2A01G487500;TraesCS3D01G482500;TraesCS4D01G003600;TraesCS5D01G247600;TraesCS3D01G264800;TraesCS7A01G466600;TraesCS1D01G264100;TraesCS2D01G213200;TraesCS3B01G423800;TraesCS7D01G227300;TraesCS6B01G213100;TraesCS2B01G514800;TraesCS7D01G072100;TraesCS4A01G310600;TraesCS6A01G373400;TraesCS1D01G124600;TraesCS4A01G375000;TraesCS5D01G412600;TraesCS2B01G240000;TraesCS3D01G384700;TraesCS2D01G492600;TraesCS4A01G226900;TraesCSU01G072700;TraesCS5A01G106900;TraesCS4B01G288200;TraesCS6B01G169300;TraesCS7A01G276400;TraesCS2B01G505400;TraesCS4A01G101200;TraesCS7B01G181200;TraesCS4D01G147500;TraesCS7D01G083900;TraesCS4B01G056700;TraesCS2D01G115200;TraesCS5B01G378700;TraesCS3B01G401100;TraesCS5B01G322900;TraesCS2D01G447800;TraesCS3A01G220000;TraesCS3A01G381000;TraesCS7A01G076600;TraesCS2D01G361800;TraesCS2A01G187200;TraesCS2A01G223600;TraesCS2A01G200500;TraesCS2B01G340300;TraesCS1A01G264000;TraesCS5B01G335500;TraesCS3A01G052700;TraesCS2D01G242100;TraesCS4B01G204500;TraesCS1A01G258800;TraesCS2B01G267500;TraesCS6B01G341400;TraesCS5D01G242900;TraesCS2B01G227800;TraesCS2D01G385000;TraesCS5D01G208100;TraesCS6D01G149800;TraesCS3B01G252200;TraesCS5D01G496400;TraesCS1A01G177600;TraesCS6B01G285500;TraesCS5D01G238300;TraesCS2A01G252600;TraesCS7A01G560200;TraesCS1A01G198400;TraesCS3D01G203400;TraesCS4A01G334700;TraesCS4B01G153500;TraesCS2A01G149500;TraesCS2D01G304000;TraesCS3D01G259000;TraesCS1B01G317500;TraesCS2B01G174600;TraesCS4A01G232300;TraesCS5A01G489100;TraesCS7B01G006600;TraesCS7B01G111000;TraesCS1B01G383200;TraesCS5D01G237400;TraesCS2A01G114400;TraesCS2D01G242000;TraesCS2D01G320900;TraesCS5D01G474200;TraesCS4D01G234800;TraesCS6D01G091600;TraesCS5D01G078500;TraesCS1A01G249100;TraesCS2A01G226000;TraesCS2B01G405200;TraesCS3A01G275300;TraesCS4B01G150300;TraesCS6D01G130500;TraesCS3A01G097200;TraesCS2B01G133500;TraesCS6A01G308100;TraesCS2A01G480500;TraesCS5B01G418700;TraesCS3A01G530000;TraesCS2A01G342600;TraesCS6D01G221400;TraesCS2D01G229600;TraesCS2B01G273900;TraesCS2A01G254600;TraesCS6A01G408400;TraesCS2B01G098800;TraesCS4D01G057000;TraesCS5B01G037500;TraesCS2A01G296400;TraesCS7B01G169100;TraesCS5D01G231200;TraesCS6D01G299200;TraesCS5A01G235800;TraesCS2A01G215000;TraesCS2A01G234200;TraesCS4D01G154300;TraesCS6D01G152700;TraesCS2A01G391400;TraesCS7A01G204000;TraesCS7A01G342800;TraesCS5A01G036600;TraesCS1B01G213300;TraesCS2B01G273700;TraesCS1A01G392000;TraesCS2D01G154600;TraesCS5A01G223700;TraesCS7D01G447100;TraesCS1D01G258800;TraesCS7A01G108600;TraesCS1B01G293500;TraesCS7A01G314100;TraesCS5A01G414400;TraesCS2D01G255100;TraesCS5B01G256400;TraesCS2D01G300400;TraesCS7D01G190300;TraesCS3D01G051800;TraesCS5D01G341200;TraesCS2A01G216100;TraesCS1A01G284300;TraesCS4A01G141000;TraesCS1D01G353100;TraesCS5B01G074200;TraesCS5D01G329200;TraesCS4B01G203100;TraesCS2B01G270300;TraesCS2B01G293400;TraesCS3B01G221400;TraesCS6B01G189000;TraesCS7D01G000100;TraesCS4D01G110500;TraesCS1A01G129400</t>
  </si>
  <si>
    <t>TraesCS3D01G426300;TraesCS4A01G125000;TraesCS5A01G092400;TraesCS2B01G271300;TraesCS7D01G338600;TraesCS5D01G219500;TraesCS3D01G436100;TraesCS5D01G481500;TraesCS4B01G286700;TraesCS5A01G513500;TraesCS1A01G369600;TraesCS1D01G210200;TraesCS4B01G213600;TraesCS2A01G058700;TraesCS6B01G159200;TraesCS6A01G143300;TraesCS4D01G153900;TraesCS6D01G122800;TraesCS5A01G119300;TraesCS5A01G123800;TraesCS4D01G021400;TraesCS4D01G214300;TraesCS4A01G052600;TraesCS1A01G376400;TraesCS5B01G102600;TraesCS2A01G280500;TraesCS5B01G324800;TraesCS6A01G133100;TraesCS5B01G171200;TraesCS1A01G060100;TraesCS5B01G121500;TraesCS6B01G315800;TraesCS4A01G286700;TraesCS3A01G151100;TraesCS7B01G350400;TraesCS6A01G201800;TraesCS2B01G050600;TraesCS4B01G017400;TraesCS6D01G186000;TraesCS2A01G309600;TraesCS2D01G310000;TraesCS7A01G341000;TraesCS2A01G193800;TraesCS5D01G026000;TraesCS3A01G443700;TraesCS2D01G198300;TraesCS3A01G412600;TraesCS6D01G390000;TraesCS2B01G330100;TraesCS6A01G105400;TraesCS4B01G028100;TraesCS1B01G254000;TraesCS6D01G172500;TraesCS7B01G242200;TraesCS2B01G070700;TraesCS7B01G129300;TraesCS1D01G412600;TraesCS4D01G025700;TraesCS6D01G147900;TraesCS4D01G359000;TraesCS5A01G093200;TraesCS4D01G015900;TraesCS2B01G297800;TraesCS7D01G224400;TraesCS6A01G303800;TraesCS1A01G198400;TraesCS2B01G457600;TraesCS4A01G296200;TraesCS4B01G151200;TraesCS3A01G191700;TraesCS5D01G178300;TraesCS6D01G135800;TraesCS2A01G313000;TraesCS1B01G110400;TraesCS2A01G460000;TraesCS5A01G212500;TraesCS6B01G242800;TraesCS6D01G047400;TraesCS1B01G462200;TraesCS6B01G239000;TraesCS4A01G091100;TraesCS7B01G006600;TraesCS3A01G367000;TraesCS5B01G300100;TraesCS7D01G439900;TraesCS6B01G470900;TraesCS1D01G092200;TraesCS5A01G396700;TraesCS7D01G283600;TraesCS2A01G437700;TraesCS6B01G450500;TraesCS4B01G179400;TraesCS6A01G290600;TraesCS2D01G251000;TraesCS2D01G389900;TraesCS1A01G206900;TraesCS6D01G094200;TraesCS5A01G548800;TraesCS7A01G222800;TraesCS2D01G194000;TraesCS7A01G316700;TraesCS1B01G220700;TraesCS3D01G407300;TraesCS4D01G339700;TraesCS6A01G212200;TraesCS1D01G003700;TraesCS1B01G396800;TraesCS5D01G551200;TraesCS5A01G173800;TraesCS7D01G543200;TraesCS6B01G134800;TraesCS3D01G288000;TraesCS2B01G217700;TraesCS4A01G315700;TraesCS5B01G563800;TraesCS6B01G176600;TraesCS7A01G450600;TraesCS3D01G083400;TraesCS2D01G279300;TraesCS1D01G383500;TraesCS2D01G057900;TraesCS1A01G259700;TraesCS6A01G146500;TraesCS6B01G223200;TraesCS5D01G105500;TraesCS1B01G213300;TraesCS4D01G194400;TraesCS4A01G290400;TraesCS1A01G195500;TraesCS2B01G328500;TraesCS5A01G324200;TraesCS2B01G410100;TraesCS6D01G132500;TraesCS3D01G258900;TraesCS1D01G199100;TraesCS5B01G409700;TraesCS6D01G283300;TraesCS2D01G238600;TraesCS2B01G154700;TraesCS4A01G193700;TraesCS5D01G208300;TraesCS6A01G210200;TraesCS6D01G195400;TraesCS7B01G217500;TraesCS5B01G036800;TraesCS2A01G132200;TraesCS4B01G041900;TraesCS1D01G024800;TraesCS3A01G288200;TraesCS5B01G481100;TraesCS6B01G171600;TraesCS1B01G434400;TraesCS4B01G131800;TraesCS1A01G024700;TraesCS1A01G133500;TraesCS5B01G534400;TraesCS1A01G100600;TraesCS1D01G198700;TraesCS3A01G082700;TraesCS4D01G036500</t>
  </si>
  <si>
    <t>TraesCS3D01G426300;TraesCS4A01G125000;TraesCS4B01G168300;TraesCS1D01G226100;TraesCS1D01G210200;TraesCS2A01G058700;TraesCS6B01G159200;TraesCS6A01G143300;TraesCS7D01G467500;TraesCS6D01G122800;TraesCS4D01G147100;TraesCS6B01G251600;TraesCS2D01G136200;TraesCS7B01G382800;TraesCS6D01G204800;TraesCS1A01G376400;TraesCS2A01G280500;TraesCS6A01G133100;TraesCS3B01G219700;TraesCS7D01G549100;TraesCS3A01G151100;TraesCS2D01G236100;TraesCS1A01G224700;TraesCS1D01G058300;TraesCS2A01G193800;TraesCS5D01G026000;TraesCS6A01G105400;TraesCS6D01G287300;TraesCS2B01G257300;TraesCS2B01G070700;TraesCS7B01G129300;TraesCS5A01G093200;TraesCS2B01G297800;TraesCS7D01G224400;TraesCS3D01G228800;TraesCS6A01G303800;TraesCS7A01G560200;TraesCS2B01G457600;TraesCS3A01G191700;TraesCS2B01G157600;TraesCS6B01G242800;TraesCS6A01G230100;TraesCS6D01G047400;TraesCS4A01G232300;TraesCS5A01G466100;TraesCS6B01G470900;TraesCS7D01G283600;TraesCS2A01G437700;TraesCS7A01G480700;TraesCS4B01G179400;TraesCS1A01G206900;TraesCS6D01G094200;TraesCS7A01G222800;TraesCS2D01G194000;TraesCS1B01G220700;TraesCS6A01G212200;TraesCS6A01G308100;TraesCS4B01G083600;TraesCS1B01G396800;TraesCS5D01G551200;TraesCS6B01G134800;TraesCS3D01G288000;TraesCS3D01G194300;TraesCS4A01G315700;TraesCS5B01G563800;TraesCS2A01G134000;TraesCS3D01G083400;TraesCS4D01G081600;TraesCS2D01G279300;TraesCS6A01G307700;TraesCS4B01G300100;TraesCS1D01G383500;TraesCS2D01G057900;TraesCS3A01G224800;TraesCS5D01G424400;TraesCS5D01G478900;TraesCS5D01G105500;TraesCS3D01G268700;TraesCS1A01G195500;TraesCS6D01G132500;TraesCS1D01G199100;TraesCS5B01G409700;TraesCS6D01G283300;TraesCS3D01G514100;TraesCS5A01G416700;TraesCS1D01G367600;TraesCS2A01G467900;TraesCS2B01G154700;TraesCS6D01G195400;TraesCS7D01G343300;TraesCS7A01G335600;TraesCS5B01G036800;TraesCS2A01G132200;TraesCS2A01G239200;TraesCS3A01G288200;TraesCS4B01G314600;TraesCS6B01G171600;TraesCS5B01G534400;TraesCS1D01G198700;TraesCS6B01G336300;TraesCS3A01G082700;TraesCS5B01G477800;TraesCS3A01G268600;TraesCS4A01G093100</t>
  </si>
  <si>
    <t>TraesCS2D01G324900;TraesCS7D01G292000;TraesCS5B01G484700;TraesCS7D01G294300;TraesCS2A01G246200;TraesCS5B01G175800;TraesCS4A01G226500;TraesCS5B01G531900;TraesCS1B01G146200;TraesCS4B01G213600;TraesCS2D01G014800;TraesCS4D01G147100;TraesCS2A01G262700;TraesCS4A01G065400;TraesCS1D01G376900;TraesCS5B01G094600;TraesCS5D01G056900;TraesCS5A01G166800;TraesCS7A01G323200;TraesCS5B01G255700;TraesCS3D01G428300;TraesCS5B01G142900;TraesCS6B01G112700;TraesCS5A01G149000;TraesCS1A01G130700;TraesCS7B01G411000;TraesCS5A01G336500;TraesCS4D01G184400;TraesCS4B01G347000;TraesCS6D01G390000;TraesCS6D01G287300;TraesCS7A01G555700;TraesCS4D01G151500;TraesCS6A01G225200;TraesCS6A01G420100;TraesCSU01G093800;TraesCS3A01G303800;TraesCS5A01G093200;TraesCS6D01G162200;TraesCS7D01G339300;TraesCS6D01G357600;TraesCS4A01G120000;TraesCS7A01G415500;TraesCS7D01G224400;TraesCS6D01G298300;TraesCS5A01G143800;TraesCS2D01G093700;TraesCS2A01G313000;TraesCS6D01G047400;TraesCS7B01G241500;TraesCS5D01G420300;TraesCS7B01G103100;TraesCS1D01G409700;TraesCS4A01G167000;TraesCS5B01G171400;TraesCS7D01G283600;TraesCS2B01G382000;TraesCS3B01G423600;TraesCS6B01G282200;TraesCS3A01G332300;TraesCS3A01G380100;TraesCS1B01G375300;TraesCS2D01G383800;TraesCS1B01G274600;TraesCS6B01G238600;TraesCS7A01G222800;TraesCS2A01G293400;TraesCS2D01G102100;TraesCS5D01G118200;TraesCS1D01G250700;TraesCS2D01G328100;TraesCS3D01G407300;TraesCS6A01G212200;TraesCS4D01G094700;TraesCS1A01G246800;TraesCS3B01G149800;TraesCS4A01G042500;TraesCS2A01G157700;TraesCS7B01G162300;TraesCS5D01G100800;TraesCS2D01G356700;TraesCS7A01G327600;TraesCS3A01G292700;TraesCS2B01G119700;TraesCS5D01G321900;TraesCS7A01G466900;TraesCS5B01G517500;TraesCS6B01G166400;TraesCS7A01G252000;TraesCS5A01G315800;TraesCS5D01G044700;TraesCS5A01G357400;TraesCS4A01G078900;TraesCS3D01G327600;TraesCS3D01G271200;TraesCS2B01G328500;TraesCS6D01G344100;TraesCS2D01G148200;TraesCS7B01G242800;TraesCS4A01G193700;TraesCS5B01G036800;TraesCS4A01G342800;TraesCS4B01G041900;TraesCS3A01G288200;TraesCS4D01G160000;TraesCS4A01G078800;TraesCS5D01G157300;TraesCS3A01G268600;TraesCS3B01G303000;TraesCS1A01G299500;TraesCS3D01G224800;TraesCS3B01G412600;TraesCS7B01G092500;TraesCS6A01G123800;TraesCS1D01G264100;TraesCS5B01G409400;TraesCS4B01G015600;TraesCS5B01G339200;TraesCS1D01G401900;TraesCS7D01G288700;TraesCS5D01G481500;TraesCS5D01G099800;TraesCS3A01G202000;TraesCS6D01G398100;TraesCS5D01G530200;TraesCS4A01G283700;TraesCS7D01G188300;TraesCS4A01G178600;TraesCS5A01G119300;TraesCS5D01G366500;TraesCS5A01G123800;TraesCS4D01G214300;TraesCS1A01G116200;TraesCS4A01G052600;TraesCS4D01G252700;TraesCS7A01G264300;TraesCS6A01G355300;TraesCS3B01G324500;TraesCS5D01G517200;TraesCS3A01G381000;TraesCS1A01G092700;TraesCS7D01G025000;TraesCS2B01G401900;TraesCS1B01G368500;TraesCS7D01G250100;TraesCS1A01G264000;TraesCS6D01G362000;TraesCS6B01G246600;TraesCS7B01G197000;TraesCS6D01G186000;TraesCS6A01G209800;TraesCS2A01G309600;TraesCS5B01G396700;TraesCS4B01G246900;TraesCS3A01G189400;TraesCS1B01G167200;TraesCS3A01G412600;TraesCS3D01G298000;TraesCS3D01G240800;TraesCS3B01G252200;TraesCS5A01G104800;TraesCS7A01G004000;TraesCS7B01G129300;TraesCS6B01G455100;TraesCS3A01G435700;TraesCS4D01G122800;TraesCS3B01G435900;TraesCS6B01G256400;TraesCS1B01G439600;TraesCS7D01G407700;TraesCS2B01G304900;TraesCS1A01G198400;TraesCS3D01G203400;TraesCS5D01G459800;TraesCS1D01G211600;TraesCS2A01G128300;TraesCS2D01G105300;TraesCS6D01G062500;TraesCS7A01G313900;TraesCS6B01G414800;TraesCS7D01G332300;TraesCS7B01G006600;TraesCS5D01G470400;TraesCS7A01G139800;TraesCS7B01G085700;TraesCS3B01G268900;TraesCS2A01G123800;TraesCS6D01G094200;TraesCS4B01G129700;TraesCS2D01G205900;TraesCS4B01G150300;TraesCS3B01G209400;TraesCS2A01G092400;TraesCS4A01G058000;TraesCS4D01G318200;TraesCS6A01G308100;TraesCS4A01G262900;TraesCS1D01G003700;TraesCS2B01G150400;TraesCS3A01G402500;TraesCS5D01G551200;TraesCS6A01G336800;TraesCS6B01G134800;TraesCS2A01G338100;TraesCS3D01G271800;TraesCS3D01G288000;TraesCS4B01G245400;TraesCS7A01G381900;TraesCS6D01G405600;TraesCS5B01G563800;TraesCS7A01G450600;TraesCS2D01G528800;TraesCS6A01G322400;TraesCS6A01G259000;TraesCS4B01G164800;TraesCS5B01G037500;TraesCS2A01G110700;TraesCS2B01G174700;TraesCS3B01G257700;TraesCS3D01G373300;TraesCS6B01G223200;TraesCS3B01G400900;TraesCS4B01G244400;TraesCS7D01G378400;TraesCS4A01G144500;TraesCS7D01G447100;TraesCS5D01G437600;TraesCS1A01G172100;TraesCS1D01G117400;TraesCS6D01G283300;TraesCS7D01G343300;TraesCS6B01G331800;TraesCS7A01G335600;TraesCS5D01G341200;TraesCS5A01G020800;TraesCS3D01G412500;TraesCS3A01G271600;TraesCS6A01G319100;TraesCS7A01G452800;TraesCS5A01G113700;TraesCS5A01G460600;TraesCS6A01G077800;TraesCSU01G132400;TraesCS3A01G488100;TraesCS7B01G421100;TraesCS1A01G129400;TraesCS4A01G093100;TraesCS4B01G252400;TraesCS6A01G360600;TraesCS3B01G224600;TraesCS7A01G351100;TraesCS5A01G468600;TraesCS1B01G049300;TraesCS4A01G166900;TraesCS1D01G101200;TraesCS5A01G513500;TraesCS4A01G119800;TraesCS6B01G159200;TraesCS1A01G112800;TraesCS5D01G171100;TraesCS5D01G148100;TraesCS7A01G350000;TraesCSU01G142500;TraesCS5B01G431500;TraesCS5A01G467500;TraesCS3B01G112900;TraesCS4D01G246300;TraesCS2B01G457300;TraesCS4B01G321500;TraesCS4D01G244000;TraesCS4D01G133500;TraesCS2A01G097900;TraesCS7D01G549100;TraesCS4A01G355000;TraesCS5B01G146700;TraesCS7B01G350400;TraesCS1B01G255100;TraesCS1A01G409600;TraesCS6D01G224200;TraesCS6B01G219700;TraesCS7D01G313600;TraesCS5B01G415100;TraesCS6A01G201800;TraesCS2B01G309500;TraesCS4B01G090000;TraesCS3D01G289600;TraesCS2D01G248600;TraesCS6D01G113900;TraesCS4A01G080100;TraesCS6D01G237400;TraesCS7D01G265200;TraesCS1A01G340400;TraesCS2B01G330100;TraesCS6A01G105400;TraesCS2B01G263300;TraesCS1B01G254000;TraesCS5D01G230300;TraesCS2A01G103300;TraesCS2B01G070700;TraesCS1D01G412600;TraesCS4A01G298100;TraesCS1D01G229400;TraesCS6A01G303800;TraesCS1B01G462200;TraesCS4A01G091100;TraesCS7D01G554900;TraesCS7B01G352800;TraesCS4A01G194100;TraesCS4A01G494400;TraesCS6A01G113000;TraesCS4D01G341900;TraesCS5D01G472300;TraesCS7D01G439900;TraesCS5D01G143800;TraesCS2A01G437700;TraesCS2D01G362700;TraesCS3A01G275700;TraesCS4B01G263100;TraesCS5D01G332000;TraesCS6B01G182300;TraesCS7A01G293200;TraesCS1B01G352700;TraesCS4D01G339700;TraesCS1D01G342400;TraesCS4D01G212600;TraesCS1D01G242500;TraesCS3D01G341200;TraesCS7A01G192000;TraesCS7D01G148200;TraesCS7D01G117800;TraesCS5B01G099300;TraesCS3A01G272200;TraesCS5A01G411500;TraesCS4A01G185400;TraesCS6B01G393500;TraesCS5A01G088400;TraesCS2A01G095300;TraesCS5B01G503800;TraesCS2D01G303500;TraesCS4A01G110800;TraesCS1D01G392400;TraesCS3D01G268700;TraesCS1D01G352300;TraesCS1D01G356900;TraesCS4A01G051900;TraesCS4A01G290400;TraesCS3A01G200400;TraesCS5A01G395200;TraesCS6D01G210000;TraesCS5A01G490500;TraesCS5B01G409700;TraesCS7A01G182200;TraesCS4B01G211800;TraesCS5B01G214400;TraesCS4D01G039100;TraesCS3A01G417000;TraesCS1D01G298400;TraesCS2D01G524500;TraesCS1A01G431600;TraesCS7D01G409000;TraesCS1A01G133500;TraesCS5B01G534400;TraesCS3A01G274600;TraesCS1D01G125300;TraesCS6A01G154400;TraesCS6D01G238800;TraesCS7D01G499800;TraesCS1D01G155100;TraesCS3A01G289900;TraesCS6D01G337500;TraesCS7D01G449900;TraesCS1D01G226500;TraesCS6A01G373400;TraesCS2A01G197900;TraesCS7B01G093800;TraesCS7A01G260600;TraesCS4B01G133200;TraesCS7D01G454700;TraesCS1B01G377800;TraesCS5A01G490800;TraesCS2A01G058700;TraesCS5A01G215900;TraesCS2B01G343900;TraesCS4A01G092500;TraesCS6D01G357100;TraesCS4D01G021400;TraesCS6A01G130900;TraesCS6B01G253900;TraesCS4D01G013900;TraesCS5B01G378700;TraesCS5A01G429500;TraesCS3B01G161900;TraesCS5B01G102600;TraesCS1A01G060100;TraesCS3A01G134100;TraesCS2B01G004000;TraesCS2D01G361800;TraesCS2A01G149600;TraesCS7D01G327700;TraesCS6B01G315800;TraesCS7A01G120300;TraesCS3B01G362100;TraesCS5B01G335500;TraesCS2A01G102600;TraesCS7D01G174700;TraesCS2B01G050600;TraesCS3D01G275600;TraesCS2D01G310000;TraesCS4A01G220100;TraesCS4A01G157100;TraesCS4A01G283000;TraesCS5D01G504600;TraesCS1D01G178000;TraesCS4D01G151900;TraesCS6D01G172500;TraesCS4B01G138800;TraesCS7D01G004500;TraesCS1A01G001800;TraesCS2B01G404600;TraesCS2D01G111300;TraesCS7A01G560200;TraesCS7B01G230100;TraesCS2B01G457600;TraesCS2B01G247100;TraesCS3D01G220400;TraesCS2A01G460000;TraesCS6B01G242800;TraesCS3A01G023800;TraesCS1B01G156600;TraesCS1D01G440900;TraesCS3A01G367000;TraesCS3B01G308200;TraesCS2A01G521400;TraesCS5A01G396700;TraesCS4D01G194300;TraesCS6B01G450500;TraesCS2B01G363200;TraesCS3D01G325800;TraesCS4B01G242800;TraesCS6A01G290600;TraesCS2B01G107200;TraesCS3D01G162700;TraesCS2A01G387000;TraesCS3A01G097200;TraesCS5B01G344200;TraesCS6D01G302200;TraesCS1B01G422200;TraesCS3B01G309400;TraesCS4D01G317900;TraesCS3B01G229700;TraesCS6B01G348700;TraesCS3A01G232700;TraesCS4A01G315700;TraesCS7D01G442100;TraesCS1A01G263400;TraesCS7D01G107600;TraesCS4B01G321300;TraesCS2D01G249200;TraesCS1D01G146600;TraesCS4D01G263300;TraesCS5A01G046600;TraesCS2D01G057900;TraesCS4B01G344600;TraesCS7D01G193000;TraesCS2D01G126600;TraesCS1B01G261700;TraesCS2B01G321700;TraesCS7B01G184800;TraesCS3B01G306000;TraesCS1A01G358800;TraesCS3D01G304800;TraesCS5D01G105500;TraesCS5A01G036600;TraesCS1B01G213300;TraesCS4D01G194400;TraesCS1A01G111100;TraesCS5B01G136500;TraesCS2B01G145700;TraesCS2B01G122500;TraesCS5D01G164800;TraesCS5B01G509500;TraesCS5B01G510500;TraesCS5A01G515700;TraesCS5D01G223700;TraesCS6B01G151900;TraesCS6B01G104600;TraesCS5B01G147600;TraesCS3B01G398300;TraesCS6D01G174500;TraesCS6D01G195400;TraesCS2B01G225300;TraesCS7B01G097000;TraesCS3B01G470400;TraesCS4D01G086000;TraesCS6D01G193000;TraesCS7A01G329600;TraesCS5B01G481100;TraesCS1B01G434400;TraesCS4B01G073200;TraesCS7D01G130500;TraesCS1A01G309200;TraesCS5A01G222500;TraesCS5B01G320100;TraesCS4B01G029400;TraesCS4D01G242400;TraesCS6B01G388100</t>
  </si>
  <si>
    <t>TraesCS2B01G260800;TraesCS7D01G292000;TraesCS5B01G484700;TraesCS1D01G449000;TraesCS2A01G246200;TraesCS1D01G210200;TraesCS4A01G226500;TraesCS4A01G432400;TraesCS1B01G146200;TraesCS2D01G014800;TraesCS6B01G295700;TraesCS4D01G153900;TraesCS4D01G147100;TraesCS2A01G262700;TraesCS5B01G057300;TraesCS4A01G065400;TraesCS1A01G324800;TraesCS5D01G532100;TraesCS5B01G094600;TraesCS5D01G429200;TraesCS5A01G166800;TraesCS2A01G171900;TraesCS7A01G323200;TraesCS5D01G201300;TraesCS6A01G203300;TraesCS6B01G112700;TraesCS5A01G149000;TraesCS1A01G130700;TraesCS7B01G411000;TraesCS5A01G336500;TraesCS2B01G233400;TraesCS3D01G296900;TraesCS4D01G220700;TraesCS6D01G287300;TraesCS3A01G393400;TraesCS4A01G101500;TraesCS6A01G225200;TraesCS2B01G257300;TraesCS4D01G204000;TraesCS5A01G093200;TraesCS7D01G339300;TraesCS6D01G357600;TraesCS4D01G120900;TraesCS7D01G224400;TraesCS4B01G109700;TraesCS4D01G085900;TraesCS2D01G093700;TraesCS3B01G309700;TraesCS5A01G472100;TraesCS6D01G047400;TraesCS1D01G409700;TraesCS1D01G396300;TraesCS1D01G260500;TraesCS5B01G171400;TraesCS7D01G283600;TraesCS2B01G382000;TraesCS3D01G281100;TraesCS3B01G423600;TraesCS3D01G065800;TraesCS5A01G189600;TraesCS3A01G380100;TraesCS1B01G274600;TraesCS7A01G222800;TraesCS5D01G118200;TraesCS4A01G138800;TraesCS1D01G325500;TraesCS2D01G328100;TraesCS6A01G212200;TraesCS4D01G094700;TraesCS7B01G219700;TraesCS1A01G246800;TraesCS3B01G149800;TraesCS2A01G157700;TraesCS7B01G162300;TraesCS5D01G100800;TraesCS6D01G244900;TraesCS1B01G271100;TraesCS5B01G479200;TraesCS3D01G421500;TraesCS4A01G158400;TraesCS7A01G466900;TraesCS2B01G520500;TraesCS7A01G252000;TraesCS5D01G044700;TraesCS5A01G357400;TraesCS3D01G327600;TraesCS2B01G328500;TraesCS3A01G137000;TraesCS6D01G344100;TraesCS7B01G242800;TraesCS3A01G521600;TraesCS3A01G322500;TraesCS5B01G036800;TraesCS4B01G041900;TraesCS3A01G288200;TraesCS1A01G152800;TraesCS1A01G024700;TraesCS4D01G160000;TraesCS2B01G325100;TraesCS1D01G314600;TraesCS4A01G078800;TraesCS3A01G268600;TraesCS4B01G088400;TraesCS1A01G299500;TraesCS4D01G003600;TraesCS3B01G412600;TraesCS5B01G517400;TraesCS5A01G199600;TraesCS2A01G517900;TraesCS6A01G123800;TraesCS1D01G264100;TraesCS7D01G227300;TraesCS1D01G190900;TraesCS6B01G213100;TraesCS4B01G015600;TraesCS1B01G343100;TraesCS2B01G346500;TraesCS6B01G470700;TraesCS5D01G412600;TraesCS3A01G330200;TraesCS3A01G334800;TraesCS1B01G193700;TraesCS2D01G492600;TraesCS4B01G288200;TraesCS6D01G398100;TraesCS6A01G143300;TraesCS4A01G178600;TraesCS5A01G119300;TraesCS5D01G366500;TraesCS4B01G220400;TraesCS3D01G507500;TraesCS4D01G252700;TraesCS7A01G264300;TraesCS1D01G316200;TraesCS2A01G280500;TraesCS3A01G381000;TraesCS2A01G200500;TraesCS2B01G401900;TraesCS7D01G250100;TraesCS1A01G264000;TraesCS7A01G307000;TraesCS3A01G052700;TraesCS6D01G362000;TraesCS5D01G141200;TraesCS7B01G197000;TraesCS5B01G396700;TraesCS4B01G246900;TraesCS3A01G189400;TraesCS3D01G527700;TraesCS7A01G341000;TraesCS7B01G177700;TraesCS7D01G284200;TraesCS7B01G189500;TraesCS6D01G149800;TraesCS3B01G252200;TraesCS7A01G004000;TraesCS2D01G094400;TraesCS3B01G088300;TraesCS7B01G129300;TraesCS4D01G122800;TraesCS3B01G435900;TraesCS6B01G256400;TraesCS1B01G439600;TraesCS2B01G304900;TraesCS1A01G198400;TraesCS3D01G203400;TraesCS5D01G459800;TraesCS3A01G191700;TraesCS3D01G328100;TraesCS4B01G290300;TraesCS1D01G211600;TraesCS7D01G231600;TraesCS2D01G105300;TraesCS6D01G062500;TraesCS7A01G313900;TraesCS6B01G414800;TraesCS2B01G348600;TraesCS7B01G085700;TraesCS4D01G085700;TraesCS2B01G592500;TraesCS1D01G277100;TraesCS6D01G094200;TraesCS4B01G129700;TraesCS4B01G150300;TraesCS5D01G248300;TraesCS3B01G209400;TraesCS5D01G229900;TraesCS4A01G058000;TraesCS4D01G318200;TraesCS1B01G220700;TraesCS6A01G308100;TraesCS4A01G262900;TraesCS3A01G402500;TraesCS5D01G551200;TraesCS6A01G336800;TraesCS6B01G134800;TraesCS1A01G137000;TraesCS3D01G288000;TraesCS7A01G381900;TraesCS5B01G563800;TraesCS7D01G073000;TraesCS2D01G528800;TraesCS2D01G059400;TraesCS6A01G322400;TraesCS1B01G200800;TraesCS2D01G279300;TraesCS6A01G259000;TraesCS3A01G503200;TraesCS3B01G154900;TraesCS5B01G037500;TraesCS1D01G383500;TraesCS2D01G327400;TraesCS4A01G227500;TraesCS2A01G110700;TraesCS2B01G174700;TraesCS3D01G373300;TraesCS3B01G400900;TraesCS5A01G241800;TraesCS7D01G378400;TraesCS7D01G447100;TraesCS5D01G437600;TraesCS1A01G172100;TraesCS6D01G283300;TraesCS1B01G337800;TraesCS5D01G341200;TraesCS6B01G304100;TraesCS5A01G020800;TraesCS3D01G412500;TraesCS6A01G319100;TraesCS7A01G452800;TraesCS5A01G113700;TraesCS5A01G460600;TraesCS6B01G419000;TraesCS5D01G480300;TraesCS7B01G119300;TraesCS1A01G129400;TraesCS4A01G093100;TraesCS4B01G252400;TraesCS4A01G125000;TraesCS6A01G360600;TraesCS3B01G224600;TraesCS1A01G260500;TraesCS1B01G049300;TraesCS3D01G323700;TraesCS3D01G411200;TraesCS6A01G268600;TraesCS7A01G368900;TraesCS1D01G329100;TraesCS3A01G099300;TraesCS5D01G359800;TraesCS4A01G119800;TraesCS6A01G380200;TraesCS6B01G159200;TraesCS1A01G112800;TraesCS5D01G171100;TraesCS7A01G350000;TraesCS5B01G431500;TraesCS5A01G467500;TraesCS2D01G417300;TraesCS3B01G112900;TraesCS4D01G246300;TraesCS3A01G205900;TraesCS2B01G457300;TraesCS3B01G131400;TraesCS4B01G321500;TraesCS2A01G229300;TraesCS4D01G133500;TraesCS2A01G097900;TraesCS7D01G549100;TraesCS2A01G563500;TraesCS1B01G255100;TraesCS1A01G409600;TraesCS6A01G379000;TraesCS1A01G027200;TraesCS2D01G565200;TraesCS3A01G103900;TraesCS4B01G090000;TraesCS2A01G022000;TraesCS2D01G248600;TraesCS6D01G113900;TraesCS6D01G237400;TraesCS7D01G265200;TraesCS3B01G222400;TraesCS6A01G105400;TraesCS2B01G263300;TraesCS4B01G158000;TraesCS1B01G254000;TraesCS3A01G513500;TraesCS2A01G103300;TraesCS2B01G070700;TraesCS1D01G412600;TraesCS4D01G359000;TraesCS7A01G077400;TraesCS4A01G298100;TraesCS1D01G229400;TraesCS6A01G303800;TraesCS1A01G144300;TraesCS4A01G355100;TraesCS1B01G462200;TraesCS3D01G188800;TraesCS3D01G423300;TraesCS6B01G239000;TraesCS3B01G385400;TraesCS5B01G270200;TraesCS7B01G352800;TraesCS4A01G494400;TraesCS6A01G113000;TraesCS5D01G472300;TraesCS5B01G300100;TraesCS5D01G143800;TraesCS1B01G326400;TraesCS2A01G437700;TraesCS2D01G362700;TraesCS3A01G275700;TraesCS7A01G002900;TraesCS2D01G389900;TraesCS1A01G206900;TraesCS3B01G214600;TraesCS2D01G118000;TraesCS6D01G350000;TraesCS2B01G263600;TraesCS5D01G332000;TraesCS6B01G402300;TraesCS1B01G396800;TraesCS2A01G235900;TraesCS7D01G148200;TraesCS4A01G036500;TraesCS7D01G224900;TraesCS4A01G254100;TraesCS4B01G069200;TraesCS4A01G185400;TraesCS1A01G278000;TraesCS6B01G393500;TraesCS5B01G387600;TraesCS4B01G162900;TraesCS4A01G376000;TraesCS5A01G088400;TraesCS2A01G095300;TraesCS2D01G303500;TraesCS2A01G246700;TraesCS4A01G110800;TraesCS1D01G392400;TraesCS3D01G268700;TraesCS7A01G285800;TraesCS2D01G246100;TraesCS1D01G352300;TraesCS4A01G051900;TraesCS3A01G200400;TraesCS2A01G492300;TraesCS3B01G564100;TraesCS6D01G132500;TraesCS6D01G210000;TraesCS5A01G490500;TraesCS5B01G409700;TraesCS5B01G214400;TraesCS4D01G264800;TraesCS2B01G312600;TraesCS1D01G024800;TraesCS2D01G208300;TraesCS3A01G417000;TraesCS1D01G298400;TraesCS2D01G524500;TraesCS1A01G431600;TraesCS7D01G409000;TraesCS1A01G133500;TraesCS5B01G534400;TraesCS1D01G125300;TraesCS6B01G342300;TraesCS3A01G295400;TraesCS6D01G246300;TraesCS3D01G482500;TraesCS3D01G426300;TraesCS1D01G155100;TraesCS3A01G212600;TraesCS7A01G223300;TraesCS3D01G231200;TraesCS7D01G449900;TraesCS1D01G226500;TraesCS7D01G338600;TraesCS6A01G373400;TraesCS3D01G380100;TraesCS7A01G260600;TraesCS4A01G226900;TraesCS4B01G133200;TraesCS7D01G454700;TraesCS7A01G318800;TraesCS1B01G377800;TraesCS1A01G185900;TraesCS1A01G388400;TraesCS2A01G058700;TraesCS5A01G215900;TraesCS6D01G357100;TraesCS5A01G192000;TraesCS2D01G241800;TraesCS3B01G426500;TraesCS3D01G137800;TraesCS6B01G253900;TraesCS4D01G013900;TraesCS5B01G378700;TraesCS1A01G376400;TraesCS5A01G429500;TraesCS5B01G102600;TraesCS2B01G004000;TraesCS2D01G361800;TraesCS2A01G149600;TraesCS6B01G315800;TraesCS1A01G180200;TraesCS5B01G335500;TraesCS7B01G451500;TraesCS1D01G331000;TraesCS2B01G050600;TraesCS6A01G312100;TraesCS3D01G529200;TraesCS6D01G182200;TraesCS4B01G204500;TraesCS3D01G275600;TraesCS2D01G310000;TraesCS4A01G220100;TraesCS4A01G157100;TraesCS2D01G519500;TraesCS2B01G227800;TraesCS4A01G283000;TraesCS1D01G178000;TraesCS3A01G523700;TraesCS3B01G566600;TraesCS7B01G242200;TraesCS3A01G530100;TraesCS4B01G138800;TraesCS7D01G004500;TraesCS7A01G304400;TraesCS2B01G297800;TraesCS2D01G111300;TraesCS7A01G560200;TraesCS7B01G230100;TraesCS2A01G273400;TraesCS2B01G457600;TraesCS2B01G247100;TraesCS5D01G285200;TraesCS6B01G242800;TraesCS1B01G200300;TraesCS3A01G023800;TraesCS1B01G156600;TraesCS1D01G440900;TraesCS3A01G184800;TraesCS3A01G367000;TraesCS7D01G315400;TraesCS6A01G314100;TraesCS4D01G194300;TraesCS2B01G363200;TraesCS4B01G179400;TraesCS6A01G290600;TraesCS1A01G315900;TraesCS5A01G548800;TraesCS3D01G162700;TraesCS2A01G387000;TraesCS3A01G097200;TraesCS5B01G344200;TraesCS6D01G302200;TraesCS3A01G100000;TraesCS2B01G198300;TraesCS3B01G309400;TraesCS4A01G315700;TraesCS7D01G442100;TraesCS1A01G263400;TraesCS2D01G229600;TraesCS2D01G249200;TraesCS6A01G267300;TraesCS4A01G324400;TraesCS2B01G098800;TraesCS6B01G344100;TraesCS3A01G304900;TraesCS5B01G220900;TraesCS2D01G057900;TraesCS4D01G150700;TraesCS2A01G296400;TraesCS1D01G134300;TraesCS6D01G364900;TraesCS6D01G299200;TraesCS2A01G431900;TraesCS2B01G321700;TraesCS7B01G184800;TraesCS3D01G304800;TraesCS5D01G105500;TraesCS5A01G036600;TraesCS1B01G213300;TraesCS1A01G111100;TraesCS4A01G164900;TraesCS5B01G136500;TraesCS2B01G122500;TraesCS2D01G022800;TraesCS5D01G164800;TraesCS5B01G510500;TraesCS1B01G293500;TraesCS2B01G410100;TraesCS5D01G223700;TraesCS6B01G151900;TraesCS7B01G124100;TraesCS5B01G147600;TraesCS6A01G210200;TraesCS6D01G195400;TraesCS2A01G239200;TraesCS4D01G086000;TraesCS1B01G155600;TraesCS6B01G161800;TraesCS7A01G329600;TraesCS1A01G284300;TraesCS6B01G171600;TraesCS1B01G434400;TraesCS4B01G073200;TraesCS7D01G130500;TraesCS1A01G309200;TraesCS6B01G189000;TraesCS7D01G000100;TraesCS5B01G121000;TraesCS7B01G207300;TraesCS4A01G150500</t>
  </si>
  <si>
    <t>TraesCS7A01G466600;TraesCS5B01G117800;TraesCS6D01G121300;TraesCS3A01G289900;TraesCS5B01G484700;TraesCS7D01G294300;TraesCS5B01G175800;TraesCS5B01G339200;TraesCS1D01G401900;TraesCS4A01G166900;TraesCS5D01G219500;TraesCS5A01G165700;TraesCS7B01G093800;TraesCS1D01G101200;TraesCS3A01G202000;TraesCS5A01G490800;TraesCS4A01G092500;TraesCS4A01G283700;TraesCS7D01G188300;TraesCS5A01G119300;TraesCS5D01G148100;TraesCS4D01G021400;TraesCS1A01G116200;TraesCS3B01G185300;TraesCS4A01G052600;TraesCSU01G142500;TraesCS1D01G376900;TraesCS3B01G161900;TraesCS3B01G324500;TraesCS5D01G517200;TraesCS3A01G381000;TraesCS5B01G324800;TraesCS1A01G092700;TraesCS4D01G244000;TraesCS5B01G255700;TraesCS1D01G341100;TraesCS6B01G315800;TraesCS4A01G355000;TraesCS5B01G146700;TraesCS1B01G368500;TraesCS5B01G142900;TraesCS2A01G102600;TraesCS2B01G309500;TraesCS7B01G197000;TraesCS2B01G050600;TraesCS2A01G309600;TraesCS3D01G289600;TraesCS3A01G189400;TraesCS2D01G310000;TraesCS4D01G184400;TraesCS1B01G167200;TraesCS2B01G330100;TraesCS3D01G298000;TraesCS4D01G151900;TraesCS7D01G454200;TraesCS6D01G287300;TraesCS7A01G555700;TraesCS5D01G230300;TraesCS6A01G420100;TraesCS7B01G129300;TraesCS6B01G455100;TraesCS3A01G303800;TraesCS5D01G169600;TraesCS1A01G339300;TraesCS4D01G122800;TraesCS7D01G224400;TraesCS6A01G303800;TraesCS2B01G457600;TraesCS5A01G143800;TraesCS2A01G313000;TraesCS3D01G220400;TraesCS5A01G212500;TraesCS2B01G079400;TraesCS6D01G047400;TraesCS6B01G294700;TraesCS7D01G554900;TraesCS7B01G006600;TraesCS1D01G409700;TraesCS3A01G367000;TraesCS5D01G067600;TraesCS5D01G470400;TraesCS2A01G521400;TraesCS5A01G396700;TraesCS4D01G194300;TraesCS5B01G132600;TraesCS2A01G437700;TraesCS2A01G123800;TraesCS6A01G290600;TraesCS1B01G375300;TraesCS4B01G129700;TraesCS7A01G222800;TraesCS2A01G387000;TraesCS2A01G293400;TraesCS2A01G222600;TraesCS2D01G102100;TraesCS6B01G182300;TraesCS1D01G250700;TraesCS5B01G162800;TraesCS6A01G308100;TraesCS4D01G212600;TraesCS1B01G422200;TraesCS4D01G317900;TraesCS7A01G192000;TraesCS3B01G229700;TraesCS3D01G288000;TraesCS6B01G348700;TraesCS3A01G232700;TraesCS5A01G165400;TraesCS3A01G292700;TraesCS4B01G245400;TraesCS6B01G159800;TraesCS6D01G405600;TraesCS7D01G117800;TraesCS5A01G056400;TraesCS7D01G107600;TraesCS4B01G321300;TraesCS5A01G132300;TraesCS6A01G267300;TraesCS1D01G146600;TraesCS2B01G119700;TraesCS5D01G321900;TraesCS5B01G517500;TraesCS7D01G193000;TraesCS2D01G126600;TraesCS1B01G261700;TraesCS5A01G315800;TraesCS4A01G110800;TraesCS1A01G358800;TraesCS4B01G244400;TraesCS4A01G078900;TraesCS4D01G194400;TraesCS1D01G356900;TraesCS4A01G164900;TraesCS2B01G145700;TraesCS4A01G290400;TraesCS3D01G271200;TraesCS2B01G328500;TraesCS5A01G324200;TraesCS5A01G395200;TraesCS7B01G124100;TraesCS1A01G313300;TraesCS1D01G117400;TraesCS6B01G104600;TraesCS2D01G148200;TraesCS5B01G409700;TraesCS6D01G283300;TraesCS2B01G248100;TraesCS7A01G182200;TraesCS4B01G211800;TraesCS2D01G238600;TraesCS3B01G398300;TraesCS7D01G343300;TraesCS7A01G335600;TraesCS7B01G097000;TraesCS3A01G417000;TraesCS3A01G288200;TraesCS3D01G412500;TraesCS3A01G271600;TraesCS7D01G409000;TraesCS6A01G077800;TraesCS5A01G222500;TraesCS6A01G154400;TraesCS5B01G320100;TraesCS5D01G157300;TraesCS6D01G238800;TraesCS4B01G029400;TraesCS4A01G093100;TraesCS7B01G092500</t>
  </si>
  <si>
    <t>TraesCS2D01G213200;TraesCS1B01G259800;TraesCS3A01G264600;TraesCS5B01G222600;TraesCS3B01G207300;TraesCS2D01G479900;TraesCS2B01G514800;TraesCS5A01G032500;TraesCS4A01G375000;TraesCS7D01G261100;TraesCS1A01G256800;TraesCS4B01G230500;TraesCS2B01G505400;TraesCS4A01G101200;TraesCS7B01G181200;TraesCS4D01G147500;TraesCS4B01G186700;TraesCS5B01G156500;TraesCS6B01G132300;TraesCS1B01G267200;TraesCS2D01G554500;TraesCS7A01G076600;TraesCS4B01G126400;TraesCS4D01G244000;TraesCS5A01G390000;TraesCS5B01G232400;TraesCS6B01G311200;TraesCS3B01G299100;TraesCS5B01G159100;TraesCS3A01G229100;TraesCS6A01G379000;TraesCS3D01G264700;TraesCS2D01G487700;TraesCS6A01G282800;TraesCS2D01G385000;TraesCS3D01G275200;TraesCS5D01G399800;TraesCS5D01G208100;TraesCS1A01G177600;TraesCS6B01G285500;TraesCS1D01G055200;TraesCS3B01G246600;TraesCS2A01G149500;TraesCS2D01G304000;TraesCS2B01G174600;TraesCS2D01G561900;TraesCS2B01G342100;TraesCS7D01G399400;TraesCS2D01G322800;TraesCS3B01G297900;TraesCS5B01G000600;TraesCS6D01G091600;TraesCS5D01G078500;TraesCS1A01G249100;TraesCS2B01G405200;TraesCS3A01G275300;TraesCS2A01G387400;TraesCS6A01G103200;TraesCS2A01G480500;TraesCS3B01G309000;TraesCS7D01G278800;TraesCS4B01G245400;TraesCS6D01G221400;TraesCS2A01G344500;TraesCS5D01G000100;TraesCS7D01G072300;TraesCS6B01G365300;TraesCS5B01G037500;TraesCS2A01G592600;TraesCS7B01G169100;TraesCS5D01G040800;TraesCS5D01G231200;TraesCS5D01G044700;TraesCS6D01G278500;TraesCS4A01G078900;TraesCS5A01G036600;TraesCS5D01G405400;TraesCS2D01G154600;TraesCS5A01G223700;TraesCS2D01G523000;TraesCS7A01G260100;TraesCS5D01G162500;TraesCS1B01G293500;TraesCS2B01G229500;TraesCS6D01G363400;TraesCS5D01G240800;TraesCS1A01G284300;TraesCS5B01G074200;TraesCS5B01G395000;TraesCS6D01G263300;TraesCS2B01G293400;TraesCS4A01G074200;TraesCS7A01G279000;TraesCS2A01G487500;TraesCS5A01G067300;TraesCS7A01G200700;TraesCS5A01G233900</t>
  </si>
  <si>
    <t>TraesCS2D01G213200;TraesCS1B01G259800;TraesCS3A01G264600;TraesCS5B01G222600;TraesCS3B01G207300;TraesCS2D01G479900;TraesCS2B01G514800;TraesCS5A01G032500;TraesCS4A01G375000;TraesCS7D01G261100;TraesCS1A01G256800;TraesCS4B01G230500;TraesCS2B01G505400;TraesCS4A01G101200;TraesCS5A01G119300;TraesCS7B01G181200;TraesCS4D01G147500;TraesCS4B01G186700;TraesCS5B01G156500;TraesCS6B01G132300;TraesCS1B01G267200;TraesCS2D01G554500;TraesCS7A01G076600;TraesCS4B01G126400;TraesCS4D01G244000;TraesCS5A01G390000;TraesCS5B01G232400;TraesCS6B01G311200;TraesCS2D01G399800;TraesCS3B01G299100;TraesCS1A01G180200;TraesCS5B01G159100;TraesCS3A01G229100;TraesCS6A01G379000;TraesCS3D01G264700;TraesCS2D01G487700;TraesCS6A01G282800;TraesCS1D01G178400;TraesCS2D01G385000;TraesCS3D01G275200;TraesCS5D01G399800;TraesCS5D01G208100;TraesCS1A01G177600;TraesCS1A01G095200;TraesCS6B01G285500;TraesCS1D01G055200;TraesCS3B01G246600;TraesCS2A01G149500;TraesCS2D01G304000;TraesCS1B01G200300;TraesCS2B01G174600;TraesCS2D01G561900;TraesCS2B01G342100;TraesCS7D01G399400;TraesCS2D01G322800;TraesCS3B01G297900;TraesCS5B01G000600;TraesCS6D01G091600;TraesCS5A01G059900;TraesCS5D01G078500;TraesCS1A01G249100;TraesCS2B01G405200;TraesCS3A01G275300;TraesCS2A01G387400;TraesCS6A01G103200;TraesCS2A01G480500;TraesCS3B01G309000;TraesCS7D01G278800;TraesCS4B01G245400;TraesCS6D01G221400;TraesCS2A01G344500;TraesCS5D01G000100;TraesCS7D01G072300;TraesCS6B01G365300;TraesCS5B01G037500;TraesCS2B01G375700;TraesCS2A01G592600;TraesCS7B01G169100;TraesCS5D01G040800;TraesCS5D01G231200;TraesCS5D01G044700;TraesCS6D01G278500;TraesCS4A01G078900;TraesCS5A01G036600;TraesCS5D01G405400;TraesCS2D01G154600;TraesCS5A01G223700;TraesCS2D01G523000;TraesCS7A01G260100;TraesCS5D01G162500;TraesCS1B01G293500;TraesCS2B01G229500;TraesCS6D01G363400;TraesCS5D01G240800;TraesCS1A01G284300;TraesCS5B01G074200;TraesCS5B01G395000;TraesCS6D01G263300;TraesCS2B01G293400;TraesCS4A01G074200;TraesCS7A01G279000;TraesCS2A01G487500;TraesCS5A01G067300;TraesCS7A01G200700;TraesCS5A01G233900</t>
  </si>
  <si>
    <t>TraesCS6D01G121300;TraesCS4A01G125000;TraesCS5B01G484700;TraesCS2B01G307300;TraesCS2A01G234900;TraesCS5D01G219500;TraesCS5A01G108000;TraesCS1D01G101200;TraesCS1D01G226100;TraesCS2B01G334800;TraesCS1D01G210200;TraesCS4D01G170800;TraesCS6B01G159200;TraesCS7D01G467500;TraesCS2A01G409700;TraesCS4D01G153900;TraesCS4D01G147100;TraesCS5A01G014400;TraesCS2D01G136200;TraesCS1A01G355200;TraesCS7B01G382800;TraesCS7B01G104400;TraesCS5D01G517600;TraesCS5B01G324800;TraesCS6A01G133100;TraesCS1A01G416000;TraesCS2D01G233900;TraesCS3B01G219700;TraesCS3A01G205100;TraesCS7A01G088100;TraesCS7D01G549100;TraesCS4A01G286700;TraesCS1B01G255100;TraesCS4D01G068100;TraesCS2A01G193800;TraesCS5D01G026000;TraesCS4D01G220700;TraesCS6A01G105400;TraesCS6D01G287300;TraesCS1B01G254000;TraesCS3A01G513500;TraesCS5A01G014500;TraesCS6A01G225200;TraesCS2B01G257300;TraesCS5D01G230300;TraesCS2B01G070700;TraesCS1D01G412600;TraesCS4D01G025700;TraesCS4D01G359000;TraesCS4A01G298100;TraesCS5A01G093200;TraesCS6A01G303800;TraesCS4B01G285000;TraesCS4D01G160200;TraesCS2B01G201700;TraesCS6D01G135800;TraesCS3B01G309700;TraesCS6D01G047400;TraesCS2A01G187700;TraesCS4A01G194100;TraesCS3D01G210300;TraesCS5A01G466100;TraesCS5B01G228900;TraesCS5D01G067600;TraesCS5B01G300100;TraesCS6D01G095800;TraesCS7D01G283600;TraesCS2A01G437700;TraesCS2D01G251000;TraesCS1D01G315700;TraesCS1A01G206900;TraesCS1B01G375300;TraesCS1B01G274600;TraesCS2A01G222600;TraesCS6A01G212200;TraesCS7D01G083200;TraesCS4B01G083600;TraesCS4D01G107400;TraesCS3D01G194300;TraesCS6B01G159800;TraesCS1D01G423500;TraesCS4D01G081600;TraesCS6A01G158300;TraesCS3A01G224800;TraesCS5D01G321900;TraesCS1B01G366400;TraesCS4A01G387000;TraesCS5A01G315800;TraesCS7D01G200800;TraesCS6D01G259500;TraesCS6B01G307200;TraesCS3D01G268700;TraesCS4A01G290400;TraesCS1A01G254400;TraesCS1A01G195500;TraesCS5B01G509100;TraesCS6D01G132500;TraesCS1A01G313300;TraesCS6D01G210000;TraesCS2B01G248100;TraesCS2A01G467900;TraesCS2D01G238600;TraesCS2B01G154700;TraesCS5B01G036800;TraesCS1D01G242400;TraesCS2A01G132200;TraesCS5A01G230400;TraesCS4A01G206400;TraesCS2B01G312600;TraesCS6A01G279100;TraesCS3A01G288200;TraesCS5B01G534400;TraesCS6B01G336300;TraesCS3A01G082700;TraesCS5B01G477800;TraesCS3A01G268600;TraesCS3A01G276100;TraesCS4D01G003600;TraesCS1D01G264100;TraesCS3D01G426300;TraesCS4B01G015600;TraesCS2B01G271300;TraesCS4B01G168300;TraesCS7D01G338600;TraesCS2A01G058700;TraesCS2B01G528300;TraesCS6A01G143300;TraesCS3B01G254400;TraesCS6D01G122800;TraesCS5A01G119300;TraesCS4D01G021400;TraesCS4B01G220400;TraesCS4D01G013900;TraesCS7D01G228500;TraesCS2B01G385300;TraesCS4B01G354600;TraesCS7A01G451100;TraesCS1B01G325100;TraesCS2A01G280500;TraesCS1A01G092700;TraesCS3A01G151100;TraesCS1A01G264000;TraesCS2A01G290900;TraesCS7A01G307000;TraesCS1A01G224700;TraesCS1D01G241000;TraesCS2B01G050600;TraesCS5A01G424400;TraesCS1A01G241000;TraesCS1D01G058300;TraesCS3D01G529200;TraesCS4B01G204500;TraesCS3D01G275600;TraesCS7A01G341000;TraesCS5B01G419300;TraesCS7B01G189500;TraesCS2B01G428100;TraesCS3A01G523700;TraesCS3B01G566600;TraesCS4B01G028100;TraesCS7B01G242200;TraesCS1D01G303800;TraesCS2B01G297800;TraesCS4D01G122800;TraesCS6B01G256400;TraesCS3D01G228800;TraesCS7A01G560200;TraesCS2B01G264100;TraesCS2B01G457600;TraesCS3A01G191700;TraesCS2B01G157600;TraesCS5A01G212500;TraesCS6B01G242800;TraesCS3A01G023800;TraesCS4A01G232300;TraesCS7B01G006600;TraesCS3A01G367000;TraesCS5D01G237400;TraesCS6B01G470900;TraesCS2A01G114400;TraesCS5A01G396700;TraesCS2D01G288800;TraesCS5B01G132600;TraesCS2A01G175400;TraesCS4A01G354500;TraesCS7A01G480700;TraesCS4B01G179400;TraesCS6A01G290600;TraesCS4B01G154100;TraesCS6D01G094200;TraesCS1D01G313800;TraesCS4B01G129700;TraesCS5A01G548800;TraesCS2A01G387000;TraesCS2D01G194000;TraesCS4D01G283800;TraesCS2B01G133500;TraesCS1B01G220700;TraesCS6A01G308100;TraesCS2D01G182700;TraesCS6B01G134800;TraesCS3D01G288000;TraesCS5A01G056400;TraesCS6B01G176600;TraesCS2A01G134000;TraesCS4D01G003100;TraesCS3D01G083400;TraesCS2D01G279300;TraesCS5A01G132300;TraesCS6A01G267300;TraesCS2A01G523600;TraesCS3A01G503200;TraesCS6A01G307700;TraesCS5B01G517900;TraesCS2D01G057900;TraesCS1A01G259700;TraesCS2A01G296400;TraesCS6A01G146500;TraesCS5D01G424400;TraesCS5D01G478900;TraesCS1A01G358800;TraesCS5D01G105500;TraesCS4D01G194400;TraesCS5A01G324200;TraesCS4D01G080700;TraesCS6A01G070600;TraesCS1D01G199100;TraesCS6D01G283300;TraesCS3D01G514100;TraesCS5A01G416700;TraesCS1D01G367600;TraesCS5B01G256400;TraesCS6D01G195400;TraesCS7D01G343300;TraesCS4A01G247300;TraesCS7A01G335600;TraesCS2A01G239200;TraesCS2D01G407000;TraesCS6B01G171600;TraesCS1B01G434400;TraesCS4B01G131800;TraesCS7A01G226000;TraesCS4B01G109900;TraesCS1D01G198700;TraesCS7B01G421100;TraesCS4A01G093100;TraesCS4A01G246100;TraesCS7B01G207300</t>
  </si>
  <si>
    <t>TraesCS6D01G121300;TraesCS4A01G125000;TraesCS1D01G411300;TraesCS3B01G014900;TraesCS5B01G484700;TraesCS6B01G454500;TraesCS5B01G175800;TraesCS6B01G191500;TraesCS5D01G219500;TraesCS5A01G108000;TraesCS7A01G238400;TraesCS2D01G209900;TraesCS5B01G227900;TraesCS5A01G014400;TraesCS7D01G276300;TraesCS1A01G355200;TraesCS7B01G104400;TraesCS4D01G135000;TraesCS5B01G324800;TraesCS5B01G171200;TraesCS2D01G233900;TraesCS2A01G206200;TraesCS7A01G088100;TraesCS2B01G220100;TraesCS7A01G294200;TraesCS7D01G549100;TraesCS4A01G286700;TraesCS1B01G255100;TraesCS7B01G186500;TraesCS1A01G155200;TraesCS2B01G309500;TraesCS5A01G149000;TraesCS2B01G233400;TraesCS1D01G428200;TraesCS1D01G153900;TraesCS2A01G193800;TraesCS2B01G267100;TraesCS3D01G296900;TraesCS6A01G105400;TraesCS5A01G454300;TraesCS6D01G287300;TraesCS4A01G101500;TraesCS5A01G014500;TraesCS4D01G204000;TraesCS2B01G070700;TraesCS4D01G025700;TraesCS6A01G319700;TraesCS5B01G412500;TraesCS6A01G303800;TraesCS5B01G171100;TraesCS5D01G178300;TraesCS3B01G309700;TraesCS5A01G229300;TraesCS5B01G270200;TraesCS5B01G228900;TraesCS5B01G300100;TraesCS1D01G092200;TraesCS7D01G283600;TraesCS2A01G437700;TraesCS5D01G464800;TraesCS2A01G293400;TraesCS2A01G222600;TraesCS2D01G238700;TraesCS1A01G403800;TraesCS6A01G212200;TraesCS7D01G083200;TraesCS4B01G083600;TraesCS5A01G173800;TraesCS4D01G107400;TraesCS2B01G620600;TraesCS6B01G159800;TraesCS6D01G244900;TraesCS7B01G226100;TraesCS4D01G081600;TraesCS6A01G158300;TraesCS3B01G265000;TraesCS1B01G366400;TraesCS4A01G387000;TraesCS7D01G200800;TraesCS6D01G259500;TraesCS6B01G307200;TraesCS5A01G407700;TraesCS1A01G195500;TraesCS6D01G132500;TraesCS1A01G313300;TraesCS4B01G089500;TraesCS2B01G248100;TraesCS5D01G357600;TraesCS2D01G238600;TraesCS2A01G559600;TraesCS7D01G322000;TraesCS5B01G036800;TraesCS5A01G230400;TraesCS4A01G206400;TraesCS2B01G312600;TraesCS4B01G041900;TraesCS6A01G279100;TraesCS6D01G408000;TraesCS4D01G086400;TraesCS5B01G534400;TraesCS7A01G239700;TraesCS1A01G100600;TraesCS7A01G325400;TraesCS5D01G417600;TraesCS2D01G200700;TraesCS3A01G276100;TraesCS4D01G003600;TraesCS3D01G426300;TraesCS7D01G227300;TraesCS7D01G338600;TraesCS5D01G412600;TraesCS4A01G226900;TraesCS2A01G058700;TraesCS7A01G276400;TraesCS2B01G528300;TraesCS6A01G143300;TraesCS7D01G228500;TraesCS5B01G322900;TraesCS1B01G325100;TraesCS3A01G381000;TraesCS2A01G187200;TraesCS3A01G151100;TraesCS2B01G340300;TraesCS3A01G052700;TraesCS7B01G197000;TraesCS4B01G204500;TraesCS5A01G484700;TraesCS7A01G341000;TraesCS7B01G189500;TraesCS4B01G028100;TraesCS5A01G322500;TraesCS5A01G173700;TraesCS7B01G242200;TraesCS1B01G432700;TraesCS4D01G122800;TraesCS5D01G238300;TraesCS7A01G560200;TraesCS6A01G158800;TraesCS1A01G198400;TraesCS2B01G457600;TraesCS3A01G191700;TraesCS1B01G110400;TraesCS2B01G157600;TraesCS5A01G212500;TraesCS6B01G242800;TraesCS5D01G094000;TraesCS1B01G317500;TraesCS4A01G232300;TraesCS7B01G006600;TraesCS3A01G367000;TraesCS5D01G237400;TraesCS2A01G114400;TraesCS2D01G320900;TraesCS6A01G159800;TraesCS2A01G123800;TraesCS4B01G179400;TraesCS6A01G290600;TraesCS6B01G089500;TraesCS6D01G094200;TraesCS1D01G313800;TraesCS4B01G129700;TraesCS5A01G213000;TraesCS2A01G387000;TraesCS2D01G194000;TraesCS2B01G133500;TraesCS6A01G308100;TraesCS3A01G100000;TraesCS6B01G134800;TraesCS2A01G342600;TraesCS5A01G429300;TraesCS6B01G192500;TraesCS6A01G267300;TraesCS6A01G408400;TraesCS3A01G304900;TraesCS2D01G057900;TraesCS2A01G296400;TraesCS1B01G443200;TraesCS2D01G126600;TraesCS6D01G299200;TraesCS6D01G152700;TraesCS1B01G213300;TraesCS2B01G145700;TraesCS5A01G350600;TraesCS5A01G324200;TraesCS7A01G108600;TraesCS1D01G199100;TraesCS5B01G147600;TraesCS6D01G283300;TraesCS5B01G256400;TraesCS6D01G195400;TraesCS7D01G343300;TraesCS4A01G247300;TraesCS7A01G335600;TraesCS5D01G329200;TraesCS6B01G171600;TraesCS7D01G280600;TraesCS7A01G226000;TraesCS4B01G109900;TraesCS4A01G093100;TraesCS2A01G204800</t>
  </si>
  <si>
    <t>TraesCS6D01G121300;TraesCS4B01G252400;TraesCS4A01G125000;TraesCS2B01G307300;TraesCS2A01G246200;TraesCS5D01G219500;TraesCS5A01G108000;TraesCS6D01G344200;TraesCS1D01G101200;TraesCS5A01G513500;TraesCS1D01G210200;TraesCS5B01G141000;TraesCS7D01G121200;TraesCS4B01G213600;TraesCS6B01G159200;TraesCS5B01G227900;TraesCS4D01G153900;TraesCS5A01G014400;TraesCS4B01G226100;TraesCS2A01G262700;TraesCS3A01G181600;TraesCS4B01G150600;TraesCS1A01G355200;TraesCS5D01G181600;TraesCS7B01G104400;TraesCS4D01G135000;TraesCS5B01G324800;TraesCS5D01G429200;TraesCS6A01G133100;TraesCS5B01G171200;TraesCS2D01G233900;TraesCS7B01G113100;TraesCS7A01G088100;TraesCS4A01G286700;TraesCS7B01G350400;TraesCS1A01G155200;TraesCS5B01G415100;TraesCS3A01G103900;TraesCS4D01G068100;TraesCS2D01G248600;TraesCS1D01G153900;TraesCS2A01G193800;TraesCS5D01G026000;TraesCS7D01G265200;TraesCS4D01G220700;TraesCS6D01G390000;TraesCS2B01G330100;TraesCS6A01G105400;TraesCS2B01G263300;TraesCS3A01G393400;TraesCS1B01G254000;TraesCS3A01G513500;TraesCS4A01G101500;TraesCS5A01G014500;TraesCS6A01G225200;TraesCS4D01G204000;TraesCS2B01G070700;TraesCS1D01G412600;TraesCS4D01G025700;TraesCS4D01G359000;TraesCS4A01G298100;TraesCS5A01G093200;TraesCS1A01G007500;TraesCS5B01G174600;TraesCS5B01G412500;TraesCS4D01G120900;TraesCS7D01G224400;TraesCS4B01G069300;TraesCS6A01G303800;TraesCS5B01G171100;TraesCS6B01G393600;TraesCS2A01G500400;TraesCS5D01G178300;TraesCS6D01G135800;TraesCS2A01G313000;TraesCS3B01G309700;TraesCS6D01G047400;TraesCS2A01G187700;TraesCS6B01G239000;TraesCS2D01G154100;TraesCS4A01G091100;TraesCS5D01G420300;TraesCS6A01G312200;TraesCS4A01G494400;TraesCS5D01G067600;TraesCS5B01G300100;TraesCS7D01G439900;TraesCS1D01G092200;TraesCS7D01G283600;TraesCS3D01G434800;TraesCS2A01G437700;TraesCS5D01G149900;TraesCS3A01G275700;TraesCS3D01G250600;TraesCS2D01G251000;TraesCS2D01G389900;TraesCS1A01G206900;TraesCS2B01G303300;TraesCS6B01G238600;TraesCS7A01G222800;TraesCS2A01G222600;TraesCS7A01G316700;TraesCS3D01G237100;TraesCS4D01G339700;TraesCS6A01G212200;TraesCS7D01G083200;TraesCS1B01G396800;TraesCS5B01G502700;TraesCS3D01G341200;TraesCS5A01G173800;TraesCS7B01G162300;TraesCS5B01G084600;TraesCS4D01G157500;TraesCS4D01G107400;TraesCS2B01G272300;TraesCS6B01G159800;TraesCS2D01G520000;TraesCS4D01G327300;TraesCS7A01G190500;TraesCS5A01G411500;TraesCS6A01G158300;TraesCS3A01G224800;TraesCS3B01G265000;TraesCS5B01G102000;TraesCS2B01G520500;TraesCS1B01G366400;TraesCS4A01G387000;TraesCS2B01G315300;TraesCS4B01G193400;TraesCS7D01G200800;TraesCS1D01G094400;TraesCS6B01G026900;TraesCS6D01G259500;TraesCS5A01G357400;TraesCS6B01G307200;TraesCS5A01G407700;TraesCS4A01G051900;TraesCS4A01G165600;TraesCS4A01G290400;TraesCS1A01G195500;TraesCS2A01G492300;TraesCS2B01G328500;TraesCS2D01G467900;TraesCS3D01G084300;TraesCS6D01G132500;TraesCS1A01G313300;TraesCS6D01G210000;TraesCS4D01G159800;TraesCS5B01G409700;TraesCS2B01G248100;TraesCS2A01G467900;TraesCS2D01G238600;TraesCS2B01G154700;TraesCS3A01G521600;TraesCS7B01G217500;TraesCS5B01G036800;TraesCS2A01G132200;TraesCS4A01G206400;TraesCS2B01G312600;TraesCS4B01G041900;TraesCS1D01G024800;TraesCS6A01G279100;TraesCS3A01G288200;TraesCS1A01G024700;TraesCS4A01G298700;TraesCS1A01G133500;TraesCS5B01G534400;TraesCS1A01G100600;TraesCS6B01G173500;TraesCS3A01G082700;TraesCS4A01G078800;TraesCS2D01G549100;TraesCS5D01G417600;TraesCS3A01G276100;TraesCS2D01G296800;TraesCS3D01G426300;TraesCS1B01G261600;TraesCS2A01G286500;TraesCS6A01G018600;TraesCS4B01G015600;TraesCS5A01G092400;TraesCS2B01G271300;TraesCS7D01G338600;TraesCS1D01G401900;TraesCS3B01G046100;TraesCS3D01G436100;TraesCS3A01G250200;TraesCS3D01G041900;TraesCS5D01G481500;TraesCS2D01G492600;TraesCS4A01G226900;TraesCS5D01G099800;TraesCS1A01G231100;TraesCS4B01G288200;TraesCS2A01G058700;TraesCS2B01G528300;TraesCS6A01G143300;TraesCS6D01G122800;TraesCS3D01G236200;TraesCS5A01G119300;TraesCS5D01G366500;TraesCS4D01G021400;TraesCS4B01G220400;TraesCS4D01G214300;TraesCS3B01G185300;TraesCS4A01G052600;TraesCS5A01G501800;TraesCS4D01G013900;TraesCS4D01G252700;TraesCS7A01G264300;TraesCS1A01G376400;TraesCS7D01G228500;TraesCS1B01G325100;TraesCS5B01G102600;TraesCS6B01G342400;TraesCS2A01G280500;TraesCS3A01G381000;TraesCS1A01G092700;TraesCS5A01G096100;TraesCS4A01G116000;TraesCS3A01G484800;TraesCS6B01G315800;TraesCS3A01G151100;TraesCS2B01G340300;TraesCS2A01G290900;TraesCS3D01G206100;TraesCS3D01G495100;TraesCS7A01G307000;TraesCS7B01G197000;TraesCS2B01G050600;TraesCS6A01G209800;TraesCS2A01G309600;TraesCS7D01G283900;TraesCS4B01G204500;TraesCS3A01G189400;TraesCS3D01G275600;TraesCS2D01G310000;TraesCS3D01G527700;TraesCS7A01G341000;TraesCS5B01G476900;TraesCS1A01G036200;TraesCS3A01G443700;TraesCS4B01G028100;TraesCS5A01G173700;TraesCS2A01G430500;TraesCS7B01G242200;TraesCS7A01G004000;TraesCS2D01G094400;TraesCS7B01G129300;TraesCS5D01G108700;TraesCS7D01G004500;TraesCS5A01G142200;TraesCS2B01G297800;TraesCS6B01G256400;TraesCS2A01G252600;TraesCS3D01G228800;TraesCS2B01G304900;TraesCS1A01G198400;TraesCS2B01G457600;TraesCS4B01G151200;TraesCS5D01G459800;TraesCS3A01G191700;TraesCS1B01G110400;TraesCS5A01G212500;TraesCS6B01G242800;TraesCS4D01G240700;TraesCS3A01G023800;TraesCS7B01G006600;TraesCS3A01G367000;TraesCS2B01G451100;TraesCS6B01G470900;TraesCS2A01G114400;TraesCS5A01G396700;TraesCS6A01G314100;TraesCS2D01G288800;TraesCS5B01G132600;TraesCS3A01G084400;TraesCS6B01G450500;TraesCS2B01G592500;TraesCS4B01G179400;TraesCS6A01G290600;TraesCS6D01G094200;TraesCS1D01G313800;TraesCS5A01G548800;TraesCS2D01G194000;TraesCS1D01G086600;TraesCS2B01G133500;TraesCS1B01G220700;TraesCS6D01G065600;TraesCS1B01G422200;TraesCS1D01G003700;TraesCS5D01G551200;TraesCS3B01G309400;TraesCS6A01G336800;TraesCS6B01G134800;TraesCS3D01G288000;TraesCS2A01G342600;TraesCS4A01G315700;TraesCS2B01G602100;TraesCS5A01G056400;TraesCS5B01G563800;TraesCS6B01G176600;TraesCS7A01G450600;TraesCS6D01G291600;TraesCS2D01G249200;TraesCS3D01G083400;TraesCS4B01G287200;TraesCS6D01G163700;TraesCS2D01G279300;TraesCS5A01G132300;TraesCS6A01G267300;TraesCS3B01G370200;TraesCS6B01G344100;TraesCS1D01G383500;TraesCS2D01G057900;TraesCS1A01G259700;TraesCS2A01G296400;TraesCS5D01G138500;TraesCS1B01G443200;TraesCS6A01G146500;TraesCS7A01G359800;TraesCS5B01G155100;TraesCS5D01G105500;TraesCS1B01G213300;TraesCS2D01G500600;TraesCS4D01G194400;TraesCS1A01G111100;TraesCS1D01G390500;TraesCS5B01G136500;TraesCS5A01G324200;TraesCS1D01G231000;TraesCSU01G135100;TraesCS2B01G410100;TraesCS7A01G314100;TraesCS6A01G070600;TraesCSU01G047800;TraesCS1D01G199100;TraesCS6D01G283300;TraesCS3D01G514100;TraesCS5B01G256400;TraesCS6A01G210200;TraesCS6D01G195400;TraesCS4A01G247300;TraesCS3B01G279700;TraesCS6D01G147700;TraesCS7D01G169500;TraesCS5B01G481100;TraesCS6B01G171600;TraesCS1B01G434400;TraesCS4B01G131800;TraesCS7A01G226000;TraesCS4B01G109900;TraesCS1D01G198700;TraesCS4D01G189600;TraesCS3D01G087300;TraesCS7D01G000100;TraesCS6A01G163500;TraesCS4A01G246100;TraesCS7B01G207300</t>
  </si>
  <si>
    <t>TraesCS6D01G121300;TraesCS4B01G252400;TraesCS4A01G125000;TraesCS2B01G307300;TraesCS2A01G246200;TraesCS5D01G219500;TraesCS5A01G108000;TraesCS6D01G344200;TraesCS1D01G101200;TraesCS5A01G513500;TraesCS1D01G210200;TraesCS5B01G141000;TraesCS7D01G121200;TraesCS4B01G213600;TraesCS6B01G159200;TraesCS5B01G227900;TraesCS4D01G153900;TraesCS5A01G014400;TraesCS4B01G226100;TraesCS2A01G262700;TraesCS3A01G181600;TraesCS4B01G150600;TraesCS1A01G355200;TraesCS5D01G181600;TraesCS7B01G104400;TraesCS4D01G135000;TraesCS5B01G324800;TraesCS5D01G429200;TraesCS6A01G133100;TraesCS5B01G171200;TraesCS2D01G233900;TraesCS7B01G113100;TraesCS7A01G088100;TraesCS4A01G286700;TraesCS7B01G350400;TraesCS1A01G155200;TraesCS5B01G415100;TraesCS3A01G103900;TraesCS4D01G068100;TraesCS2D01G248600;TraesCS1D01G153900;TraesCS2A01G193800;TraesCS5D01G026000;TraesCS7D01G265200;TraesCS4D01G220700;TraesCS6D01G390000;TraesCS2B01G330100;TraesCS6A01G105400;TraesCS2B01G263300;TraesCS3A01G393400;TraesCS1B01G254000;TraesCS3A01G513500;TraesCS4A01G101500;TraesCS5A01G014500;TraesCS6A01G225200;TraesCS4D01G204000;TraesCS2B01G070700;TraesCS1D01G412600;TraesCS4D01G025700;TraesCS4D01G359000;TraesCS4A01G298100;TraesCS5A01G093200;TraesCS1A01G007500;TraesCS5B01G174600;TraesCS5B01G412500;TraesCS4D01G120900;TraesCS7D01G224400;TraesCS4B01G069300;TraesCS6A01G303800;TraesCS5B01G171100;TraesCS6B01G393600;TraesCS2A01G500400;TraesCS5D01G178300;TraesCS6D01G135800;TraesCS2A01G313000;TraesCS3B01G309700;TraesCS6D01G047400;TraesCS2A01G187700;TraesCS6B01G239000;TraesCS2D01G154100;TraesCS4A01G091100;TraesCS5D01G420300;TraesCS2D01G349600;TraesCS6A01G312200;TraesCS4A01G494400;TraesCS5D01G067600;TraesCS5B01G300100;TraesCS7D01G439900;TraesCS1D01G092200;TraesCS7D01G283600;TraesCS3D01G434800;TraesCS2A01G437700;TraesCS5D01G149900;TraesCS3A01G275700;TraesCS3D01G250600;TraesCS2D01G251000;TraesCS2D01G389900;TraesCS1A01G206900;TraesCS2B01G303300;TraesCS6B01G238600;TraesCS7A01G222800;TraesCS2A01G222600;TraesCS7A01G316700;TraesCS3D01G237100;TraesCS4D01G339700;TraesCS6A01G212200;TraesCS7D01G083200;TraesCS1B01G396800;TraesCS5B01G502700;TraesCS3D01G341200;TraesCS5A01G173800;TraesCS7B01G162300;TraesCS5B01G084600;TraesCS4D01G157500;TraesCS4D01G107400;TraesCS2B01G272300;TraesCS6B01G159800;TraesCS2D01G520000;TraesCS4D01G327300;TraesCS7A01G190500;TraesCS5A01G411500;TraesCS6A01G158300;TraesCS3A01G224800;TraesCS3B01G265000;TraesCS5B01G102000;TraesCS2B01G520500;TraesCS1B01G366400;TraesCS4A01G387000;TraesCS2B01G315300;TraesCS4B01G193400;TraesCS7D01G200800;TraesCS1D01G094400;TraesCS6B01G026900;TraesCS6D01G259500;TraesCS5A01G357400;TraesCS6B01G307200;TraesCS5A01G407700;TraesCS4A01G051900;TraesCS4A01G165600;TraesCS4A01G290400;TraesCS1A01G195500;TraesCS2A01G492300;TraesCS2B01G328500;TraesCS2D01G467900;TraesCS3D01G084300;TraesCS6D01G132500;TraesCS1A01G313300;TraesCS6D01G210000;TraesCS4D01G159800;TraesCS5B01G409700;TraesCS2B01G248100;TraesCS2A01G467900;TraesCS2D01G238600;TraesCS2B01G154700;TraesCS3A01G521600;TraesCS7B01G217500;TraesCS5B01G036800;TraesCS2A01G132200;TraesCS4A01G206400;TraesCS2B01G312600;TraesCS4B01G041900;TraesCS1D01G024800;TraesCS6A01G279100;TraesCS3A01G288200;TraesCS1A01G024700;TraesCS4A01G298700;TraesCS1A01G133500;TraesCS5B01G534400;TraesCS1A01G100600;TraesCS6B01G173500;TraesCS3A01G082700;TraesCS4A01G078800;TraesCS2D01G549100;TraesCS5D01G417600;TraesCS3A01G276100;TraesCS2D01G296800;TraesCS3D01G426300;TraesCS1B01G261600;TraesCS2A01G286500;TraesCS6A01G018600;TraesCS4B01G015600;TraesCS5A01G092400;TraesCS2B01G271300;TraesCS7D01G338600;TraesCS1D01G401900;TraesCS3B01G046100;TraesCS3D01G436100;TraesCS3A01G250200;TraesCS3D01G041900;TraesCS5D01G481500;TraesCS2D01G492600;TraesCS4A01G226900;TraesCS5D01G099800;TraesCS1A01G231100;TraesCS4B01G288200;TraesCS2A01G058700;TraesCS2B01G528300;TraesCS6A01G143300;TraesCS6D01G122800;TraesCS3D01G236200;TraesCS5A01G119300;TraesCS5D01G366500;TraesCS4D01G021400;TraesCS4B01G220400;TraesCS4D01G214300;TraesCS3B01G185300;TraesCS4A01G052600;TraesCS5A01G501800;TraesCS4D01G013900;TraesCS4D01G252700;TraesCS7A01G264300;TraesCS1A01G376400;TraesCS7D01G228500;TraesCS3B01G161900;TraesCS1B01G325100;TraesCS5B01G102600;TraesCS6B01G342400;TraesCS2A01G280500;TraesCS3A01G381000;TraesCS1A01G092700;TraesCS5A01G096100;TraesCS4A01G116000;TraesCS3A01G484800;TraesCS6B01G315800;TraesCS3A01G151100;TraesCS2B01G340300;TraesCS2A01G290900;TraesCS3D01G206100;TraesCS3D01G495100;TraesCS7A01G307000;TraesCS7B01G197000;TraesCS2B01G050600;TraesCS6A01G209800;TraesCS2A01G309600;TraesCS2B01G369600;TraesCS7D01G283900;TraesCS4B01G204500;TraesCS3A01G189400;TraesCS3D01G275600;TraesCS2D01G310000;TraesCS3D01G527700;TraesCS7A01G341000;TraesCS5B01G476900;TraesCS1A01G036200;TraesCS3A01G443700;TraesCS4B01G028100;TraesCS5A01G173700;TraesCS2A01G430500;TraesCS7B01G242200;TraesCS7A01G004000;TraesCS2D01G094400;TraesCS7B01G129300;TraesCS5D01G108700;TraesCS7D01G004500;TraesCS5A01G142200;TraesCS2B01G297800;TraesCS6B01G256400;TraesCS2A01G252600;TraesCS3D01G228800;TraesCS2B01G304900;TraesCS1A01G198400;TraesCS2B01G457600;TraesCS4B01G151200;TraesCS5D01G459800;TraesCS3A01G191700;TraesCS3D01G220400;TraesCS1B01G110400;TraesCS5A01G212500;TraesCS6B01G242800;TraesCS4D01G240700;TraesCS3A01G023800;TraesCS7B01G006600;TraesCS3A01G367000;TraesCS2B01G451100;TraesCS6B01G470900;TraesCS2A01G114400;TraesCS5A01G396700;TraesCS6A01G314100;TraesCS2D01G288800;TraesCS5B01G132600;TraesCS3A01G084400;TraesCS6B01G450500;TraesCS2B01G592500;TraesCS4B01G179400;TraesCS6A01G290600;TraesCS6D01G094200;TraesCS1D01G313800;TraesCS5A01G548800;TraesCS2D01G194000;TraesCS1D01G086600;TraesCS2B01G133500;TraesCS1B01G220700;TraesCS6D01G065600;TraesCS1B01G422200;TraesCS1D01G003700;TraesCS5D01G551200;TraesCS3B01G309400;TraesCS6A01G336800;TraesCS6B01G134800;TraesCS3D01G288000;TraesCS2A01G342600;TraesCS3A01G232700;TraesCS4A01G315700;TraesCS2B01G602100;TraesCS5A01G056400;TraesCS5B01G563800;TraesCS6B01G176600;TraesCS7A01G450600;TraesCS6D01G291600;TraesCS2D01G249200;TraesCS3D01G083400;TraesCS4B01G287200;TraesCS6D01G163700;TraesCS2D01G279300;TraesCS5A01G132300;TraesCS6A01G267300;TraesCS3B01G370200;TraesCS6B01G344100;TraesCS1D01G383500;TraesCS2D01G057900;TraesCS1A01G259700;TraesCS2A01G296400;TraesCS5D01G138500;TraesCS1B01G443200;TraesCS6A01G146500;TraesCS7A01G359800;TraesCS5B01G155100;TraesCS5D01G105500;TraesCS1B01G213300;TraesCS2D01G500600;TraesCS4D01G194400;TraesCS1A01G111100;TraesCS1D01G390500;TraesCS5B01G136500;TraesCS5A01G324200;TraesCS1D01G231000;TraesCSU01G135100;TraesCS2B01G410100;TraesCS7A01G314100;TraesCS6A01G070600;TraesCSU01G047800;TraesCS1D01G199100;TraesCS6D01G283300;TraesCS3D01G514100;TraesCS5B01G256400;TraesCS6A01G210200;TraesCS6D01G195400;TraesCS4A01G247300;TraesCS3B01G279700;TraesCS6D01G147700;TraesCS7D01G169500;TraesCS5B01G481100;TraesCS6B01G171600;TraesCS1B01G434400;TraesCS4B01G131800;TraesCS7A01G226000;TraesCS4B01G109900;TraesCS1D01G198700;TraesCS4D01G189600;TraesCS3D01G087300;TraesCS7D01G000100;TraesCS6A01G163500;TraesCS4A01G246100;TraesCS7B01G207300</t>
  </si>
  <si>
    <t>TraesCS6D01G121300;TraesCS4B01G252400;TraesCS4A01G125000;TraesCS2B01G307300;TraesCS2A01G246200;TraesCS5D01G219500;TraesCS5A01G108000;TraesCS6D01G344200;TraesCS1D01G101200;TraesCS5A01G513500;TraesCS1D01G210200;TraesCS5B01G141000;TraesCS7D01G121200;TraesCS4B01G213600;TraesCS6B01G159200;TraesCS5B01G227900;TraesCS4D01G153900;TraesCS5A01G014400;TraesCS4B01G226100;TraesCS2A01G262700;TraesCS3A01G181600;TraesCS4B01G150600;TraesCS1A01G355200;TraesCS5D01G181600;TraesCS7B01G104400;TraesCS4D01G135000;TraesCS5B01G324800;TraesCS5D01G429200;TraesCS6A01G133100;TraesCS5B01G171200;TraesCS2D01G233900;TraesCS7B01G113100;TraesCS7A01G088100;TraesCS4A01G286700;TraesCS7B01G350400;TraesCS1A01G155200;TraesCS5B01G415100;TraesCS3A01G103900;TraesCS4D01G068100;TraesCS2D01G248600;TraesCS1D01G153900;TraesCS2A01G193800;TraesCS5D01G026000;TraesCS7D01G265200;TraesCS4D01G220700;TraesCS6D01G390000;TraesCS2B01G330100;TraesCS6A01G105400;TraesCS2B01G263300;TraesCS3A01G393400;TraesCS1B01G254000;TraesCS3A01G513500;TraesCS4A01G101500;TraesCS5A01G014500;TraesCS6A01G225200;TraesCS4D01G204000;TraesCS2B01G070700;TraesCS1D01G412600;TraesCS4D01G025700;TraesCS4D01G359000;TraesCS4A01G298100;TraesCS5A01G093200;TraesCS1A01G007500;TraesCS5B01G174600;TraesCS5B01G412500;TraesCS4D01G120900;TraesCS7D01G224400;TraesCS4B01G069300;TraesCS6A01G303800;TraesCS5B01G171100;TraesCS6B01G393600;TraesCS2A01G500400;TraesCS5D01G178300;TraesCS6D01G135800;TraesCS2A01G313000;TraesCS3B01G309700;TraesCS6D01G047400;TraesCS2A01G187700;TraesCS6B01G239000;TraesCS2D01G154100;TraesCS4A01G091100;TraesCS5D01G420300;TraesCS2D01G349600;TraesCS6A01G312200;TraesCS4A01G494400;TraesCS5D01G067600;TraesCS5B01G300100;TraesCS7D01G439900;TraesCS1D01G092200;TraesCS7D01G283600;TraesCS3D01G434800;TraesCS2A01G437700;TraesCS5D01G149900;TraesCS3A01G275700;TraesCS3D01G250600;TraesCS2D01G251000;TraesCS2D01G389900;TraesCS1A01G206900;TraesCS2B01G303300;TraesCS6B01G238600;TraesCS7A01G222800;TraesCS2A01G222600;TraesCS7A01G316700;TraesCS3D01G237100;TraesCS4D01G339700;TraesCS6A01G212200;TraesCS7D01G083200;TraesCS1B01G396800;TraesCS5B01G502700;TraesCS3D01G341200;TraesCS5A01G173800;TraesCS7B01G162300;TraesCS5B01G084600;TraesCS4D01G157500;TraesCS4D01G107400;TraesCS2B01G272300;TraesCS6B01G159800;TraesCS2D01G520000;TraesCS4D01G327300;TraesCS7A01G190500;TraesCS5A01G411500;TraesCS6A01G158300;TraesCS3A01G224800;TraesCS3B01G265000;TraesCS5B01G102000;TraesCS2B01G520500;TraesCS1B01G366400;TraesCS4A01G387000;TraesCS2B01G315300;TraesCS4B01G193400;TraesCS7D01G200800;TraesCS1D01G094400;TraesCS6B01G026900;TraesCS6D01G259500;TraesCS5A01G357400;TraesCS6B01G307200;TraesCS5A01G407700;TraesCS4A01G051900;TraesCS4A01G165600;TraesCS4A01G290400;TraesCS1A01G195500;TraesCS2A01G492300;TraesCS2B01G328500;TraesCS2D01G467900;TraesCS3D01G084300;TraesCS6D01G132500;TraesCS1A01G313300;TraesCS6D01G210000;TraesCS4D01G159800;TraesCS5B01G409700;TraesCS2B01G248100;TraesCS2A01G467900;TraesCS2D01G238600;TraesCS2B01G154700;TraesCS3A01G521600;TraesCS7B01G217500;TraesCS5B01G036800;TraesCS2A01G132200;TraesCS4A01G206400;TraesCS2B01G312600;TraesCS4B01G041900;TraesCS1D01G024800;TraesCS6A01G279100;TraesCS3A01G288200;TraesCS1A01G024700;TraesCS4A01G298700;TraesCS1A01G133500;TraesCS5B01G534400;TraesCS1A01G100600;TraesCS6B01G173500;TraesCS3A01G082700;TraesCS4A01G078800;TraesCS2D01G549100;TraesCS5D01G417600;TraesCS3A01G276100;TraesCS2D01G296800;TraesCS3D01G426300;TraesCS1B01G261600;TraesCS2A01G286500;TraesCS6A01G018600;TraesCS4B01G015600;TraesCS5A01G092400;TraesCS2B01G271300;TraesCS7D01G338600;TraesCS1D01G401900;TraesCS3B01G046100;TraesCS3D01G436100;TraesCS3A01G250200;TraesCS3D01G041900;TraesCS5D01G481500;TraesCS2D01G492600;TraesCS4A01G226900;TraesCS5D01G099800;TraesCS1A01G231100;TraesCS4B01G288200;TraesCS2A01G058700;TraesCS2B01G528300;TraesCS6A01G143300;TraesCS6D01G122800;TraesCS3D01G236200;TraesCS5A01G119300;TraesCS5D01G366500;TraesCS4D01G021400;TraesCS4B01G220400;TraesCS4D01G214300;TraesCS3B01G185300;TraesCS4A01G052600;TraesCS5A01G501800;TraesCS4D01G013900;TraesCS4D01G252700;TraesCS7A01G264300;TraesCS1A01G376400;TraesCS7D01G228500;TraesCS3B01G161900;TraesCS7A01G451100;TraesCS1B01G325100;TraesCS5B01G102600;TraesCS6B01G342400;TraesCS2A01G280500;TraesCS3A01G381000;TraesCS1A01G092700;TraesCS5A01G096100;TraesCS4A01G116000;TraesCS3A01G484800;TraesCS6B01G315800;TraesCS3A01G151100;TraesCS2B01G340300;TraesCS2A01G290900;TraesCS3D01G206100;TraesCS3D01G495100;TraesCS7A01G307000;TraesCS7B01G197000;TraesCS2B01G050600;TraesCS6A01G209800;TraesCS2A01G309600;TraesCS2B01G369600;TraesCS7D01G283900;TraesCS4B01G204500;TraesCS3A01G189400;TraesCS3D01G275600;TraesCS2D01G310000;TraesCS3D01G527700;TraesCS7A01G341000;TraesCS5B01G476900;TraesCS1A01G036200;TraesCS3A01G443700;TraesCS4B01G028100;TraesCS5A01G173700;TraesCS2A01G430500;TraesCS7B01G242200;TraesCS7A01G004000;TraesCS2D01G094400;TraesCS7B01G129300;TraesCS5D01G108700;TraesCS7D01G004500;TraesCS5A01G142200;TraesCS2B01G297800;TraesCS6B01G256400;TraesCS2A01G252600;TraesCS3D01G228800;TraesCS2B01G304900;TraesCS1A01G198400;TraesCS2B01G457600;TraesCS4B01G151200;TraesCS5D01G459800;TraesCS3A01G191700;TraesCS3D01G220400;TraesCS1B01G110400;TraesCS5A01G212500;TraesCS6B01G242800;TraesCS4D01G240700;TraesCS3A01G023800;TraesCS7B01G006600;TraesCS3A01G367000;TraesCS2B01G451100;TraesCS6B01G470900;TraesCS2A01G114400;TraesCS5A01G396700;TraesCS6A01G314100;TraesCS2D01G288800;TraesCS5B01G132600;TraesCS3A01G084400;TraesCS6B01G450500;TraesCS2B01G592500;TraesCS4B01G179400;TraesCS6A01G290600;TraesCS6D01G094200;TraesCS1D01G313800;TraesCS5A01G548800;TraesCS2D01G194000;TraesCS1D01G086600;TraesCS2B01G133500;TraesCS1B01G220700;TraesCS6D01G065600;TraesCS1B01G422200;TraesCS1D01G003700;TraesCS5D01G551200;TraesCS3B01G309400;TraesCS6A01G336800;TraesCS6B01G134800;TraesCS3D01G288000;TraesCS2A01G342600;TraesCS3A01G232700;TraesCS4A01G315700;TraesCS2B01G602100;TraesCS5A01G056400;TraesCS5B01G563800;TraesCS6B01G176600;TraesCS7A01G450600;TraesCS6D01G291600;TraesCS2D01G249200;TraesCS3D01G083400;TraesCS4B01G287200;TraesCS6D01G163700;TraesCS2D01G279300;TraesCS5A01G132300;TraesCS6A01G267300;TraesCS3B01G370200;TraesCS6B01G344100;TraesCS1D01G383500;TraesCS2D01G057900;TraesCS1A01G259700;TraesCS2A01G296400;TraesCS5D01G138500;TraesCS1B01G443200;TraesCS6A01G146500;TraesCS7A01G359800;TraesCS5B01G155100;TraesCS5D01G105500;TraesCS1B01G213300;TraesCS2D01G500600;TraesCS4D01G194400;TraesCS1A01G111100;TraesCS1D01G390500;TraesCS5B01G136500;TraesCS5A01G324200;TraesCS1D01G231000;TraesCSU01G135100;TraesCS2B01G410100;TraesCS7A01G314100;TraesCS6A01G070600;TraesCSU01G047800;TraesCS1D01G199100;TraesCS6D01G283300;TraesCS3D01G514100;TraesCS5B01G256400;TraesCS6A01G210200;TraesCS6D01G195400;TraesCS4A01G247300;TraesCS3B01G279700;TraesCS6D01G147700;TraesCS7D01G169500;TraesCS5B01G481100;TraesCS6B01G171600;TraesCS1B01G434400;TraesCS4B01G131800;TraesCS7A01G226000;TraesCS4B01G109900;TraesCS1D01G198700;TraesCS4D01G189600;TraesCS3D01G087300;TraesCS7D01G000100;TraesCS6A01G163500;TraesCS4A01G246100;TraesCS7B01G207300</t>
  </si>
  <si>
    <t>TraesCS3D01G426300;TraesCS7A01G223300;TraesCS4A01G125000;TraesCS5B01G484700;TraesCS5B01G249000;TraesCS7D01G072100;TraesCS5D01G219500;TraesCS5D01G162400;TraesCS2A01G058700;TraesCS2D01G014800;TraesCS6B01G159200;TraesCS4D01G147100;TraesCS5D01G366500;TraesCS4B01G220400;TraesCS1A01G376400;TraesCS2D01G417300;TraesCS5B01G102600;TraesCS5B01G324800;TraesCS3B01G219700;TraesCS2B01G004000;TraesCS6B01G315800;TraesCS7D01G549100;TraesCS1B01G255100;TraesCS7A01G307000;TraesCS5A01G149000;TraesCS2B01G050600;TraesCS3D01G529200;TraesCS3D01G275600;TraesCS4D01G220700;TraesCS3A01G523700;TraesCS1B01G254000;TraesCS3A01G513500;TraesCS5A01G251000;TraesCS6A01G225200;TraesCS2B01G070700;TraesCS3A01G530100;TraesCS7B01G129300;TraesCS4D01G359000;TraesCS5A01G093200;TraesCS7D01G224400;TraesCS6B01G256400;TraesCS5A01G157000;TraesCS7A01G560200;TraesCS6A01G158800;TraesCS1A01G198400;TraesCS3A01G191700;TraesCS5A01G547300;TraesCS1B01G110400;TraesCS5A01G212500;TraesCS6B01G242800;TraesCS1D01G211600;TraesCS6D01G047400;TraesCS1B01G462200;TraesCS6B01G239000;TraesCS3A01G023800;TraesCS5D01G258900;TraesCS5B01G300100;TraesCS6B01G470900;TraesCS1D01G092200;TraesCS5B01G155200;TraesCS7D01G283600;TraesCS3D01G281100;TraesCS4D01G085700;TraesCS4B01G179400;TraesCS6B01G089500;TraesCS2D01G389900;TraesCS5A01G548800;TraesCS2D01G118000;TraesCS2D01G205900;TraesCS5A01G114600;TraesCS7A01G222800;TraesCS2A01G387000;TraesCS6A01G212200;TraesCS1A01G246800;TraesCS1B01G396800;TraesCS5D01G551200;TraesCS3D01G288000;TraesCS4A01G315700;TraesCS7D01G224900;TraesCS1B01G270800;TraesCS5A01G429300;TraesCS5B01G563800;TraesCS6B01G192500;TraesCS3D01G083400;TraesCS6A01G267300;TraesCS1D01G383500;TraesCS2D01G057900;TraesCS1D01G260200;TraesCS5A01G357400;TraesCS5D01G105500;TraesCS1B01G213300;TraesCSU01G131300;TraesCS5A01G324200;TraesCS2B01G410100;TraesCS6D01G210000;TraesCS5B01G147600;TraesCS2A01G467900;TraesCS6D01G174500;TraesCS6A01G210200;TraesCS6D01G195400;TraesCS5B01G036800;TraesCS3A01G288200;TraesCS3A01G271600;TraesCS1A01G133500;TraesCS5B01G534400;TraesCS1A01G100600;TraesCS2B01G325100;TraesCS6B01G231600;TraesCS3A01G082700;TraesCS4B01G380800;TraesCS4A01G093100;TraesCS7B01G207300;TraesCS1A01G165700</t>
  </si>
  <si>
    <t>chloroplast organization</t>
  </si>
  <si>
    <t>TraesCS6D01G121300;TraesCS4A01G125000;TraesCS5B01G484700;TraesCS2A01G234900;TraesCS5D01G219500;TraesCS5A01G108000;TraesCS5A01G513500;TraesCS1A01G369600;TraesCS1D01G210200;TraesCS4B01G213600;TraesCS2D01G014800;TraesCS6B01G159200;TraesCS4D01G153900;TraesCS5A01G014400;TraesCS1A01G355200;TraesCS7B01G104400;TraesCS5A01G467500;TraesCS5D01G517600;TraesCS5B01G324800;TraesCS6A01G133100;TraesCS5B01G171200;TraesCS2D01G233900;TraesCS5B01G121500;TraesCS3A01G205100;TraesCS7A01G088100;TraesCS7D01G549100;TraesCS4A01G286700;TraesCS7B01G350400;TraesCS6A01G201800;TraesCS4B01G017400;TraesCS2A01G193800;TraesCS6B01G257900;TraesCS5D01G026000;TraesCS6D01G390000;TraesCS2B01G330100;TraesCS5A01G305400;TraesCS6A01G105400;TraesCS6D01G287300;TraesCS1B01G254000;TraesCS3A01G513500;TraesCS5A01G014500;TraesCS2B01G070700;TraesCS1D01G412600;TraesCS4D01G025700;TraesCS6D01G147900;TraesCS4D01G359000;TraesCS4A01G013500;TraesCS5A01G093200;TraesCS4D01G015900;TraesCS7D01G224400;TraesCS6A01G303800;TraesCS4B01G285000;TraesCS2B01G201700;TraesCS5D01G178300;TraesCS6D01G135800;TraesCS2A01G313000;TraesCS3B01G309700;TraesCS2B01G207000;TraesCS6D01G047400;TraesCS1B01G462200;TraesCS6B01G239000;TraesCS4A01G091100;TraesCS3D01G210300;TraesCS5B01G228900;TraesCS5B01G300100;TraesCS7D01G439900;TraesCS1D01G092200;TraesCS7D01G283600;TraesCS1D01G280900;TraesCS2A01G437700;TraesCS2D01G251000;TraesCS2D01G389900;TraesCS1A01G206900;TraesCS1B01G274600;TraesCS2B01G303300;TraesCS7A01G222800;TraesCS2A01G222600;TraesCS7A01G316700;TraesCS3D01G237100;TraesCS3D01G407300;TraesCS4D01G339700;TraesCS6A01G212200;TraesCS7D01G083200;TraesCS4B01G083600;TraesCS1B01G396800;TraesCS5D01G312400;TraesCS5A01G173800;TraesCS7D01G543200;TraesCS4D01G107400;TraesCS6B01G159800;TraesCS2D01G520000;TraesCS1B01G478800;TraesCS4D01G081600;TraesCS6A01G158300;TraesCS5D01G321900;TraesCS1B01G366400;TraesCS4A01G387000;TraesCS3A01G264700;TraesCS5A01G315800;TraesCS7D01G200800;TraesCS4A01G110800;TraesCS6D01G259500;TraesCS6B01G307200;TraesCS4A01G290400;TraesCS3A01G200400;TraesCS1A01G195500;TraesCS2B01G328500;TraesCS5B01G509100;TraesCS6D01G132500;TraesCS1A01G313300;TraesCS3D01G258900;TraesCS5B01G409700;TraesCS2B01G248100;TraesCS2D01G238600;TraesCS2B01G154700;TraesCS4A01G193700;TraesCS7B01G217500;TraesCS5B01G036800;TraesCS1D01G242400;TraesCS2A01G132200;TraesCS5A01G230400;TraesCS4A01G206400;TraesCS2B01G312600;TraesCS4B01G041900;TraesCS1D01G024800;TraesCS6A01G279100;TraesCS3A01G288200;TraesCS1A01G024700;TraesCS1A01G133500;TraesCS5B01G534400;TraesCS1A01G100600;TraesCS3A01G082700;TraesCS4A01G005000;TraesCS4A01G059500;TraesCS3A01G276100;TraesCS4D01G003600;TraesCS4D01G036500;TraesCS3D01G264800;TraesCS1D01G264100;TraesCS3D01G426300;TraesCS5D01G013100;TraesCS2A01G286500;TraesCS3A01G478100;TraesCS5A01G092400;TraesCS2B01G271300;TraesCS7D01G338600;TraesCS4A01G111000;TraesCS1D01G149900;TraesCS3D01G436100;TraesCS5D01G481500;TraesCS4B01G286700;TraesCS2A01G058700;TraesCS5A01G089900;TraesCS2B01G528300;TraesCS6A01G143300;TraesCS6D01G122800;TraesCS5A01G119300;TraesCS5A01G123800;TraesCS1A01G110900;TraesCS4D01G021400;TraesCS4D01G214300;TraesCS4A01G052600;TraesCS1A01G376400;TraesCS7D01G228500;TraesCS2B01G385300;TraesCS1B01G325100;TraesCS5B01G102600;TraesCS2A01G280500;TraesCS1A01G060100;TraesCS2B01G004000;TraesCS2A01G223600;TraesCS6B01G315800;TraesCS5A01G004200;TraesCS3A01G151100;TraesCS2D01G236100;TraesCS1A01G264000;TraesCS1D01G155800;TraesCS1D01G331000;TraesCS2B01G050600;TraesCS6D01G186000;TraesCS2A01G309600;TraesCS2D01G242100;TraesCS3D01G529200;TraesCS4B01G204500;TraesCS2D01G310000;TraesCS7A01G341000;TraesCS3A01G443700;TraesCS5B01G419300;TraesCS2D01G198300;TraesCS7B01G189500;TraesCS3A01G412600;TraesCS3A01G523700;TraesCS4B01G028100;TraesCS6D01G172500;TraesCS7B01G242200;TraesCS7B01G129300;TraesCS2B01G297800;TraesCS4D01G122800;TraesCS7A01G560200;TraesCS1A01G198400;TraesCS2B01G457600;TraesCS3D01G203400;TraesCS4A01G296200;TraesCS4B01G151200;TraesCS3A01G191700;TraesCS1B01G110400;TraesCS2A01G460000;TraesCS5A01G212500;TraesCS6B01G242800;TraesCS4A01G232300;TraesCS7B01G006600;TraesCS3A01G367000;TraesCS5D01G237400;TraesCS6B01G470900;TraesCS2A01G114400;TraesCS5A01G396700;TraesCS4D01G194300;TraesCS1B01G290800;TraesCS6B01G450500;TraesCS2A01G175400;TraesCS4A01G354500;TraesCS4B01G179400;TraesCS6A01G290600;TraesCS6D01G094200;TraesCS1D01G313800;TraesCS4B01G129700;TraesCS5A01G548800;TraesCS6D01G212000;TraesCS2A01G387000;TraesCS2D01G194000;TraesCS4D01G283800;TraesCS2B01G133500;TraesCS1B01G220700;TraesCS6A01G308100;TraesCS1D01G003700;TraesCS2D01G182700;TraesCS5D01G551200;TraesCS6B01G134800;TraesCS3D01G288000;TraesCS2B01G217700;TraesCS4A01G315700;TraesCS2B01G602100;TraesCS5B01G563800;TraesCS6B01G176600;TraesCS7A01G450600;TraesCS4D01G199300;TraesCS2D01G229600;TraesCS4D01G003100;TraesCS2B01G273900;TraesCS3D01G083400;TraesCS2D01G279300;TraesCS6A01G267300;TraesCS2A01G523600;TraesCS1D01G383500;TraesCS5B01G517900;TraesCS2D01G057900;TraesCS1A01G259700;TraesCS2A01G296400;TraesCS6A01G146500;TraesCS4A01G364400;TraesCS3A01G405300;TraesCS6B01G223200;TraesCS4A01G276300;TraesCS5D01G105500;TraesCS1B01G213300;TraesCS4D01G194400;TraesCS4A01G164900;TraesCS6A01G188100;TraesCS5A01G324200;TraesCS4D01G080700;TraesCS2B01G410100;TraesCS7B01G124100;TraesCS1D01G199100;TraesCS6D01G283300;TraesCS5B01G256400;TraesCS5D01G208300;TraesCS6A01G210200;TraesCS6D01G195400;TraesCS7D01G343300;TraesCS4A01G247300;TraesCS7A01G335600;TraesCS4A01G124000;TraesCS1A01G158500;TraesCS5B01G481100;TraesCS6B01G171600;TraesCS1B01G434400;TraesCS4A01G105500;TraesCS4B01G131800;TraesCS7A01G226000;TraesCS1A01G281700;TraesCS4B01G109900;TraesCS1D01G198700;TraesCS7B01G421100;TraesCS4A01G093100</t>
  </si>
  <si>
    <t>TraesCS3D01G426300;TraesCS4A01G125000;TraesCS5A01G092400;TraesCS2B01G271300;TraesCS7D01G338600;TraesCS5D01G219500;TraesCS3D01G436100;TraesCS5D01G481500;TraesCS4B01G286700;TraesCS5A01G513500;TraesCS1A01G369600;TraesCS1D01G210200;TraesCS4B01G213600;TraesCS2A01G058700;TraesCS6B01G159200;TraesCS6A01G143300;TraesCS4D01G153900;TraesCS6D01G122800;TraesCS5A01G119300;TraesCS5A01G123800;TraesCS4D01G021400;TraesCS4D01G214300;TraesCS4A01G052600;TraesCS1A01G376400;TraesCS5B01G102600;TraesCS2A01G280500;TraesCS5B01G324800;TraesCS6A01G133100;TraesCS5B01G171200;TraesCS1A01G060100;TraesCS6B01G315800;TraesCS4A01G286700;TraesCS3A01G151100;TraesCS7B01G350400;TraesCS6A01G201800;TraesCS2B01G050600;TraesCS6D01G186000;TraesCS2A01G309600;TraesCS2D01G310000;TraesCS7A01G341000;TraesCS2A01G193800;TraesCS5D01G026000;TraesCS3A01G443700;TraesCS3A01G412600;TraesCS6D01G390000;TraesCS2B01G330100;TraesCS6A01G105400;TraesCS4B01G028100;TraesCS1B01G254000;TraesCS6D01G172500;TraesCS7B01G242200;TraesCS2B01G070700;TraesCS7B01G129300;TraesCS1D01G412600;TraesCS4D01G025700;TraesCS4D01G359000;TraesCS5A01G093200;TraesCS2B01G297800;TraesCS7D01G224400;TraesCS6A01G303800;TraesCS1A01G198400;TraesCS2B01G457600;TraesCS4B01G151200;TraesCS3A01G191700;TraesCS5D01G178300;TraesCS6D01G135800;TraesCS2A01G313000;TraesCS1B01G110400;TraesCS2A01G460000;TraesCS5A01G212500;TraesCS6B01G242800;TraesCS6D01G047400;TraesCS1B01G462200;TraesCS6B01G239000;TraesCS4A01G091100;TraesCS7B01G006600;TraesCS3A01G367000;TraesCS5B01G300100;TraesCS7D01G439900;TraesCS6B01G470900;TraesCS1D01G092200;TraesCS5A01G396700;TraesCS7D01G283600;TraesCS2A01G437700;TraesCS6B01G450500;TraesCS4B01G179400;TraesCS6A01G290600;TraesCS2D01G251000;TraesCS2D01G389900;TraesCS1A01G206900;TraesCS6D01G094200;TraesCS5A01G548800;TraesCS7A01G222800;TraesCS2D01G194000;TraesCS7A01G316700;TraesCS1B01G220700;TraesCS3D01G407300;TraesCS4D01G339700;TraesCS6A01G212200;TraesCS1D01G003700;TraesCS1B01G396800;TraesCS5D01G551200;TraesCS5A01G173800;TraesCS6B01G134800;TraesCS3D01G288000;TraesCS4A01G315700;TraesCS5B01G563800;TraesCS6B01G176600;TraesCS7A01G450600;TraesCS3D01G083400;TraesCS2D01G279300;TraesCS1D01G383500;TraesCS2D01G057900;TraesCS1A01G259700;TraesCS6A01G146500;TraesCS6B01G223200;TraesCS5D01G105500;TraesCS1B01G213300;TraesCS4D01G194400;TraesCS4A01G290400;TraesCS1A01G195500;TraesCS2B01G328500;TraesCS5A01G324200;TraesCS2B01G410100;TraesCS6D01G132500;TraesCS3D01G258900;TraesCS1D01G199100;TraesCS5B01G409700;TraesCS6D01G283300;TraesCS2D01G238600;TraesCS2B01G154700;TraesCS4A01G193700;TraesCS6A01G210200;TraesCS6D01G195400;TraesCS7B01G217500;TraesCS5B01G036800;TraesCS2A01G132200;TraesCS4B01G041900;TraesCS1D01G024800;TraesCS3A01G288200;TraesCS5B01G481100;TraesCS6B01G171600;TraesCS1B01G434400;TraesCS4B01G131800;TraesCS1A01G024700;TraesCS1A01G133500;TraesCS5B01G534400;TraesCS1A01G100600;TraesCS1D01G198700;TraesCS3A01G082700</t>
  </si>
  <si>
    <t>TraesCS5B01G484700;TraesCS7D01G294300;TraesCS6B01G454500;TraesCS1D01G449000;TraesCS6D01G344200;TraesCS3B01G206600;TraesCS2B01G530100;TraesCS3B01G193200;TraesCS4D01G147100;TraesCS7D01G056800;TraesCS1A01G355200;TraesCS7B01G104400;TraesCS7A01G190700;TraesCS5B01G265500;TraesCS3B01G242700;TraesCS1D01G259600;TraesCS5B01G324800;TraesCS5D01G429200;TraesCS2D01G233900;TraesCS5B01G255700;TraesCS4B01G323000;TraesCS1B01G202100;TraesCS2B01G448000;TraesCS4A01G286700;TraesCS1B01G255900;TraesCS1A01G130700;TraesCS7B01G411000;TraesCS4B01G135800;TraesCS5D01G376600;TraesCS4B01G347000;TraesCS5D01G026000;TraesCS4D01G220700;TraesCS4B01G066700;TraesCS3A01G091100;TraesCS4A01G101500;TraesCS2B01G257300;TraesCS4D01G250100;TraesCS7D01G339300;TraesCS5B01G174600;TraesCS4D01G120900;TraesCS6B01G190300;TraesCS7D01G224400;TraesCS5B01G171100;TraesCS5A01G143800;TraesCS2B01G201700;TraesCS5D01G178300;TraesCS2A01G313000;TraesCS2B01G207000;TraesCS6D01G047400;TraesCS5A01G229300;TraesCS6A01G245000;TraesCS7B01G103100;TraesCS4D01G278500;TraesCS4D01G047300;TraesCS7A01G269900;TraesCS7D01G283600;TraesCS3B01G423600;TraesCS5A01G189600;TraesCS1B01G375300;TraesCS1B01G274600;TraesCS2B01G303300;TraesCS7A01G222800;TraesCS2D01G102100;TraesCS5D01G118200;TraesCS1A01G275400;TraesCS1A01G403800;TraesCS2B01G099500;TraesCS4A01G138800;TraesCS3D01G407300;TraesCS4D01G132900;TraesCS7B01G219700;TraesCS7B01G162300;TraesCS5B01G084600;TraesCS4D01G081600;TraesCS1B01G271100;TraesCS4A01G158400;TraesCS3A01G224800;TraesCS5D01G321900;TraesCS7A01G466900;TraesCS1B01G366400;TraesCS5A01G315800;TraesCS5D01G044700;TraesCS6B01G296700;TraesCS4A01G446700;TraesCS1A01G025900;TraesCS2D01G201000;TraesCS4D01G165800;TraesCS3A01G137000;TraesCS7D01G291200;TraesCS5B01G185700;TraesCS2A01G467900;TraesCS3A01G521600;TraesCS5D01G280400;TraesCS7B01G217500;TraesCS2B01G477400;TraesCS3A01G366400;TraesCS6B01G062400;TraesCS4A01G298700;TraesCS5A01G221800;TraesCS2B01G325100;TraesCS2A01G517900;TraesCS6A01G123800;TraesCS1D01G264100;TraesCS5D01G013100;TraesCS6D01G041700;TraesCS4D01G127100;TraesCS5B01G409400;TraesCS6A01G018600;TraesCS6B01G213100;TraesCS7A01G390300;TraesCS1D01G401900;TraesCS3A01G334800;TraesCS3D01G041900;TraesCS5D01G099800;TraesCS2D01G037400;TraesCS1A01G218000;TraesCS5B01G539900;TraesCS3D01G236200;TraesCS5A01G119300;TraesCS5A01G123800;TraesCS3D01G507500;TraesCS4D01G252700;TraesCS5B01G154600;TraesCS6B01G199500;TraesCS1A01G092700;TraesCS6D01G007800;TraesCS5A01G096100;TraesCS2A01G093700;TraesCS2A01G187200;TraesCS7B01G054900;TraesCS7A01G307000;TraesCS6D01G362000;TraesCS1D01G155800;TraesCS7B01G197000;TraesCS6D01G186000;TraesCS6A01G209800;TraesCS2B01G086200;TraesCS5A01G054700;TraesCS1A01G036200;TraesCS1D01G252100;TraesCS1B01G167200;TraesCS5D01G261300;TraesCS7A01G220600;TraesCS3A01G447500;TraesCS3D01G298000;TraesCS2D01G362200;TraesCS6B01G356900;TraesCS6D01G149800;TraesCS2D01G094400;TraesCS7B01G129300;TraesCS3D01G376500;TraesCS5B01G557300;TraesCS1B01G378000;TraesCS3A01G278200;TraesCS1D01G211600;TraesCS4D01G240700;TraesCS2A01G038400;TraesCS7D01G231600;TraesCS6D01G179700;TraesCS7D01G332300;TraesCS7A01G139800;TraesCS1B01G301500;TraesCS2B01G348600;TraesCS3A01G476000;TraesCS2D01G397800;TraesCS3A01G084400;TraesCS3B01G093800;TraesCS3B01G268900;TraesCS4A01G354500;TraesCS6D01G094200;TraesCS5D01G248300;TraesCS4D01G318200;TraesCS2B01G150400;TraesCS6A01G336800;TraesCS5A01G171900;TraesCS3D01G271800;TraesCS4B01G245400;TraesCS2D01G528800;TraesCS2B01G222600;TraesCS1B01G200800;TraesCS4B01G287200;TraesCS2D01G279300;TraesCS4D01G107000;TraesCS5A01G132300;TraesCS3B01G370200;TraesCS1A01G238900;TraesCS3B01G154900;TraesCS1D01G383500;TraesCS2D01G327400;TraesCS4A01G227500;TraesCS7D01G032800;TraesCS7A01G518200;TraesCS6A01G146500;TraesCS2A01G110700;TraesCS7A01G231700;TraesCS3B01G400900;TraesCS5A01G241800;TraesCS2A01G084800;TraesCS7D01G447100;TraesCS3A01G187300;TraesCS1A01G172100;TraesCS5B01G294900;TraesCS7D01G169500;TraesCS4B01G154900;TraesCS3A01G271600;TraesCS4B01G131800;TraesCS1A01G281700;TraesCS4B01G109900;TraesCS5A01G460600;TraesCS6A01G077800;TraesCS2A01G382000;TraesCS7B01G446500;TraesCS1A01G259800;TraesCS5D01G525000;TraesCS4A01G125000;TraesCS6A01G184000;TraesCS2A01G234900;TraesCS5A01G468600;TraesCS5D01G162400;TraesCS3D01G359900;TraesCS1D01G101200;TraesCS7A01G368900;TraesCS2B01G229600;TraesCS5D01G148100;TraesCS3B01G408800;TraesCS2B01G457300;TraesCS7D01G216000;TraesCS7B01G350400;TraesCS1A01G409600;TraesCS1A01G155200;TraesCS1A01G027200;TraesCS6A01G201800;TraesCS2B01G309500;TraesCS3D01G289600;TraesCS2A01G022000;TraesCS2D01G248600;TraesCS6D01G113900;TraesCS4A01G080100;TraesCS6B01G257900;TraesCS2B01G330100;TraesCS4B01G158000;TraesCS2B01G070700;TraesCS4B01G069300;TraesCS2A01G330000;TraesCS5A01G491400;TraesCS1B01G462200;TraesCS3D01G188800;TraesCS2D01G154100;TraesCS1D01G239100;TraesCS4A01G494400;TraesCS5B01G228900;TraesCS7D01G439900;TraesCS1D01G092200;TraesCS1B01G326400;TraesCS5D01G166800;TraesCS2D01G362700;TraesCS2D01G118000;TraesCS3D01G237100;TraesCS6B01G182300;TraesCS1B01G352700;TraesCS7D01G083200;TraesCS4A01G178800;TraesCS4B01G083600;TraesCS7A01G192000;TraesCS4D01G107400;TraesCS7D01G224900;TraesCS7D01G117800;TraesCS6D01G141100;TraesCS3A01G193900;TraesCS1A01G278000;TraesCS2B01G434600;TraesCS6B01G393500;TraesCS5B01G387600;TraesCS4B01G162900;TraesCS3B01G265000;TraesCS5A01G088400;TraesCS2D01G114900;TraesCS2D01G303500;TraesCS4A01G110800;TraesCS1D01G094400;TraesCS3D01G268700;TraesCS4A01G290400;TraesCS6B01G174700;TraesCS1A01G313300;TraesCS3D01G258900;TraesCS5A01G490500;TraesCS6D01G247400;TraesCS7A01G182200;TraesCS3D01G388400;TraesCS1D01G024800;TraesCS2A01G344600;TraesCS2D01G524500;TraesCS4D01G086400;TraesCS6B01G342300;TraesCS5D01G417600;TraesCS3D01G278500;TraesCS2D01G239700;TraesCS2A01G286500;TraesCS6D01G337500;TraesCS3D01G191100;TraesCS6A01G373400;TraesCS2A01G197900;TraesCS3D01G380100;TraesCS3A01G248000;TraesCS7A01G260600;TraesCS4A01G023500;TraesCS1A01G185900;TraesCS4A01G092500;TraesCS2B01G528300;TraesCS6D01G357100;TraesCS4D01G088200;TraesCS5A01G192000;TraesCS6D01G122800;TraesCS6A01G269400;TraesCS6B01G253900;TraesCS4D01G013900;TraesCS5B01G378700;TraesCS2A01G225100;TraesCS1B01G325100;TraesCS5B01G102600;TraesCS2D01G361800;TraesCS2B01G415500;TraesCS7D01G327700;TraesCS7B01G182300;TraesCS2B01G340300;TraesCS3D01G346200;TraesCS1A01G180200;TraesCS3B01G228900;TraesCS3B01G362100;TraesCS3D01G495100;TraesCS1D01G241800;TraesCS4B01G204500;TraesCS4A01G220100;TraesCS1A01G145000;TraesCS2D01G519500;TraesCS2B01G227800;TraesCS3B01G566600;TraesCS5A01G173700;TraesCS3A01G530100;TraesCS7D01G413700;TraesCS4B01G138800;TraesCS4D01G193500;TraesCS7A01G304400;TraesCS7D01G374900;TraesCS7A01G560200;TraesCS3A01G398000;TraesCS1B01G110400;TraesCS2A01G460000;TraesCS5A01G212500;TraesCS5D01G285200;TraesCS6B01G242800;TraesCS1B01G200300;TraesCS1B01G317500;TraesCS1B01G156600;TraesCS3B01G308200;TraesCS5A01G396700;TraesCS6B01G450500;TraesCS4B01G242800;TraesCS1A01G315900;TraesCS2A01G226000;TraesCS2B01G051600;TraesCS6D01G245600;TraesCS2B01G133500;TraesCS4B01G165100;TraesCS1B01G422200;TraesCS4A01G315700;TraesCS5A01G056400;TraesCS1A01G263400;TraesCS6A01G078200;TraesCS7D01G107600;TraesCS7D01G457900;TraesCS6D01G163700;TraesCS6B01G344100;TraesCS5A01G046600;TraesCS2B01G318400;TraesCS2D01G057900;TraesCS1B01G261700;TraesCS2A01G431900;TraesCS3B01G306000;TraesCS1A01G358800;TraesCS5B01G155100;TraesCS3D01G304800;TraesCS4D01G194400;TraesCS4D01G301300;TraesCS2D01G022800;TraesCS1B01G165500;TraesCS5A01G324200;TraesCS4D01G080700;TraesCS5B01G393900;TraesCSU01G135100;TraesCSU01G047800;TraesCS2D01G300400;TraesCS4D01G086000;TraesCS6B01G161800;TraesCS1A01G284300;TraesCS6B01G171600;TraesCS3B01G426600;TraesCS2B01G352300;TraesCS1A01G309200;TraesCS3D01G087300;TraesCS4B01G380800;TraesCS6A01G163500;TraesCS2B01G191800;TraesCS6B01G388100;TraesCS7D01G292000;TraesCS5A01G200800;TraesCS6B01G191500;TraesCS2A01G400900;TraesCS1D01G210200;TraesCS4A01G432400;TraesCS7D01G121200;TraesCS5B01G531900;TraesCS1B01G146200;TraesCS2D01G014800;TraesCS6B01G295700;TraesCS5B01G057300;TraesCS6B01G411900;TraesCS5D01G181600;TraesCS5D01G444700;TraesCS5D01G532100;TraesCS1D01G376900;TraesCS2D01G273000;TraesCS4D01G135000;TraesCS5A01G166800;TraesCS5B01G171200;TraesCS7A01G323200;TraesCS5D01G201300;TraesCS2B01G220100;TraesCS6A01G203300;TraesCS3A01G178900;TraesCS6B01G112700;TraesCS5B01G295000;TraesCS5A01G149000;TraesCS4B01G017400;TraesCS2B01G233400;TraesCS2A01G193800;TraesCS4D01G184400;TraesCS1B01G469400;TraesCS4D01G151500;TraesCS6B01G270400;TraesCS6A01G420100;TraesCS1A01G437500;TraesCS6A01G319700;TraesCS6D01G357600;TraesCS5B01G412500;TraesCS1A01G125000;TraesCS5D01G420300;TraesCS6D01G161000;TraesCS1D01G260500;TraesCS2B01G382000;TraesCS3D01G434800;TraesCS3D01G065800;TraesCS5D01G149900;TraesCS3D01G250600;TraesCS6A01G321600;TraesCS1D01G250700;TraesCS6A01G212200;TraesCS4D01G172000;TraesCS3B01G149800;TraesCS4A01G042500;TraesCS4D01G130600;TraesCS2A01G157700;TraesCS2D01G356700;TraesCS7A01G327600;TraesCS6B01G159800;TraesCS4A01G182800;TraesCS2B01G119700;TraesCS5B01G479200;TraesCS3D01G421500;TraesCS3B01G410400;TraesCS2D01G213100;TraesCS6D01G358500;TraesCS4A01G078900;TraesCS5A01G407700;TraesCS3D01G327600;TraesCS5D01G298700;TraesCS2B01G328500;TraesCS3B01G430000;TraesCS5D01G303100;TraesCS4B01G089500;TraesCS2A01G039400;TraesCS6D01G199600;TraesCS2A01G159900;TraesCS5B01G036800;TraesCS4B01G041900;TraesCS4B01G383000;TraesCS7A01G302300;TraesCS6B01G451100;TraesCS4D01G160000;TraesCS1D01G314600;TraesCS3A01G082700;TraesCS3B01G303000;TraesCS4A01G374600;TraesCS1A01G299500;TraesCS3B01G412600;TraesCS2D01G049500;TraesCS1D01G190900;TraesCS1B01G251000;TraesCS4B01G015600;TraesCS7B01G321700;TraesCS3A01G478100;TraesCS7D01G072100;TraesCS3A01G342300;TraesCS6B01G470700;TraesCS2D01G492600;TraesCSU01G072700;TraesCS1A01G231100;TraesCS6D01G398100;TraesCS5A01G089900;TraesCS6D01G227300;TraesCS6A01G147900;TraesCS4A01G283700;TraesCS4B01G138100;TraesCS7D01G188300;TraesCS4B01G220400;TraesCS4D01G214300;TraesCS5A01G501800;TraesCS6B01G174100;TraesCS6B01G342400;TraesCS4A01G116000;TraesCS3A01G484800;TraesCS1A01G264000;TraesCS2D01G322900;TraesCS4D01G167900;TraesCS7A01G341000;TraesCS2D01G198300;TraesCS7B01G189500;TraesCS3D01G240800;TraesCS2A01G398900;TraesCS3B01G252200;TraesCS7A01G004000;TraesCS3B01G088300;TraesCS6B01G455100;TraesCS1B01G344300;TraesCS5D01G144600;TraesCS1B01G439600;TraesCS2B01G304900;TraesCS1A01G198400;TraesCS3D01G203400;TraesCS2D01G138200;TraesCS5D01G459800;TraesCS3D01G328100;TraesCS4B01G290300;TraesCS2A01G128300;TraesCS2D01G105300;TraesCS6D01G062500;TraesCS5D01G361000;TraesCS5A01G367700;TraesCS2B01G451100;TraesCS7B01G176200;TraesCS7B01G085700;TraesCS4D01G085700;TraesCS2B01G592500;TraesCS1A01G361400;TraesCS2D01G205900;TraesCS3A01G447800;TraesCS3B01G209400;TraesCS3D01G386400;TraesCS4A01G111600;TraesCS4A01G058000;TraesCS4D01G283800;TraesCS1B01G220700;TraesCS6D01G065600;TraesCS1D01G244400;TraesCS3A01G402500;TraesCS5D01G551200;TraesCS1A01G137000;TraesCS7A01G381900;TraesCS7A01G450600;TraesCS7D01G073000;TraesCS4B01G164800;TraesCS4D01G133700;TraesCS4D01G319400;TraesCS4A01G364400;TraesCS6B01G223200;TraesCS4B01G244400;TraesCS7D01G378400;TraesCS4A01G144500;TraesCS5D01G437600;TraesCS5D01G189500;TraesCS1D01G117400;TraesCS3D01G514100;TraesCS7D01G123400;TraesCS2B01G240100;TraesCS7D01G343300;TraesCS3B01G279700;TraesCS7A01G335600;TraesCS6B01G304100;TraesCS6B01G117100;TraesCS7A01G452800;TraesCS3B01G269900;TraesCS6B01G419000;TraesCS7A01G288900;TraesCSU01G132400;TraesCS7B01G421100;TraesCS7D01G386000;TraesCS1A01G129400;TraesCS1D01G411300;TraesCS3B01G224600;TraesCS6A01G268600;TraesCS5A01G272400;TraesCSU01G001100;TraesCS5B01G141000;TraesCS7A01G148600;TraesCS1B01G472100;TraesCS5D01G528400;TraesCS6B01G113200;TraesCS3A01G181600;TraesCS4B01G274300;TraesCS4B01G150600;TraesCS7A01G350000;TraesCS6D01G180500;TraesCS7A01G286700;TraesCS2D01G417300;TraesCS3B01G112900;TraesCS4B01G321500;TraesCS5B01G508200;TraesCS6B01G233800;TraesCS7A01G088100;TraesCS4A01G355000;TraesCS5B01G146700;TraesCS5D01G176700;TraesCS6D01G224200;TraesCS6A01G379000;TraesCS3A01G386300;TraesCS5D01G044100;TraesCS4B01G090000;TraesCS3B01G222400;TraesCS6B01G056200;TraesCS1B01G254000;TraesCS1D01G412600;TraesCS4D01G359000;TraesCS7A01G077400;TraesCS6A01G200600;TraesCS1A01G007500;TraesCS7B01G363600;TraesCS6A01G303800;TraesCS1D01G202100;TraesCS4B01G285000;TraesCS6B01G393600;TraesCS3D01G423300;TraesCS2B01G501300;TraesCS4A01G091100;TraesCS5D01G206500;TraesCS5D01G472300;TraesCS7B01G199200;TraesCS5D01G143800;TraesCS1D01G280900;TraesCS2A01G437700;TraesCS1A01G206900;TraesCS2B01G263600;TraesCS3A01G336100;TraesCS4D01G212600;TraesCS1B01G396800;TraesCS7D01G148200;TraesCS4A01G185400;TraesCS4A01G387000;TraesCS5B01G503800;TraesCS7D01G200800;TraesCS2D01G301200;TraesCS6B01G307200;TraesCS5B01G377700;TraesCS7A01G285800;TraesCS1D01G356900;TraesCS4A01G051900;TraesCS3A01G200400;TraesCS1D01G151800;TraesCS5D01G399200;TraesCS5B01G509100;TraesCS6D01G132500;TraesCS6D01G210000;TraesCS5B01G214400;TraesCS2B01G312600;TraesCS3D01G217600;TraesCS5B01G397300;TraesCS4D01G065600;TraesCS1A01G133500;TraesCS4B01G220500;TraesCS4D01G298800;TraesCS1A01G100600;TraesCS3A01G274600;TraesCS6D01G238800;TraesCS7D01G499800;TraesCS3D01G482500;TraesCS3A01G241700;TraesCS5D01G155800;TraesCS3D01G264800;TraesCS1B01G261600;TraesCS5B01G159600;TraesCS1D01G226500;TraesCS1D01G426400;TraesCS1D01G149900;TraesCS3B01G046100;TraesCS3A01G250200;TraesCS7B01G093800;TraesCS4B01G286700;TraesCS4B01G133200;TraesCS5A01G215900;TraesCS6A01G118200;TraesCS6B01G251600;TraesCS2A01G302500;TraesCS5A01G429500;TraesCS3B01G161900;TraesCS5A01G264400;TraesCS1A01G060100;TraesCS6B01G181300;TraesCS2D01G236100;TraesCS6A01G203700;TraesCS3D01G206100;TraesCS5B01G335500;TraesCS2A01G102600;TraesCS3D01G529200;TraesCS5B01G263800;TraesCS7D01G232000;TraesCS2A01G501900;TraesCS7B01G393400;TraesCS1D01G178000;TraesCS4B01G028100;TraesCS6D01G172500;TraesCS7D01G004500;TraesCS1A01G001800;TraesCS2B01G297800;TraesCS6A01G200200;TraesCS2A01G252600;TraesCS7B01G230100;TraesCS2B01G457600;TraesCS4A01G296200;TraesCS2B01G411000;TraesCS2B01G247100;TraesCS3D01G220400;TraesCS1D01G083200;TraesCS5B01G155200;TraesCS6A01G314100;TraesCS4D01G194300;TraesCS6B01G170600;TraesCS3D01G325800;TraesCS4B01G179400;TraesCS4B01G154100;TraesCS1D01G313800;TraesCS5A01G548800;TraesCS2A01G387000;TraesCS5A01G328900;TraesCS2D01G182700;TraesCS6D01G174700;TraesCS1A01G322300;TraesCS2B01G217700;TraesCS7D01G442100;TraesCS5B01G511800;TraesCS6A01G267300;TraesCS6A01G408400;TraesCS2B01G098800;TraesCS3A01G304900;TraesCS4D01G263300;TraesCS4B01G344600;TraesCS4D01G150700;TraesCS1B01G443200;TraesCS2D01G126600;TraesCS3B01G425400;TraesCS5D01G105500;TraesCS2D01G500600;TraesCS4A01G164900;TraesCS5B01G136500;TraesCS2B01G122500;TraesCS5B01G509500;TraesCS5B01G510500;TraesCS2B01G410100;TraesCS6B01G151900;TraesCS7B01G124100;TraesCS6D01G245500;TraesCS5B01G147600;TraesCS1D01G367600;TraesCS5D01G208300;TraesCS2B01G225300;TraesCS3B01G470400;TraesCS4A01G124000;TraesCS2A01G239200;TraesCS6D01G193000;TraesCS1B01G155600;TraesCS5B01G481100;TraesCS2B01G108200;TraesCS7D01G130500;TraesCS7D01G000100;TraesCS4B01G029400;TraesCS4D01G242400;TraesCS5B01G121000;TraesCS7B01G207300;TraesCS6D01G016900;TraesCS5B01G117800;TraesCS7A01G175300;TraesCS3D01G273800;TraesCS1A01G369600;TraesCS1D01G363700;TraesCS4B01G213600;TraesCS5A01G014400;TraesCS5B01G412400;TraesCS2D01G394900;TraesCS7A01G541200;TraesCS5B01G094600;TraesCS5D01G056900;TraesCS2A01G171900;TraesCS7A01G348600;TraesCS7B01G113100;TraesCS3A01G216100;TraesCS5A01G336500;TraesCS3D01G296900;TraesCS6D01G287300;TraesCS3A01G393400;TraesCS6A01G225200;TraesCS4D01G204000;TraesCS4D01G025700;TraesCS5A01G093200;TraesCS6D01G162200;TraesCS5D01G169600;TraesCS4D01G015900;TraesCS4A01G120000;TraesCS7A01G415500;TraesCS3B01G483500;TraesCS4B01G109700;TraesCS3D01G146800;TraesCS2A01G500400;TraesCS2D01G093700;TraesCS3B01G309700;TraesCS4A01G248200;TraesCS5D01G067600;TraesCS5A01G143600;TraesCS4D01G343400;TraesCS3A01G380100;TraesCS2D01G383800;TraesCS6B01G238600;TraesCS3A01G223700;TraesCS3D01G369100;TraesCS2D01G328100;TraesCS5B01G162800;TraesCS4D01G094700;TraesCS7D01G543200;TraesCS5A01G165400;TraesCS3A01G292700;TraesCS7A01G190500;TraesCS6A01G158300;TraesCS5A01G155600;TraesCS4B01G300100;TraesCS6A01G125400;TraesCS5B01G517500;TraesCS2B01G520500;TraesCS6B01G166400;TraesCS7A01G252000;TraesCS3B01G276700;TraesCS7A01G510900;TraesCS5A01G357400;TraesCS3D01G271200;TraesCS2D01G597600;TraesCS3D01G336200;TraesCS3B01G103500;TraesCS3A01G288200;TraesCS4A01G147500;TraesCS6D01G189700;TraesCS4A01G005000;TraesCS4A01G078800;TraesCS4B01G178700;TraesCS5D01G329600;TraesCS3A01G268600;TraesCS6B01G099900;TraesCS3D01G224800;TraesCS7B01G092500;TraesCS5A01G199600;TraesCS7D01G227300;TraesCS5A01G229500;TraesCS2A01G343500;TraesCS1B01G343100;TraesCS5B01G339200;TraesCS5D01G412600;TraesCS3A01G330200;TraesCS7D01G288700;TraesCS1D01G275000;TraesCS1B01G193700;TraesCS3D01G391900;TraesCS7A01G276400;TraesCS1D01G265200;TraesCS5D01G530200;TraesCS4A01G178600;TraesCS3D01G217700;TraesCS1A01G110900;TraesCS1A01G116200;TraesCS3B01G219300;TraesCS4A01G052600;TraesCS4D01G212000;TraesCS1B01G348800;TraesCS6A01G355300;TraesCS5A01G050100;TraesCS2B01G079700;TraesCS3A01G528800;TraesCS3B01G324500;TraesCS5D01G517200;TraesCS3A01G381000;TraesCS4A01G187100;TraesCS7D01G025000;TraesCS2A01G223600;TraesCS2A01G200500;TraesCS5A01G004200;TraesCS3A01G151100;TraesCS7A01G277700;TraesCS7D01G250100;TraesCS6B01G246600;TraesCS5D01G141200;TraesCS2A01G309600;TraesCS5B01G396700;TraesCS4B01G246900;TraesCS3A01G412600;TraesCS4B01G047300;TraesCS3B01G254500;TraesCS5A01G104800;TraesCS3A01G435700;TraesCS5D01G238300;TraesCS6B01G256400;TraesCS3D01G228800;TraesCS7D01G407700;TraesCS4B01G151200;TraesCS4D01G038600;TraesCS7A01G313900;TraesCS6B01G294700;TraesCS7B01G006600;TraesCS1B01G253500;TraesCS5D01G237400;TraesCS5B01G132600;TraesCS2A01G175400;TraesCS2A01G123800;TraesCS4B01G129700;TraesCS4B01G150300;TraesCS2D01G194000;TraesCS6A01G308100;TraesCS4A01G262900;TraesCS3B01G418400;TraesCS1D01G003700;TraesCS6B01G134800;TraesCS2A01G338100;TraesCS3D01G288000;TraesCS2A01G342600;TraesCS5D01G402300;TraesCS2B01G602100;TraesCS5B01G563800;TraesCS6B01G176600;TraesCS4D01G003100;TraesCS2D01G059400;TraesCS6A01G322400;TraesCS6A01G259000;TraesCS7A01G076400;TraesCS5B01G517900;TraesCS6A01G192600;TraesCS6D01G293100;TraesCS2B01G185800;TraesCS5D01G005300;TraesCS1D01G231000;TraesCS6D01G283300;TraesCS5A01G322700;TraesCS5B01G290300;TraesCS5B01G256400;TraesCS4A01G247300;TraesCS6B01G331800;TraesCS1A01G265000;TraesCS2A01G455300;TraesCS7A01G205200;TraesCS3B01G497300;TraesCS3D01G412500;TraesCS5D01G329200;TraesCS7B01G236400;TraesCS2B01G604300;TraesCS1D01G198700;TraesCS4D01G189600;TraesCS5D01G480300;TraesCS7B01G119300;TraesCS4A01G093100;TraesCS6D01G121300;TraesCS4B01G252400;TraesCS1A01G260500;TraesCS1B01G049300;TraesCS3D01G323700;TraesCS3D01G411200;TraesCS5D01G219500;TraesCS5A01G108000;TraesCS2D01G362500;TraesCS2B01G456200;TraesCS6D01G077500;TraesCS7D01G150200;TraesCS3A01G099300;TraesCS4A01G119800;TraesCS1D01G219700;TraesCS5D01G171100;TraesCS1A01G292100;TraesCS4B01G226100;TraesCS7D01G276300;TraesCS4B01G152900;TraesCSU01G142500;TraesCS3D01G150400;TraesCS5A01G467500;TraesCS5D01G517600;TraesCS4D01G246300;TraesCS2A01G229300;TraesCS2A01G206200;TraesCS3D01G169000;TraesCS5B01G121500;TraesCS1D01G341100;TraesCS2A01G097900;TraesCS7D01G159000;TraesCS7B01G153100;TraesCS2D01G565200;TraesCS5B01G415100;TraesCS6B01G174500;TraesCS2A01G299200;TraesCS1D01G153900;TraesCS6D01G350300;TraesCS6D01G237400;TraesCS6A01G289200;TraesCS7D01G265200;TraesCS1A01G340400;TraesCS2D01G291200;TraesCS6A01G105400;TraesCS2B01G263300;TraesCS3D01G345500;TraesCS7B01G076500;TraesCS5D01G230300;TraesCS6D01G147900;TraesCS4A01G013500;TraesCS4A01G298100;TraesCS2B01G213000;TraesCS1A01G144300;TraesCS4A01G355100;TraesCS6A01G230100;TraesCS6B01G239000;TraesCS3B01G385400;TraesCS5B01G270200;TraesCS6D01G142200;TraesCS6A01G312200;TraesCS7B01G352800;TraesCS7A01G491200;TraesCS6A01G113000;TraesCS5B01G300100;TraesCS6D01G098400;TraesCS2D01G389900;TraesCS4B01G263100;TraesCS5D01G332000;TraesCS4D01G339700;TraesCS1D01G342400;TraesCS1D01G242500;TraesCS1B01G478800;TraesCS4A01G254100;TraesCS4D01G327300;TraesCS5A01G411500;TraesCS6D01G270400;TraesCS2D01G202900;TraesCS4A01G376000;TraesCS2A01G095300;TraesCS3A01G264700;TraesCS4B01G193400;TraesCS2A01G246700;TraesCS6B01G026900;TraesCS3A01G202700;TraesCS5A01G395200;TraesCS2D01G467900;TraesCS4D01G159800;TraesCS5B01G409700;TraesCS2B01G248100;TraesCS2D01G238600;TraesCS4A01G206400;TraesCS5B01G189500;TraesCS3A01G417000;TraesCS2D01G398400;TraesCS7D01G409000;TraesCS5B01G534400;TraesCS6A01G154400;TraesCS5B01G075800;TraesCS3A01G295400;TraesCS6D01G246300;TraesCS2D01G200700;TraesCS2A01G330200;TraesCS7A01G466600;TraesCS3D01G426300;TraesCS3D01G231200;TraesCS7D01G449900;TraesCS2B01G271300;TraesCS7D01G338600;TraesCS4A01G111000;TraesCS3D01G436100;TraesCS2B01G133300;TraesCS4A01G226900;TraesCS3A01G313300;TraesCS2A01G392900;TraesCS7A01G318800;TraesCS1B01G377800;TraesCS1A01G388400;TraesCS2D01G241800;TraesCS7A01G173500;TraesCS3B01G011800;TraesCS3D01G137800;TraesCS1A01G418700;TraesCS1A01G376400;TraesCS3A01G134100;TraesCS2B01G004000;TraesCS2A01G149600;TraesCS6B01G315800;TraesCS3D01G182400;TraesCS6D01G301300;TraesCS6A01G171300;TraesCS6D01G182200;TraesCS7D01G283900;TraesCS3D01G275600;TraesCS2D01G310000;TraesCS3A01G055300;TraesCS5B01G476900;TraesCS3A01G443700;TraesCS4B01G041200;TraesCS4A01G283000;TraesCS4D01G151900;TraesCS7B01G242200;TraesCS7D01G218000;TraesCS2A01G067500;TraesCS5D01G108700;TraesCS2B01G404600;TraesCS5D01G551900;TraesCS4D01G157200;TraesCS4A01G307900;TraesCS5A01G157000;TraesCS2A01G273400;TraesCS7B01G419900;TraesCS5D01G417400;TraesCS5B01G182500;TraesCS4A01G232300;TraesCS2A01G215100;TraesCS3A01G184800;TraesCS5A01G495100;TraesCS2A01G521400;TraesCS2B01G363200;TraesCS6A01G290600;TraesCS2B01G307500;TraesCS1D01G086600;TraesCS6D01G302200;TraesCS2A01G289800;TraesCS4D01G317900;TraesCS2A01G098400;TraesCS6B01G348700;TraesCS3A01G232700;TraesCS6D01G315500;TraesCS2B01G273900;TraesCS7B01G421800;TraesCS2A01G523600;TraesCS4A01G324400;TraesCS5D01G138500;TraesCS1D01G134300;TraesCS6D01G364900;TraesCS6D01G299200;TraesCS4A01G276300;TraesCS5A01G036600;TraesCS1D01G390500;TraesCS2B01G145700;TraesCS5D01G164800;TraesCS5D01G512300;TraesCS2B01G376500;TraesCS1B01G293500;TraesCS6B01G104600;TraesCS3B01G398300;TraesCS5D01G060900;TraesCS7B01G097000;TraesCS1A01G158500;TraesCS1B01G434400;TraesCS4B01G073200;TraesCS5B01G110000;TraesCS2D01G023900;TraesCS5A01G222500;TraesCS5B01G320100;TraesCS2B01G260800;TraesCS2D01G324900;TraesCS7A01G036200;TraesCS2A01G246200;TraesCS5B01G175800;TraesCS5A01G165700;TraesCS2A01G501600;TraesCS4A01G226500;TraesCS3B01G398000;TraesCS4D01G153900;TraesCS2A01G262700;TraesCS3A01G228000;TraesCS4A01G065400;TraesCS4B01G169900;TraesCS1A01G324800;TraesCS4B01G050200;TraesCS2B01G234500;TraesCS2B01G031800;TraesCS6A01G133100;TraesCS6D01G142900;TraesCS3A01G205100;TraesCS3A01G394600;TraesCS3D01G428300;TraesCS5B01G142900;TraesCS1B01G402900;TraesCS5B01G184300;TraesCS5A01G128300;TraesCS2D01G082700;TraesCS4D01G292900;TraesCS4D01G068100;TraesCS3A01G344300;TraesCS2A01G364500;TraesCS7D01G508100;TraesCS6D01G390000;TraesCS7D01G454200;TraesCS3A01G208600;TraesCS7A01G555700;TraesCS5A01G014500;TraesCSU01G068800;TraesCSU01G093800;TraesCS3A01G303800;TraesCS2D01G092500;TraesCS4A01G361100;TraesCS6D01G298300;TraesCS4D01G085900;TraesCS5B01G284100;TraesCS4D01G160200;TraesCS3B01G376200;TraesCS5A01G472100;TraesCS7B01G241500;TraesCS3D01G210300;TraesCS1D01G409700;TraesCS4A01G167000;TraesCS1D01G396300;TraesCS5B01G171400;TraesCS3D01G281100;TraesCS6B01G282200;TraesCS3A01G332300;TraesCS2D01G251000;TraesCS1D01G315700;TraesCS2A01G293400;TraesCS7D01G270400;TraesCS7A01G316700;TraesCS4A01G191500;TraesCS1D01G325500;TraesCS1A01G246800;TraesCS5D01G100800;TraesCS5A01G186200;TraesCS6D01G244900;TraesCS5B01G102000;TraesCS5A01G229400;TraesCS5D01G161800;TraesCS1A01G254400;TraesCS1A01G195500;TraesCS3D01G084300;TraesCS6D01G344100;TraesCS2D01G148200;TraesCS7D01G364400;TraesCS7B01G242800;TraesCS2B01G154700;TraesCS3A01G099800;TraesCS4A01G193700;TraesCS3A01G322500;TraesCS2A01G132200;TraesCS4A01G342800;TraesCS5A01G230400;TraesCS6A01G279100;TraesCS4B01G314600;TraesCS1A01G152800;TraesCS1A01G024700;TraesCS3D01G193900;TraesCS5D01G157300;TraesCS3B01G307600;TraesCS3A01G276100;TraesCS4B01G088400;TraesCS4D01G003600;TraesCS4D01G036500;TraesCS5B01G517400;TraesCS2D01G477200;TraesCS4D01G175300;TraesCS3A01G457400;TraesCS2B01G346500;TraesCS5D01G481500;TraesCS3D01G229800;TraesCS4A01G163000;TraesCSU01G158800;TraesCS3A01G202000;TraesCS4B01G288200;TraesCS6A01G143300;TraesCS5D01G366500;TraesCS4A01G321500;TraesCS3B01G185300;TraesCS7A01G264300;TraesCS1D01G316200;TraesCS7A01G419600;TraesCS7D01G228500;TraesCS5B01G322900;TraesCS2A01G280500;TraesCS3D01G241900;TraesCS2B01G401900;TraesCS1B01G368500;TraesCS2D01G097800;TraesCS2B01G275000;TraesCS3A01G052700;TraesCS2A01G343600;TraesCS2D01G242100;TraesCS3A01G189400;TraesCS3D01G527700;TraesCS7B01G177700;TraesCS3D01G282800;TraesCS5B01G419300;TraesCS7D01G284200;TraesCS3A01G282800;TraesCS1D01G219200;TraesCS5A01G142200;TraesCS4D01G122800;TraesCS3B01G435900;TraesCS5B01G127300;TraesCS3A01G191700;TraesCS4A01G131400;TraesCS7B01G241900;TraesCS6B01G414800;TraesCS3D01G109700;TraesCS5D01G470400;TraesCS6B01G470900;TraesCS2D01G320900;TraesCS1B01G290800;TraesCS3B01G316500;TraesCS1D01G277100;TraesCS3A01G060300;TraesCS6D01G212000;TraesCS5D01G229900;TraesCS5D01G135900;TraesCS5A01G156400;TraesCS6B01G352400;TraesCS4D01G157900;TraesCS7D01G450700;TraesCS6A01G110000;TraesCS6D01G405600;TraesCS3D01G228900;TraesCS4A01G267000;TraesCS2B01G220300;TraesCS3D01G083400;TraesCS2D01G231000;TraesCS3A01G503200;TraesCS5B01G037500;TraesCS1A01G259700;TraesCS2A01G202600;TraesCS7D01G011800;TraesCS2B01G174700;TraesCS3B01G257700;TraesCS3D01G373300;TraesCS7A01G359800;TraesCS2A01G150000;TraesCSU01G131300;TraesCS1B01G337800;TraesCS6D01G147700;TraesCS5D01G341200;TraesCS3A01G538300;TraesCS5A01G020800;TraesCS7B01G269300;TraesCS3D01G091000;TraesCS7A01G062100;TraesCS3A01G028600;TraesCS6A01G319100;TraesCS7A01G226000;TraesCS5A01G113700;TraesCS3A01G488100;TraesCS4A01G246100;TraesCS6A01G360600;TraesCS7A01G351100;TraesCS3A01G178200;TraesCS1B01G288000;TraesCS4A01G166900;TraesCS7A01G238400;TraesCSU01G242100;TraesCS5A01G513500;TraesCS1D01G329100;TraesCS5D01G359800;TraesCS6A01G380200;TraesCS6B01G159200;TraesCS1A01G112800;TraesCS5B01G227900;TraesCS5A01G263700;TraesCS3B01G258600;TraesCS5B01G431500;TraesCS6A01G153600;TraesCS6B01G226000;TraesCS6D01G204800;TraesCS3A01G205900;TraesCS3B01G131400;TraesCS1A01G416000;TraesCS6D01G236400;TraesCS4D01G244000;TraesCS4D01G133500;TraesCS7D01G549100;TraesCS2B01G352000;TraesCS7A01G510000;TraesCS2A01G563500;TraesCS1B01G255100;TraesCS5D01G193000;TraesCS3A01G159900;TraesCS6B01G219700;TraesCS7D01G313600;TraesCS2B01G342200;TraesCS3A01G103900;TraesCS6B01G039900;TraesCS4B01G171300;TraesCS3B01G006700;TraesCS5A01G454300;TraesCS3A01G513500;TraesCS2A01G103300;TraesCS1A01G339300;TraesCS5B01G097100;TraesCS1D01G229400;TraesCS6B01G231400;TraesCS6D01G135800;TraesCS5A01G547300;TraesCS2B01G079400;TraesCS7B01G052200;TraesCS2D01G237600;TraesCS7D01G554900;TraesCS4A01G194100;TraesCS4D01G341900;TraesCS3B01G555600;TraesCS3A01G275700;TraesCS5A01G353700;TraesCS7A01G002900;TraesCS1B01G304500;TraesCS3B01G214600;TraesCS6D01G350000;TraesCS4D01G180300;TraesCS2A01G222600;TraesCS6B01G402300;TraesCS7A01G293200;TraesCS5A01G150700;TraesCS5B01G502700;TraesCS3D01G341200;TraesCS5A01G173800;TraesCS4D01G157500;TraesCS2A01G235900;TraesCS2B01G272300;TraesCS2D01G520000;TraesCS4A01G036500;TraesCS4B01G091100;TraesCS5B01G099300;TraesCS1D01G443100;TraesCS3A01G272200;TraesCS4B01G069200;TraesCS1D01G423500;TraesCS2D01G065800;TraesCS2B01G159600;TraesCS3B01G374400;TraesCS2A01G380200;TraesCS4A01G452700;TraesCS7B01G455500;TraesCS6D01G259500;TraesCS4A01G238100;TraesCS1D01G392400;TraesCS2D01G246100;TraesCS1D01G352300;TraesCS4A01G165600;TraesCS1D01G445300;TraesCS5B01G199400;TraesCS2A01G492300;TraesCS3B01G564100;TraesCS7B01G420400;TraesCS5D01G357600;TraesCS3A01G376300;TraesCS4B01G211800;TraesCS4D01G264800;TraesCS4D01G039100;TraesCS1D01G242400;TraesCS2A01G478000;TraesCS2D01G208300;TraesCS1D01G298400;TraesCS1A01G431600;TraesCS6B01G173500;TraesCS1D01G125300;TraesCS1D01G155100;TraesCS3A01G212600;TraesCS7A01G223300;TraesCS3A01G289900;TraesCS5A01G092400;TraesCS5D01G081700;TraesCS7D01G454700;TraesCS1A01G420900;TraesCS5B01G323300;TraesCS5A01G490800;TraesCS2A01G058700;TraesCS2B01G343900;TraesCS2A01G186900;TraesCS4D01G021400;TraesCS3B01G426500;TraesCS6A01G130900;TraesCS3B01G235100;TraesCS2B01G385300;TraesCS1B01G434100;TraesCS6A01G215900;TraesCS4A01G139700;TraesCS4B01G191300;TraesCS7B01G451500;TraesCS7D01G174700;TraesCS1D01G331000;TraesCS2B01G050600;TraesCS6A01G312100;TraesCS3B01G216800;TraesCS4A01G157100;TraesCS1A01G086500;TraesCS5D01G504600;TraesCS3A01G523700;TraesCS4B01G341300;TraesCS2A01G430500;TraesCS5D01G148400;TraesCS1D01G303800;TraesCS2D01G111300;TraesCS1D01G144000;TraesCS5B01G529300;TraesCS2B01G415600;TraesCS7D01G476500;TraesCS3A01G023800;TraesCS1D01G440900;TraesCS3A01G367000;TraesCS7D01G315400;TraesCS2A01G114400;TraesCS3A01G161800;TraesCS3B01G483900;TraesCS2D01G167300;TraesCS3D01G162700;TraesCS3A01G097200;TraesCS5B01G344200;TraesCS3A01G100000;TraesCS2B01G198300;TraesCS3B01G309400;TraesCS3B01G229700;TraesCS6B01G319000;TraesCS5A01G429300;TraesCS6D01G291600;TraesCS2D01G229600;TraesCS4B01G321300;TraesCS2D01G249200;TraesCS1D01G146600;TraesCS5B01G220900;TraesCS3A01G310100;TraesCS2A01G296400;TraesCS7D01G193000;TraesCSU01G009200;TraesCS2B01G321700;TraesCS6D01G152700;TraesCS7B01G184800;TraesCS6D01G224800;TraesCS1B01G213300;TraesCS1A01G111100;TraesCS3A01G107900;TraesCS2B01G051500;TraesCS5A01G515700;TraesCS5D01G223700;TraesCS7A01G314100;TraesCS1D01G199100;TraesCS3D01G181400;TraesCS6D01G174500;TraesCS6A01G210200;TraesCS6D01G195400;TraesCS7A01G421400;TraesCS7A01G329600;TraesCS6A01G161200;TraesCS6B01G189000;TraesCS4A01G150500</t>
  </si>
  <si>
    <t>TraesCS1D01G411300;TraesCS3B01G014900;TraesCS6B01G454500;TraesCS5D01G388000;TraesCS6B01G191500;TraesCS5D01G219500;TraesCS7A01G238400;TraesCS2A01G247300;TraesCS5A01G378000;TraesCS4B01G213600;TraesCS5B01G227900;TraesCS7B01G240200;TraesCS7D01G293100;TraesCS2D01G220800;TraesCS7D01G276300;TraesCS2B01G234500;TraesCS4D01G135000;TraesCS5B01G496000;TraesCS5B01G171200;TraesCS3B01G219700;TraesCS2A01G206200;TraesCS2B01G220100;TraesCS7A01G294200;TraesCS7D01G549100;TraesCS5B01G381600;TraesCS3A01G210000;TraesCS3B01G362500;TraesCS7D01G311300;TraesCS3A01G321900;TraesCS7B01G186500;TraesCS5A01G128300;TraesCS6B01G286300;TraesCS2D01G112000;TraesCS5A01G482800;TraesCS2B01G233400;TraesCS3D01G060600;TraesCS6A01G289200;TraesCS7B01G114100;TraesCS3D01G296900;TraesCS5A01G454300;TraesCS6D01G287300;TraesCS5D01G265500;TraesCS7B01G215000;TraesCS1B01G254000;TraesCS4A01G101500;TraesCS4D01G204000;TraesCS2B01G070700;TraesCS6A01G319700;TraesCS1A01G007500;TraesCS6A01G303800;TraesCS5B01G171100;TraesCS3B01G240500;TraesCS5D01G178300;TraesCS2B01G130300;TraesCS5A01G229300;TraesCS5B01G270200;TraesCS4A01G091100;TraesCS5B01G228900;TraesCS4A01G167000;TraesCS2B01G405600;TraesCS7B01G142700;TraesCS1D01G092200;TraesCS7D01G283600;TraesCS5D01G164500;TraesCS2A01G437700;TraesCS3D01G256700;TraesCS6B01G238600;TraesCS2D01G238700;TraesCS1A01G403800;TraesCS1D01G242500;TraesCS4B01G083600;TraesCS5A01G173800;TraesCS2B01G272300;TraesCS4D01G081600;TraesCS5D01G117100;TraesCS5D01G321900;TraesCS5A01G457500;TraesCS4B01G193400;TraesCS5A01G315800;TraesCS7A01G504900;TraesCS2D01G248400;TraesCS3B01G344200;TraesCS5B01G409700;TraesCS4B01G089500;TraesCS5D01G357600;TraesCS2D01G238600;TraesCS3B01G061700;TraesCS2D01G253200;TraesCS4A01G342800;TraesCS5A01G230400;TraesCS2B01G312600;TraesCS3D01G397100;TraesCS4D01G086400;TraesCS1A01G100600;TraesCS2B01G325100;TraesCS3D01G309400;TraesCS3B01G477300;TraesCS2D01G200700;TraesCS4D01G003600;TraesCS3D01G426300;TraesCS7D01G227300;TraesCS4A01G310600;TraesCS5D01G412600;TraesCS2B01G240000;TraesCS3D01G436100;TraesCS4A01G226900;TraesCS2A01G058700;TraesCS7A01G276400;TraesCS3B01G441000;TraesCS2B01G528300;TraesCS5D01G530200;TraesCS4D01G214300;TraesCS2D01G115200;TraesCS7A01G419600;TraesCS5B01G322900;TraesCS2A01G280500;TraesCS3A01G381000;TraesCS2A01G187200;TraesCS3A01G151100;TraesCS2D01G236100;TraesCS2B01G340300;TraesCS3A01G075700;TraesCS3A01G052700;TraesCS2D01G380900;TraesCS6A01G209800;TraesCS4B01G204500;TraesCS2B01G267500;TraesCS5B01G263800;TraesCS3A01G443700;TraesCS7B01G189500;TraesCS6A01G237800;TraesCS5A01G173700;TraesCS5D01G496400;TraesCS2B01G297800;TraesCS4D01G122800;TraesCS5D01G238300;TraesCS2A01G252600;TraesCS7A01G560200;TraesCS5B01G127300;TraesCS1A01G198400;TraesCS2B01G457600;TraesCS3A01G191700;TraesCS1B01G110400;TraesCS5A01G212500;TraesCS5D01G094000;TraesCS1B01G317500;TraesCS4A01G232300;TraesCS7B01G006600;TraesCS5D01G237400;TraesCS2A01G114400;TraesCS2D01G320900;TraesCS5D01G474200;TraesCS3A01G212000;TraesCS6A01G290600;TraesCS4B01G129700;TraesCS5D01G135900;TraesCS4A01G268900;TraesCS2B01G133500;TraesCS6A01G308100;TraesCS1D01G030500;TraesCS2A01G342600;TraesCS6B01G319000;TraesCS6B01G065300;TraesCS2D01G279300;TraesCS6A01G267300;TraesCS2A01G254600;TraesCS3B01G370200;TraesCS6A01G408400;TraesCS3A01G304900;TraesCS4B01G164800;TraesCS2D01G057900;TraesCS1A01G259700;TraesCS2A01G296400;TraesCS6D01G299200;TraesCS2A01G215000;TraesCS6D01G152700;TraesCS7A01G342800;TraesCS1B01G213300;TraesCS4D01G194400;TraesCS1A01G392000;TraesCS5D01G164800;TraesCS7A01G108600;TraesCS7A01G314100;TraesCS6D01G283300;TraesCS3D01G514100;TraesCS5A01G414400;TraesCS2D01G255100;TraesCS5B01G256400;TraesCS3D01G051800;TraesCS2D01G214700;TraesCS5D01G329200;TraesCS4B01G203100;TraesCS2B01G270300;TraesCS7D01G280600;TraesCS6D01G051300;TraesCS5B01G316400;TraesCS4D01G292300</t>
  </si>
  <si>
    <t>TraesCS3D01G426300;TraesCS4A01G125000;TraesCS7D01G227300;TraesCS1D01G411300;TraesCS3B01G014900;TraesCS5B01G484700;TraesCS6B01G454500;TraesCS7D01G338600;TraesCS6B01G191500;TraesCS5D01G412600;TraesCS7A01G238400;TraesCS2D01G209900;TraesCS4A01G226900;TraesCS2A01G058700;TraesCS7A01G276400;TraesCS5B01G227900;TraesCS6A01G143300;TraesCS7D01G276300;TraesCS4D01G135000;TraesCS5B01G322900;TraesCS3A01G381000;TraesCS5B01G171200;TraesCS2A01G206200;TraesCS2A01G187200;TraesCS2B01G220100;TraesCS7A01G294200;TraesCS7D01G549100;TraesCS3A01G151100;TraesCS1B01G255100;TraesCS2B01G340300;TraesCS7B01G186500;TraesCS3A01G052700;TraesCS5A01G149000;TraesCS7B01G197000;TraesCS2B01G233400;TraesCS1D01G428200;TraesCS4B01G204500;TraesCS5A01G484700;TraesCS7A01G341000;TraesCS2A01G193800;TraesCS7B01G189500;TraesCS3D01G296900;TraesCS6A01G105400;TraesCS5A01G454300;TraesCS6D01G287300;TraesCS5A01G322500;TraesCS5A01G173700;TraesCS4A01G101500;TraesCS7B01G242200;TraesCS4D01G204000;TraesCS2B01G070700;TraesCS1B01G432700;TraesCS6A01G319700;TraesCS4D01G122800;TraesCS5D01G238300;TraesCS6A01G303800;TraesCS7A01G560200;TraesCS6A01G158800;TraesCS1A01G198400;TraesCS2B01G457600;TraesCS5B01G171100;TraesCS3A01G191700;TraesCS5D01G178300;TraesCS1B01G110400;TraesCS2B01G157600;TraesCS6B01G242800;TraesCS5D01G094000;TraesCS1B01G317500;TraesCS5A01G229300;TraesCS5B01G270200;TraesCS4A01G232300;TraesCS7B01G006600;TraesCS5B01G228900;TraesCS3A01G367000;TraesCS5B01G300100;TraesCS5D01G237400;TraesCS1D01G092200;TraesCS2A01G114400;TraesCS2D01G320900;TraesCS7D01G283600;TraesCS2A01G437700;TraesCS6A01G159800;TraesCS4B01G179400;TraesCS6A01G290600;TraesCS6B01G089500;TraesCS5D01G464800;TraesCS6D01G094200;TraesCS4B01G129700;TraesCS5A01G213000;TraesCS2A01G387000;TraesCS2D01G194000;TraesCS2D01G238700;TraesCS1A01G403800;TraesCS2B01G133500;TraesCS6A01G212200;TraesCS6A01G308100;TraesCS3A01G100000;TraesCS4B01G083600;TraesCS5A01G173800;TraesCS6B01G134800;TraesCS2A01G342600;TraesCS2B01G620600;TraesCS5A01G429300;TraesCS6B01G192500;TraesCS6D01G244900;TraesCS4D01G081600;TraesCS6A01G267300;TraesCS6A01G408400;TraesCS3A01G304900;TraesCS2D01G057900;TraesCS2A01G296400;TraesCS6D01G299200;TraesCS6D01G152700;TraesCS1B01G213300;TraesCS5A01G350600;TraesCS1A01G195500;TraesCS7A01G108600;TraesCS6D01G132500;TraesCS1D01G199100;TraesCS5B01G147600;TraesCS6D01G283300;TraesCS4B01G089500;TraesCS5D01G357600;TraesCS2D01G238600;TraesCS5B01G256400;TraesCS2A01G559600;TraesCS6D01G195400;TraesCS7D01G343300;TraesCS7A01G335600;TraesCS5B01G036800;TraesCS5A01G230400;TraesCS2B01G312600;TraesCS4B01G041900;TraesCS5D01G329200;TraesCS6D01G408000;TraesCS6B01G171600;TraesCS7D01G280600;TraesCS4D01G086400;TraesCS5B01G534400;TraesCS7A01G239700;TraesCS1A01G100600;TraesCS2D01G200700;TraesCS4D01G003600;TraesCS4A01G093100;TraesCS2A01G204800</t>
  </si>
  <si>
    <t>photosynthesis, light reaction</t>
  </si>
  <si>
    <t>TraesCS7A01G466600;TraesCS2D01G213200;TraesCS1B01G259800;TraesCS3A01G264600;TraesCS1B01G261600;TraesCS5B01G222600;TraesCS3B01G207300;TraesCS1D01G107300;TraesCS2D01G479900;TraesCS2B01G514800;TraesCS4A01G257800;TraesCS5A01G032500;TraesCS1B01G049300;TraesCS1D01G222700;TraesCS4A01G375000;TraesCS7D01G261100;TraesCS1A01G256800;TraesCS2D01G427900;TraesCS4B01G230500;TraesCS6B01G169300;TraesCS1D01G265200;TraesCS2B01G505400;TraesCS4A01G101200;TraesCS7B01G181200;TraesCS4D01G147500;TraesCS4B01G186700;TraesCS4B01G056700;TraesCS5B01G156500;TraesCS6B01G132300;TraesCSU01G121900;TraesCS1B01G267200;TraesCS4B01G321500;TraesCS7A01G076600;TraesCS4B01G126400;TraesCS5A01G390000;TraesCS2A01G149600;TraesCS5B01G232400;TraesCS6B01G311200;TraesCS2D01G399800;TraesCS3B01G299100;TraesCS1A01G350200;TraesCS1A01G180200;TraesCS5B01G159100;TraesCS3A01G229100;TraesCS6A01G379000;TraesCS3D01G264700;TraesCS2D01G487700;TraesCS6A01G282800;TraesCS1A01G258800;TraesCS2A01G488400;TraesCS2D01G385000;TraesCS3D01G275200;TraesCS5D01G399800;TraesCS7D01G454200;TraesCS3A01G091100;TraesCS5D01G208100;TraesCS1A01G099400;TraesCS3B01G252200;TraesCS1A01G177600;TraesCS1A01G095200;TraesCS6B01G285500;TraesCS1D01G055200;TraesCS7A01G151000;TraesCS3B01G246600;TraesCS2D01G093700;TraesCS2B01G247100;TraesCS2A01G149500;TraesCS2D01G304000;TraesCS1B01G200300;TraesCS2A01G128300;TraesCS2B01G174600;TraesCS2D01G561900;TraesCS2B01G342100;TraesCS7D01G399400;TraesCS2D01G322800;TraesCS3B01G297900;TraesCS6D01G091600;TraesCS5A01G059900;TraesCS5D01G078500;TraesCS1A01G249100;TraesCS2B01G405200;TraesCS3A01G275300;TraesCS2A01G387400;TraesCS2B01G221800;TraesCS6D01G130500;TraesCS5A01G416400;TraesCS6A01G103200;TraesCS4D01G318200;TraesCS2A01G480500;TraesCS3B01G309000;TraesCS2B01G150400;TraesCS5B01G418700;TraesCS7D01G278800;TraesCS5D01G444500;TraesCS6D01G221400;TraesCS2A01G344500;TraesCS6B01G176600;TraesCS3D01G326900;TraesCS7D01G072300;TraesCS6B01G365300;TraesCS4D01G057000;TraesCS5B01G037500;TraesCS2B01G375700;TraesCS2A01G592600;TraesCS7B01G169100;TraesCS2A01G185500;TraesCS5D01G040800;TraesCS2A01G095300;TraesCS5D01G231200;TraesCS5D01G044700;TraesCS2B01G174700;TraesCS2A01G391400;TraesCS5A01G036600;TraesCS5D01G405400;TraesCS2D01G154600;TraesCS5A01G223700;TraesCS7A01G260100;TraesCS5D01G162500;TraesCS1D01G258800;TraesCS2B01G185800;TraesCS1B01G293500;TraesCS5A01G490500;TraesCS2B01G229500;TraesCS2A01G159900;TraesCS6D01G363400;TraesCS3B01G363500;TraesCS3D01G091000;TraesCS5D01G240800;TraesCS1A01G284300;TraesCS7D01G152900;TraesCS1A01G221100;TraesCS2D01G488700;TraesCS1D01G353100;TraesCS5B01G074200;TraesCS5B01G395000;TraesCS2D01G202200;TraesCS1B01G269400;TraesCS6D01G263300;TraesCS2B01G293400;TraesCS4A01G074200;TraesCS7A01G279000;TraesCS2A01G487500;TraesCS5A01G067300;TraesCS5A01G233900</t>
  </si>
  <si>
    <t>TraesCS2B01G260800;TraesCS7D01G292000;TraesCS5B01G484700;TraesCS1D01G449000;TraesCS2A01G246200;TraesCS1D01G210200;TraesCS4A01G226500;TraesCS4A01G432400;TraesCS7D01G121200;TraesCS1B01G146200;TraesCS2D01G014800;TraesCS6B01G295700;TraesCS7D01G467500;TraesCS2A01G409700;TraesCS4D01G153900;TraesCS4D01G147100;TraesCS5A01G014400;TraesCS2A01G262700;TraesCS5B01G057300;TraesCS4A01G065400;TraesCS2D01G136200;TraesCS1A01G355200;TraesCS7B01G382800;TraesCS1A01G324800;TraesCS5D01G532100;TraesCS7B01G104400;TraesCS4D01G135000;TraesCS5B01G094600;TraesCS3B01G242700;TraesCS5B01G324800;TraesCS5D01G429200;TraesCS6A01G133100;TraesCS5A01G166800;TraesCS2D01G233900;TraesCS3B01G219700;TraesCS2A01G171900;TraesCS7A01G323200;TraesCS5D01G201300;TraesCS3A01G205100;TraesCS4A01G286700;TraesCS6A01G203300;TraesCS6B01G112700;TraesCS5A01G149000;TraesCS1A01G130700;TraesCS7B01G411000;TraesCS4D01G068100;TraesCS5A01G336500;TraesCS2B01G233400;TraesCS2A01G193800;TraesCS5D01G026000;TraesCS3D01G296900;TraesCS4D01G220700;TraesCS6D01G287300;TraesCS3A01G393400;TraesCS4A01G101500;TraesCS5A01G014500;TraesCS6A01G225200;TraesCS2B01G257300;TraesCS4D01G204000;TraesCS4D01G025700;TraesCS5A01G093200;TraesCS7D01G339300;TraesCS6D01G357600;TraesCS4D01G120900;TraesCS7D01G224400;TraesCS4B01G109700;TraesCS4D01G085900;TraesCS4D01G160200;TraesCS2B01G201700;TraesCS2D01G093700;TraesCS3B01G309700;TraesCS5A01G472100;TraesCS2B01G207000;TraesCS6D01G047400;TraesCS3D01G210300;TraesCS1D01G409700;TraesCS1D01G396300;TraesCS6D01G095800;TraesCS1D01G260500;TraesCS5B01G171400;TraesCS7D01G283600;TraesCS2B01G382000;TraesCS3D01G281100;TraesCS3B01G423600;TraesCS4D01G343400;TraesCS3D01G065800;TraesCS5A01G189600;TraesCS3A01G380100;TraesCS1B01G274600;TraesCS2B01G303300;TraesCS7A01G222800;TraesCS5D01G118200;TraesCS4A01G138800;TraesCS1D01G325500;TraesCS2D01G328100;TraesCS6A01G212200;TraesCS4D01G094700;TraesCS7B01G219700;TraesCS1A01G246800;TraesCS3B01G149800;TraesCS2A01G157700;TraesCS7B01G162300;TraesCS5D01G100800;TraesCS6B01G159800;TraesCS6D01G244900;TraesCS4D01G081600;TraesCS1B01G271100;TraesCS6A01G158300;TraesCS5B01G479200;TraesCS3D01G421500;TraesCS4D01G208900;TraesCS4A01G158400;TraesCS3A01G224800;TraesCS5D01G321900;TraesCS7A01G466900;TraesCS2B01G520500;TraesCS7A01G252000;TraesCS1B01G366400;TraesCS5A01G315800;TraesCS5D01G044700;TraesCS5A01G357400;TraesCS3D01G327600;TraesCS1A01G195500;TraesCS2B01G328500;TraesCS3A01G137000;TraesCS6D01G344100;TraesCS7B01G242800;TraesCS3A01G521600;TraesCS3A01G322500;TraesCS5B01G036800;TraesCS5A01G230400;TraesCS4B01G041900;TraesCS6A01G279100;TraesCS3A01G288200;TraesCS4B01G314600;TraesCS7D01G373100;TraesCS1A01G152800;TraesCS4A01G147500;TraesCS1A01G024700;TraesCS4D01G160000;TraesCS2B01G325100;TraesCS1D01G314600;TraesCS6B01G336300;TraesCS3A01G082700;TraesCS4A01G005000;TraesCS4A01G078800;TraesCS3A01G268600;TraesCS3B01G307600;TraesCS3A01G276100;TraesCS4B01G088400;TraesCS1A01G299500;TraesCS4D01G003600;TraesCS3B01G412600;TraesCS5B01G517400;TraesCS5A01G199600;TraesCS2A01G517900;TraesCS6A01G123800;TraesCS1D01G264100;TraesCS5D01G013100;TraesCS7D01G227300;TraesCS1D01G190900;TraesCS6B01G213100;TraesCS4B01G015600;TraesCS1B01G343100;TraesCS2B01G346500;TraesCS6B01G470700;TraesCS1D01G401900;TraesCS5D01G412600;TraesCS3A01G330200;TraesCS3A01G334800;TraesCS1B01G193700;TraesCS2D01G492600;TraesCSU01G072700;TraesCS4B01G288200;TraesCS6D01G398100;TraesCS5A01G089900;TraesCS6A01G143300;TraesCS3B01G254400;TraesCS4A01G178600;TraesCS5A01G119300;TraesCS5D01G366500;TraesCS4B01G220400;TraesCS3D01G507500;TraesCS4D01G252700;TraesCS7A01G264300;TraesCS1D01G316200;TraesCS7D01G228500;TraesCS2A01G280500;TraesCS3A01G381000;TraesCS1A01G092700;TraesCS2A01G223600;TraesCS2A01G200500;TraesCS5A01G004200;TraesCS3A01G151100;TraesCS2B01G401900;TraesCS7D01G250100;TraesCS1A01G264000;TraesCS7A01G307000;TraesCS1A01G224700;TraesCS1D01G241000;TraesCS3A01G052700;TraesCS6D01G362000;TraesCS1D01G155800;TraesCS5D01G141200;TraesCS7B01G197000;TraesCS5B01G396700;TraesCS1A01G241000;TraesCS1D01G058300;TraesCS2D01G242100;TraesCS4B01G246900;TraesCS3A01G189400;TraesCS3D01G527700;TraesCS7A01G341000;TraesCS7B01G177700;TraesCS5B01G419300;TraesCS7D01G284200;TraesCS7B01G189500;TraesCS2B01G428100;TraesCS6D01G149800;TraesCS3B01G252200;TraesCS7A01G004000;TraesCS2D01G094400;TraesCS3B01G088300;TraesCS7B01G129300;TraesCS4D01G122800;TraesCS3B01G435900;TraesCS6B01G256400;TraesCS1B01G439600;TraesCS3D01G228800;TraesCS7B01G278200;TraesCS2B01G304900;TraesCS1A01G198400;TraesCS3D01G203400;TraesCS5D01G459800;TraesCS3A01G191700;TraesCS3D01G328100;TraesCS4B01G290300;TraesCS1D01G211600;TraesCS7D01G231600;TraesCS2D01G105300;TraesCS6D01G062500;TraesCS7A01G313900;TraesCS5D01G361000;TraesCS6B01G414800;TraesCS7B01G006600;TraesCS5D01G237400;TraesCS6B01G470900;TraesCS1B01G290800;TraesCS2B01G348600;TraesCS7B01G085700;TraesCS4D01G085700;TraesCS2A01G175400;TraesCS2B01G592500;TraesCS4A01G354500;TraesCS1D01G277100;TraesCS6D01G094200;TraesCS4B01G129700;TraesCS6D01G212000;TraesCS4B01G150300;TraesCS5D01G248300;TraesCS3B01G209400;TraesCS5D01G229900;TraesCS2D01G194000;TraesCS4A01G058000;TraesCS4D01G283800;TraesCS4D01G318200;TraesCS1B01G220700;TraesCS6A01G308100;TraesCS4A01G262900;TraesCS3A01G402500;TraesCS5D01G551200;TraesCS4D01G157900;TraesCS6A01G336800;TraesCS6B01G134800;TraesCS1A01G137000;TraesCS3D01G288000;TraesCS7A01G381900;TraesCS2B01G602100;TraesCS5B01G563800;TraesCS6B01G176600;TraesCS7D01G073000;TraesCS2D01G528800;TraesCS4D01G003100;TraesCS2D01G059400;TraesCS6A01G322400;TraesCS1B01G200800;TraesCS3D01G083400;TraesCS4B01G287200;TraesCS2D01G279300;TraesCS6A01G259000;TraesCS3A01G503200;TraesCS3B01G154900;TraesCS5B01G037500;TraesCS1D01G383500;TraesCS2D01G327400;TraesCS5B01G517900;TraesCS4A01G227500;TraesCS1A01G259700;TraesCS6A01G146500;TraesCS4A01G364400;TraesCS5D01G424400;TraesCS2A01G110700;TraesCS2B01G174700;TraesCS3D01G373300;TraesCS3B01G400900;TraesCS5A01G241800;TraesCS7D01G378400;TraesCS7D01G447100;TraesCS5D01G437600;TraesCS1A01G172100;TraesCS6D01G283300;TraesCS3D01G514100;TraesCS5A01G416700;TraesCS5B01G256400;TraesCS1B01G337800;TraesCS7D01G343300;TraesCS4A01G247300;TraesCS7A01G335600;TraesCS5D01G341200;TraesCS6B01G304100;TraesCS2D01G407000;TraesCS5A01G020800;TraesCS3D01G412500;TraesCS4B01G131800;TraesCS6A01G319100;TraesCS7A01G226000;TraesCS7A01G452800;TraesCS1A01G281700;TraesCS4B01G109900;TraesCS5A01G113700;TraesCS5A01G460600;TraesCS6B01G419000;TraesCS1D01G198700;TraesCS7B01G421100;TraesCS5D01G480300;TraesCS7B01G119300;TraesCS1A01G129400;TraesCS4A01G093100;TraesCS4A01G246100;TraesCS6D01G121300;TraesCS4B01G252400;TraesCS4A01G125000;TraesCS6A01G360600;TraesCS3B01G224600;TraesCS1A01G260500;TraesCS2A01G234900;TraesCS1B01G049300;TraesCS3D01G323700;TraesCS3D01G411200;TraesCS5D01G219500;TraesCS5A01G108000;TraesCS6A01G268600;TraesCS6D01G077500;TraesCS1D01G101200;TraesCS1D01G226100;TraesCS7A01G368900;TraesCS1D01G329100;TraesCS3A01G099300;TraesCS5D01G359800;TraesCS4D01G170800;TraesCS4A01G119800;TraesCS6A01G380200;TraesCS6B01G159200;TraesCS1A01G112800;TraesCS5D01G171100;TraesCS6B01G113200;TraesCS7A01G350000;TraesCS5B01G431500;TraesCS6D01G204800;TraesCS5A01G467500;TraesCS5D01G517600;TraesCS2D01G417300;TraesCS3B01G112900;TraesCS4D01G246300;TraesCS3A01G205900;TraesCS2B01G457300;TraesCS3B01G131400;TraesCS4B01G321500;TraesCS2A01G229300;TraesCS1A01G416000;TraesCS4D01G133500;TraesCS7A01G088100;TraesCS2A01G097900;TraesCS7D01G549100;TraesCS2A01G563500;TraesCS1B01G255100;TraesCS1A01G409600;TraesCS6A01G379000;TraesCS1A01G027200;TraesCS2D01G565200;TraesCS3A01G103900;TraesCS4B01G090000;TraesCS2A01G022000;TraesCS2D01G248600;TraesCS6D01G113900;TraesCS6B01G257900;TraesCS6D01G237400;TraesCS7D01G265200;TraesCS3B01G222400;TraesCS6A01G105400;TraesCS2B01G263300;TraesCS4B01G158000;TraesCS1B01G254000;TraesCS3A01G513500;TraesCS2A01G103300;TraesCS2B01G070700;TraesCS1D01G412600;TraesCS4D01G359000;TraesCS7A01G077400;TraesCS4A01G013500;TraesCS4A01G298100;TraesCS1D01G229400;TraesCS6A01G303800;TraesCS1A01G144300;TraesCS4B01G285000;TraesCS6D01G135800;TraesCS4A01G355100;TraesCS6A01G230100;TraesCS1B01G462200;TraesCS2A01G187700;TraesCS3D01G188800;TraesCS3D01G423300;TraesCS6B01G239000;TraesCS3B01G385400;TraesCS5B01G270200;TraesCS7B01G352800;TraesCS4A01G494400;TraesCS5A01G466100;TraesCS5B01G228900;TraesCS6A01G113000;TraesCS5D01G472300;TraesCS5B01G300100;TraesCS5D01G143800;TraesCS1B01G326400;TraesCS1D01G280900;TraesCS2A01G437700;TraesCS2D01G362700;TraesCS3A01G275700;TraesCS5A01G353700;TraesCS7A01G002900;TraesCS2D01G389900;TraesCS1A01G206900;TraesCS3B01G214600;TraesCS2D01G118000;TraesCS6D01G350000;TraesCS2B01G263600;TraesCS2A01G222600;TraesCS5D01G332000;TraesCS3D01G237100;TraesCS6B01G402300;TraesCS7D01G083200;TraesCS4B01G083600;TraesCS1B01G396800;TraesCS5B01G502700;TraesCS4D01G107400;TraesCS2A01G235900;TraesCS3D01G194300;TraesCS7D01G148200;TraesCS2D01G520000;TraesCS4A01G036500;TraesCS7D01G224900;TraesCS1B01G478800;TraesCS4A01G254100;TraesCS4D01G327300;TraesCS4B01G069200;TraesCS1D01G423500;TraesCS4A01G185400;TraesCS1A01G278000;TraesCS6B01G393500;TraesCS5B01G387600;TraesCS4B01G162900;TraesCS4A01G376000;TraesCS4A01G387000;TraesCS5A01G088400;TraesCS2A01G095300;TraesCS3A01G264700;TraesCS2D01G303500;TraesCS2A01G246700;TraesCS7D01G200800;TraesCS4A01G110800;TraesCS6D01G259500;TraesCS6B01G307200;TraesCS1D01G392400;TraesCS3D01G268700;TraesCS7A01G285800;TraesCS2D01G246100;TraesCS1D01G352300;TraesCS4A01G051900;TraesCS4A01G290400;TraesCS3A01G200400;TraesCS2A01G492300;TraesCS3B01G564100;TraesCS5B01G509100;TraesCS6D01G132500;TraesCS1A01G313300;TraesCS6D01G210000;TraesCS5A01G490500;TraesCS5B01G409700;TraesCS2B01G248100;TraesCS5B01G214400;TraesCS2D01G238600;TraesCS4D01G264800;TraesCS6A01G107900;TraesCS1D01G242400;TraesCS4A01G206400;TraesCS2B01G312600;TraesCS1D01G024800;TraesCS2D01G208300;TraesCS3A01G417000;TraesCS1D01G298400;TraesCS2D01G524500;TraesCS1A01G431600;TraesCS7D01G409000;TraesCS1A01G133500;TraesCS5B01G534400;TraesCS1D01G125300;TraesCS6B01G342300;TraesCS3A01G295400;TraesCS5B01G477800;TraesCS6D01G246300;TraesCS6D01G238800;TraesCS3D01G482500;TraesCS3D01G264800;TraesCS3D01G426300;TraesCS1D01G155100;TraesCS3A01G212600;TraesCS7A01G223300;TraesCS1B01G261600;TraesCS2A01G286500;TraesCS3D01G231200;TraesCS7D01G449900;TraesCS1D01G226500;TraesCS5A01G092400;TraesCS4B01G168300;TraesCS7D01G338600;TraesCS6A01G373400;TraesCS1D01G149900;TraesCS3D01G380100;TraesCS7A01G260600;TraesCS4A01G226900;TraesCS4B01G133200;TraesCS7D01G454700;TraesCS7A01G318800;TraesCS1B01G377800;TraesCS1A01G185900;TraesCS1A01G388400;TraesCS2A01G058700;TraesCS5A01G215900;TraesCS2B01G528300;TraesCS6D01G357100;TraesCS5A01G192000;TraesCS6D01G122800;TraesCS2D01G241800;TraesCS6B01G251600;TraesCS4D01G021400;TraesCS3B01G426500;TraesCS4D01G348500;TraesCS3D01G137800;TraesCS6B01G253900;TraesCS4D01G013900;TraesCS5B01G378700;TraesCS1A01G376400;TraesCS2B01G385300;TraesCS4B01G354600;TraesCS5A01G429500;TraesCS1B01G325100;TraesCS5B01G102600;TraesCS4B01G023800;TraesCS2B01G004000;TraesCS2D01G361800;TraesCS7A01G376800;TraesCS2A01G149600;TraesCS6B01G315800;TraesCS1A01G180200;TraesCS3D01G495100;TraesCS5B01G335500;TraesCS7B01G451500;TraesCS1D01G331000;TraesCS2B01G050600;TraesCS6A01G312100;TraesCS3D01G529200;TraesCS6D01G182200;TraesCS4B01G204500;TraesCS3D01G275600;TraesCS2D01G310000;TraesCS4A01G220100;TraesCS4A01G157100;TraesCS5B01G476900;TraesCS2D01G519500;TraesCS2B01G227800;TraesCS4A01G283000;TraesCS1D01G178000;TraesCS3A01G523700;TraesCS3B01G566600;TraesCS4B01G028100;TraesCS7B01G242200;TraesCS3A01G530100;TraesCS1D01G303800;TraesCS4B01G138800;TraesCS7D01G004500;TraesCS7A01G304400;TraesCS2B01G297800;TraesCS2D01G111300;TraesCS7A01G560200;TraesCS7B01G230100;TraesCS2A01G273400;TraesCS2B01G457600;TraesCS2B01G247100;TraesCS2B01G157600;TraesCS5A01G212500;TraesCS5D01G285200;TraesCS6B01G242800;TraesCS1B01G200300;TraesCS3A01G023800;TraesCS4A01G232300;TraesCS1B01G156600;TraesCS1D01G440900;TraesCS3A01G184800;TraesCS3A01G367000;TraesCS7D01G315400;TraesCS2A01G114400;TraesCS6A01G314100;TraesCS4D01G194300;TraesCS2B01G363200;TraesCS7A01G480700;TraesCS4B01G179400;TraesCS6A01G290600;TraesCS1A01G315900;TraesCS4B01G154100;TraesCS1D01G313800;TraesCS5A01G548800;TraesCS3D01G162700;TraesCS2A01G387000;TraesCS3A01G097200;TraesCS1D01G086600;TraesCS5B01G344200;TraesCS2B01G133500;TraesCS6D01G302200;TraesCS1B01G422200;TraesCS2D01G182700;TraesCS3A01G100000;TraesCS2B01G198300;TraesCS3B01G309400;TraesCS4A01G315700;TraesCS7D01G442100;TraesCS1A01G263400;TraesCS2A01G134000;TraesCS2D01G229600;TraesCS2B01G273900;TraesCS2D01G249200;TraesCS6D01G163700;TraesCS6A01G267300;TraesCS2A01G523600;TraesCS4A01G324400;TraesCS2B01G098800;TraesCS6A01G307700;TraesCS6B01G344100;TraesCS3A01G304900;TraesCS5B01G220900;TraesCS2D01G057900;TraesCS4D01G150700;TraesCS2A01G296400;TraesCS1D01G134300;TraesCS6D01G364900;TraesCS6D01G299200;TraesCS2A01G431900;TraesCS2B01G321700;TraesCS5D01G478900;TraesCS7B01G184800;TraesCS3D01G304800;TraesCS4A01G276300;TraesCS5D01G105500;TraesCS5A01G036600;TraesCS1B01G213300;TraesCS4D01G194400;TraesCS1A01G111100;TraesCS4A01G164900;TraesCS5B01G136500;TraesCS2B01G122500;TraesCS2D01G022800;TraesCS5D01G164800;TraesCS5B01G510500;TraesCS5A01G324200;TraesCS1B01G293500;TraesCS4D01G080700;TraesCS2B01G410100;TraesCS5D01G223700;TraesCS6B01G151900;TraesCS7B01G124100;TraesCS6A01G070600;TraesCS1D01G199100;TraesCS5B01G147600;TraesCS6A01G210200;TraesCS6D01G195400;TraesCS4A01G124000;TraesCS1A01G158500;TraesCS2A01G239200;TraesCS4D01G086000;TraesCS1B01G155600;TraesCS6B01G161800;TraesCS7A01G329600;TraesCS1A01G284300;TraesCS6B01G171600;TraesCS1B01G434400;TraesCS4B01G073200;TraesCS6A01G269700;TraesCS7D01G130500;TraesCS1A01G309200;TraesCS6B01G189000;TraesCS7D01G000100;TraesCS5B01G121000;TraesCS7B01G207300;TraesCS4A01G150500</t>
  </si>
  <si>
    <t>TraesCS2B01G260800;TraesCS7D01G292000;TraesCS5B01G484700;TraesCS1D01G449000;TraesCS2A01G246200;TraesCS1D01G210200;TraesCS4A01G226500;TraesCS4A01G432400;TraesCS1B01G146200;TraesCS2D01G014800;TraesCS6B01G295700;TraesCS4D01G153900;TraesCS4D01G147100;TraesCS5A01G014400;TraesCS2A01G262700;TraesCS5B01G057300;TraesCS4A01G065400;TraesCS1A01G355200;TraesCS1A01G324800;TraesCS5D01G532100;TraesCS7B01G104400;TraesCS5B01G094600;TraesCS3B01G242700;TraesCS5B01G324800;TraesCS5D01G429200;TraesCS6A01G133100;TraesCS5A01G166800;TraesCS2D01G233900;TraesCS2A01G171900;TraesCS7A01G323200;TraesCS5D01G201300;TraesCS3A01G205100;TraesCS4A01G286700;TraesCS6A01G203300;TraesCS6B01G112700;TraesCS5A01G149000;TraesCS1A01G130700;TraesCS7B01G411000;TraesCS5A01G336500;TraesCS2B01G233400;TraesCS2A01G193800;TraesCS3D01G296900;TraesCS4D01G220700;TraesCS6D01G287300;TraesCS3A01G393400;TraesCS4A01G101500;TraesCS5A01G014500;TraesCS6A01G225200;TraesCS2B01G257300;TraesCS4D01G204000;TraesCS4D01G025700;TraesCS5A01G093200;TraesCS7D01G339300;TraesCS6D01G357600;TraesCS4D01G120900;TraesCS7D01G224400;TraesCS4B01G109700;TraesCS4D01G085900;TraesCS2B01G201700;TraesCS2D01G093700;TraesCS3B01G309700;TraesCS5A01G472100;TraesCS2B01G207000;TraesCS6D01G047400;TraesCS3D01G210300;TraesCS1D01G409700;TraesCS1D01G396300;TraesCS1D01G260500;TraesCS5B01G171400;TraesCS7D01G283600;TraesCS2B01G382000;TraesCS3D01G281100;TraesCS3B01G423600;TraesCS3D01G065800;TraesCS5A01G189600;TraesCS3A01G380100;TraesCS1B01G274600;TraesCS2B01G303300;TraesCS7A01G222800;TraesCS5D01G118200;TraesCS4A01G138800;TraesCS1D01G325500;TraesCS2D01G328100;TraesCS6A01G212200;TraesCS4D01G094700;TraesCS7B01G219700;TraesCS1A01G246800;TraesCS3B01G149800;TraesCS2A01G157700;TraesCS7B01G162300;TraesCS5D01G100800;TraesCS6B01G159800;TraesCS6D01G244900;TraesCS4D01G081600;TraesCS1B01G271100;TraesCS6A01G158300;TraesCS5B01G479200;TraesCS3D01G421500;TraesCS4A01G158400;TraesCS5D01G321900;TraesCS7A01G466900;TraesCS2B01G520500;TraesCS7A01G252000;TraesCS1B01G366400;TraesCS5A01G315800;TraesCS5D01G044700;TraesCS5A01G357400;TraesCS3D01G327600;TraesCS1A01G195500;TraesCS2B01G328500;TraesCS3A01G137000;TraesCS6D01G344100;TraesCS7B01G242800;TraesCS3A01G521600;TraesCS3A01G322500;TraesCS5B01G036800;TraesCS5A01G230400;TraesCS4B01G041900;TraesCS6A01G279100;TraesCS3A01G288200;TraesCS4B01G314600;TraesCS1A01G152800;TraesCS1A01G024700;TraesCS4D01G160000;TraesCS2B01G325100;TraesCS1D01G314600;TraesCS3A01G082700;TraesCS4A01G005000;TraesCS4A01G078800;TraesCS3A01G268600;TraesCS3B01G307600;TraesCS3A01G276100;TraesCS4B01G088400;TraesCS1A01G299500;TraesCS4D01G003600;TraesCS3B01G412600;TraesCS5B01G517400;TraesCS5A01G199600;TraesCS2A01G517900;TraesCS6A01G123800;TraesCS1D01G264100;TraesCS5D01G013100;TraesCS7D01G227300;TraesCS1D01G190900;TraesCS6B01G213100;TraesCS4B01G015600;TraesCS1B01G343100;TraesCS2B01G346500;TraesCS6B01G470700;TraesCS1D01G401900;TraesCS5D01G412600;TraesCS3A01G330200;TraesCS3A01G334800;TraesCS1B01G193700;TraesCS2D01G492600;TraesCSU01G072700;TraesCS4B01G288200;TraesCS6D01G398100;TraesCS5A01G089900;TraesCS6A01G143300;TraesCS4A01G178600;TraesCS5A01G119300;TraesCS5D01G366500;TraesCS4B01G220400;TraesCS3D01G507500;TraesCS4D01G252700;TraesCS7A01G264300;TraesCS1D01G316200;TraesCS7D01G228500;TraesCS2A01G280500;TraesCS3A01G381000;TraesCS2A01G223600;TraesCS2A01G200500;TraesCS5A01G004200;TraesCS3A01G151100;TraesCS2B01G401900;TraesCS7D01G250100;TraesCS1A01G264000;TraesCS7A01G307000;TraesCS3A01G052700;TraesCS6D01G362000;TraesCS1D01G155800;TraesCS5D01G141200;TraesCS7B01G197000;TraesCS5B01G396700;TraesCS2D01G242100;TraesCS4B01G246900;TraesCS3A01G189400;TraesCS3D01G527700;TraesCS7A01G341000;TraesCS7B01G177700;TraesCS5B01G419300;TraesCS7D01G284200;TraesCS7B01G189500;TraesCS6D01G149800;TraesCS3B01G252200;TraesCS7A01G004000;TraesCS2D01G094400;TraesCS3B01G088300;TraesCS7B01G129300;TraesCS4D01G122800;TraesCS3B01G435900;TraesCS6B01G256400;TraesCS1B01G439600;TraesCS2B01G304900;TraesCS1A01G198400;TraesCS3D01G203400;TraesCS5D01G459800;TraesCS3A01G191700;TraesCS3D01G328100;TraesCS4B01G290300;TraesCS1D01G211600;TraesCS7D01G231600;TraesCS2D01G105300;TraesCS6D01G062500;TraesCS7A01G313900;TraesCS5D01G361000;TraesCS6B01G414800;TraesCS7B01G006600;TraesCS5D01G237400;TraesCS6B01G470900;TraesCS1B01G290800;TraesCS2B01G348600;TraesCS7B01G085700;TraesCS4D01G085700;TraesCS2A01G175400;TraesCS2B01G592500;TraesCS4A01G354500;TraesCS1D01G277100;TraesCS6D01G094200;TraesCS4B01G129700;TraesCS6D01G212000;TraesCS4B01G150300;TraesCS5D01G248300;TraesCS3B01G209400;TraesCS5D01G229900;TraesCS2D01G194000;TraesCS4A01G058000;TraesCS4D01G283800;TraesCS4D01G318200;TraesCS1B01G220700;TraesCS6A01G308100;TraesCS4A01G262900;TraesCS3A01G402500;TraesCS5D01G551200;TraesCS6A01G336800;TraesCS6B01G134800;TraesCS1A01G137000;TraesCS3D01G288000;TraesCS7A01G381900;TraesCS2B01G602100;TraesCS5B01G563800;TraesCS6B01G176600;TraesCS7D01G073000;TraesCS2D01G528800;TraesCS4D01G003100;TraesCS2D01G059400;TraesCS6A01G322400;TraesCS1B01G200800;TraesCS3D01G083400;TraesCS2D01G279300;TraesCS6A01G259000;TraesCS3A01G503200;TraesCS3B01G154900;TraesCS5B01G037500;TraesCS1D01G383500;TraesCS2D01G327400;TraesCS5B01G517900;TraesCS4A01G227500;TraesCS1A01G259700;TraesCS6A01G146500;TraesCS4A01G364400;TraesCS2A01G110700;TraesCS2B01G174700;TraesCS3D01G373300;TraesCS3B01G400900;TraesCS5A01G241800;TraesCS7D01G378400;TraesCS7D01G447100;TraesCS5D01G437600;TraesCS1A01G172100;TraesCS6D01G283300;TraesCS5B01G256400;TraesCS1B01G337800;TraesCS7D01G343300;TraesCS4A01G247300;TraesCS7A01G335600;TraesCS5D01G341200;TraesCS6B01G304100;TraesCS5A01G020800;TraesCS3D01G412500;TraesCS6A01G319100;TraesCS7A01G226000;TraesCS7A01G452800;TraesCS1A01G281700;TraesCS4B01G109900;TraesCS5A01G113700;TraesCS5A01G460600;TraesCS6B01G419000;TraesCS7B01G421100;TraesCS5D01G480300;TraesCS7B01G119300;TraesCS1A01G129400;TraesCS4A01G093100;TraesCS6D01G121300;TraesCS4B01G252400;TraesCS4A01G125000;TraesCS6A01G360600;TraesCS3B01G224600;TraesCS1A01G260500;TraesCS2A01G234900;TraesCS1B01G049300;TraesCS3D01G323700;TraesCS3D01G411200;TraesCS5D01G219500;TraesCS5A01G108000;TraesCS6A01G268600;TraesCS6D01G077500;TraesCS7A01G368900;TraesCS1D01G329100;TraesCS3A01G099300;TraesCS5D01G359800;TraesCS4A01G119800;TraesCS6A01G380200;TraesCS6B01G159200;TraesCS1A01G112800;TraesCS5D01G171100;TraesCS6B01G113200;TraesCS7A01G350000;TraesCS5B01G431500;TraesCS6D01G204800;TraesCS5A01G467500;TraesCS5D01G517600;TraesCS2D01G417300;TraesCS3B01G112900;TraesCS4D01G246300;TraesCS3A01G205900;TraesCS2B01G457300;TraesCS3B01G131400;TraesCS4B01G321500;TraesCS2A01G229300;TraesCS4D01G133500;TraesCS7A01G088100;TraesCS2A01G097900;TraesCS7D01G549100;TraesCS2A01G563500;TraesCS1B01G255100;TraesCS1A01G409600;TraesCS6A01G379000;TraesCS1A01G027200;TraesCS2D01G565200;TraesCS3A01G103900;TraesCS4B01G090000;TraesCS2A01G022000;TraesCS2D01G248600;TraesCS6D01G113900;TraesCS6B01G257900;TraesCS6D01G237400;TraesCS7D01G265200;TraesCS3B01G222400;TraesCS6A01G105400;TraesCS2B01G263300;TraesCS4B01G158000;TraesCS1B01G254000;TraesCS3A01G513500;TraesCS2A01G103300;TraesCS2B01G070700;TraesCS1D01G412600;TraesCS4D01G359000;TraesCS7A01G077400;TraesCS4A01G013500;TraesCS4A01G298100;TraesCS1D01G229400;TraesCS6A01G303800;TraesCS1A01G144300;TraesCS4B01G285000;TraesCS6D01G135800;TraesCS4A01G355100;TraesCS6A01G230100;TraesCS1B01G462200;TraesCS3D01G188800;TraesCS3D01G423300;TraesCS6B01G239000;TraesCS3B01G385400;TraesCS5B01G270200;TraesCS7B01G352800;TraesCS4A01G494400;TraesCS5B01G228900;TraesCS6A01G113000;TraesCS5D01G472300;TraesCS5B01G300100;TraesCS5D01G143800;TraesCS1B01G326400;TraesCS1D01G280900;TraesCS2A01G437700;TraesCS2D01G362700;TraesCS3A01G275700;TraesCS5A01G353700;TraesCS7A01G002900;TraesCS2D01G389900;TraesCS1A01G206900;TraesCS3B01G214600;TraesCS2D01G118000;TraesCS6D01G350000;TraesCS2B01G263600;TraesCS2A01G222600;TraesCS5D01G332000;TraesCS3D01G237100;TraesCS6B01G402300;TraesCS7D01G083200;TraesCS4B01G083600;TraesCS1B01G396800;TraesCS4D01G107400;TraesCS2A01G235900;TraesCS7D01G148200;TraesCS2D01G520000;TraesCS4A01G036500;TraesCS7D01G224900;TraesCS1B01G478800;TraesCS4A01G254100;TraesCS4B01G069200;TraesCS4A01G185400;TraesCS1A01G278000;TraesCS6B01G393500;TraesCS5B01G387600;TraesCS4B01G162900;TraesCS4A01G376000;TraesCS4A01G387000;TraesCS5A01G088400;TraesCS2A01G095300;TraesCS3A01G264700;TraesCS2D01G303500;TraesCS2A01G246700;TraesCS7D01G200800;TraesCS4A01G110800;TraesCS6D01G259500;TraesCS6B01G307200;TraesCS1D01G392400;TraesCS3D01G268700;TraesCS7A01G285800;TraesCS2D01G246100;TraesCS1D01G352300;TraesCS4A01G051900;TraesCS4A01G290400;TraesCS3A01G200400;TraesCS2A01G492300;TraesCS3B01G564100;TraesCS5B01G509100;TraesCS6D01G132500;TraesCS1A01G313300;TraesCS6D01G210000;TraesCS5A01G490500;TraesCS5B01G409700;TraesCS2B01G248100;TraesCS5B01G214400;TraesCS2D01G238600;TraesCS4D01G264800;TraesCS1D01G242400;TraesCS4A01G206400;TraesCS2B01G312600;TraesCS1D01G024800;TraesCS2D01G208300;TraesCS3A01G417000;TraesCS1D01G298400;TraesCS2D01G524500;TraesCS1A01G431600;TraesCS7D01G409000;TraesCS1A01G133500;TraesCS5B01G534400;TraesCS1D01G125300;TraesCS6B01G342300;TraesCS3A01G295400;TraesCS6D01G246300;TraesCS6D01G238800;TraesCS3D01G482500;TraesCS3D01G264800;TraesCS3D01G426300;TraesCS1D01G155100;TraesCS3A01G212600;TraesCS7A01G223300;TraesCS2A01G286500;TraesCS3D01G231200;TraesCS7D01G449900;TraesCS1D01G226500;TraesCS5A01G092400;TraesCS7D01G338600;TraesCS6A01G373400;TraesCS1D01G149900;TraesCS3D01G380100;TraesCS7A01G260600;TraesCS4A01G226900;TraesCS4B01G133200;TraesCS7D01G454700;TraesCS7A01G318800;TraesCS1B01G377800;TraesCS1A01G185900;TraesCS1A01G388400;TraesCS2A01G058700;TraesCS5A01G215900;TraesCS2B01G528300;TraesCS6D01G357100;TraesCS5A01G192000;TraesCS6D01G122800;TraesCS2D01G241800;TraesCS6B01G251600;TraesCS4D01G021400;TraesCS3B01G426500;TraesCS3D01G137800;TraesCS6B01G253900;TraesCS4D01G013900;TraesCS5B01G378700;TraesCS1A01G376400;TraesCS2B01G385300;TraesCS5A01G429500;TraesCS1B01G325100;TraesCS5B01G102600;TraesCS2B01G004000;TraesCS2D01G361800;TraesCS2A01G149600;TraesCS6B01G315800;TraesCS1A01G180200;TraesCS5B01G335500;TraesCS7B01G451500;TraesCS1D01G331000;TraesCS2B01G050600;TraesCS6A01G312100;TraesCS3D01G529200;TraesCS6D01G182200;TraesCS4B01G204500;TraesCS3D01G275600;TraesCS2D01G310000;TraesCS4A01G220100;TraesCS4A01G157100;TraesCS2D01G519500;TraesCS2B01G227800;TraesCS4A01G283000;TraesCS1D01G178000;TraesCS3A01G523700;TraesCS3B01G566600;TraesCS4B01G028100;TraesCS7B01G242200;TraesCS3A01G530100;TraesCS4B01G138800;TraesCS7D01G004500;TraesCS7A01G304400;TraesCS2B01G297800;TraesCS2D01G111300;TraesCS7A01G560200;TraesCS7B01G230100;TraesCS2A01G273400;TraesCS2B01G457600;TraesCS2B01G247100;TraesCS5A01G212500;TraesCS5D01G285200;TraesCS6B01G242800;TraesCS1B01G200300;TraesCS3A01G023800;TraesCS4A01G232300;TraesCS1B01G156600;TraesCS1D01G440900;TraesCS3A01G184800;TraesCS3A01G367000;TraesCS7D01G315400;TraesCS2A01G114400;TraesCS6A01G314100;TraesCS4D01G194300;TraesCS2B01G363200;TraesCS4B01G179400;TraesCS6A01G290600;TraesCS1A01G315900;TraesCS1D01G313800;TraesCS5A01G548800;TraesCS3D01G162700;TraesCS2A01G387000;TraesCS3A01G097200;TraesCS5B01G344200;TraesCS2B01G133500;TraesCS6D01G302200;TraesCS1B01G422200;TraesCS2D01G182700;TraesCS3A01G100000;TraesCS2B01G198300;TraesCS3B01G309400;TraesCS4A01G315700;TraesCS7D01G442100;TraesCS1A01G263400;TraesCS2D01G229600;TraesCS2B01G273900;TraesCS2D01G249200;TraesCS6A01G267300;TraesCS2A01G523600;TraesCS4A01G324400;TraesCS2B01G098800;TraesCS6B01G344100;TraesCS3A01G304900;TraesCS5B01G220900;TraesCS2D01G057900;TraesCS4D01G150700;TraesCS2A01G296400;TraesCS1D01G134300;TraesCS6D01G364900;TraesCS6D01G299200;TraesCS2A01G431900;TraesCS2B01G321700;TraesCS7B01G184800;TraesCS3D01G304800;TraesCS4A01G276300;TraesCS5D01G105500;TraesCS5A01G036600;TraesCS1B01G213300;TraesCS4D01G194400;TraesCS1A01G111100;TraesCS4A01G164900;TraesCS5B01G136500;TraesCS2B01G122500;TraesCS2D01G022800;TraesCS5D01G164800;TraesCS5B01G510500;TraesCS5A01G324200;TraesCS1B01G293500;TraesCS4D01G080700;TraesCS2B01G410100;TraesCS5D01G223700;TraesCS6B01G151900;TraesCS7B01G124100;TraesCS1D01G199100;TraesCS5B01G147600;TraesCS6A01G210200;TraesCS6D01G195400;TraesCS4A01G124000;TraesCS1A01G158500;TraesCS2A01G239200;TraesCS4D01G086000;TraesCS1B01G155600;TraesCS6B01G161800;TraesCS7A01G329600;TraesCS1A01G284300;TraesCS6B01G171600;TraesCS1B01G434400;TraesCS4B01G073200;TraesCS7D01G130500;TraesCS1A01G309200;TraesCS6B01G189000;TraesCS7D01G000100;TraesCS5B01G121000;TraesCS7B01G207300;TraesCS4A01G150500</t>
  </si>
  <si>
    <t>TraesCS5B01G484700;TraesCS5B01G249000;TraesCS7A01G351100;TraesCS5D01G388000;TraesCS5D01G219500;TraesCS6D01G344200;TraesCS3D01G273800;TraesCS5A01G513500;TraesCS5A01G378000;TraesCS1D01G210200;TraesCS2D01G427900;TraesCS1B01G472100;TraesCS1D01G051300;TraesCS6B01G159200;TraesCS5B01G227900;TraesCS7B01G240200;TraesCS6A01G418800;TraesCS7D01G293100;TraesCS4A01G065400;TraesCS7A01G190700;TraesCS2B01G234500;TraesCS6A01G000900;TraesCS3B01G112900;TraesCS4D01G135000;TraesCS2B01G457300;TraesCS5B01G324800;TraesCS6A01G133100;TraesCS5B01G171200;TraesCS2D01G233900;TraesCS3B01G219700;TraesCS7A01G294200;TraesCS7D01G549100;TraesCS4B01G193100;TraesCS5B01G381600;TraesCS7B01G350400;TraesCS1B01G255100;TraesCS3D01G428300;TraesCS7B01G186500;TraesCS2A01G193800;TraesCS4B01G397700;TraesCS4D01G184400;TraesCS6A01G289200;TraesCS7B01G114100;TraesCS4D01G220700;TraesCS6D01G390000;TraesCS7A01G448800;TraesCS6A01G105400;TraesCS6D01G168300;TraesCS1B01G254000;TraesCS5A01G251000;TraesCS1A01G437500;TraesCS4A01G015800;TraesCS5A01G093200;TraesCS4D01G009100;TraesCS1A01G007500;TraesCS7D01G224400;TraesCS6A01G303800;TraesCS4B01G285000;TraesCS7D01G153000;TraesCS5A01G030400;TraesCS6B01G393600;TraesCS7B01G247200;TraesCS5D01G178300;TraesCS5B01G270200;TraesCS2D01G349600;TraesCS7D01G439900;TraesCS1D01G092200;TraesCS5D01G164500;TraesCS1A01G206900;TraesCS2D01G118000;TraesCS3D01G256700;TraesCS5A01G114600;TraesCS6B01G238600;TraesCS7A01G222800;TraesCS2A01G222600;TraesCS7A01G316700;TraesCS2D01G238700;TraesCS4D01G339700;TraesCS6A01G212200;TraesCS7D01G196000;TraesCS1D01G242500;TraesCS5D01G505700;TraesCS5A01G173800;TraesCS3A01G272200;TraesCS5D01G321900;TraesCS2B01G520500;TraesCS3A01G264700;TraesCS5A01G315800;TraesCS3D01G268700;TraesCS1D01G445300;TraesCS2A01G492300;TraesCS2B01G328500;TraesCS6D01G132500;TraesCS2D01G148200;TraesCS2B01G248100;TraesCS2A01G467900;TraesCS2D01G238600;TraesCS1A01G049300;TraesCS7B01G217500;TraesCS5B01G036800;TraesCS2A01G480200;TraesCS5B01G504900;TraesCS4B01G041900;TraesCS2D01G136100;TraesCS6B01G115200;TraesCS7A01G239700;TraesCS1A01G100600;TraesCS2B01G325100;TraesCS3A01G268600;TraesCS2A01G517900;TraesCS3D01G264800;TraesCS3D01G426300;TraesCS7D01G227300;TraesCS4A01G129200;TraesCS5A01G092400;TraesCS7D01G072100;TraesCS4B01G168300;TraesCS6B01G470700;TraesCS1D01G401900;TraesCS5D01G481500;TraesCS4B01G286700;TraesCS2D01G492600;TraesCS3D01G359500;TraesCS4B01G288200;TraesCS3B01G441000;TraesCS2B01G528300;TraesCS6A01G143300;TraesCS6D01G122800;TraesCS4B01G220400;TraesCS3B01G401100;TraesCS7D01G327700;TraesCS3A01G151100;TraesCS2D01G236100;TraesCS2B01G340300;TraesCS6A01G203700;TraesCS7A01G307000;TraesCS3A01G052700;TraesCS2D01G380900;TraesCS7B01G197000;TraesCS6A01G209800;TraesCS2B01G369600;TraesCS2D01G242100;TraesCS4B01G204500;TraesCS5A01G484700;TraesCS2D01G310000;TraesCS5D01G242900;TraesCS7B01G189500;TraesCS2D01G519500;TraesCS5D01G504600;TraesCS7B01G129300;TraesCS3A01G435700;TraesCS4D01G025300;TraesCS7A01G560200;TraesCS7D01G407700;TraesCS6A01G158800;TraesCS1A01G198400;TraesCS3A01G191700;TraesCS4B01G153500;TraesCS3D01G220400;TraesCS1B01G110400;TraesCS2B01G157600;TraesCS5A01G212500;TraesCS6B01G242800;TraesCS5D01G258900;TraesCS5A01G489100;TraesCSU01G019900;TraesCS3A01G367000;TraesCS6B01G470900;TraesCS5B01G132600;TraesCS6B01G450500;TraesCS6B01G089500;TraesCS6D01G094200;TraesCS2A01G387000;TraesCS3A01G097200;TraesCS2D01G194000;TraesCS1B01G220700;TraesCS4A01G367700;TraesCS1B01G422200;TraesCS1D01G003700;TraesCS6B01G134800;TraesCS3D01G271800;TraesCS2A01G342600;TraesCS3A01G232700;TraesCS6B01G319000;TraesCS7B01G100000;TraesCS7A01G450600;TraesCS7D01G339600;TraesCS6B01G192500;TraesCS4D01G003100;TraesCS6D01G186800;TraesCS5A01G132300;TraesCS6A01G267300;TraesCS1A01G259700;TraesCS5A01G235800;TraesCS2A01G234200;TraesCS4D01G154300;TraesCS7A01G342800;TraesCS5D01G105500;TraesCS1B01G213300;TraesCS5A01G324200;TraesCS6D01G283300;TraesCS3D01G514100;TraesCS1D01G367600;TraesCS5B01G256400;TraesCS3B01G398300;TraesCS6D01G174500;TraesCS6D01G195400;TraesCS7D01G343300;TraesCS7A01G335600;TraesCS2A01G216100;TraesCS3A01G389100;TraesCS4A01G141000;TraesCS5B01G481100;TraesCS6B01G171600;TraesCS6A01G319100;TraesCS7A01G568800;TraesCS5B01G316400;TraesCS4A01G093100;TraesCS7B01G207300;TraesCS1A01G165700</t>
  </si>
  <si>
    <t>organelle envelope</t>
  </si>
  <si>
    <t>TraesCS2B01G260800;TraesCS7D01G292000;TraesCS5B01G484700;TraesCS1D01G449000;TraesCS2A01G246200;TraesCS1D01G210200;TraesCS4A01G226500;TraesCS4A01G432400;TraesCS7D01G121200;TraesCS1B01G146200;TraesCS2D01G014800;TraesCS6B01G295700;TraesCS7D01G467500;TraesCS2A01G409700;TraesCS4D01G153900;TraesCS4D01G147100;TraesCS5A01G014400;TraesCS2A01G262700;TraesCS5B01G057300;TraesCS4A01G065400;TraesCS2D01G136200;TraesCS1A01G355200;TraesCS7B01G382800;TraesCS1A01G324800;TraesCS5D01G532100;TraesCS7B01G104400;TraesCS4D01G135000;TraesCS5B01G094600;TraesCS3B01G242700;TraesCS5B01G324800;TraesCS5D01G429200;TraesCS6A01G133100;TraesCS5A01G166800;TraesCS2D01G233900;TraesCS3B01G219700;TraesCS2A01G171900;TraesCS7A01G323200;TraesCS5D01G201300;TraesCS3A01G205100;TraesCS4A01G286700;TraesCS6A01G203300;TraesCS6B01G112700;TraesCS5A01G149000;TraesCS1A01G130700;TraesCS7B01G411000;TraesCS4D01G068100;TraesCS5A01G336500;TraesCS2B01G233400;TraesCS2A01G193800;TraesCS5D01G026000;TraesCS3D01G296900;TraesCS4D01G220700;TraesCS6D01G287300;TraesCS3A01G393400;TraesCS4A01G101500;TraesCS5A01G014500;TraesCS6A01G225200;TraesCS2B01G257300;TraesCS4D01G204000;TraesCS4D01G025700;TraesCS5A01G093200;TraesCS7D01G339300;TraesCS6D01G357600;TraesCS4D01G120900;TraesCS7D01G224400;TraesCS4B01G109700;TraesCS4D01G085900;TraesCS2B01G201700;TraesCS2D01G093700;TraesCS3B01G309700;TraesCS5A01G472100;TraesCS2B01G207000;TraesCS6D01G047400;TraesCS3D01G210300;TraesCS1D01G409700;TraesCS1D01G396300;TraesCS6D01G095800;TraesCS1D01G260500;TraesCS5B01G171400;TraesCS7D01G283600;TraesCS2B01G382000;TraesCS3D01G281100;TraesCS3B01G423600;TraesCS3D01G065800;TraesCS5A01G189600;TraesCS3A01G380100;TraesCS1B01G274600;TraesCS2B01G303300;TraesCS7A01G222800;TraesCS5D01G118200;TraesCS4A01G138800;TraesCS1D01G325500;TraesCS2D01G328100;TraesCS6A01G212200;TraesCS4D01G094700;TraesCS7B01G219700;TraesCS1A01G246800;TraesCS3B01G149800;TraesCS2A01G157700;TraesCS7B01G162300;TraesCS5D01G100800;TraesCS6B01G159800;TraesCS6D01G244900;TraesCS4D01G081600;TraesCS1B01G271100;TraesCS6A01G158300;TraesCS5B01G479200;TraesCS3D01G421500;TraesCS4D01G208900;TraesCS4A01G158400;TraesCS3A01G224800;TraesCS5D01G321900;TraesCS7A01G466900;TraesCS2B01G520500;TraesCS7A01G252000;TraesCS1B01G366400;TraesCS5A01G315800;TraesCS5D01G044700;TraesCS5A01G357400;TraesCS3D01G327600;TraesCS1A01G195500;TraesCS2B01G328500;TraesCS3A01G137000;TraesCS6D01G344100;TraesCS7B01G242800;TraesCS3A01G521600;TraesCS3A01G322500;TraesCS5B01G036800;TraesCS5A01G230400;TraesCS4B01G041900;TraesCS6A01G279100;TraesCS3A01G288200;TraesCS4B01G314600;TraesCS7D01G373100;TraesCS1A01G152800;TraesCS1A01G024700;TraesCS4D01G160000;TraesCS2B01G325100;TraesCS1D01G314600;TraesCS6B01G336300;TraesCS3A01G082700;TraesCS4A01G005000;TraesCS4A01G078800;TraesCS3A01G268600;TraesCS3B01G307600;TraesCS3A01G276100;TraesCS4B01G088400;TraesCS1A01G299500;TraesCS4D01G003600;TraesCS3B01G412600;TraesCS5B01G517400;TraesCS5A01G199600;TraesCS2A01G517900;TraesCS6A01G123800;TraesCS1D01G264100;TraesCS5D01G013100;TraesCS7D01G227300;TraesCS1D01G190900;TraesCS6B01G213100;TraesCS4B01G015600;TraesCS1B01G343100;TraesCS2B01G346500;TraesCS6B01G470700;TraesCS1D01G401900;TraesCS5D01G412600;TraesCS3A01G330200;TraesCS3A01G334800;TraesCS1B01G193700;TraesCS2D01G492600;TraesCSU01G072700;TraesCS4B01G288200;TraesCS6D01G398100;TraesCS5A01G089900;TraesCS6A01G143300;TraesCS3B01G254400;TraesCS4A01G178600;TraesCS5A01G119300;TraesCS5D01G366500;TraesCS4B01G220400;TraesCS3D01G507500;TraesCS4D01G252700;TraesCS7A01G264300;TraesCS1D01G316200;TraesCS7D01G228500;TraesCS2A01G280500;TraesCS3A01G381000;TraesCS1A01G092700;TraesCS2A01G223600;TraesCS2A01G200500;TraesCS5A01G004200;TraesCS3A01G151100;TraesCS2B01G401900;TraesCS7D01G250100;TraesCS1A01G264000;TraesCS7A01G307000;TraesCS1A01G224700;TraesCS1D01G241000;TraesCS3A01G052700;TraesCS6D01G362000;TraesCS1D01G155800;TraesCS5D01G141200;TraesCS7B01G197000;TraesCS5B01G396700;TraesCS1A01G241000;TraesCS1D01G058300;TraesCS2D01G242100;TraesCS4B01G246900;TraesCS3A01G189400;TraesCS3D01G527700;TraesCS7A01G341000;TraesCS7B01G177700;TraesCS5B01G419300;TraesCS7D01G284200;TraesCS7B01G189500;TraesCS2B01G428100;TraesCS6D01G149800;TraesCS3B01G252200;TraesCS7A01G004000;TraesCS2D01G094400;TraesCS3B01G088300;TraesCS7B01G129300;TraesCS4D01G122800;TraesCS3B01G435900;TraesCS6B01G256400;TraesCS1B01G439600;TraesCS3D01G228800;TraesCS7B01G278200;TraesCS2B01G304900;TraesCS1A01G198400;TraesCS3D01G203400;TraesCS5D01G459800;TraesCS3A01G191700;TraesCS3D01G328100;TraesCS4B01G290300;TraesCS1D01G211600;TraesCS7D01G231600;TraesCS2D01G105300;TraesCS6D01G062500;TraesCS7A01G313900;TraesCS5D01G361000;TraesCS6B01G414800;TraesCS7B01G006600;TraesCS5D01G237400;TraesCS6B01G470900;TraesCS1B01G290800;TraesCS2B01G348600;TraesCS7B01G085700;TraesCS4D01G085700;TraesCS2A01G175400;TraesCS2B01G592500;TraesCS4A01G354500;TraesCS1D01G277100;TraesCS6D01G094200;TraesCS4B01G129700;TraesCS6D01G212000;TraesCS4B01G150300;TraesCS5D01G248300;TraesCS3B01G209400;TraesCS5D01G229900;TraesCS2D01G194000;TraesCS4A01G058000;TraesCS4D01G283800;TraesCS4D01G318200;TraesCS1B01G220700;TraesCS6A01G308100;TraesCS4A01G262900;TraesCS3A01G402500;TraesCS5D01G551200;TraesCS6A01G336800;TraesCS6B01G134800;TraesCS1A01G137000;TraesCS3D01G288000;TraesCS7A01G381900;TraesCS2B01G602100;TraesCS5B01G563800;TraesCS6B01G176600;TraesCS7D01G073000;TraesCS2D01G528800;TraesCS4D01G003100;TraesCS2D01G059400;TraesCS6A01G322400;TraesCS1B01G200800;TraesCS3D01G083400;TraesCS4B01G287200;TraesCS2D01G279300;TraesCS6A01G259000;TraesCS3A01G503200;TraesCS3B01G154900;TraesCS5B01G037500;TraesCS1D01G383500;TraesCS2D01G327400;TraesCS5B01G517900;TraesCS4A01G227500;TraesCS1A01G259700;TraesCS6A01G146500;TraesCS4A01G364400;TraesCS5D01G424400;TraesCS2A01G110700;TraesCS2B01G174700;TraesCS3D01G373300;TraesCS3B01G400900;TraesCS5A01G241800;TraesCS7D01G378400;TraesCS7D01G447100;TraesCS5D01G437600;TraesCS1A01G172100;TraesCS6D01G283300;TraesCS3D01G514100;TraesCS5A01G416700;TraesCS5B01G256400;TraesCS1B01G337800;TraesCS7D01G343300;TraesCS4A01G247300;TraesCS7A01G335600;TraesCS5D01G341200;TraesCS6B01G304100;TraesCS2D01G407000;TraesCS5A01G020800;TraesCS3D01G412500;TraesCS4B01G131800;TraesCS6A01G319100;TraesCS7A01G226000;TraesCS7A01G452800;TraesCS1A01G281700;TraesCS4B01G109900;TraesCS5A01G113700;TraesCS5A01G460600;TraesCS6B01G419000;TraesCS1D01G198700;TraesCS7B01G421100;TraesCS5D01G480300;TraesCS5B01G316400;TraesCS7B01G119300;TraesCS1A01G129400;TraesCS4A01G093100;TraesCS4A01G246100;TraesCS6D01G121300;TraesCS4B01G252400;TraesCS4A01G125000;TraesCS6A01G360600;TraesCS3B01G224600;TraesCS1A01G260500;TraesCS2A01G234900;TraesCS1B01G049300;TraesCS3D01G323700;TraesCS3D01G411200;TraesCS5D01G219500;TraesCS5A01G108000;TraesCS6A01G268600;TraesCS6D01G077500;TraesCS1D01G101200;TraesCS1D01G226100;TraesCS7A01G368900;TraesCS1D01G329100;TraesCS3A01G099300;TraesCS5D01G359800;TraesCS4D01G170800;TraesCS4A01G119800;TraesCS6A01G380200;TraesCS6B01G159200;TraesCS1A01G112800;TraesCS5D01G171100;TraesCS6B01G113200;TraesCS7A01G350000;TraesCS5B01G431500;TraesCS6D01G204800;TraesCS5A01G467500;TraesCS5D01G517600;TraesCS2D01G417300;TraesCS3B01G112900;TraesCS4D01G246300;TraesCS3A01G205900;TraesCS2B01G457300;TraesCS3B01G131400;TraesCS4B01G321500;TraesCS2A01G229300;TraesCS4D01G133500;TraesCS7A01G088100;TraesCS2A01G097900;TraesCS7D01G549100;TraesCS2A01G563500;TraesCS1B01G255100;TraesCS1A01G409600;TraesCS6A01G379000;TraesCS1A01G027200;TraesCS2D01G565200;TraesCS3A01G103900;TraesCS4B01G090000;TraesCS2A01G022000;TraesCS2D01G248600;TraesCS6D01G113900;TraesCS6B01G257900;TraesCS6D01G237400;TraesCS7D01G265200;TraesCS3B01G222400;TraesCS6A01G105400;TraesCS2B01G263300;TraesCS4B01G158000;TraesCS1B01G254000;TraesCS3A01G513500;TraesCS2A01G103300;TraesCS2B01G070700;TraesCS1D01G412600;TraesCS4D01G359000;TraesCS7A01G077400;TraesCS4A01G013500;TraesCS4A01G298100;TraesCS1D01G229400;TraesCS6A01G303800;TraesCS1A01G144300;TraesCS4B01G285000;TraesCS6D01G135800;TraesCS4A01G355100;TraesCS6A01G230100;TraesCS1B01G462200;TraesCS2A01G187700;TraesCS3D01G188800;TraesCS3D01G423300;TraesCS6B01G239000;TraesCS3B01G385400;TraesCS5B01G270200;TraesCS7B01G352800;TraesCS4A01G494400;TraesCS5A01G466100;TraesCS5B01G228900;TraesCS6A01G113000;TraesCS5D01G472300;TraesCS5B01G300100;TraesCS5D01G143800;TraesCS1B01G326400;TraesCS1D01G280900;TraesCS2A01G437700;TraesCS2D01G362700;TraesCS3A01G275700;TraesCS5A01G353700;TraesCS7A01G002900;TraesCS2D01G389900;TraesCS1A01G206900;TraesCS3B01G214600;TraesCS2D01G118000;TraesCS6D01G350000;TraesCS2B01G263600;TraesCS2A01G222600;TraesCS5D01G332000;TraesCS3D01G237100;TraesCS6B01G402300;TraesCS7D01G083200;TraesCS4B01G083600;TraesCS1B01G396800;TraesCS5B01G502700;TraesCS4D01G107400;TraesCS2A01G235900;TraesCS3D01G194300;TraesCS7D01G148200;TraesCS2D01G520000;TraesCS4A01G036500;TraesCS7D01G224900;TraesCS1B01G478800;TraesCS4A01G254100;TraesCS4D01G327300;TraesCS4B01G069200;TraesCS4A01G185400;TraesCS1A01G278000;TraesCS6B01G393500;TraesCS5B01G387600;TraesCS4B01G162900;TraesCS4A01G376000;TraesCS4A01G387000;TraesCS5A01G088400;TraesCS2A01G095300;TraesCS3A01G264700;TraesCS2D01G303500;TraesCS2A01G246700;TraesCS7D01G200800;TraesCS4A01G110800;TraesCS6D01G259500;TraesCS6B01G307200;TraesCS1D01G392400;TraesCS3D01G268700;TraesCS7A01G285800;TraesCS2D01G246100;TraesCS1D01G352300;TraesCS4A01G051900;TraesCS4A01G290400;TraesCS3A01G200400;TraesCS2A01G492300;TraesCS3B01G564100;TraesCS5B01G509100;TraesCS6D01G132500;TraesCS1A01G313300;TraesCS6D01G210000;TraesCS5A01G490500;TraesCS5B01G409700;TraesCS2B01G248100;TraesCS5B01G214400;TraesCS2D01G238600;TraesCS4D01G264800;TraesCS6A01G107900;TraesCS1D01G242400;TraesCS4A01G206400;TraesCS2B01G312600;TraesCS1D01G024800;TraesCS2D01G208300;TraesCS3A01G417000;TraesCS1D01G298400;TraesCS2D01G524500;TraesCS1A01G431600;TraesCS7D01G409000;TraesCS1A01G133500;TraesCS5B01G534400;TraesCS1D01G125300;TraesCS6B01G342300;TraesCS3A01G295400;TraesCS5B01G477800;TraesCS6D01G246300;TraesCS6D01G238800;TraesCS3D01G482500;TraesCS3D01G264800;TraesCS3D01G426300;TraesCS1D01G155100;TraesCS3A01G212600;TraesCS7A01G223300;TraesCS1B01G261600;TraesCS2A01G286500;TraesCS3D01G231200;TraesCS7D01G449900;TraesCS1D01G226500;TraesCS5A01G092400;TraesCS4B01G168300;TraesCS7D01G338600;TraesCS6A01G373400;TraesCS1D01G149900;TraesCS3D01G380100;TraesCS7A01G260600;TraesCS4A01G226900;TraesCS4B01G133200;TraesCS7D01G454700;TraesCS7A01G318800;TraesCS1B01G377800;TraesCS1A01G185900;TraesCS1A01G388400;TraesCS2A01G058700;TraesCS5A01G215900;TraesCS2B01G528300;TraesCS6D01G357100;TraesCS5A01G192000;TraesCS6D01G122800;TraesCS2D01G241800;TraesCS6B01G251600;TraesCS4D01G021400;TraesCS3B01G426500;TraesCS3D01G137800;TraesCS6B01G253900;TraesCS4D01G013900;TraesCS5B01G378700;TraesCS1A01G376400;TraesCS2B01G385300;TraesCS4B01G354600;TraesCS5A01G429500;TraesCS1B01G325100;TraesCS5B01G102600;TraesCS4B01G023800;TraesCS2B01G004000;TraesCS2D01G361800;TraesCS7A01G376800;TraesCS2A01G149600;TraesCS6B01G315800;TraesCS1A01G180200;TraesCS3D01G495100;TraesCS5B01G335500;TraesCS7B01G451500;TraesCS1D01G331000;TraesCS2B01G050600;TraesCS6A01G312100;TraesCS3D01G529200;TraesCS6D01G182200;TraesCS4B01G204500;TraesCS3D01G275600;TraesCS2D01G310000;TraesCS4A01G220100;TraesCS4A01G157100;TraesCS2D01G519500;TraesCS2B01G227800;TraesCS4A01G283000;TraesCS1D01G178000;TraesCS3A01G523700;TraesCS3B01G566600;TraesCS4B01G028100;TraesCS7B01G242200;TraesCS3A01G530100;TraesCS4B01G138800;TraesCS7D01G004500;TraesCS7A01G304400;TraesCS2B01G297800;TraesCS2D01G111300;TraesCS7A01G560200;TraesCS7B01G230100;TraesCS2A01G273400;TraesCS2B01G457600;TraesCS2B01G247100;TraesCS2B01G157600;TraesCS5A01G212500;TraesCS5D01G285200;TraesCS6B01G242800;TraesCS1B01G200300;TraesCS3A01G023800;TraesCS4A01G232300;TraesCS1B01G156600;TraesCS1D01G440900;TraesCS3A01G184800;TraesCS3A01G367000;TraesCS7D01G315400;TraesCS2A01G114400;TraesCS6A01G314100;TraesCS4D01G194300;TraesCS2B01G363200;TraesCS7A01G480700;TraesCS4B01G179400;TraesCS6A01G290600;TraesCS1A01G315900;TraesCS1D01G313800;TraesCS5A01G548800;TraesCS3D01G162700;TraesCS2A01G387000;TraesCS3A01G097200;TraesCS1D01G086600;TraesCS5B01G344200;TraesCS2B01G133500;TraesCS6D01G302200;TraesCS1B01G422200;TraesCS2D01G182700;TraesCS3A01G100000;TraesCS2B01G198300;TraesCS3B01G309400;TraesCS4A01G315700;TraesCS7D01G442100;TraesCS1A01G263400;TraesCS2A01G134000;TraesCS2D01G229600;TraesCS2B01G273900;TraesCS2D01G249200;TraesCS6D01G163700;TraesCS6A01G267300;TraesCS2A01G523600;TraesCS4A01G324400;TraesCS2B01G098800;TraesCS6A01G307700;TraesCS6B01G344100;TraesCS3A01G304900;TraesCS5B01G220900;TraesCS2D01G057900;TraesCS4D01G150700;TraesCS2A01G296400;TraesCS1D01G134300;TraesCS6D01G364900;TraesCS6D01G299200;TraesCS2A01G431900;TraesCS2B01G321700;TraesCS5D01G478900;TraesCS7B01G184800;TraesCS3D01G304800;TraesCS4A01G276300;TraesCS5D01G105500;TraesCS5A01G036600;TraesCS1B01G213300;TraesCS4D01G194400;TraesCS1A01G111100;TraesCS4A01G164900;TraesCS5B01G136500;TraesCS2B01G122500;TraesCS2D01G022800;TraesCS5D01G164800;TraesCS5B01G510500;TraesCS5A01G324200;TraesCS1B01G293500;TraesCS4D01G080700;TraesCS2B01G410100;TraesCS5D01G223700;TraesCS6B01G151900;TraesCS7B01G124100;TraesCS6A01G070600;TraesCS1D01G199100;TraesCS5B01G147600;TraesCS6A01G210200;TraesCS6D01G195400;TraesCS4A01G124000;TraesCS1A01G158500;TraesCS2A01G239200;TraesCS4D01G086000;TraesCS1B01G155600;TraesCS6B01G161800;TraesCS7A01G329600;TraesCS1A01G284300;TraesCS6B01G171600;TraesCS1B01G434400;TraesCS4B01G073200;TraesCS7D01G130500;TraesCS1A01G309200;TraesCS6B01G189000;TraesCS7D01G000100;TraesCS5B01G121000;TraesCS7B01G207300;TraesCS4A01G150500</t>
  </si>
  <si>
    <t>TraesCS5B01G484700;TraesCS5B01G249000;TraesCS7A01G351100;TraesCS5D01G388000;TraesCS5D01G219500;TraesCS2A01G247300;TraesCS6D01G344200;TraesCS3D01G273800;TraesCS5A01G513500;TraesCS5A01G378000;TraesCS1D01G210200;TraesCS2D01G427900;TraesCS1B01G472100;TraesCS1D01G051300;TraesCS6B01G159200;TraesCS5B01G227900;TraesCS7B01G240200;TraesCS6A01G418800;TraesCS7D01G293100;TraesCS4A01G065400;TraesCS7A01G190700;TraesCS2B01G234500;TraesCS6A01G000900;TraesCS3B01G112900;TraesCS4D01G135000;TraesCS2B01G457300;TraesCS5B01G324800;TraesCS6A01G133100;TraesCS5B01G171200;TraesCS2D01G233900;TraesCS3B01G219700;TraesCS7A01G294200;TraesCS7D01G549100;TraesCS4B01G193100;TraesCS5B01G381600;TraesCS7B01G350400;TraesCS1B01G255100;TraesCS3D01G428300;TraesCS7B01G186500;TraesCS2A01G193800;TraesCS4B01G397700;TraesCS4D01G184400;TraesCS6A01G289200;TraesCS7B01G114100;TraesCS4D01G220700;TraesCS6D01G390000;TraesCS7A01G448800;TraesCS6A01G105400;TraesCS6D01G168300;TraesCS1B01G254000;TraesCS5A01G251000;TraesCS1A01G437500;TraesCS4A01G015800;TraesCS5A01G093200;TraesCS4D01G009100;TraesCS1A01G007500;TraesCS7D01G224400;TraesCS6A01G303800;TraesCS4B01G285000;TraesCS7D01G153000;TraesCS5A01G030400;TraesCS6B01G393600;TraesCS7B01G247200;TraesCS5D01G178300;TraesCS5B01G270200;TraesCS2D01G349600;TraesCS7D01G439900;TraesCS1D01G092200;TraesCS5D01G164500;TraesCS1A01G206900;TraesCS2D01G118000;TraesCS3D01G256700;TraesCS5A01G114600;TraesCS6B01G238600;TraesCS7A01G222800;TraesCS2A01G222600;TraesCS7A01G316700;TraesCS2D01G238700;TraesCS4D01G339700;TraesCS6A01G212200;TraesCS7D01G196000;TraesCS1D01G242500;TraesCS5D01G505700;TraesCS5A01G173800;TraesCS3A01G272200;TraesCS5D01G321900;TraesCS2B01G520500;TraesCS3A01G264700;TraesCS5A01G315800;TraesCS3D01G268700;TraesCS2D01G248400;TraesCS1D01G445300;TraesCS2A01G492300;TraesCS2B01G328500;TraesCS6D01G132500;TraesCS2D01G148200;TraesCS2B01G248100;TraesCS2A01G467900;TraesCS2D01G238600;TraesCS1A01G049300;TraesCS7B01G217500;TraesCS5B01G036800;TraesCS2A01G480200;TraesCS5B01G504900;TraesCS4B01G041900;TraesCS2D01G136100;TraesCS6B01G115200;TraesCS7A01G239700;TraesCS1A01G100600;TraesCS2B01G325100;TraesCS3A01G268600;TraesCS2A01G517900;TraesCS3D01G264800;TraesCS3D01G426300;TraesCS7D01G227300;TraesCS4A01G129200;TraesCS5A01G092400;TraesCS7D01G072100;TraesCS4B01G168300;TraesCS6B01G470700;TraesCS1D01G401900;TraesCS5D01G481500;TraesCS4B01G286700;TraesCS2D01G492600;TraesCS3D01G359500;TraesCS4B01G288200;TraesCS3B01G441000;TraesCS2B01G528300;TraesCS6A01G143300;TraesCS6D01G122800;TraesCS4B01G220400;TraesCS3B01G401100;TraesCS7D01G327700;TraesCS3A01G151100;TraesCS2D01G236100;TraesCS2B01G340300;TraesCS6A01G203700;TraesCS7A01G307000;TraesCS3A01G052700;TraesCS2D01G380900;TraesCS7B01G197000;TraesCS6A01G209800;TraesCS2B01G369600;TraesCS2D01G242100;TraesCS4B01G204500;TraesCS5A01G484700;TraesCS2D01G310000;TraesCS5D01G242900;TraesCS7B01G189500;TraesCS2D01G519500;TraesCS5D01G504600;TraesCS7B01G129300;TraesCS3A01G435700;TraesCS4D01G025300;TraesCS7A01G560200;TraesCS7D01G407700;TraesCS6A01G158800;TraesCS1A01G198400;TraesCS3A01G191700;TraesCS4B01G153500;TraesCS3D01G220400;TraesCS1B01G110400;TraesCS2B01G157600;TraesCS5A01G212500;TraesCS6B01G242800;TraesCS5D01G258900;TraesCS5A01G489100;TraesCSU01G019900;TraesCS3A01G367000;TraesCS6B01G470900;TraesCS5B01G132600;TraesCS6B01G450500;TraesCS6B01G089500;TraesCS6D01G094200;TraesCS2A01G387000;TraesCS3A01G097200;TraesCS2D01G194000;TraesCS1B01G220700;TraesCS4A01G367700;TraesCS1B01G422200;TraesCS1D01G003700;TraesCS6B01G134800;TraesCS3D01G271800;TraesCS2A01G342600;TraesCS3A01G232700;TraesCS6B01G319000;TraesCS7B01G100000;TraesCS7A01G450600;TraesCS7D01G339600;TraesCS6B01G192500;TraesCS4D01G003100;TraesCS6D01G186800;TraesCS5A01G132300;TraesCS6A01G267300;TraesCS1A01G259700;TraesCS5A01G235800;TraesCS2A01G234200;TraesCS4D01G154300;TraesCS7A01G342800;TraesCS5D01G105500;TraesCS1B01G213300;TraesCS5A01G324200;TraesCS6D01G283300;TraesCS3D01G514100;TraesCS1D01G367600;TraesCS5B01G256400;TraesCS3B01G398300;TraesCS6D01G174500;TraesCS6D01G195400;TraesCS7D01G343300;TraesCS7A01G335600;TraesCS2A01G216100;TraesCS3A01G389100;TraesCS4A01G141000;TraesCS5B01G481100;TraesCS6B01G171600;TraesCS6A01G319100;TraesCS7A01G568800;TraesCS5B01G316400;TraesCS4A01G093100;TraesCS7B01G207300;TraesCS1A01G165700</t>
  </si>
  <si>
    <t>envelope</t>
  </si>
  <si>
    <t>TraesCS1D01G411300;TraesCS3B01G014900;TraesCS6B01G454500;TraesCS5D01G388000;TraesCS6B01G191500;TraesCS5D01G219500;TraesCS7A01G238400;TraesCS2A01G247300;TraesCS5A01G378000;TraesCS4B01G213600;TraesCS5B01G227900;TraesCS7B01G240200;TraesCS7D01G293100;TraesCS2D01G220800;TraesCS7D01G276300;TraesCS2B01G234500;TraesCS4D01G135000;TraesCS5B01G496000;TraesCS5B01G171200;TraesCS3B01G219700;TraesCS2A01G206200;TraesCS2B01G220100;TraesCS7A01G294200;TraesCS7D01G549100;TraesCS5B01G381600;TraesCS3A01G210000;TraesCS3B01G362500;TraesCS7D01G311300;TraesCS3A01G321900;TraesCS7B01G186500;TraesCS5A01G128300;TraesCS6B01G286300;TraesCS2D01G112000;TraesCS5A01G482800;TraesCS2B01G233400;TraesCS3D01G060600;TraesCS6A01G289200;TraesCS7B01G114100;TraesCS3D01G296900;TraesCS5A01G454300;TraesCS6D01G287300;TraesCS5D01G265500;TraesCS7B01G215000;TraesCS1B01G254000;TraesCS4A01G101500;TraesCS4D01G204000;TraesCS2B01G070700;TraesCS6A01G319700;TraesCS1A01G007500;TraesCS6A01G303800;TraesCS5B01G171100;TraesCS3B01G240500;TraesCS5D01G178300;TraesCS2B01G130300;TraesCS5A01G229300;TraesCS5B01G270200;TraesCS4A01G091100;TraesCS5B01G228900;TraesCS4A01G167000;TraesCS2B01G405600;TraesCS7B01G142700;TraesCS1D01G092200;TraesCS7D01G283600;TraesCS5D01G164500;TraesCS2A01G437700;TraesCS3D01G256700;TraesCS6B01G238600;TraesCS2D01G238700;TraesCS1A01G403800;TraesCS1D01G242500;TraesCS4B01G083600;TraesCS5A01G173800;TraesCS2B01G272300;TraesCS4D01G081600;TraesCS5D01G117100;TraesCS5D01G321900;TraesCS5A01G457500;TraesCS4B01G193400;TraesCS5A01G315800;TraesCS7A01G504900;TraesCS2D01G248400;TraesCS3B01G344200;TraesCS5B01G409700;TraesCS4B01G089500;TraesCS5D01G357600;TraesCS2D01G238600;TraesCS3B01G061700;TraesCS2D01G253200;TraesCS4A01G342800;TraesCS5A01G230400;TraesCS2B01G312600;TraesCS3D01G397100;TraesCS4D01G086400;TraesCS1A01G100600;TraesCS2B01G325100;TraesCS3D01G309400;TraesCS3B01G477300;TraesCS2D01G200700;TraesCS4D01G003600;TraesCS3D01G426300;TraesCS7D01G227300;TraesCS4A01G310600;TraesCS5D01G412600;TraesCS2B01G240000;TraesCS3D01G436100;TraesCS4A01G226900;TraesCS2A01G058700;TraesCS7A01G276400;TraesCS3B01G441000;TraesCS2B01G528300;TraesCS5D01G530200;TraesCS4D01G214300;TraesCS2D01G115200;TraesCS5B01G322900;TraesCS2A01G280500;TraesCS3A01G381000;TraesCS2A01G187200;TraesCS3A01G151100;TraesCS2D01G236100;TraesCS2B01G340300;TraesCS3A01G075700;TraesCS3A01G052700;TraesCS2D01G380900;TraesCS6A01G209800;TraesCS4B01G204500;TraesCS2B01G267500;TraesCS5B01G263800;TraesCS3A01G443700;TraesCS7B01G189500;TraesCS6A01G237800;TraesCS5A01G173700;TraesCS5D01G496400;TraesCS2B01G297800;TraesCS4D01G122800;TraesCS5D01G238300;TraesCS2A01G252600;TraesCS7A01G560200;TraesCS5B01G127300;TraesCS1A01G198400;TraesCS2B01G457600;TraesCS3A01G191700;TraesCS1B01G110400;TraesCS5A01G212500;TraesCS5D01G094000;TraesCS1B01G317500;TraesCS4A01G232300;TraesCS7B01G006600;TraesCS5D01G237400;TraesCS2A01G114400;TraesCS2D01G320900;TraesCS5D01G474200;TraesCS3A01G212000;TraesCS6A01G290600;TraesCS4B01G129700;TraesCS5D01G135900;TraesCS4A01G268900;TraesCS2B01G133500;TraesCS6A01G308100;TraesCS1D01G030500;TraesCS2A01G342600;TraesCS6B01G319000;TraesCS6B01G065300;TraesCS2D01G279300;TraesCS6A01G267300;TraesCS2A01G254600;TraesCS6A01G408400;TraesCS3A01G304900;TraesCS4B01G164800;TraesCS2D01G057900;TraesCS1A01G259700;TraesCS2A01G296400;TraesCS6D01G299200;TraesCS2A01G215000;TraesCS6D01G152700;TraesCS7A01G342800;TraesCS1B01G213300;TraesCS4D01G194400;TraesCS1A01G392000;TraesCS5D01G164800;TraesCS7A01G108600;TraesCS7A01G314100;TraesCS6D01G283300;TraesCS3D01G514100;TraesCS5A01G414400;TraesCS2D01G255100;TraesCS5B01G256400;TraesCS3D01G051800;TraesCS2D01G214700;TraesCS5D01G329200;TraesCS4B01G203100;TraesCS2B01G270300;TraesCS7D01G280600;TraesCS6D01G051300;TraesCS5B01G316400;TraesCS4D01G292300</t>
  </si>
  <si>
    <t>TraesCS6D01G121300;TraesCS4A01G125000;TraesCS5B01G484700;TraesCS2A01G234900;TraesCS1B01G049300;TraesCS5D01G219500;TraesCS5A01G108000;TraesCS5A01G272400;TraesCS5A01G513500;TraesCS1D01G210200;TraesCS4B01G213600;TraesCS2D01G014800;TraesCS6B01G159200;TraesCS5A01G014400;TraesCS1A01G355200;TraesCS7B01G104400;TraesCS6D01G204800;TraesCS5A01G467500;TraesCS5D01G056900;TraesCS5B01G324800;TraesCS6A01G133100;TraesCS5B01G171200;TraesCS2D01G233900;TraesCS3A01G205100;TraesCS7A01G088100;TraesCS7D01G549100;TraesCS4A01G286700;TraesCS7B01G350400;TraesCS7D01G313600;TraesCS6A01G201800;TraesCS2A01G193800;TraesCS6B01G257900;TraesCS5D01G026000;TraesCS1A01G340400;TraesCS6D01G390000;TraesCS2B01G330100;TraesCS6A01G105400;TraesCS6D01G287300;TraesCS1B01G254000;TraesCS5A01G014500;TraesCS2B01G070700;TraesCS1D01G412600;TraesCS4D01G025700;TraesCS4D01G359000;TraesCS4A01G013500;TraesCS5A01G093200;TraesCS7A01G415500;TraesCS7D01G224400;TraesCS6A01G303800;TraesCS4B01G285000;TraesCS2B01G201700;TraesCS5D01G178300;TraesCS6D01G135800;TraesCS2A01G313000;TraesCS3B01G309700;TraesCS2B01G207000;TraesCS6A01G230100;TraesCS6D01G047400;TraesCS6B01G239000;TraesCS7B01G241500;TraesCS4A01G091100;TraesCS2D01G349600;TraesCS3D01G210300;TraesCS5B01G228900;TraesCS7B01G103100;TraesCS5B01G300100;TraesCS7D01G439900;TraesCS1D01G092200;TraesCS7D01G283600;TraesCS1D01G280900;TraesCS2A01G437700;TraesCS5A01G353700;TraesCS1B01G304500;TraesCS2D01G251000;TraesCS2D01G389900;TraesCS1A01G206900;TraesCS2B01G303300;TraesCS7A01G222800;TraesCS2A01G222600;TraesCS7A01G316700;TraesCS3A01G223700;TraesCS3D01G237100;TraesCS7A01G293200;TraesCS1B01G352700;TraesCS3D01G407300;TraesCS4D01G339700;TraesCS1D01G342400;TraesCS6A01G212200;TraesCS7D01G083200;TraesCS4B01G083600;TraesCS1B01G396800;TraesCS3D01G341200;TraesCS5A01G173800;TraesCS2D01G356700;TraesCS4D01G107400;TraesCS6B01G159800;TraesCS2D01G520000;TraesCS4B01G091100;TraesCS1B01G478800;TraesCS4D01G081600;TraesCS6A01G158300;TraesCS5D01G321900;TraesCS6B01G166400;TraesCS1B01G366400;TraesCS4A01G387000;TraesCS3A01G264700;TraesCS5A01G315800;TraesCS7D01G200800;TraesCS4A01G110800;TraesCS6D01G259500;TraesCS6B01G307200;TraesCS1D01G356900;TraesCS4A01G290400;TraesCS1A01G195500;TraesCS2B01G328500;TraesCS5B01G509100;TraesCS6D01G132500;TraesCS1A01G313300;TraesCS5B01G409700;TraesCS2B01G248100;TraesCS2D01G238600;TraesCS2B01G154700;TraesCS4A01G193700;TraesCS5D01G280400;TraesCS7B01G217500;TraesCS5B01G036800;TraesCS2A01G132200;TraesCS5A01G230400;TraesCS4A01G206400;TraesCS2B01G312600;TraesCS4B01G041900;TraesCS1D01G024800;TraesCS3A01G417000;TraesCS6A01G279100;TraesCS3A01G288200;TraesCS7D01G409000;TraesCS1A01G024700;TraesCS1A01G133500;TraesCS5A01G221800;TraesCS5B01G534400;TraesCS1A01G100600;TraesCS3A01G274600;TraesCS3A01G082700;TraesCS4A01G005000;TraesCS3A01G276100;TraesCS6D01G238800;TraesCS4D01G003600;TraesCS3D01G264800;TraesCS3D01G426300;TraesCS5D01G013100;TraesCS2A01G286500;TraesCS3A01G478100;TraesCS5A01G092400;TraesCS2B01G271300;TraesCS7D01G338600;TraesCS1D01G401900;TraesCS4A01G111000;TraesCS1D01G149900;TraesCS3D01G436100;TraesCS5D01G481500;TraesCS3D01G229800;TraesCS4B01G286700;TraesCS2A01G058700;TraesCS2B01G528300;TraesCS6A01G143300;TraesCS6D01G122800;TraesCS5A01G119300;TraesCS5A01G123800;TraesCS6B01G251600;TraesCS1A01G110900;TraesCS4D01G021400;TraesCS4D01G214300;TraesCS4A01G052600;TraesCS1A01G376400;TraesCS7D01G228500;TraesCS2B01G385300;TraesCS3B01G161900;TraesCS1B01G325100;TraesCS5B01G102600;TraesCS2A01G280500;TraesCS4A01G187100;TraesCS1A01G060100;TraesCS3A01G134100;TraesCS2B01G004000;TraesCS2A01G223600;TraesCS6B01G315800;TraesCS7A01G120300;TraesCS5A01G004200;TraesCS3A01G151100;TraesCS1B01G368500;TraesCS1D01G155800;TraesCS7B01G197000;TraesCS1D01G331000;TraesCS2B01G050600;TraesCS6D01G186000;TraesCS2A01G309600;TraesCS1D01G241800;TraesCS2B01G369600;TraesCS2D01G242100;TraesCS3D01G529200;TraesCS4B01G204500;TraesCS3A01G189400;TraesCS2D01G310000;TraesCS7A01G341000;TraesCS3A01G443700;TraesCS5B01G419300;TraesCS7B01G189500;TraesCS3A01G412600;TraesCS3A01G523700;TraesCS4B01G028100;TraesCS6D01G172500;TraesCS7B01G242200;TraesCS7B01G129300;TraesCS2B01G297800;TraesCS4D01G122800;TraesCS7A01G560200;TraesCS1A01G198400;TraesCS2B01G457600;TraesCS4B01G151200;TraesCS3A01G191700;TraesCS3D01G220400;TraesCS1B01G110400;TraesCS2A01G460000;TraesCS5A01G212500;TraesCS6B01G242800;TraesCS2A01G128300;TraesCS5D01G361000;TraesCS7D01G332300;TraesCS4A01G232300;TraesCS7B01G006600;TraesCS3A01G367000;TraesCS3B01G308200;TraesCS1B01G253500;TraesCS5D01G237400;TraesCS6B01G470900;TraesCS2A01G114400;TraesCS5A01G396700;TraesCS7A01G139800;TraesCS4D01G194300;TraesCS1B01G290800;TraesCS6B01G450500;TraesCS2A01G175400;TraesCS4B01G179400;TraesCS6A01G290600;TraesCS2B01G107200;TraesCS6D01G094200;TraesCS1D01G313800;TraesCS4B01G129700;TraesCS5A01G548800;TraesCS6D01G212000;TraesCS2A01G387000;TraesCS2A01G092400;TraesCS2D01G194000;TraesCS4D01G283800;TraesCS2B01G133500;TraesCS1B01G220700;TraesCS6A01G308100;TraesCS1B01G422200;TraesCS1D01G003700;TraesCS2B01G150400;TraesCS2D01G182700;TraesCS5D01G551200;TraesCS6B01G134800;TraesCS3D01G288000;TraesCS3A01G232700;TraesCS4A01G315700;TraesCS5B01G563800;TraesCS6B01G176600;TraesCS7A01G450600;TraesCS3D01G228900;TraesCS2D01G229600;TraesCS4D01G003100;TraesCS2B01G273900;TraesCS3D01G083400;TraesCS2D01G279300;TraesCS6A01G267300;TraesCS2A01G523600;TraesCS5A01G046600;TraesCS1D01G383500;TraesCS2D01G057900;TraesCS1A01G259700;TraesCS2A01G296400;TraesCS6A01G146500;TraesCS4A01G364400;TraesCS6B01G223200;TraesCS4A01G276300;TraesCS5D01G105500;TraesCS1B01G213300;TraesCS4D01G194400;TraesCS4A01G164900;TraesCS5A01G324200;TraesCS2B01G410100;TraesCS7B01G124100;TraesCS1D01G199100;TraesCS6D01G283300;TraesCS6A01G210200;TraesCS6D01G195400;TraesCS7D01G343300;TraesCS4A01G247300;TraesCS7A01G335600;TraesCS4A01G124000;TraesCS1A01G158500;TraesCS3D01G412500;TraesCS5B01G481100;TraesCS6B01G171600;TraesCS1B01G434400;TraesCS4B01G131800;TraesCS7A01G226000;TraesCS1A01G281700;TraesCS4B01G109900;TraesCSU01G132400;TraesCS1D01G198700;TraesCS3A01G488100;TraesCS7B01G421100;TraesCS4A01G093100</t>
  </si>
  <si>
    <t>TraesCS2B01G260800;TraesCS7D01G292000;TraesCS5B01G484700;TraesCS1D01G449000;TraesCS2A01G246200;TraesCS1D01G210200;TraesCS4A01G226500;TraesCS4A01G432400;TraesCS1B01G146200;TraesCS2D01G014800;TraesCS6B01G295700;TraesCS7D01G467500;TraesCS2A01G409700;TraesCS4D01G153900;TraesCS4D01G147100;TraesCS5A01G014400;TraesCS2A01G262700;TraesCS5B01G057300;TraesCS4A01G065400;TraesCS2D01G136200;TraesCS1A01G355200;TraesCS7B01G382800;TraesCS1A01G324800;TraesCS5D01G532100;TraesCS7B01G104400;TraesCS5B01G094600;TraesCS3B01G242700;TraesCS5B01G324800;TraesCS5D01G429200;TraesCS6A01G133100;TraesCS5A01G166800;TraesCS2D01G233900;TraesCS3B01G219700;TraesCS2A01G171900;TraesCS7A01G323200;TraesCS5D01G201300;TraesCS3A01G205100;TraesCS4A01G286700;TraesCS6A01G203300;TraesCS6B01G112700;TraesCS5A01G149000;TraesCS1A01G130700;TraesCS7B01G411000;TraesCS4D01G068100;TraesCS5A01G336500;TraesCS2B01G233400;TraesCS2A01G193800;TraesCS5D01G026000;TraesCS3D01G296900;TraesCS4D01G220700;TraesCS6D01G287300;TraesCS3A01G393400;TraesCS4A01G101500;TraesCS5A01G014500;TraesCS6A01G225200;TraesCS2B01G257300;TraesCS4D01G204000;TraesCS4D01G025700;TraesCS5A01G093200;TraesCS7D01G339300;TraesCS6D01G357600;TraesCS4D01G120900;TraesCS7D01G224400;TraesCS4B01G109700;TraesCS4D01G085900;TraesCS2B01G201700;TraesCS2D01G093700;TraesCS3B01G309700;TraesCS5A01G472100;TraesCS2B01G207000;TraesCS6D01G047400;TraesCS3D01G210300;TraesCS1D01G409700;TraesCS1D01G396300;TraesCS6D01G095800;TraesCS1D01G260500;TraesCS5B01G171400;TraesCS7D01G283600;TraesCS2B01G382000;TraesCS3D01G281100;TraesCS3B01G423600;TraesCS3D01G065800;TraesCS5A01G189600;TraesCS3A01G380100;TraesCS1B01G274600;TraesCS2B01G303300;TraesCS7A01G222800;TraesCS5D01G118200;TraesCS4A01G138800;TraesCS1D01G325500;TraesCS2D01G328100;TraesCS6A01G212200;TraesCS4D01G094700;TraesCS7B01G219700;TraesCS1A01G246800;TraesCS3B01G149800;TraesCS2A01G157700;TraesCS7B01G162300;TraesCS5D01G100800;TraesCS6B01G159800;TraesCS6D01G244900;TraesCS4D01G081600;TraesCS1B01G271100;TraesCS6A01G158300;TraesCS5B01G479200;TraesCS3D01G421500;TraesCS4A01G158400;TraesCS3A01G224800;TraesCS5D01G321900;TraesCS7A01G466900;TraesCS2B01G520500;TraesCS7A01G252000;TraesCS1B01G366400;TraesCS5A01G315800;TraesCS5D01G044700;TraesCS5A01G357400;TraesCS3D01G327600;TraesCS1A01G195500;TraesCS2B01G328500;TraesCS3A01G137000;TraesCS6D01G344100;TraesCS7B01G242800;TraesCS3A01G521600;TraesCS3A01G322500;TraesCS5B01G036800;TraesCS5A01G230400;TraesCS4B01G041900;TraesCS6A01G279100;TraesCS3A01G288200;TraesCS4B01G314600;TraesCS7D01G373100;TraesCS1A01G152800;TraesCS1A01G024700;TraesCS4D01G160000;TraesCS2B01G325100;TraesCS1D01G314600;TraesCS6B01G336300;TraesCS3A01G082700;TraesCS4A01G005000;TraesCS4A01G078800;TraesCS3A01G268600;TraesCS3B01G307600;TraesCS3A01G276100;TraesCS4B01G088400;TraesCS1A01G299500;TraesCS4D01G003600;TraesCS3B01G412600;TraesCS5B01G517400;TraesCS5A01G199600;TraesCS2A01G517900;TraesCS6A01G123800;TraesCS1D01G264100;TraesCS5D01G013100;TraesCS7D01G227300;TraesCS1D01G190900;TraesCS6B01G213100;TraesCS4B01G015600;TraesCS1B01G343100;TraesCS2B01G346500;TraesCS6B01G470700;TraesCS1D01G401900;TraesCS5D01G412600;TraesCS3A01G330200;TraesCS3A01G334800;TraesCS1B01G193700;TraesCS2D01G492600;TraesCSU01G072700;TraesCS4B01G288200;TraesCS6D01G398100;TraesCS5A01G089900;TraesCS6A01G143300;TraesCS3B01G254400;TraesCS4A01G178600;TraesCS5A01G119300;TraesCS5D01G366500;TraesCS4B01G220400;TraesCS3D01G507500;TraesCS4D01G252700;TraesCS7A01G264300;TraesCS1D01G316200;TraesCS7D01G228500;TraesCS2A01G280500;TraesCS3A01G381000;TraesCS1A01G092700;TraesCS2A01G223600;TraesCS2A01G200500;TraesCS5A01G004200;TraesCS3A01G151100;TraesCS2B01G401900;TraesCS7D01G250100;TraesCS1A01G264000;TraesCS7A01G307000;TraesCS1A01G224700;TraesCS1D01G241000;TraesCS3A01G052700;TraesCS6D01G362000;TraesCS1D01G155800;TraesCS5D01G141200;TraesCS7B01G197000;TraesCS5B01G396700;TraesCS1A01G241000;TraesCS1D01G058300;TraesCS2D01G242100;TraesCS4B01G246900;TraesCS3A01G189400;TraesCS3D01G527700;TraesCS7A01G341000;TraesCS7B01G177700;TraesCS5B01G419300;TraesCS7D01G284200;TraesCS7B01G189500;TraesCS2B01G428100;TraesCS6D01G149800;TraesCS3B01G252200;TraesCS7A01G004000;TraesCS2D01G094400;TraesCS3B01G088300;TraesCS7B01G129300;TraesCS4D01G122800;TraesCS3B01G435900;TraesCS6B01G256400;TraesCS1B01G439600;TraesCS3D01G228800;TraesCS7B01G278200;TraesCS2B01G304900;TraesCS1A01G198400;TraesCS3D01G203400;TraesCS5D01G459800;TraesCS3A01G191700;TraesCS3D01G328100;TraesCS4B01G290300;TraesCS1D01G211600;TraesCS7D01G231600;TraesCS2D01G105300;TraesCS6D01G062500;TraesCS7A01G313900;TraesCS5D01G361000;TraesCS6B01G414800;TraesCS7B01G006600;TraesCS5D01G237400;TraesCS6B01G470900;TraesCS1B01G290800;TraesCS2B01G348600;TraesCS7B01G085700;TraesCS4D01G085700;TraesCS2A01G175400;TraesCS2B01G592500;TraesCS4A01G354500;TraesCS1D01G277100;TraesCS6D01G094200;TraesCS4B01G129700;TraesCS6D01G212000;TraesCS4B01G150300;TraesCS5D01G248300;TraesCS3B01G209400;TraesCS5D01G229900;TraesCS2D01G194000;TraesCS4A01G058000;TraesCS4D01G283800;TraesCS4D01G318200;TraesCS1B01G220700;TraesCS6A01G308100;TraesCS4A01G262900;TraesCS3A01G402500;TraesCS5D01G551200;TraesCS6A01G336800;TraesCS6B01G134800;TraesCS1A01G137000;TraesCS3D01G288000;TraesCS7A01G381900;TraesCS2B01G602100;TraesCS5B01G563800;TraesCS6B01G176600;TraesCS7D01G073000;TraesCS2D01G528800;TraesCS4D01G003100;TraesCS2D01G059400;TraesCS6A01G322400;TraesCS1B01G200800;TraesCS3D01G083400;TraesCS2D01G279300;TraesCS6A01G259000;TraesCS3A01G503200;TraesCS3B01G154900;TraesCS5B01G037500;TraesCS1D01G383500;TraesCS2D01G327400;TraesCS5B01G517900;TraesCS4A01G227500;TraesCS1A01G259700;TraesCS6A01G146500;TraesCS4A01G364400;TraesCS5D01G424400;TraesCS2A01G110700;TraesCS2B01G174700;TraesCS3D01G373300;TraesCS3B01G400900;TraesCS5A01G241800;TraesCS7D01G378400;TraesCS7D01G447100;TraesCS5D01G437600;TraesCS1A01G172100;TraesCS6D01G283300;TraesCS3D01G514100;TraesCS5A01G416700;TraesCS5B01G256400;TraesCS1B01G337800;TraesCS7D01G343300;TraesCS4A01G247300;TraesCS7A01G335600;TraesCS5D01G341200;TraesCS6B01G304100;TraesCS2D01G407000;TraesCS5A01G020800;TraesCS3D01G412500;TraesCS4B01G131800;TraesCS6A01G319100;TraesCS7A01G226000;TraesCS7A01G452800;TraesCS1A01G281700;TraesCS4B01G109900;TraesCS5A01G113700;TraesCS5A01G460600;TraesCS6B01G419000;TraesCS1D01G198700;TraesCS7B01G421100;TraesCS5D01G480300;TraesCS7B01G119300;TraesCS1A01G129400;TraesCS4A01G093100;TraesCS4A01G246100;TraesCS6D01G121300;TraesCS4B01G252400;TraesCS4A01G125000;TraesCS6A01G360600;TraesCS3B01G224600;TraesCS1A01G260500;TraesCS2A01G234900;TraesCS1B01G049300;TraesCS3D01G323700;TraesCS3D01G411200;TraesCS5D01G219500;TraesCS5A01G108000;TraesCS6A01G268600;TraesCS6D01G077500;TraesCS1D01G101200;TraesCS1D01G226100;TraesCS7A01G368900;TraesCS1D01G329100;TraesCS3A01G099300;TraesCS5D01G359800;TraesCS4D01G170800;TraesCS4A01G119800;TraesCS6A01G380200;TraesCS6B01G159200;TraesCS1A01G112800;TraesCS5D01G171100;TraesCS6B01G113200;TraesCS7A01G350000;TraesCS5B01G431500;TraesCS6D01G204800;TraesCS5A01G467500;TraesCS5D01G517600;TraesCS2D01G417300;TraesCS3B01G112900;TraesCS4D01G246300;TraesCS3A01G205900;TraesCS2B01G457300;TraesCS3B01G131400;TraesCS4B01G321500;TraesCS2A01G229300;TraesCS4D01G133500;TraesCS7A01G088100;TraesCS2A01G097900;TraesCS7D01G549100;TraesCS2A01G563500;TraesCS1B01G255100;TraesCS1A01G409600;TraesCS6A01G379000;TraesCS1A01G027200;TraesCS2D01G565200;TraesCS3A01G103900;TraesCS4B01G090000;TraesCS2A01G022000;TraesCS2D01G248600;TraesCS6D01G113900;TraesCS6B01G257900;TraesCS6D01G237400;TraesCS7D01G265200;TraesCS3B01G222400;TraesCS6A01G105400;TraesCS2B01G263300;TraesCS4B01G158000;TraesCS1B01G254000;TraesCS3A01G513500;TraesCS2A01G103300;TraesCS2B01G070700;TraesCS1D01G412600;TraesCS4D01G359000;TraesCS7A01G077400;TraesCS4A01G013500;TraesCS4A01G298100;TraesCS1D01G229400;TraesCS6A01G303800;TraesCS1A01G144300;TraesCS4B01G285000;TraesCS6D01G135800;TraesCS4A01G355100;TraesCS6A01G230100;TraesCS1B01G462200;TraesCS2A01G187700;TraesCS3D01G188800;TraesCS3D01G423300;TraesCS6B01G239000;TraesCS3B01G385400;TraesCS5B01G270200;TraesCS7B01G352800;TraesCS4A01G494400;TraesCS5A01G466100;TraesCS5B01G228900;TraesCS6A01G113000;TraesCS5D01G472300;TraesCS5B01G300100;TraesCS5D01G143800;TraesCS1B01G326400;TraesCS1D01G280900;TraesCS2A01G437700;TraesCS2D01G362700;TraesCS3A01G275700;TraesCS5A01G353700;TraesCS7A01G002900;TraesCS2D01G389900;TraesCS1A01G206900;TraesCS3B01G214600;TraesCS2D01G118000;TraesCS6D01G350000;TraesCS2B01G263600;TraesCS2A01G222600;TraesCS5D01G332000;TraesCS3D01G237100;TraesCS6B01G402300;TraesCS7D01G083200;TraesCS4B01G083600;TraesCS1B01G396800;TraesCS5B01G502700;TraesCS4D01G107400;TraesCS2A01G235900;TraesCS3D01G194300;TraesCS7D01G148200;TraesCS2D01G520000;TraesCS4A01G036500;TraesCS7D01G224900;TraesCS1B01G478800;TraesCS4A01G254100;TraesCS4D01G327300;TraesCS4B01G069200;TraesCS4A01G185400;TraesCS1A01G278000;TraesCS6B01G393500;TraesCS5B01G387600;TraesCS4B01G162900;TraesCS4A01G376000;TraesCS4A01G387000;TraesCS5A01G088400;TraesCS2A01G095300;TraesCS3A01G264700;TraesCS2D01G303500;TraesCS2A01G246700;TraesCS7D01G200800;TraesCS4A01G110800;TraesCS6D01G259500;TraesCS6B01G307200;TraesCS1D01G392400;TraesCS3D01G268700;TraesCS7A01G285800;TraesCS2D01G246100;TraesCS1D01G352300;TraesCS4A01G051900;TraesCS4A01G290400;TraesCS3A01G200400;TraesCS2A01G492300;TraesCS3B01G564100;TraesCS5B01G509100;TraesCS6D01G132500;TraesCS1A01G313300;TraesCS6D01G210000;TraesCS5A01G490500;TraesCS5B01G409700;TraesCS2B01G248100;TraesCS5B01G214400;TraesCS2D01G238600;TraesCS4D01G264800;TraesCS6A01G107900;TraesCS1D01G242400;TraesCS4A01G206400;TraesCS2B01G312600;TraesCS1D01G024800;TraesCS2D01G208300;TraesCS3A01G417000;TraesCS1D01G298400;TraesCS2D01G524500;TraesCS1A01G431600;TraesCS7D01G409000;TraesCS1A01G133500;TraesCS5B01G534400;TraesCS1D01G125300;TraesCS6B01G342300;TraesCS3A01G295400;TraesCS5B01G477800;TraesCS6D01G246300;TraesCS6D01G238800;TraesCS3D01G482500;TraesCS3D01G264800;TraesCS3D01G426300;TraesCS1D01G155100;TraesCS3A01G212600;TraesCS7A01G223300;TraesCS1B01G261600;TraesCS2A01G286500;TraesCS3D01G231200;TraesCS7D01G449900;TraesCS1D01G226500;TraesCS5A01G092400;TraesCS4B01G168300;TraesCS7D01G338600;TraesCS6A01G373400;TraesCS1D01G149900;TraesCS3D01G380100;TraesCS7A01G260600;TraesCS4A01G226900;TraesCS4B01G133200;TraesCS7D01G454700;TraesCS7A01G318800;TraesCS1B01G377800;TraesCS1A01G185900;TraesCS1A01G388400;TraesCS2A01G058700;TraesCS5A01G215900;TraesCS2B01G528300;TraesCS6D01G357100;TraesCS5A01G192000;TraesCS6D01G122800;TraesCS2D01G241800;TraesCS6B01G251600;TraesCS4D01G021400;TraesCS3B01G426500;TraesCS4D01G348500;TraesCS3D01G137800;TraesCS6B01G253900;TraesCS4D01G013900;TraesCS5B01G378700;TraesCS1A01G376400;TraesCS2B01G385300;TraesCS4B01G354600;TraesCS5A01G429500;TraesCS1B01G325100;TraesCS5B01G102600;TraesCS4B01G023800;TraesCS2B01G004000;TraesCS2D01G361800;TraesCS7A01G376800;TraesCS2A01G149600;TraesCS6B01G315800;TraesCS1A01G180200;TraesCS3D01G495100;TraesCS5B01G335500;TraesCS7B01G451500;TraesCS1D01G331000;TraesCS2B01G050600;TraesCS6A01G312100;TraesCS3D01G529200;TraesCS6D01G182200;TraesCS4B01G204500;TraesCS3D01G275600;TraesCS2D01G310000;TraesCS4A01G220100;TraesCS4A01G157100;TraesCS5B01G476900;TraesCS2D01G519500;TraesCS2B01G227800;TraesCS4A01G283000;TraesCS1D01G178000;TraesCS3A01G523700;TraesCS3B01G566600;TraesCS4B01G028100;TraesCS7B01G242200;TraesCS3A01G530100;TraesCS4B01G138800;TraesCS7D01G004500;TraesCS7A01G304400;TraesCS2B01G297800;TraesCS2D01G111300;TraesCS7A01G560200;TraesCS7B01G230100;TraesCS2A01G273400;TraesCS2B01G457600;TraesCS2B01G247100;TraesCS2B01G157600;TraesCS5A01G212500;TraesCS5D01G285200;TraesCS6B01G242800;TraesCS1B01G200300;TraesCS3A01G023800;TraesCS4A01G232300;TraesCS1B01G156600;TraesCS1D01G440900;TraesCS3A01G184800;TraesCS3A01G367000;TraesCS7D01G315400;TraesCS2A01G114400;TraesCS6A01G314100;TraesCS4D01G194300;TraesCS2B01G363200;TraesCS7A01G480700;TraesCS4B01G179400;TraesCS6A01G290600;TraesCS1A01G315900;TraesCS1D01G313800;TraesCS5A01G548800;TraesCS3D01G162700;TraesCS2A01G387000;TraesCS3A01G097200;TraesCS1D01G086600;TraesCS5B01G344200;TraesCS2B01G133500;TraesCS6D01G302200;TraesCS1B01G422200;TraesCS2D01G182700;TraesCS3A01G100000;TraesCS2B01G198300;TraesCS3B01G309400;TraesCS4A01G315700;TraesCS7D01G442100;TraesCS1A01G263400;TraesCS2A01G134000;TraesCS2D01G229600;TraesCS2B01G273900;TraesCS2D01G249200;TraesCS6D01G163700;TraesCS6A01G267300;TraesCS2A01G523600;TraesCS4A01G324400;TraesCS2B01G098800;TraesCS6A01G307700;TraesCS6B01G344100;TraesCS3A01G304900;TraesCS5B01G220900;TraesCS2D01G057900;TraesCS4D01G150700;TraesCS2A01G296400;TraesCS1D01G134300;TraesCS6D01G364900;TraesCS6D01G299200;TraesCS2A01G431900;TraesCS2B01G321700;TraesCS5D01G478900;TraesCS7B01G184800;TraesCS3D01G304800;TraesCS4A01G276300;TraesCS5D01G105500;TraesCS5A01G036600;TraesCS1B01G213300;TraesCS4D01G194400;TraesCS1A01G111100;TraesCS4A01G164900;TraesCS5B01G136500;TraesCS2B01G122500;TraesCS2D01G022800;TraesCS5D01G164800;TraesCS5B01G510500;TraesCS5A01G324200;TraesCS1B01G293500;TraesCS4D01G080700;TraesCS2B01G410100;TraesCS5D01G223700;TraesCS6B01G151900;TraesCS7B01G124100;TraesCS6A01G070600;TraesCS1D01G199100;TraesCS5B01G147600;TraesCS6A01G210200;TraesCS6D01G195400;TraesCS4A01G124000;TraesCS1A01G158500;TraesCS2A01G239200;TraesCS4D01G086000;TraesCS1B01G155600;TraesCS6B01G161800;TraesCS7A01G329600;TraesCS1A01G284300;TraesCS6B01G171600;TraesCS1B01G434400;TraesCS4B01G073200;TraesCS6A01G269700;TraesCS7D01G130500;TraesCS1A01G309200;TraesCS6B01G189000;TraesCS7D01G000100;TraesCS5B01G121000;TraesCS7B01G207300;TraesCS4A01G150500</t>
  </si>
  <si>
    <t>TraesCS5B01G484700;TraesCS1D01G449000;TraesCS4B01G213600;TraesCS4D01G147100;TraesCS5A01G014400;TraesCS1A01G355200;TraesCS7B01G382800;TraesCS7B01G104400;TraesCS5B01G094600;TraesCS3B01G242700;TraesCS5B01G324800;TraesCS5D01G429200;TraesCS2D01G233900;TraesCS3B01G219700;TraesCS2A01G171900;TraesCS4A01G286700;TraesCS1A01G130700;TraesCS7B01G411000;TraesCS5A01G336500;TraesCS4B01G347000;TraesCS5D01G026000;TraesCS3D01G296900;TraesCS4D01G220700;TraesCS6D01G287300;TraesCS3A01G393400;TraesCS4A01G101500;TraesCS6A01G225200;TraesCS2B01G257300;TraesCS4D01G204000;TraesCS4D01G025700;TraesCS5A01G093200;TraesCS6D01G162200;TraesCS7D01G339300;TraesCS4A01G120000;TraesCS4D01G120900;TraesCS7D01G224400;TraesCS4B01G109700;TraesCS2B01G201700;TraesCS2D01G093700;TraesCS3B01G309700;TraesCS2B01G207000;TraesCS6D01G047400;TraesCS7D01G283600;TraesCS3B01G423600;TraesCS5A01G189600;TraesCS3A01G380100;TraesCS2D01G383800;TraesCS1B01G274600;TraesCS2B01G303300;TraesCS6B01G238600;TraesCS7A01G222800;TraesCS5D01G118200;TraesCS4A01G138800;TraesCS2D01G328100;TraesCS4D01G094700;TraesCS7B01G219700;TraesCS7B01G162300;TraesCS5B01G084600;TraesCS4D01G081600;TraesCS1B01G271100;TraesCS6A01G158300;TraesCS4A01G158400;TraesCS3A01G224800;TraesCS5D01G321900;TraesCS7A01G466900;TraesCS2B01G520500;TraesCS7A01G252000;TraesCS1B01G366400;TraesCS2B01G315300;TraesCS5A01G315800;TraesCS5D01G044700;TraesCS5A01G357400;TraesCS3A01G137000;TraesCS3A01G521600;TraesCS3A01G288200;TraesCS2B01G325100;TraesCS4A01G005000;TraesCS4A01G078800;TraesCS3A01G268600;TraesCS3D01G224800;TraesCS5A01G199600;TraesCS2A01G517900;TraesCS6A01G123800;TraesCS1D01G264100;TraesCS5D01G013100;TraesCS7D01G227300;TraesCS5B01G409400;TraesCS6B01G213100;TraesCS1B01G343100;TraesCS1D01G401900;TraesCS5D01G412600;TraesCS3A01G330200;TraesCS3A01G334800;TraesCS7D01G288700;TraesCS1B01G193700;TraesCS5D01G099800;TraesCS5D01G530200;TraesCS4A01G178600;TraesCS5A01G119300;TraesCS3D01G507500;TraesCS4D01G252700;TraesCS6A01G355300;TraesCS3A01G381000;TraesCS1A01G092700;TraesCS7D01G025000;TraesCS2A01G223600;TraesCS2A01G200500;TraesCS5A01G004200;TraesCS3A01G151100;TraesCS7D01G250100;TraesCS7A01G307000;TraesCS1A01G224700;TraesCS6D01G362000;TraesCS6B01G246600;TraesCS1D01G155800;TraesCS5D01G141200;TraesCS7B01G197000;TraesCS6A01G209800;TraesCS5B01G396700;TraesCS4B01G246900;TraesCS6D01G149800;TraesCS5A01G104800;TraesCS2D01G094400;TraesCS7B01G129300;TraesCS3A01G435700;TraesCS6B01G256400;TraesCS3D01G228800;TraesCS7D01G407700;TraesCS1D01G211600;TraesCS7D01G231600;TraesCS7A01G313900;TraesCS7B01G006600;TraesCS5D01G237400;TraesCS2B01G348600;TraesCS2A01G175400;TraesCS3B01G268900;TraesCS4A01G354500;TraesCS6D01G094200;TraesCS4B01G129700;TraesCS4B01G150300;TraesCS5D01G248300;TraesCS2D01G194000;TraesCS4D01G318200;TraesCS6A01G308100;TraesCS4A01G262900;TraesCS1D01G003700;TraesCS6A01G336800;TraesCS6B01G134800;TraesCS2A01G338100;TraesCS3D01G271800;TraesCS3D01G288000;TraesCS2B01G602100;TraesCS5B01G563800;TraesCS6B01G176600;TraesCS2D01G528800;TraesCS4D01G003100;TraesCS2D01G059400;TraesCS6A01G322400;TraesCS1B01G200800;TraesCS2D01G279300;TraesCS6A01G259000;TraesCS3B01G154900;TraesCS1D01G383500;TraesCS2D01G327400;TraesCS5B01G517900;TraesCS4A01G227500;TraesCS6A01G146500;TraesCS5D01G424400;TraesCS2A01G110700;TraesCS3B01G400900;TraesCS5A01G241800;TraesCS7D01G447100;TraesCS1A01G172100;TraesCS6D01G283300;TraesCS5A01G416700;TraesCS5B01G256400;TraesCS4A01G247300;TraesCS6B01G331800;TraesCS2D01G407000;TraesCS3D01G412500;TraesCS4B01G131800;TraesCS1A01G281700;TraesCS4B01G109900;TraesCS5A01G460600;TraesCS1D01G198700;TraesCS5D01G480300;TraesCS7B01G119300;TraesCS4A01G093100;TraesCS6D01G121300;TraesCS4B01G252400;TraesCS4A01G125000;TraesCS1A01G260500;TraesCS2A01G234900;TraesCS5A01G468600;TraesCS1B01G049300;TraesCS3D01G323700;TraesCS3D01G411200;TraesCS5D01G219500;TraesCS5A01G108000;TraesCS6D01G077500;TraesCS1D01G101200;TraesCS7A01G368900;TraesCS3A01G099300;TraesCS4D01G170800;TraesCS4A01G119800;TraesCS5D01G171100;TraesCS5A01G467500;TraesCS5D01G517600;TraesCS4D01G246300;TraesCS2B01G457300;TraesCS2A01G229300;TraesCS2A01G097900;TraesCS7B01G350400;TraesCS1A01G409600;TraesCS1A01G027200;TraesCS2D01G565200;TraesCS2A01G022000;TraesCS2D01G248600;TraesCS6D01G113900;TraesCS4A01G080100;TraesCS6B01G257900;TraesCS6D01G237400;TraesCS6A01G289200;TraesCS7D01G265200;TraesCS6A01G105400;TraesCS2B01G263300;TraesCS4B01G158000;TraesCS2B01G070700;TraesCS4A01G013500;TraesCS4A01G298100;TraesCS1A01G144300;TraesCS4A01G355100;TraesCS6A01G230100;TraesCS1B01G462200;TraesCS2A01G187700;TraesCS3D01G188800;TraesCS6B01G239000;TraesCS3B01G385400;TraesCS5B01G270200;TraesCS7B01G352800;TraesCS4A01G494400;TraesCS5B01G228900;TraesCS6A01G113000;TraesCS5B01G300100;TraesCS7D01G439900;TraesCS1B01G326400;TraesCS2D01G362700;TraesCS2D01G389900;TraesCS4B01G263100;TraesCS2D01G118000;TraesCS5D01G332000;TraesCS3D01G237100;TraesCS4D01G339700;TraesCS7D01G083200;TraesCS1D01G242500;TraesCS4B01G083600;TraesCS4D01G107400;TraesCS7D01G224900;TraesCS1B01G478800;TraesCS4A01G254100;TraesCS4D01G327300;TraesCS1A01G278000;TraesCS6B01G393500;TraesCS5B01G387600;TraesCS4B01G162900;TraesCS4A01G376000;TraesCS5A01G088400;TraesCS2A01G095300;TraesCS3A01G264700;TraesCS2D01G303500;TraesCS2A01G246700;TraesCS4A01G110800;TraesCS3D01G268700;TraesCS4A01G290400;TraesCS1A01G313300;TraesCS5A01G490500;TraesCS5B01G409700;TraesCS2B01G248100;TraesCS2D01G238600;TraesCS4A01G206400;TraesCS1D01G024800;TraesCS3A01G417000;TraesCS2D01G524500;TraesCS7D01G409000;TraesCS5B01G534400;TraesCS6B01G342300;TraesCS3A01G295400;TraesCS5B01G477800;TraesCS6D01G246300;TraesCS3D01G426300;TraesCS2A01G286500;TraesCS6D01G337500;TraesCS3D01G231200;TraesCS7D01G449900;TraesCS7D01G338600;TraesCS6A01G373400;TraesCS2A01G197900;TraesCS3D01G380100;TraesCS7A01G260600;TraesCS4A01G226900;TraesCS7A01G318800;TraesCS1B01G377800;TraesCS1A01G185900;TraesCS1A01G388400;TraesCS2B01G528300;TraesCS6D01G357100;TraesCS5A01G192000;TraesCS6D01G122800;TraesCS2D01G241800;TraesCS3D01G137800;TraesCS6B01G253900;TraesCS4D01G013900;TraesCS5B01G378700;TraesCS1A01G376400;TraesCS1B01G325100;TraesCS5B01G102600;TraesCS4B01G023800;TraesCS2B01G004000;TraesCS2D01G361800;TraesCS2A01G149600;TraesCS7D01G327700;TraesCS6B01G315800;TraesCS1A01G180200;TraesCS3B01G362100;TraesCS3D01G495100;TraesCS6D01G182200;TraesCS4B01G204500;TraesCS3D01G275600;TraesCS2D01G310000;TraesCS4A01G220100;TraesCS2D01G519500;TraesCS2B01G227800;TraesCS4A01G283000;TraesCS3B01G566600;TraesCS7B01G242200;TraesCS3A01G530100;TraesCS4B01G138800;TraesCS2B01G404600;TraesCS7A01G304400;TraesCS7A01G560200;TraesCS2A01G273400;TraesCS5A01G212500;TraesCS5D01G285200;TraesCS6B01G242800;TraesCS1B01G200300;TraesCS4A01G232300;TraesCS1B01G156600;TraesCS3A01G184800;TraesCS6B01G450500;TraesCS2B01G363200;TraesCS4B01G242800;TraesCS7A01G480700;TraesCS6A01G290600;TraesCS1A01G315900;TraesCS1D01G086600;TraesCS2B01G133500;TraesCS6D01G302200;TraesCS1B01G422200;TraesCS4A01G315700;TraesCS1A01G263400;TraesCS2B01G273900;TraesCS6D01G163700;TraesCS2A01G523600;TraesCS4A01G324400;TraesCS6A01G307700;TraesCS6B01G344100;TraesCS2D01G057900;TraesCS1D01G134300;TraesCS6D01G364900;TraesCS6D01G299200;TraesCS2A01G431900;TraesCS3B01G306000;TraesCS3D01G304800;TraesCS4A01G276300;TraesCS5A01G036600;TraesCS4D01G194400;TraesCS1D01G390500;TraesCS2D01G022800;TraesCS5D01G164800;TraesCS5A01G324200;TraesCS1B01G293500;TraesCS4D01G080700;TraesCSU01G047800;TraesCS1A01G158500;TraesCS4D01G086000;TraesCS6B01G161800;TraesCS1A01G284300;TraesCS6B01G171600;TraesCS1B01G434400;TraesCS4B01G073200;TraesCS1A01G309200;TraesCS6B01G388100;TraesCS2B01G260800;TraesCS2D01G324900;TraesCS7D01G292000;TraesCS2A01G246200;TraesCS1D01G210200;TraesCS4A01G226500;TraesCS4A01G432400;TraesCS5B01G531900;TraesCS1B01G146200;TraesCS2D01G014800;TraesCS6B01G295700;TraesCS7D01G467500;TraesCS2A01G409700;TraesCS4D01G153900;TraesCS2A01G262700;TraesCS5B01G057300;TraesCS4A01G065400;TraesCS2D01G136200;TraesCS1A01G324800;TraesCS5D01G532100;TraesCS6A01G133100;TraesCS5A01G166800;TraesCS7A01G323200;TraesCS5D01G201300;TraesCS3A01G205100;TraesCS6A01G203300;TraesCS3D01G428300;TraesCS6B01G112700;TraesCS5A01G149000;TraesCS4D01G068100;TraesCS2B01G233400;TraesCS2A01G193800;TraesCS6D01G390000;TraesCS4D01G151500;TraesCS5A01G014500;TraesCSU01G093800;TraesCS6D01G357600;TraesCS6D01G298300;TraesCS4D01G085900;TraesCS5A01G472100;TraesCS3D01G210300;TraesCS1D01G409700;TraesCS4A01G167000;TraesCS1D01G396300;TraesCS6D01G095800;TraesCS1D01G260500;TraesCS5B01G171400;TraesCS2B01G382000;TraesCS3D01G281100;TraesCS6B01G282200;TraesCS3D01G065800;TraesCS3A01G332300;TraesCS1D01G325500;TraesCS6A01G212200;TraesCS1A01G246800;TraesCS3B01G149800;TraesCS4A01G042500;TraesCS2A01G157700;TraesCS5D01G100800;TraesCS6B01G159800;TraesCS6D01G244900;TraesCS5B01G479200;TraesCS3D01G421500;TraesCS3D01G327600;TraesCS1A01G195500;TraesCS2B01G328500;TraesCS6D01G344100;TraesCS7B01G242800;TraesCS3A01G322500;TraesCS5B01G036800;TraesCS4A01G342800;TraesCS5A01G230400;TraesCS4B01G041900;TraesCS6A01G279100;TraesCS4B01G314600;TraesCS7D01G373100;TraesCS1A01G152800;TraesCS1A01G024700;TraesCS4D01G160000;TraesCS1D01G314600;TraesCS6B01G336300;TraesCS3A01G082700;TraesCS3B01G307600;TraesCS3A01G276100;TraesCS3B01G303000;TraesCS4B01G088400;TraesCS1A01G299500;TraesCS4D01G003600;TraesCS3B01G412600;TraesCS5B01G517400;TraesCS1D01G190900;TraesCS4B01G015600;TraesCS2B01G346500;TraesCS6B01G470700;TraesCS5D01G481500;TraesCS2D01G492600;TraesCSU01G072700;TraesCS4B01G288200;TraesCS6D01G398100;TraesCS5A01G089900;TraesCS6A01G143300;TraesCS3B01G254400;TraesCS5D01G366500;TraesCS4B01G220400;TraesCS4D01G214300;TraesCS7A01G264300;TraesCS1D01G316200;TraesCS7D01G228500;TraesCS2A01G280500;TraesCS2B01G401900;TraesCS1A01G264000;TraesCS3A01G052700;TraesCS1D01G058300;TraesCS2D01G242100;TraesCS3A01G189400;TraesCS3D01G527700;TraesCS7A01G341000;TraesCS7B01G177700;TraesCS5B01G419300;TraesCS7D01G284200;TraesCS7B01G189500;TraesCS2B01G428100;TraesCS3D01G240800;TraesCS3B01G252200;TraesCS7A01G004000;TraesCS3B01G088300;TraesCS4D01G122800;TraesCS3B01G435900;TraesCS1B01G439600;TraesCS7B01G278200;TraesCS2B01G304900;TraesCS1A01G198400;TraesCS3D01G203400;TraesCS5D01G459800;TraesCS3A01G191700;TraesCS3D01G328100;TraesCS4B01G290300;TraesCS2D01G105300;TraesCS6D01G062500;TraesCS5D01G361000;TraesCS6B01G414800;TraesCS6B01G470900;TraesCS1B01G290800;TraesCS7B01G085700;TraesCS4D01G085700;TraesCS2B01G592500;TraesCS1D01G277100;TraesCS2D01G205900;TraesCS6D01G212000;TraesCS3B01G209400;TraesCS5D01G229900;TraesCS4A01G058000;TraesCS4D01G283800;TraesCS1B01G220700;TraesCS3A01G402500;TraesCS5D01G551200;TraesCS1A01G137000;TraesCS7A01G381900;TraesCS7A01G450600;TraesCS7D01G073000;TraesCS3D01G083400;TraesCS3A01G503200;TraesCS4B01G164800;TraesCS5B01G037500;TraesCS1A01G259700;TraesCS4A01G364400;TraesCS2B01G174700;TraesCS3B01G257700;TraesCS3D01G373300;TraesCS7D01G378400;TraesCS4A01G144500;TraesCS5D01G437600;TraesCS3D01G514100;TraesCS1B01G337800;TraesCS7D01G343300;TraesCS7A01G335600;TraesCS5D01G341200;TraesCS6B01G304100;TraesCS5A01G020800;TraesCS6A01G319100;TraesCS7A01G226000;TraesCS7A01G452800;TraesCS5A01G113700;TraesCS6B01G419000;TraesCS7B01G421100;TraesCS1A01G129400;TraesCS4A01G246100;TraesCS6A01G360600;TraesCS3B01G224600;TraesCS7A01G351100;TraesCS6A01G268600;TraesCS1D01G226100;TraesCS2B01G334800;TraesCS5A01G513500;TraesCS1D01G329100;TraesCS5D01G359800;TraesCS6A01G380200;TraesCS6B01G159200;TraesCS1A01G112800;TraesCS6B01G113200;TraesCS7A01G350000;TraesCS5B01G431500;TraesCS6D01G204800;TraesCS2D01G417300;TraesCS3B01G112900;TraesCS3A01G205900;TraesCS3B01G131400;TraesCS4B01G321500;TraesCS4D01G133500;TraesCS7A01G088100;TraesCS7D01G549100;TraesCS2A01G563500;TraesCS1B01G255100;TraesCS6D01G224200;TraesCS6B01G219700;TraesCS6A01G379000;TraesCS3A01G103900;TraesCS4B01G090000;TraesCS3B01G222400;TraesCS1B01G254000;TraesCS3A01G513500;TraesCS2A01G103300;TraesCS1D01G412600;TraesCS4D01G359000;TraesCS7A01G077400;TraesCS1D01G229400;TraesCS6A01G303800;TraesCS4B01G285000;TraesCS6D01G135800;TraesCS3D01G423300;TraesCS4A01G091100;TraesCS4A01G194100;TraesCS5A01G466100;TraesCS4D01G341900;TraesCS5D01G472300;TraesCS5D01G143800;TraesCS1D01G280900;TraesCS2A01G437700;TraesCS3A01G275700;TraesCS5A01G353700;TraesCS7A01G002900;TraesCS1A01G206900;TraesCS3B01G214600;TraesCS6D01G350000;TraesCS2B01G263600;TraesCS2A01G222600;TraesCS6B01G402300;TraesCS1B01G396800;TraesCS5B01G502700;TraesCS2A01G235900;TraesCS3D01G194300;TraesCS7D01G148200;TraesCS2D01G520000;TraesCS4A01G036500;TraesCS5B01G099300;TraesCS3A01G272200;TraesCS4B01G069200;TraesCS4A01G185400;TraesCS4A01G387000;TraesCS5B01G503800;TraesCS7D01G200800;TraesCS6D01G259500;TraesCS6B01G307200;TraesCS1D01G392400;TraesCS7A01G285800;TraesCS2D01G246100;TraesCS1D01G352300;TraesCS4A01G051900;TraesCS3A01G200400;TraesCS2A01G492300;TraesCS3B01G564100;TraesCS5B01G509100;TraesCS6D01G132500;TraesCS6D01G210000;TraesCS5B01G214400;TraesCS4D01G264800;TraesCS6A01G107900;TraesCS4D01G039100;TraesCS1D01G242400;TraesCS2B01G312600;TraesCS2D01G208300;TraesCS1D01G298400;TraesCS1A01G431600;TraesCS1A01G133500;TraesCS1D01G125300;TraesCS6D01G238800;TraesCS7D01G499800;TraesCS3D01G482500;TraesCS2D01G296800;TraesCS3D01G264800;TraesCS1D01G155100;TraesCS3A01G212600;TraesCS7A01G223300;TraesCS1B01G261600;TraesCS1D01G226500;TraesCS5A01G092400;TraesCS4B01G168300;TraesCS1D01G149900;TraesCS4B01G133200;TraesCS7D01G454700;TraesCS2A01G058700;TraesCS5A01G215900;TraesCS2B01G343900;TraesCS6B01G251600;TraesCS4D01G021400;TraesCS3B01G426500;TraesCS4D01G348500;TraesCS6A01G130900;TraesCS2B01G385300;TraesCS4B01G354600;TraesCS5A01G429500;TraesCS7A01G376800;TraesCS5B01G335500;TraesCS7B01G451500;TraesCS1D01G331000;TraesCS2B01G050600;TraesCS6A01G312100;TraesCS3D01G529200;TraesCS4A01G157100;TraesCS5D01G504600;TraesCS1D01G178000;TraesCS3A01G523700;TraesCS4B01G028100;TraesCS7D01G004500;TraesCS1A01G001800;TraesCS2B01G297800;TraesCS2D01G111300;TraesCS7B01G230100;TraesCS2B01G457600;TraesCS2B01G247100;TraesCS2B01G157600;TraesCS3A01G023800;TraesCS1D01G440900;TraesCS3A01G367000;TraesCS7D01G315400;TraesCS2A01G114400;TraesCS6A01G314100;TraesCS4D01G194300;TraesCS3D01G325800;TraesCS4B01G179400;TraesCS1D01G313800;TraesCS5A01G548800;TraesCS3D01G162700;TraesCS2A01G387000;TraesCS3A01G097200;TraesCS5B01G344200;TraesCS2D01G182700;TraesCS3A01G100000;TraesCS2B01G198300;TraesCS3B01G309400;TraesCS6B01G319000;TraesCS7D01G442100;TraesCS2A01G134000;TraesCS2D01G229600;TraesCS2D01G249200;TraesCS6A01G267300;TraesCS2B01G098800;TraesCS3A01G304900;TraesCS4D01G263300;TraesCS5B01G220900;TraesCS4B01G344600;TraesCS4D01G150700;TraesCS2A01G296400;TraesCS2B01G321700;TraesCS5D01G478900;TraesCS7B01G184800;TraesCS5D01G105500;TraesCS1B01G213300;TraesCS1A01G111100;TraesCS4A01G164900;TraesCS5B01G136500;TraesCS2B01G122500;TraesCS5B01G509500;TraesCS5B01G510500;TraesCS2B01G410100;TraesCS5A01G515700;TraesCS5D01G223700;TraesCS6B01G151900;TraesCS7B01G124100;TraesCS6A01G070600;TraesCS1D01G199100;TraesCS5B01G147600;TraesCS6D01G174500;TraesCS6A01G210200;TraesCS6D01G195400;TraesCS2B01G225300;TraesCS3B01G470400;TraesCS4A01G124000;TraesCS2A01G239200;TraesCS6D01G193000;TraesCS1B01G155600;TraesCS7A01G329600;TraesCS5B01G481100;TraesCS7D01G130500;TraesCS6B01G189000;TraesCS7D01G000100;TraesCS4D01G242400;TraesCS5B01G121000;TraesCS7B01G207300;TraesCS4A01G150500</t>
  </si>
  <si>
    <t>TraesCS5B01G484700;TraesCS7D01G294300;TraesCS6B01G454500;TraesCS1D01G449000;TraesCS6D01G344200;TraesCS3B01G206600;TraesCS2B01G530100;TraesCS3B01G193200;TraesCS4D01G147100;TraesCS7D01G056800;TraesCS1A01G355200;TraesCS7B01G382800;TraesCS7B01G104400;TraesCS7A01G190700;TraesCS5B01G265500;TraesCS3B01G242700;TraesCS1D01G259600;TraesCS5B01G324800;TraesCS5D01G429200;TraesCS2D01G233900;TraesCS5B01G255700;TraesCS4B01G323000;TraesCS1B01G202100;TraesCS2B01G448000;TraesCS4A01G286700;TraesCS1B01G255900;TraesCS1A01G130700;TraesCS7B01G411000;TraesCS4B01G135800;TraesCS5D01G376600;TraesCS4B01G347000;TraesCS5D01G026000;TraesCS4D01G220700;TraesCS4B01G066700;TraesCS3A01G091100;TraesCS4A01G101500;TraesCS2B01G257300;TraesCS4D01G250100;TraesCS7D01G339300;TraesCS5B01G174600;TraesCS4D01G120900;TraesCS6B01G190300;TraesCS7D01G224400;TraesCS5B01G171100;TraesCS5A01G143800;TraesCS2B01G201700;TraesCS5D01G178300;TraesCS2A01G313000;TraesCS2B01G207000;TraesCS6D01G047400;TraesCS5A01G229300;TraesCS6A01G245000;TraesCS7B01G103100;TraesCS4D01G278500;TraesCS4D01G047300;TraesCS7A01G269900;TraesCS7D01G283600;TraesCS3B01G423600;TraesCS5A01G189600;TraesCS1B01G375300;TraesCS1B01G274600;TraesCS2B01G303300;TraesCS7A01G222800;TraesCS2D01G102100;TraesCS5D01G118200;TraesCS1A01G275400;TraesCS1A01G403800;TraesCS2B01G099500;TraesCS4A01G138800;TraesCS3D01G407300;TraesCS4D01G132900;TraesCS7B01G219700;TraesCS7B01G162300;TraesCS5B01G084600;TraesCS4D01G081600;TraesCS1B01G271100;TraesCS4A01G158400;TraesCS3A01G224800;TraesCS5D01G321900;TraesCS7A01G466900;TraesCS1B01G366400;TraesCS2B01G315300;TraesCS5A01G315800;TraesCS5D01G044700;TraesCS6B01G296700;TraesCS4A01G446700;TraesCS1A01G025900;TraesCS2D01G201000;TraesCS4D01G165800;TraesCS3A01G137000;TraesCS7D01G291200;TraesCS5B01G185700;TraesCS2A01G467900;TraesCS3A01G521600;TraesCS5D01G280400;TraesCS7B01G217500;TraesCS2B01G477400;TraesCS3A01G366400;TraesCS6B01G062400;TraesCS4A01G298700;TraesCS5A01G221800;TraesCS2B01G325100;TraesCS2A01G517900;TraesCS6A01G123800;TraesCS1D01G264100;TraesCS5D01G013100;TraesCS6D01G041700;TraesCS4D01G127100;TraesCS5B01G409400;TraesCS6A01G018600;TraesCS6B01G213100;TraesCS7A01G390300;TraesCS1D01G401900;TraesCS3A01G334800;TraesCS3D01G041900;TraesCS5D01G099800;TraesCS2D01G037400;TraesCS1A01G218000;TraesCS5B01G539900;TraesCS3D01G236200;TraesCS5A01G119300;TraesCS5A01G123800;TraesCS3D01G507500;TraesCS4D01G252700;TraesCS5B01G154600;TraesCS6B01G199500;TraesCS1A01G092700;TraesCS6D01G007800;TraesCS5A01G096100;TraesCS2A01G093700;TraesCS2A01G187200;TraesCS7B01G054900;TraesCS7A01G307000;TraesCS1A01G224700;TraesCS1D01G241000;TraesCS6D01G362000;TraesCS1D01G155800;TraesCS7B01G197000;TraesCS6D01G186000;TraesCS6A01G209800;TraesCS2B01G086200;TraesCS5A01G054700;TraesCS1A01G036200;TraesCS1D01G252100;TraesCS1B01G167200;TraesCS5D01G261300;TraesCS7A01G220600;TraesCS3A01G447500;TraesCS3D01G298000;TraesCS2D01G362200;TraesCS6B01G356900;TraesCS6D01G149800;TraesCS2D01G094400;TraesCS7B01G129300;TraesCS3D01G376500;TraesCS5B01G557300;TraesCS1B01G378000;TraesCS3A01G278200;TraesCS1D01G211600;TraesCS4D01G240700;TraesCS2A01G038400;TraesCS7D01G231600;TraesCS6D01G179700;TraesCS7D01G332300;TraesCS7A01G139800;TraesCS1B01G301500;TraesCS2B01G348600;TraesCS3A01G476000;TraesCS2D01G397800;TraesCS3A01G084400;TraesCS3B01G093800;TraesCS3B01G268900;TraesCS4A01G354500;TraesCS6D01G094200;TraesCS5D01G248300;TraesCS2A01G092400;TraesCS4D01G318200;TraesCS2B01G150400;TraesCS6A01G336800;TraesCS5A01G171900;TraesCS3D01G271800;TraesCS4B01G245400;TraesCS2D01G528800;TraesCS2B01G222600;TraesCS1B01G200800;TraesCS2B01G079500;TraesCS4B01G287200;TraesCS2D01G279300;TraesCS4D01G107000;TraesCS5A01G132300;TraesCS3B01G370200;TraesCS1A01G238900;TraesCS3B01G154900;TraesCS1D01G383500;TraesCS2D01G327400;TraesCS4A01G227500;TraesCS7D01G032800;TraesCS7A01G518200;TraesCS6A01G146500;TraesCS5D01G424400;TraesCS2A01G110700;TraesCS7A01G231700;TraesCS3B01G400900;TraesCS5A01G241800;TraesCS2A01G084800;TraesCS7D01G447100;TraesCS3A01G187300;TraesCS1A01G172100;TraesCS5B01G294900;TraesCS7D01G169500;TraesCS4B01G154900;TraesCS3A01G271600;TraesCS4B01G131800;TraesCS1A01G281700;TraesCS4B01G109900;TraesCS5A01G460600;TraesCS6A01G077800;TraesCS2A01G382000;TraesCS7B01G446500;TraesCS1A01G259800;TraesCS5D01G525000;TraesCS4A01G125000;TraesCS2B01G307300;TraesCS6A01G184000;TraesCS2A01G234900;TraesCS5A01G468600;TraesCS5D01G162400;TraesCS3D01G359900;TraesCS1D01G101200;TraesCS7A01G368900;TraesCS4D01G170800;TraesCS2B01G229600;TraesCS5D01G148100;TraesCS3B01G408800;TraesCS2B01G457300;TraesCS7D01G216000;TraesCS7B01G350400;TraesCS1A01G409600;TraesCS1A01G155200;TraesCS1A01G027200;TraesCS6A01G201800;TraesCS2B01G309500;TraesCS3D01G289600;TraesCS2A01G022000;TraesCS2D01G248600;TraesCS6D01G113900;TraesCS4A01G080100;TraesCS6B01G257900;TraesCS2B01G330100;TraesCS4B01G158000;TraesCS2B01G070700;TraesCS4B01G069300;TraesCS2A01G330000;TraesCS5A01G491400;TraesCS1B01G462200;TraesCS2A01G187700;TraesCS3D01G188800;TraesCS2D01G154100;TraesCS1D01G239100;TraesCS4A01G494400;TraesCS5B01G228900;TraesCS7D01G439900;TraesCS1D01G092200;TraesCS1B01G326400;TraesCS5D01G166800;TraesCS2D01G362700;TraesCS2D01G118000;TraesCS3D01G237100;TraesCS6B01G182300;TraesCS1B01G352700;TraesCS7D01G083200;TraesCS4A01G178800;TraesCS4B01G083600;TraesCS7A01G192000;TraesCS4D01G107400;TraesCS7D01G224900;TraesCS7D01G117800;TraesCS6D01G141100;TraesCS3A01G193900;TraesCS1A01G278000;TraesCS2B01G434600;TraesCS6B01G393500;TraesCS5B01G387600;TraesCS4B01G162900;TraesCS3B01G265000;TraesCS2B01G079100;TraesCS5A01G088400;TraesCS2D01G114900;TraesCS2D01G303500;TraesCS4A01G110800;TraesCS1D01G094400;TraesCS3D01G268700;TraesCS4A01G290400;TraesCS6B01G174700;TraesCS1A01G313300;TraesCS3D01G258900;TraesCS5A01G490500;TraesCS6D01G247400;TraesCS7A01G182200;TraesCS3D01G388400;TraesCS1D01G024800;TraesCS2A01G344600;TraesCS2D01G524500;TraesCS4D01G086400;TraesCS6B01G342300;TraesCS4A01G059500;TraesCS5D01G417600;TraesCS3D01G278500;TraesCS2D01G239700;TraesCS2A01G286500;TraesCS6D01G337500;TraesCS3D01G191100;TraesCS6A01G373400;TraesCS2A01G197900;TraesCS3D01G380100;TraesCS3A01G248000;TraesCS7A01G260600;TraesCS4A01G023500;TraesCS1A01G185900;TraesCS4A01G092500;TraesCS2B01G528300;TraesCS6D01G357100;TraesCS4D01G088200;TraesCS5A01G192000;TraesCS6D01G122800;TraesCS6A01G269400;TraesCS6B01G253900;TraesCS4D01G013900;TraesCS5B01G378700;TraesCS2A01G225100;TraesCS1B01G325100;TraesCS5B01G102600;TraesCS5A01G113200;TraesCS2D01G361800;TraesCS2B01G415500;TraesCS7D01G327700;TraesCS7B01G182300;TraesCS2B01G340300;TraesCS3D01G346200;TraesCS1A01G180200;TraesCS3B01G228900;TraesCS3B01G362100;TraesCS3D01G495100;TraesCS1D01G241800;TraesCS4B01G204500;TraesCS4A01G220100;TraesCS1A01G145000;TraesCS2D01G519500;TraesCS2B01G227800;TraesCS3B01G566600;TraesCS5A01G173700;TraesCS3A01G530100;TraesCS7D01G413700;TraesCS4B01G138800;TraesCS4D01G193500;TraesCS7A01G304400;TraesCS7D01G374900;TraesCS7A01G560200;TraesCS3A01G398000;TraesCS1B01G110400;TraesCS2A01G460000;TraesCS5A01G212500;TraesCS5D01G285200;TraesCS6B01G242800;TraesCS1B01G200300;TraesCS1B01G317500;TraesCS1B01G156600;TraesCS3B01G308200;TraesCS5A01G396700;TraesCS6B01G450500;TraesCS4B01G242800;TraesCS7A01G480700;TraesCS1A01G315900;TraesCS2A01G226000;TraesCS2B01G107200;TraesCS2B01G051600;TraesCS6D01G245600;TraesCS2B01G133500;TraesCS4B01G165100;TraesCS1B01G422200;TraesCS4A01G315700;TraesCS5A01G056400;TraesCS1A01G263400;TraesCS6A01G078200;TraesCS7D01G107600;TraesCS7D01G457900;TraesCS6D01G163700;TraesCS6B01G344100;TraesCS5A01G046600;TraesCS2B01G318400;TraesCS2D01G057900;TraesCS1B01G261700;TraesCS2A01G431900;TraesCS3B01G306000;TraesCS1A01G358800;TraesCS5B01G155100;TraesCS3D01G304800;TraesCS4D01G194400;TraesCS4D01G301300;TraesCS2D01G022800;TraesCS1B01G165500;TraesCS5A01G324200;TraesCS4D01G080700;TraesCS5B01G393900;TraesCSU01G135100;TraesCSU01G047800;TraesCS2D01G300400;TraesCS4D01G086000;TraesCS6B01G161800;TraesCS1A01G284300;TraesCS6B01G171600;TraesCS3B01G426600;TraesCS2B01G352300;TraesCS1A01G309200;TraesCS3D01G087300;TraesCS4B01G380800;TraesCS6A01G163500;TraesCS2B01G191800;TraesCS6B01G388100;TraesCS7D01G292000;TraesCS5A01G200800;TraesCS6B01G191500;TraesCS2A01G400900;TraesCS1D01G210200;TraesCS4A01G432400;TraesCS7D01G121200;TraesCS5B01G531900;TraesCS1B01G146200;TraesCS2D01G014800;TraesCS6B01G295700;TraesCS2A01G409700;TraesCS5B01G057300;TraesCS6B01G411900;TraesCS5D01G181600;TraesCS5D01G444700;TraesCS5D01G532100;TraesCS1D01G376900;TraesCS2D01G273000;TraesCS4D01G135000;TraesCS5A01G166800;TraesCS5B01G171200;TraesCS7A01G323200;TraesCS5D01G201300;TraesCS2B01G220100;TraesCS6A01G203300;TraesCS3A01G178900;TraesCS6B01G112700;TraesCS5B01G295000;TraesCS5A01G149000;TraesCS4B01G017400;TraesCS2B01G233400;TraesCS2A01G193800;TraesCS4D01G184400;TraesCS1B01G469400;TraesCS4D01G151500;TraesCS6B01G270400;TraesCS6A01G420100;TraesCS1A01G437500;TraesCS6A01G319700;TraesCS6D01G357600;TraesCS5B01G412500;TraesCS1A01G125000;TraesCS5D01G420300;TraesCS6D01G095800;TraesCS6D01G161000;TraesCS1D01G260500;TraesCS2B01G382000;TraesCS3D01G434800;TraesCS3D01G065800;TraesCS5D01G149900;TraesCS3D01G250600;TraesCS6A01G321600;TraesCS1D01G250700;TraesCS6A01G212200;TraesCS4D01G172000;TraesCS3B01G149800;TraesCS4A01G042500;TraesCS4D01G130600;TraesCS2A01G157700;TraesCS2D01G356700;TraesCS7A01G327600;TraesCS6B01G159800;TraesCS4A01G182800;TraesCS2B01G119700;TraesCS5B01G479200;TraesCS3D01G421500;TraesCS4D01G208900;TraesCS3B01G410400;TraesCS2D01G213100;TraesCS6D01G358500;TraesCS4A01G078900;TraesCS5A01G407700;TraesCS3D01G327600;TraesCS5D01G298700;TraesCS2B01G328500;TraesCS3B01G430000;TraesCS5D01G303100;TraesCS4B01G089500;TraesCS2A01G039400;TraesCS6D01G199600;TraesCS2A01G159900;TraesCS5B01G036800;TraesCS4B01G041900;TraesCS4B01G383000;TraesCS7A01G302300;TraesCS6B01G451100;TraesCS7D01G373100;TraesCS4D01G160000;TraesCS6B01G284600;TraesCS1D01G314600;TraesCS3A01G082700;TraesCS3B01G303000;TraesCS4A01G374600;TraesCS1A01G299500;TraesCS2D01G065100;TraesCS3B01G412600;TraesCS2D01G049500;TraesCS1D01G190900;TraesCS1B01G251000;TraesCS4B01G015600;TraesCS7B01G321700;TraesCS3A01G478100;TraesCS7D01G072100;TraesCS3A01G342300;TraesCS6B01G470700;TraesCS2D01G492600;TraesCSU01G072700;TraesCS1A01G231100;TraesCS6D01G398100;TraesCS5A01G089900;TraesCS6D01G227300;TraesCS6A01G147900;TraesCS3B01G254400;TraesCS4A01G283700;TraesCS4B01G138100;TraesCS7D01G188300;TraesCS4B01G220400;TraesCS4D01G214300;TraesCS5A01G501800;TraesCS6B01G174100;TraesCS6B01G342400;TraesCS4A01G116000;TraesCS3A01G484800;TraesCS1A01G264000;TraesCS2D01G322900;TraesCS1D01G058300;TraesCS4D01G167900;TraesCS7A01G341000;TraesCS2D01G198300;TraesCS7B01G189500;TraesCS3D01G240800;TraesCS2A01G398900;TraesCS3B01G252200;TraesCS7A01G004000;TraesCS3B01G088300;TraesCS6B01G455100;TraesCS1B01G344300;TraesCS5D01G144600;TraesCS1B01G439600;TraesCS2B01G304900;TraesCS1A01G198400;TraesCS3D01G203400;TraesCS2D01G138200;TraesCS5D01G459800;TraesCS3D01G328100;TraesCS4B01G290300;TraesCS2A01G128300;TraesCS2D01G105300;TraesCS6D01G062500;TraesCS5D01G361000;TraesCS5A01G367700;TraesCS2B01G451100;TraesCS7B01G176200;TraesCS7B01G085700;TraesCS4D01G085700;TraesCS2B01G592500;TraesCS1A01G361400;TraesCS2D01G205900;TraesCS3A01G447800;TraesCS3B01G209400;TraesCS3D01G386400;TraesCS4A01G111600;TraesCS4A01G058000;TraesCS4D01G283800;TraesCS1B01G220700;TraesCS6D01G065600;TraesCS1D01G244400;TraesCS3A01G402500;TraesCS5D01G551200;TraesCS1A01G137000;TraesCS5D01G169900;TraesCS7A01G381900;TraesCS7A01G450600;TraesCS7D01G073000;TraesCS4B01G164800;TraesCS4D01G133700;TraesCS4D01G319400;TraesCS4A01G364400;TraesCS6B01G223200;TraesCS4B01G244400;TraesCS7D01G378400;TraesCS4A01G144500;TraesCS5D01G437600;TraesCS5D01G189500;TraesCS1D01G117400;TraesCS3D01G514100;TraesCS7D01G123400;TraesCS2B01G240100;TraesCS7D01G343300;TraesCS3B01G279700;TraesCS7A01G335600;TraesCS6B01G304100;TraesCS6B01G117100;TraesCS7A01G452800;TraesCS3B01G269900;TraesCS6B01G419000;TraesCS7A01G288900;TraesCSU01G132400;TraesCS7B01G421100;TraesCS7D01G386000;TraesCS1A01G129400;TraesCS1D01G411300;TraesCS3B01G224600;TraesCS6A01G268600;TraesCS1D01G226100;TraesCS2B01G334800;TraesCS5A01G272400;TraesCSU01G001100;TraesCS5B01G141000;TraesCS7A01G148600;TraesCS1B01G472100;TraesCS5D01G528400;TraesCS6B01G113200;TraesCS3A01G181600;TraesCS4B01G274300;TraesCS4B01G150600;TraesCS7A01G350000;TraesCS6D01G180500;TraesCS7A01G286700;TraesCS2D01G417300;TraesCS3B01G112900;TraesCS4B01G321500;TraesCS5B01G508200;TraesCS6B01G233800;TraesCS2D01G065600;TraesCS7A01G088100;TraesCS4A01G355000;TraesCS5B01G146700;TraesCS5D01G176700;TraesCS6D01G224200;TraesCS6A01G379000;TraesCS3A01G386300;TraesCS5D01G044100;TraesCS4B01G090000;TraesCS3B01G222400;TraesCS6B01G056200;TraesCS5A01G305400;TraesCS1B01G254000;TraesCS1D01G412600;TraesCS4D01G359000;TraesCS7A01G077400;TraesCS4A01G015800;TraesCS6A01G200600;TraesCS1A01G007500;TraesCS7B01G363600;TraesCS6A01G303800;TraesCS1D01G202100;TraesCS4B01G285000;TraesCS6B01G393600;TraesCS3D01G423300;TraesCS2B01G501300;TraesCS4A01G091100;TraesCS5D01G206500;TraesCS2D01G349600;TraesCS5A01G466100;TraesCS5D01G472300;TraesCS7B01G199200;TraesCS5D01G143800;TraesCS1D01G280900;TraesCS2A01G437700;TraesCS1A01G206900;TraesCS2B01G263600;TraesCS3A01G336100;TraesCS5B01G120100;TraesCS4D01G212600;TraesCS1B01G396800;TraesCS7D01G148200;TraesCS4A01G185400;TraesCS4A01G387000;TraesCS5B01G503800;TraesCS7D01G200800;TraesCS2D01G301200;TraesCS3D01G516800;TraesCS6B01G307200;TraesCS5B01G377700;TraesCS7A01G285800;TraesCS1D01G356900;TraesCS4A01G051900;TraesCS3A01G200400;TraesCS1D01G151800;TraesCS5D01G399200;TraesCS5B01G509100;TraesCS6D01G132500;TraesCS6D01G210000;TraesCS5B01G214400;TraesCS6A01G107900;TraesCS2B01G312600;TraesCS3D01G217600;TraesCS5B01G397300;TraesCS4D01G065600;TraesCS1A01G133500;TraesCS4B01G220500;TraesCS4D01G298800;TraesCS1A01G100600;TraesCS3A01G274600;TraesCS6D01G238800;TraesCS7D01G499800;TraesCS3D01G482500;TraesCS3A01G241700;TraesCS2B01G079200;TraesCS5D01G155800;TraesCS3D01G264800;TraesCS1B01G261600;TraesCS5B01G159600;TraesCS1D01G226500;TraesCS1D01G426400;TraesCS4B01G168300;TraesCS1D01G149900;TraesCS3B01G046100;TraesCS3A01G250200;TraesCS7B01G093800;TraesCS4B01G286700;TraesCS4B01G133200;TraesCS5A01G215900;TraesCS6A01G118200;TraesCS6B01G251600;TraesCS2A01G302500;TraesCS5A01G429500;TraesCS3B01G161900;TraesCS5A01G264400;TraesCS1A01G060100;TraesCS2D01G065200;TraesCS7A01G120300;TraesCS6B01G181300;TraesCS2D01G236100;TraesCS6A01G203700;TraesCS2A01G290900;TraesCS3D01G206100;TraesCS5B01G335500;TraesCS2A01G102600;TraesCS3D01G529200;TraesCS5B01G263800;TraesCS7D01G232000;TraesCS2A01G501900;TraesCS7B01G393400;TraesCS1D01G178000;TraesCS4B01G028100;TraesCS6A01G386600;TraesCS6D01G172500;TraesCS7D01G004500;TraesCS1A01G001800;TraesCS2B01G297800;TraesCS6A01G200200;TraesCS2A01G252600;TraesCS7B01G230100;TraesCS2B01G457600;TraesCS4A01G296200;TraesCS2B01G411000;TraesCS2B01G247100;TraesCS3D01G220400;TraesCS2B01G157600;TraesCS1D01G083200;TraesCS5B01G155200;TraesCS6A01G314100;TraesCS4D01G194300;TraesCS6B01G170600;TraesCS3D01G325800;TraesCS4B01G179400;TraesCS4B01G154100;TraesCS3A01G418400;TraesCS1D01G313800;TraesCS5A01G548800;TraesCS2A01G387000;TraesCS5A01G328900;TraesCS2D01G182700;TraesCS6D01G174700;TraesCS1A01G322300;TraesCS5D01G127300;TraesCS2B01G217700;TraesCS7D01G442100;TraesCS5B01G511800;TraesCS6A01G267300;TraesCS6A01G408400;TraesCS2B01G098800;TraesCS3A01G304900;TraesCS4D01G263300;TraesCS4B01G344600;TraesCS4D01G150700;TraesCS1B01G443200;TraesCS2D01G126600;TraesCS5D01G478900;TraesCS3B01G425400;TraesCS5D01G105500;TraesCS2D01G500600;TraesCS4A01G164900;TraesCS5B01G136500;TraesCS2B01G122500;TraesCS5B01G509500;TraesCS5B01G510500;TraesCS2B01G410100;TraesCS6B01G151900;TraesCS7B01G124100;TraesCS6A01G070600;TraesCS6D01G245500;TraesCS5B01G147600;TraesCS1D01G367600;TraesCS5D01G208300;TraesCS2B01G225300;TraesCS3B01G470400;TraesCS4A01G124000;TraesCS2A01G239200;TraesCS6D01G193000;TraesCS1B01G155600;TraesCS5B01G481100;TraesCS2B01G108200;TraesCS7D01G130500;TraesCS7D01G000100;TraesCS4B01G029400;TraesCS4D01G242400;TraesCS5B01G121000;TraesCS7B01G207300;TraesCS6D01G016900;TraesCS5B01G117800;TraesCS7A01G175300;TraesCS3D01G273800;TraesCS1A01G369600;TraesCS1D01G363700;TraesCS4B01G213600;TraesCS5A01G014400;TraesCS5B01G412400;TraesCS2D01G394900;TraesCS7A01G541200;TraesCS5B01G094600;TraesCS5D01G056900;TraesCS3B01G219700;TraesCS2A01G171900;TraesCS7A01G348600;TraesCS7B01G113100;TraesCS3A01G216100;TraesCS5A01G336500;TraesCS2A01G066700;TraesCS3D01G296900;TraesCS6D01G287300;TraesCS3A01G393400;TraesCS6A01G225200;TraesCS4D01G204000;TraesCS4D01G025700;TraesCS5A01G093200;TraesCS6D01G162200;TraesCS5D01G169600;TraesCS4D01G015900;TraesCS4A01G120000;TraesCS7A01G415500;TraesCS3B01G483500;TraesCS4B01G109700;TraesCS3D01G146800;TraesCS2A01G500400;TraesCS2D01G093700;TraesCS3B01G309700;TraesCS4A01G248200;TraesCS5D01G067600;TraesCS5A01G143600;TraesCS4D01G343400;TraesCS3A01G380100;TraesCS2D01G383800;TraesCS6B01G238600;TraesCS3A01G223700;TraesCS3D01G369100;TraesCS2D01G328100;TraesCS5B01G162800;TraesCS4D01G094700;TraesCS7D01G543200;TraesCS5A01G165400;TraesCS3A01G292700;TraesCS7A01G190500;TraesCS6A01G158300;TraesCS5A01G155600;TraesCS4B01G300100;TraesCS6A01G125400;TraesCS5B01G517500;TraesCS2B01G520500;TraesCS6B01G166400;TraesCS7A01G252000;TraesCS3B01G276700;TraesCS7A01G510900;TraesCS5A01G357400;TraesCS3D01G271200;TraesCS2D01G597600;TraesCS3D01G336200;TraesCS3B01G103500;TraesCS3A01G288200;TraesCS4A01G147500;TraesCS6D01G189700;TraesCS4A01G005000;TraesCS4A01G078800;TraesCS4B01G178700;TraesCS2D01G549100;TraesCS5D01G329600;TraesCS3A01G268600;TraesCS6B01G099900;TraesCS3D01G224800;TraesCS7B01G092500;TraesCS5A01G199600;TraesCS3A01G178600;TraesCS7D01G227300;TraesCS5A01G229500;TraesCS2A01G343500;TraesCS1B01G343100;TraesCS5B01G339200;TraesCS5D01G412600;TraesCS3A01G330200;TraesCS7D01G288700;TraesCS1D01G275000;TraesCS1B01G193700;TraesCS3D01G391900;TraesCS7A01G276400;TraesCS1D01G265200;TraesCS5D01G530200;TraesCS4A01G178600;TraesCS3D01G217700;TraesCS1A01G110900;TraesCS1A01G116200;TraesCS3B01G219300;TraesCS4A01G052600;TraesCS4D01G212000;TraesCS1B01G348800;TraesCS6A01G355300;TraesCS5A01G050100;TraesCS2B01G079700;TraesCS3A01G528800;TraesCS3B01G324500;TraesCS5D01G517200;TraesCS3A01G381000;TraesCS4A01G187100;TraesCS7D01G025000;TraesCS2A01G223600;TraesCS2A01G200500;TraesCS5A01G004200;TraesCS3A01G151100;TraesCS7A01G277700;TraesCS7D01G250100;TraesCS6B01G246600;TraesCS5D01G141200;TraesCS2A01G309600;TraesCS5B01G396700;TraesCS1A01G241000;TraesCS4B01G246900;TraesCS3A01G412600;TraesCS4B01G047300;TraesCS3B01G254500;TraesCS5A01G104800;TraesCS3A01G435700;TraesCS5D01G238300;TraesCS6B01G256400;TraesCS3D01G228800;TraesCS7D01G407700;TraesCS4B01G151200;TraesCS4D01G038600;TraesCS7A01G313900;TraesCS6B01G294700;TraesCS7B01G006600;TraesCS1B01G253500;TraesCS5D01G237400;TraesCS5B01G132600;TraesCS2A01G175400;TraesCS2A01G123800;TraesCS4B01G129700;TraesCS4B01G150300;TraesCS2D01G194000;TraesCS6A01G308100;TraesCS4A01G262900;TraesCS3B01G418400;TraesCS1D01G003700;TraesCS6B01G134800;TraesCS2A01G338100;TraesCS3D01G288000;TraesCS2A01G342600;TraesCS5D01G402300;TraesCS2B01G602100;TraesCS5B01G563800;TraesCS6B01G176600;TraesCS4D01G003100;TraesCS2D01G059400;TraesCS6A01G322400;TraesCS6A01G259000;TraesCS7A01G076400;TraesCS5B01G517900;TraesCS6A01G192600;TraesCS6A01G188100;TraesCS6D01G293100;TraesCS5A01G110300;TraesCS2B01G185800;TraesCS5D01G005300;TraesCS1D01G231000;TraesCS6D01G283300;TraesCS5A01G322700;TraesCS5B01G290300;TraesCS5A01G416700;TraesCS5B01G256400;TraesCS4A01G247300;TraesCS6B01G331800;TraesCS1A01G265000;TraesCS2A01G455300;TraesCS2D01G407000;TraesCS7A01G205200;TraesCS3B01G497300;TraesCS3D01G412500;TraesCS5D01G329200;TraesCS7B01G236400;TraesCS2B01G604300;TraesCS1D01G198700;TraesCS4D01G189600;TraesCS5D01G480300;TraesCS7B01G119300;TraesCS4A01G093100;TraesCS6D01G121300;TraesCS4B01G252400;TraesCS1A01G260500;TraesCS1B01G049300;TraesCS3D01G323700;TraesCS3D01G411200;TraesCS5D01G219500;TraesCS5A01G108000;TraesCS2D01G362500;TraesCS2B01G456200;TraesCS6D01G077500;TraesCS7D01G150200;TraesCS3A01G099300;TraesCS4A01G119800;TraesCS1D01G219700;TraesCS5D01G171100;TraesCS1A01G292100;TraesCS4B01G226100;TraesCS7D01G276300;TraesCS4B01G152900;TraesCSU01G142500;TraesCS3D01G150400;TraesCS5A01G467500;TraesCS5D01G517600;TraesCS4D01G246300;TraesCS2A01G229300;TraesCS2A01G206200;TraesCS3D01G169000;TraesCS5B01G121500;TraesCS1D01G341100;TraesCS2A01G097900;TraesCS7D01G159000;TraesCS7B01G153100;TraesCS2D01G565200;TraesCS5B01G415100;TraesCS6B01G174500;TraesCS2A01G299200;TraesCS1D01G153900;TraesCS6D01G350300;TraesCS6D01G237400;TraesCS6A01G289200;TraesCS7D01G265200;TraesCS1A01G340400;TraesCS2D01G291200;TraesCS6A01G105400;TraesCS2B01G263300;TraesCS3D01G345500;TraesCS7B01G076500;TraesCS5D01G230300;TraesCS6D01G147900;TraesCS4A01G013500;TraesCS4A01G298100;TraesCS2B01G213000;TraesCS1A01G144300;TraesCS1D01G037900;TraesCS4A01G355100;TraesCS6A01G230100;TraesCS6B01G239000;TraesCS3B01G385400;TraesCS5B01G270200;TraesCS6D01G142200;TraesCS6A01G312200;TraesCS7B01G352800;TraesCS7A01G491200;TraesCS6A01G113000;TraesCS5B01G300100;TraesCS6D01G098400;TraesCS2D01G389900;TraesCS4B01G263100;TraesCS5D01G332000;TraesCS4D01G339700;TraesCS1D01G342400;TraesCS1D01G242500;TraesCS5D01G312400;TraesCS1B01G478800;TraesCS4A01G254100;TraesCS4D01G327300;TraesCS5A01G411500;TraesCS6D01G270400;TraesCS2D01G202900;TraesCS4A01G376000;TraesCS2A01G095300;TraesCS3A01G264700;TraesCS4B01G193400;TraesCS2A01G246700;TraesCS6B01G026900;TraesCS3A01G202700;TraesCS5A01G395200;TraesCS2D01G467900;TraesCS4D01G159800;TraesCS5B01G409700;TraesCS2B01G248100;TraesCS2D01G238600;TraesCS4A01G206400;TraesCS5B01G189500;TraesCS3A01G417000;TraesCS2D01G398400;TraesCS7D01G409000;TraesCS5B01G534400;TraesCS6A01G154400;TraesCS5B01G075800;TraesCS3A01G295400;TraesCS5B01G477800;TraesCS6D01G246300;TraesCS2D01G200700;TraesCS2A01G330200;TraesCS7A01G466600;TraesCS3D01G426300;TraesCS3D01G231200;TraesCS7D01G449900;TraesCS2B01G271300;TraesCS7D01G338600;TraesCS4A01G111000;TraesCS3D01G436100;TraesCS2B01G133300;TraesCS4A01G226900;TraesCS3A01G313300;TraesCS2A01G392900;TraesCS7A01G318800;TraesCS1B01G377800;TraesCS1A01G388400;TraesCS2D01G241800;TraesCS7A01G173500;TraesCS3B01G011800;TraesCS3D01G137800;TraesCS1A01G418700;TraesCS1A01G376400;TraesCS7A01G451100;TraesCS4B01G023800;TraesCS3A01G134100;TraesCS2B01G004000;TraesCS2A01G149600;TraesCS6B01G315800;TraesCS3D01G182400;TraesCS6D01G301300;TraesCS3A01G478800;TraesCS6A01G171300;TraesCS6D01G182200;TraesCS7D01G283900;TraesCS3D01G275600;TraesCS2D01G310000;TraesCS3A01G055300;TraesCS5B01G476900;TraesCS3A01G443700;TraesCS4B01G041200;TraesCS4A01G283000;TraesCS4D01G151900;TraesCS5D01G118500;TraesCS7B01G242200;TraesCS7D01G218000;TraesCS2A01G067500;TraesCS5D01G108700;TraesCS2B01G404600;TraesCS5D01G551900;TraesCS4D01G157200;TraesCS4A01G307900;TraesCS5A01G157000;TraesCS2A01G273400;TraesCS7B01G419900;TraesCS2D01G065300;TraesCS5D01G417400;TraesCS5B01G182500;TraesCS4A01G232300;TraesCS2A01G215100;TraesCS3A01G184800;TraesCS5A01G495100;TraesCS2A01G521400;TraesCS2B01G363200;TraesCS6A01G290600;TraesCS2B01G307500;TraesCS1D01G086600;TraesCS6D01G302200;TraesCS2A01G289800;TraesCS4D01G317900;TraesCS2A01G098400;TraesCS6B01G348700;TraesCS3A01G232700;TraesCS6D01G315500;TraesCS2B01G273900;TraesCS7B01G421800;TraesCS2A01G523600;TraesCS4A01G324400;TraesCS6A01G307700;TraesCS5D01G138500;TraesCS1D01G134300;TraesCS6D01G364900;TraesCS6D01G299200;TraesCS4A01G276300;TraesCS5A01G036600;TraesCS1D01G390500;TraesCS2B01G145700;TraesCS5D01G164800;TraesCS5D01G512300;TraesCS2B01G376500;TraesCS1B01G293500;TraesCS6B01G104600;TraesCS3B01G398300;TraesCS5D01G060900;TraesCS7B01G097000;TraesCS1A01G158500;TraesCS1B01G434400;TraesCS4B01G073200;TraesCS5B01G110000;TraesCS2D01G023900;TraesCS5A01G222500;TraesCS5B01G320100;TraesCS2B01G260800;TraesCS2D01G324900;TraesCS7A01G036200;TraesCS2A01G246200;TraesCS5B01G175800;TraesCS5A01G165700;TraesCS2A01G501600;TraesCS4A01G226500;TraesCS3B01G398000;TraesCS7D01G467500;TraesCS4D01G153900;TraesCS2A01G262700;TraesCS3A01G228000;TraesCS4A01G065400;TraesCS4B01G169900;TraesCS2D01G136200;TraesCS1A01G324800;TraesCS4B01G050200;TraesCS2B01G234500;TraesCS2B01G031800;TraesCS6A01G133100;TraesCS6D01G142900;TraesCS3A01G205100;TraesCS3A01G394600;TraesCS3D01G428300;TraesCS5B01G142900;TraesCS1B01G402900;TraesCS5B01G184300;TraesCS5A01G128300;TraesCS2D01G082700;TraesCS4D01G292900;TraesCS4D01G068100;TraesCS3A01G344300;TraesCS2A01G364500;TraesCS7D01G508100;TraesCS6D01G390000;TraesCS7D01G454200;TraesCS3A01G208600;TraesCS7A01G555700;TraesCS5A01G014500;TraesCSU01G068800;TraesCSU01G093800;TraesCS3A01G303800;TraesCS2D01G092500;TraesCS4A01G361100;TraesCS6D01G298300;TraesCS4D01G085900;TraesCS5B01G284100;TraesCS4D01G160200;TraesCS3B01G376200;TraesCS5A01G472100;TraesCS5D01G396300;TraesCS7B01G241500;TraesCS3D01G210300;TraesCS1D01G409700;TraesCS4A01G167000;TraesCS1D01G396300;TraesCS5B01G171400;TraesCS2A01G066800;TraesCS3D01G281100;TraesCS6B01G282200;TraesCS3A01G332300;TraesCS2D01G251000;TraesCS1D01G315700;TraesCS2A01G293400;TraesCS7D01G270400;TraesCS7A01G316700;TraesCS4A01G191500;TraesCS1D01G325500;TraesCS1A01G246800;TraesCS5D01G100800;TraesCS5A01G186200;TraesCS6D01G244900;TraesCS5B01G102000;TraesCS5A01G229400;TraesCS5D01G161800;TraesCS1A01G254400;TraesCS1A01G195500;TraesCS3D01G084300;TraesCS6D01G344100;TraesCS2D01G148200;TraesCS7D01G364400;TraesCS7B01G242800;TraesCS2B01G154700;TraesCS3A01G099800;TraesCS4A01G193700;TraesCS3A01G322500;TraesCS2A01G132200;TraesCS4A01G342800;TraesCS5A01G230400;TraesCS6A01G279100;TraesCS4B01G314600;TraesCS1A01G152800;TraesCS1A01G024700;TraesCS3D01G193900;TraesCS6B01G336300;TraesCS5D01G157300;TraesCS3B01G307600;TraesCS3A01G276100;TraesCS4B01G088400;TraesCS4D01G003600;TraesCS4D01G036500;TraesCS5B01G517400;TraesCS2D01G477200;TraesCS4D01G175300;TraesCS5B01G205700;TraesCS3A01G457400;TraesCS2B01G346500;TraesCS5D01G481500;TraesCS3D01G229800;TraesCS4A01G163000;TraesCSU01G158800;TraesCS3A01G202000;TraesCS4B01G288200;TraesCS6A01G143300;TraesCS5D01G366500;TraesCS4A01G321500;TraesCS3B01G185300;TraesCS7A01G264300;TraesCS1D01G316200;TraesCS7A01G419600;TraesCS7D01G228500;TraesCS5B01G322900;TraesCS2A01G280500;TraesCS3D01G241900;TraesCS2B01G401900;TraesCS1B01G368500;TraesCS2D01G097800;TraesCS2B01G275000;TraesCS3A01G052700;TraesCS2A01G343600;TraesCS2B01G369600;TraesCS2D01G242100;TraesCS3A01G189400;TraesCS3D01G527700;TraesCS7B01G177700;TraesCS3D01G282800;TraesCS5B01G419300;TraesCS7D01G284200;TraesCS3A01G282800;TraesCS2B01G428100;TraesCS1D01G219200;TraesCS5A01G142200;TraesCS4D01G122800;TraesCS3B01G435900;TraesCS7B01G278200;TraesCS5B01G127300;TraesCS3A01G191700;TraesCS4A01G131400;TraesCS7B01G241900;TraesCS6B01G414800;TraesCS3D01G109700;TraesCS5D01G470400;TraesCS6B01G470900;TraesCS2D01G320900;TraesCS1B01G290800;TraesCS3B01G316500;TraesCS1D01G277100;TraesCS3A01G060300;TraesCS6D01G212000;TraesCS5D01G229900;TraesCS5D01G135900;TraesCS5A01G156400;TraesCS6B01G352400;TraesCS4D01G157900;TraesCS7D01G450700;TraesCS6A01G110000;TraesCS6D01G405600;TraesCS4D01G199300;TraesCS3D01G228900;TraesCS4A01G267000;TraesCS2B01G220300;TraesCS3D01G083400;TraesCS2D01G231000;TraesCS3A01G503200;TraesCS5B01G037500;TraesCS1A01G259700;TraesCS2A01G202600;TraesCS7D01G011800;TraesCS2B01G174700;TraesCS3B01G257700;TraesCS3D01G373300;TraesCS7A01G359800;TraesCS2A01G150000;TraesCSU01G131300;TraesCS1B01G337800;TraesCS6D01G147700;TraesCS5D01G341200;TraesCS3A01G538300;TraesCS5A01G020800;TraesCS7B01G269300;TraesCS3D01G091000;TraesCS7A01G062100;TraesCS3A01G028600;TraesCS6A01G319100;TraesCS7A01G226000;TraesCS5A01G113700;TraesCS3A01G488100;TraesCS4A01G246100;TraesCS6A01G360600;TraesCS7A01G351100;TraesCS3A01G178200;TraesCS1B01G288000;TraesCS4A01G166900;TraesCS7A01G238400;TraesCSU01G242100;TraesCS5A01G513500;TraesCS1D01G329100;TraesCS5D01G359800;TraesCS6A01G380200;TraesCS6B01G159200;TraesCS1A01G112800;TraesCS5B01G227900;TraesCS5A01G263700;TraesCS3B01G258600;TraesCS5B01G431500;TraesCS6A01G153600;TraesCS6B01G226000;TraesCS6D01G204800;TraesCS3A01G205900;TraesCS3B01G131400;TraesCS1A01G416000;TraesCS6D01G236400;TraesCS4D01G244000;TraesCS4D01G133500;TraesCS7D01G549100;TraesCS2B01G352000;TraesCS7A01G510000;TraesCS2A01G563500;TraesCS1B01G255100;TraesCS5D01G193000;TraesCS3A01G159900;TraesCS6B01G219700;TraesCS7D01G313600;TraesCS5B01G111800;TraesCS2B01G342200;TraesCS3A01G103900;TraesCS7D01G150300;TraesCS6B01G039900;TraesCS4B01G171300;TraesCS3B01G006700;TraesCS5A01G454300;TraesCS3A01G513500;TraesCS2A01G103300;TraesCS1A01G339300;TraesCS5B01G097100;TraesCS1D01G229400;TraesCS6B01G231400;TraesCS6D01G135800;TraesCS5A01G547300;TraesCS2B01G079400;TraesCS7B01G052200;TraesCS2D01G237600;TraesCS7D01G554900;TraesCS4A01G194100;TraesCS4D01G341900;TraesCS3B01G555600;TraesCS3A01G275700;TraesCS5A01G353700;TraesCS7A01G002900;TraesCS1B01G304500;TraesCS3B01G214600;TraesCS6D01G350000;TraesCS4D01G180300;TraesCS2A01G222600;TraesCS6B01G402300;TraesCS7A01G293200;TraesCS5A01G150700;TraesCS5B01G502700;TraesCS2A01G067200;TraesCS3D01G341200;TraesCS5A01G173800;TraesCS4D01G157500;TraesCS2A01G235900;TraesCS2B01G272300;TraesCS3D01G194300;TraesCS2D01G520000;TraesCS4A01G036500;TraesCS4B01G091100;TraesCS5B01G099300;TraesCS1D01G443100;TraesCS3A01G272200;TraesCS4B01G069200;TraesCS1D01G423500;TraesCS2D01G065800;TraesCS2B01G159600;TraesCS3B01G374400;TraesCS2A01G380200;TraesCS4A01G452700;TraesCS7B01G455500;TraesCS6D01G259500;TraesCS4A01G238100;TraesCS1D01G392400;TraesCS2D01G246100;TraesCS1D01G352300;TraesCS4A01G165600;TraesCS1D01G445300;TraesCS5B01G199400;TraesCS2A01G492300;TraesCS3B01G564100;TraesCS7B01G420400;TraesCS5D01G357600;TraesCS3A01G376300;TraesCS4B01G211800;TraesCS4D01G264800;TraesCS4D01G039100;TraesCS1D01G242400;TraesCS2A01G478000;TraesCS2D01G208300;TraesCS1D01G298400;TraesCS1A01G431600;TraesCS2A01G575500;TraesCS6B01G173500;TraesCS1D01G125300;TraesCS2D01G296800;TraesCS2D01G586200;TraesCS1D01G155100;TraesCS3A01G212600;TraesCS7A01G223300;TraesCS3A01G289900;TraesCS5A01G092400;TraesCS5D01G081700;TraesCS7D01G454700;TraesCS1A01G420900;TraesCS5B01G323300;TraesCS5A01G490800;TraesCS2A01G058700;TraesCS2B01G343900;TraesCS2A01G186900;TraesCS4D01G021400;TraesCS3B01G426500;TraesCS4D01G348500;TraesCS6A01G130900;TraesCS3B01G235100;TraesCS2B01G385300;TraesCS1B01G434100;TraesCS4B01G354600;TraesCS7A01G376800;TraesCS6A01G215900;TraesCS4A01G139700;TraesCS4B01G191300;TraesCS7B01G451500;TraesCS7D01G174700;TraesCS1D01G331000;TraesCS2B01G050600;TraesCS6A01G312100;TraesCS3B01G216800;TraesCS4A01G157100;TraesCS1A01G086500;TraesCS5D01G504600;TraesCS3A01G523700;TraesCS4B01G341300;TraesCS2A01G430500;TraesCS5D01G148400;TraesCS1D01G303800;TraesCS2D01G111300;TraesCS1D01G144000;TraesCS5B01G529300;TraesCS2B01G415600;TraesCS7D01G476500;TraesCS3A01G023800;TraesCS1D01G440900;TraesCS3A01G367000;TraesCS7D01G315400;TraesCS2A01G114400;TraesCS3A01G161800;TraesCS2D01G288800;TraesCS3B01G483900;TraesCS2D01G167300;TraesCS3D01G162700;TraesCS3A01G097200;TraesCS5B01G344200;TraesCS3A01G100000;TraesCS2B01G198300;TraesCS3B01G309400;TraesCS3B01G229700;TraesCS6B01G319000;TraesCS5A01G429300;TraesCS2A01G134000;TraesCS6D01G291600;TraesCS2D01G229600;TraesCS4B01G321300;TraesCS2D01G249200;TraesCS1D01G146600;TraesCS5B01G220900;TraesCS3A01G310100;TraesCS2A01G296400;TraesCS7D01G193000;TraesCSU01G009200;TraesCS3A01G405300;TraesCS2B01G321700;TraesCS6D01G152700;TraesCS7B01G184800;TraesCS6D01G224800;TraesCS1B01G213300;TraesCS1A01G111100;TraesCS3A01G107900;TraesCS2B01G051500;TraesCS5A01G515700;TraesCS5D01G223700;TraesCS7A01G314100;TraesCS1D01G199100;TraesCS3D01G181400;TraesCS6D01G174500;TraesCS6A01G210200;TraesCS6D01G195400;TraesCS7A01G421400;TraesCS7A01G329600;TraesCS4A01G105500;TraesCS6A01G269700;TraesCS6A01G161200;TraesCS6B01G189000;TraesCS4A01G150500</t>
  </si>
  <si>
    <t>TraesCS3D01G426300;TraesCS6D01G121300;TraesCS4A01G125000;TraesCS5A01G092400;TraesCS2B01G271300;TraesCS7D01G338600;TraesCS5D01G219500;TraesCS5A01G108000;TraesCS3D01G436100;TraesCS5D01G481500;TraesCS5A01G513500;TraesCS1D01G210200;TraesCS4B01G213600;TraesCS2A01G058700;TraesCS6B01G159200;TraesCS2B01G528300;TraesCS6A01G143300;TraesCS6D01G122800;TraesCS5A01G014400;TraesCS5A01G119300;TraesCS4D01G021400;TraesCS1A01G355200;TraesCS4D01G214300;TraesCS4A01G052600;TraesCS7B01G104400;TraesCS1A01G376400;TraesCS7D01G228500;TraesCS1B01G325100;TraesCS5B01G102600;TraesCS2A01G280500;TraesCS5B01G324800;TraesCS6A01G133100;TraesCS5B01G171200;TraesCS2D01G233900;TraesCS7A01G088100;TraesCS6B01G315800;TraesCS4A01G286700;TraesCS3A01G151100;TraesCS7B01G350400;TraesCS2B01G050600;TraesCS2A01G309600;TraesCS2D01G310000;TraesCS7A01G341000;TraesCS2A01G193800;TraesCS5D01G026000;TraesCS3A01G443700;TraesCS6D01G390000;TraesCS2B01G330100;TraesCS6A01G105400;TraesCS4B01G028100;TraesCS1B01G254000;TraesCS5A01G014500;TraesCS7B01G242200;TraesCS2B01G070700;TraesCS7B01G129300;TraesCS1D01G412600;TraesCS4D01G025700;TraesCS4D01G359000;TraesCS5A01G093200;TraesCS2B01G297800;TraesCS7D01G224400;TraesCS6A01G303800;TraesCS1A01G198400;TraesCS2B01G457600;TraesCS4B01G151200;TraesCS3A01G191700;TraesCS5D01G178300;TraesCS6D01G135800;TraesCS2A01G313000;TraesCS1B01G110400;TraesCS3B01G309700;TraesCS5A01G212500;TraesCS6B01G242800;TraesCS6D01G047400;TraesCS6B01G239000;TraesCS4A01G091100;TraesCS7B01G006600;TraesCS3A01G367000;TraesCS5B01G300100;TraesCS7D01G439900;TraesCS6B01G470900;TraesCS1D01G092200;TraesCS5A01G396700;TraesCS7D01G283600;TraesCS2A01G437700;TraesCS6B01G450500;TraesCS4B01G179400;TraesCS6A01G290600;TraesCS2D01G251000;TraesCS2D01G389900;TraesCS1A01G206900;TraesCS6D01G094200;TraesCS1D01G313800;TraesCS5A01G548800;TraesCS7A01G222800;TraesCS2A01G222600;TraesCS2D01G194000;TraesCS7A01G316700;TraesCS1B01G220700;TraesCS4D01G339700;TraesCS6A01G212200;TraesCS7D01G083200;TraesCS1D01G003700;TraesCS1B01G396800;TraesCS5D01G551200;TraesCS5A01G173800;TraesCS6B01G134800;TraesCS3D01G288000;TraesCS4D01G107400;TraesCS6B01G159800;TraesCS4A01G315700;TraesCS5B01G563800;TraesCS6B01G176600;TraesCS7A01G450600;TraesCS3D01G083400;TraesCS2D01G279300;TraesCS6A01G158300;TraesCS1D01G383500;TraesCS2D01G057900;TraesCS1A01G259700;TraesCS1B01G366400;TraesCS4A01G387000;TraesCS6A01G146500;TraesCS7D01G200800;TraesCS6D01G259500;TraesCS5D01G105500;TraesCS6B01G307200;TraesCS1B01G213300;TraesCS4D01G194400;TraesCS4A01G290400;TraesCS1A01G195500;TraesCS2B01G328500;TraesCS5A01G324200;TraesCS2B01G410100;TraesCS6D01G132500;TraesCS1A01G313300;TraesCS1D01G199100;TraesCS5B01G409700;TraesCS6D01G283300;TraesCS2B01G248100;TraesCS2D01G238600;TraesCS2B01G154700;TraesCS6A01G210200;TraesCS6D01G195400;TraesCS4A01G247300;TraesCS7B01G217500;TraesCS5B01G036800;TraesCS2A01G132200;TraesCS4A01G206400;TraesCS4B01G041900;TraesCS1D01G024800;TraesCS6A01G279100;TraesCS3A01G288200;TraesCS5B01G481100;TraesCS6B01G171600;TraesCS1B01G434400;TraesCS4B01G131800;TraesCS1A01G024700;TraesCS7A01G226000;TraesCS1A01G133500;TraesCS4B01G109900;TraesCS5B01G534400;TraesCS1A01G100600;TraesCS1D01G198700;TraesCS3A01G082700;TraesCS3A01G276100</t>
  </si>
  <si>
    <t>TraesCS5B01G484700;TraesCS2A01G246200;TraesCS6D01G344200;TraesCS1D01G210200;TraesCS7D01G121200;TraesCS4B01G213600;TraesCS2D01G014800;TraesCS4D01G153900;TraesCS5A01G014400;TraesCS2A01G262700;TraesCS1A01G355200;TraesCS5D01G181600;TraesCS7B01G104400;TraesCS4D01G135000;TraesCS5B01G324800;TraesCS5D01G429200;TraesCS6A01G133100;TraesCS5B01G171200;TraesCS2D01G233900;TraesCS7B01G113100;TraesCS3A01G205100;TraesCS4B01G323000;TraesCS4A01G286700;TraesCS5A01G128300;TraesCS4D01G068100;TraesCS2A01G193800;TraesCS5D01G026000;TraesCS4D01G220700;TraesCS6D01G390000;TraesCS7D01G454200;TraesCS6D01G287300;TraesCS3A01G393400;TraesCS4A01G101500;TraesCS5A01G014500;TraesCS6A01G225200;TraesCS4D01G204000;TraesCS4D01G025700;TraesCS5A01G093200;TraesCS5B01G174600;TraesCS5B01G412500;TraesCS4D01G120900;TraesCS7D01G224400;TraesCS5B01G171100;TraesCS2A01G500400;TraesCS2B01G201700;TraesCS5D01G178300;TraesCS2A01G313000;TraesCS3B01G309700;TraesCS2B01G207000;TraesCS6D01G047400;TraesCS5D01G420300;TraesCS3D01G210300;TraesCS7B01G103100;TraesCS5D01G067600;TraesCS7D01G283600;TraesCS3D01G434800;TraesCS5D01G149900;TraesCS3D01G250600;TraesCS2D01G251000;TraesCS1D01G315700;TraesCS1B01G274600;TraesCS2B01G303300;TraesCS6B01G238600;TraesCS6A01G321600;TraesCS7A01G222800;TraesCS7A01G316700;TraesCS6A01G212200;TraesCS7B01G162300;TraesCS5B01G084600;TraesCS6B01G159800;TraesCS7A01G190500;TraesCS4D01G081600;TraesCS6A01G158300;TraesCS3A01G224800;TraesCS3B01G410400;TraesCS5B01G102000;TraesCS5D01G321900;TraesCS2B01G520500;TraesCS1B01G366400;TraesCS2B01G315300;TraesCS5A01G315800;TraesCS5A01G357400;TraesCS5A01G407700;TraesCS5D01G298700;TraesCS1A01G195500;TraesCS2B01G328500;TraesCS3D01G084300;TraesCS2A01G467900;TraesCS2B01G154700;TraesCS3A01G521600;TraesCS7B01G217500;TraesCS5B01G036800;TraesCS2A01G132200;TraesCS5A01G230400;TraesCS4B01G041900;TraesCS6A01G279100;TraesCS3A01G288200;TraesCS4B01G314600;TraesCS7D01G373100;TraesCS1A01G024700;TraesCS4A01G298700;TraesCS3A01G082700;TraesCS4A01G005000;TraesCS4A01G078800;TraesCS4B01G178700;TraesCS2D01G549100;TraesCS3B01G307600;TraesCS3A01G276100;TraesCS4D01G003600;TraesCS1D01G264100;TraesCS3A01G178600;TraesCS5D01G013100;TraesCS4D01G127100;TraesCS6A01G018600;TraesCS4B01G015600;TraesCS2A01G343500;TraesCS1D01G401900;TraesCS3D01G041900;TraesCS5D01G481500;TraesCS2D01G492600;TraesCS5D01G099800;TraesCS1A01G231100;TraesCS4B01G288200;TraesCS5A01G089900;TraesCS6A01G143300;TraesCS3D01G236200;TraesCS5A01G119300;TraesCS5D01G366500;TraesCS1A01G110900;TraesCS4B01G220400;TraesCS4D01G214300;TraesCS3B01G185300;TraesCS4A01G052600;TraesCS5A01G501800;TraesCS4D01G212000;TraesCS4D01G252700;TraesCS7A01G264300;TraesCS7D01G228500;TraesCS6B01G342400;TraesCS2A01G280500;TraesCS3A01G381000;TraesCS1A01G092700;TraesCS5A01G096100;TraesCS4A01G116000;TraesCS3A01G484800;TraesCS2A01G223600;TraesCS5A01G004200;TraesCS3A01G151100;TraesCS1A01G264000;TraesCS2D01G097800;TraesCS7A01G307000;TraesCS1D01G155800;TraesCS2A01G343600;TraesCS7B01G197000;TraesCS2D01G322900;TraesCS6A01G209800;TraesCS2A01G309600;TraesCS2B01G369600;TraesCS2D01G242100;TraesCS3A01G189400;TraesCS3D01G527700;TraesCS7A01G341000;TraesCS1A01G036200;TraesCS5B01G419300;TraesCS7B01G189500;TraesCS7A01G004000;TraesCS2D01G094400;TraesCS7B01G129300;TraesCS5A01G142200;TraesCS4D01G122800;TraesCS6B01G256400;TraesCS3D01G228800;TraesCS7B01G278200;TraesCS2B01G304900;TraesCS5B01G127300;TraesCS1A01G198400;TraesCS3D01G203400;TraesCS4B01G151200;TraesCS5D01G459800;TraesCS3A01G191700;TraesCS4D01G240700;TraesCS5D01G361000;TraesCS7B01G006600;TraesCS2B01G451100;TraesCS5D01G237400;TraesCS6B01G470900;TraesCS1B01G290800;TraesCS5B01G132600;TraesCS3A01G084400;TraesCS2A01G175400;TraesCS2B01G592500;TraesCS4A01G354500;TraesCS6D01G094200;TraesCS4B01G129700;TraesCS6D01G212000;TraesCS5D01G135900;TraesCS2D01G194000;TraesCS4D01G283800;TraesCS1B01G220700;TraesCS6A01G308100;TraesCS6D01G065600;TraesCS6B01G352400;TraesCS1D01G003700;TraesCS5D01G551200;TraesCS6A01G336800;TraesCS6B01G134800;TraesCS3D01G288000;TraesCS2A01G342600;TraesCS2B01G602100;TraesCS5B01G563800;TraesCS6B01G176600;TraesCS7A01G450600;TraesCS4D01G199300;TraesCS4D01G003100;TraesCS2B01G222600;TraesCS3D01G083400;TraesCS4B01G287200;TraesCS2D01G279300;TraesCS5A01G132300;TraesCS3B01G370200;TraesCS1D01G383500;TraesCS5B01G517900;TraesCS1A01G259700;TraesCS4D01G319400;TraesCS6A01G146500;TraesCS4A01G364400;TraesCS7A01G231700;TraesCS7A01G359800;TraesCS6A01G188100;TraesCS5A01G110300;TraesCS1D01G231000;TraesCS6D01G283300;TraesCS3D01G514100;TraesCS5B01G290300;TraesCS5B01G256400;TraesCS7D01G343300;TraesCS4A01G247300;TraesCS3B01G279700;TraesCS6D01G147700;TraesCS7A01G335600;TraesCS7D01G169500;TraesCS4B01G131800;TraesCS7A01G226000;TraesCS1A01G281700;TraesCS4B01G109900;TraesCS1D01G198700;TraesCS4D01G189600;TraesCS7B01G421100;TraesCS4A01G093100;TraesCS4A01G246100;TraesCS6D01G121300;TraesCS4B01G252400;TraesCS4A01G125000;TraesCS2B01G307300;TraesCS2A01G234900;TraesCS5D01G219500;TraesCS5A01G108000;TraesCS1D01G101200;TraesCS5A01G513500;TraesCS5B01G141000;TraesCS6B01G159200;TraesCS5B01G227900;TraesCS4B01G226100;TraesCS3A01G181600;TraesCS4B01G150600;TraesCS6D01G204800;TraesCS5A01G467500;TraesCS5D01G517600;TraesCS7A01G088100;TraesCS7D01G549100;TraesCS2B01G352000;TraesCS7B01G350400;TraesCS1B01G255100;TraesCS1A01G155200;TraesCS5B01G415100;TraesCS5B01G111800;TraesCS2B01G342200;TraesCS3A01G103900;TraesCS2D01G248600;TraesCS1D01G153900;TraesCS6B01G257900;TraesCS7D01G150300;TraesCS7D01G265200;TraesCS2B01G330100;TraesCS5A01G305400;TraesCS6A01G105400;TraesCS2B01G263300;TraesCS1B01G254000;TraesCS3A01G513500;TraesCS2B01G070700;TraesCS1D01G412600;TraesCS4D01G359000;TraesCS4A01G013500;TraesCS4A01G298100;TraesCS6A01G200600;TraesCS1A01G007500;TraesCS4B01G069300;TraesCS6A01G303800;TraesCS4B01G285000;TraesCS6B01G393600;TraesCS6D01G135800;TraesCS6A01G230100;TraesCS2A01G187700;TraesCS6B01G239000;TraesCS2D01G154100;TraesCS4A01G091100;TraesCS2D01G349600;TraesCS6A01G312200;TraesCS4A01G494400;TraesCS5B01G228900;TraesCS5B01G300100;TraesCS7D01G439900;TraesCS1D01G092200;TraesCS1D01G280900;TraesCS2A01G437700;TraesCS3A01G275700;TraesCS5A01G353700;TraesCS2D01G389900;TraesCS1A01G206900;TraesCS4D01G180300;TraesCS2A01G222600;TraesCS3D01G237100;TraesCS4D01G339700;TraesCS7D01G083200;TraesCS4B01G083600;TraesCS1B01G396800;TraesCS5B01G502700;TraesCS5D01G312400;TraesCS3D01G341200;TraesCS5A01G173800;TraesCS4D01G157500;TraesCS4D01G107400;TraesCS2B01G272300;TraesCS2D01G520000;TraesCS1B01G478800;TraesCS4D01G327300;TraesCS5A01G411500;TraesCS2D01G202900;TraesCS3B01G265000;TraesCS4A01G387000;TraesCS3A01G264700;TraesCS4B01G193400;TraesCS7D01G200800;TraesCS3D01G516800;TraesCS4A01G110800;TraesCS1D01G094400;TraesCS6B01G026900;TraesCS6D01G259500;TraesCS6B01G307200;TraesCS4A01G051900;TraesCS4A01G165600;TraesCS4A01G290400;TraesCS3A01G200400;TraesCS2A01G492300;TraesCS6B01G174700;TraesCS2D01G467900;TraesCS5B01G509100;TraesCS6D01G132500;TraesCS1A01G313300;TraesCS6D01G210000;TraesCS4D01G159800;TraesCS5B01G409700;TraesCS2B01G248100;TraesCS2D01G238600;TraesCS1D01G242400;TraesCS4A01G206400;TraesCS2B01G312600;TraesCS1D01G024800;TraesCS2A01G344600;TraesCS1A01G133500;TraesCS2A01G575500;TraesCS5B01G534400;TraesCS1A01G100600;TraesCS6B01G173500;TraesCS4A01G059500;TraesCS5D01G417600;TraesCS6D01G238800;TraesCS2A01G330200;TraesCS2D01G296800;TraesCS3D01G264800;TraesCS7A01G466600;TraesCS2D01G586200;TraesCS3D01G426300;TraesCS1B01G261600;TraesCS2A01G286500;TraesCS5A01G092400;TraesCS2B01G271300;TraesCS7D01G338600;TraesCS4A01G111000;TraesCS1D01G149900;TraesCS3B01G046100;TraesCS3D01G436100;TraesCS3A01G250200;TraesCS4A01G226900;TraesCS2A01G058700;TraesCS2B01G528300;TraesCS6D01G122800;TraesCS6B01G251600;TraesCS4D01G021400;TraesCS4D01G348500;TraesCS4D01G013900;TraesCS1A01G376400;TraesCS2B01G385300;TraesCS3B01G161900;TraesCS7A01G451100;TraesCS1B01G325100;TraesCS5B01G102600;TraesCS4B01G023800;TraesCS2B01G004000;TraesCS7A01G376800;TraesCS6B01G315800;TraesCS6D01G301300;TraesCS2D01G236100;TraesCS2B01G340300;TraesCS3A01G478800;TraesCS2A01G290900;TraesCS3D01G206100;TraesCS3D01G495100;TraesCS1D01G331000;TraesCS2B01G050600;TraesCS3D01G529200;TraesCS7D01G283900;TraesCS4B01G204500;TraesCS3D01G275600;TraesCS2D01G310000;TraesCS7D01G232000;TraesCS5B01G476900;TraesCS3A01G443700;TraesCS3A01G523700;TraesCS4B01G028100;TraesCS5D01G118500;TraesCS6A01G386600;TraesCS5A01G173700;TraesCS2A01G430500;TraesCS7B01G242200;TraesCS5D01G108700;TraesCS7D01G004500;TraesCS2B01G297800;TraesCS2A01G252600;TraesCS7A01G560200;TraesCS2B01G457600;TraesCS3D01G220400;TraesCS1B01G110400;TraesCS5A01G212500;TraesCS6B01G242800;TraesCS3A01G023800;TraesCS4A01G232300;TraesCS3A01G367000;TraesCS5A01G495100;TraesCS2A01G114400;TraesCS5A01G396700;TraesCS6A01G314100;TraesCS4D01G194300;TraesCS2D01G288800;TraesCS6B01G450500;TraesCS4B01G179400;TraesCS6A01G290600;TraesCS3A01G418400;TraesCS1D01G313800;TraesCS5A01G548800;TraesCS2A01G387000;TraesCS1D01G086600;TraesCS2B01G133500;TraesCS1B01G422200;TraesCS2D01G182700;TraesCS3B01G309400;TraesCS2A01G098400;TraesCS3A01G232700;TraesCS4A01G315700;TraesCS5A01G056400;TraesCS6D01G291600;TraesCS2D01G229600;TraesCS2B01G273900;TraesCS2D01G249200;TraesCS6D01G163700;TraesCS6A01G267300;TraesCS2A01G523600;TraesCS6B01G344100;TraesCS2D01G057900;TraesCS2A01G296400;TraesCS5D01G138500;TraesCS1B01G443200;TraesCS3A01G405300;TraesCS5B01G155100;TraesCS4A01G276300;TraesCS5D01G105500;TraesCS1B01G213300;TraesCS2D01G500600;TraesCS4D01G194400;TraesCS1A01G111100;TraesCS1D01G390500;TraesCS4A01G164900;TraesCS5B01G136500;TraesCS1B01G165500;TraesCS5A01G324200;TraesCS4D01G080700;TraesCSU01G135100;TraesCS2B01G410100;TraesCS7A01G314100;TraesCS7B01G124100;TraesCS6A01G070600;TraesCSU01G047800;TraesCS1D01G199100;TraesCS1D01G367600;TraesCS6A01G210200;TraesCS6D01G195400;TraesCS4A01G124000;TraesCS1A01G158500;TraesCS5B01G481100;TraesCS6B01G171600;TraesCS1B01G434400;TraesCS4A01G105500;TraesCS6A01G269700;TraesCS3D01G087300;TraesCS7D01G000100;TraesCS6A01G163500;TraesCS7B01G207300</t>
  </si>
  <si>
    <t>TraesCS6D01G016900;TraesCS5B01G117800;TraesCS5B01G484700;TraesCS7D01G294300;TraesCS6B01G454500;TraesCS1D01G449000;TraesCS7A01G175300;TraesCS6D01G344200;TraesCS3D01G273800;TraesCS1A01G369600;TraesCS4B01G213600;TraesCS3B01G206600;TraesCS2B01G530100;TraesCS3B01G193200;TraesCS4D01G147100;TraesCS5A01G014400;TraesCS5B01G412400;TraesCS2D01G220800;TraesCS7D01G056800;TraesCS2D01G394900;TraesCS7A01G541200;TraesCS1A01G355200;TraesCS7B01G382800;TraesCS7B01G104400;TraesCS7A01G190700;TraesCS5B01G094600;TraesCS5D01G056900;TraesCS3B01G242700;TraesCS5B01G324800;TraesCS5D01G429200;TraesCS2D01G233900;TraesCS3B01G219700;TraesCS2A01G171900;TraesCS5B01G255700;TraesCS7B01G113100;TraesCS2B01G448000;TraesCS4A01G286700;TraesCS7B01G186500;TraesCS1A01G130700;TraesCS3A01G216100;TraesCS7B01G411000;TraesCS5A01G336500;TraesCS2A01G066700;TraesCS5D01G376600;TraesCS2B01G267100;TraesCS4B01G347000;TraesCS5D01G026000;TraesCS3D01G296900;TraesCS4D01G220700;TraesCS3A01G091100;TraesCS6D01G287300;TraesCS3A01G393400;TraesCS4A01G101500;TraesCS6A01G225200;TraesCS2B01G257300;TraesCS4D01G204000;TraesCS4D01G025700;TraesCS5B01G082400;TraesCS5A01G093200;TraesCS6D01G162200;TraesCS4D01G250100;TraesCS7D01G339300;TraesCS5D01G169600;TraesCS4D01G015900;TraesCS5B01G174600;TraesCS4A01G120000;TraesCS4D01G120900;TraesCS6B01G190300;TraesCS7A01G415500;TraesCS7D01G224400;TraesCS4B01G109700;TraesCS5B01G171100;TraesCS2A01G500400;TraesCS5A01G143800;TraesCS2B01G201700;TraesCS2D01G093700;TraesCS5D01G178300;TraesCS2A01G313000;TraesCS3B01G309700;TraesCS2B01G207000;TraesCS6D01G047400;TraesCS4A01G248200;TraesCS5A01G229300;TraesCS6A01G245000;TraesCS7B01G103100;TraesCS5D01G067600;TraesCS4D01G278500;TraesCS7B01G142700;TraesCS7D01G283600;TraesCS3B01G423600;TraesCS4D01G343400;TraesCS5A01G189600;TraesCS3A01G380100;TraesCS1B01G375300;TraesCS2D01G383800;TraesCS1B01G274600;TraesCS2B01G303300;TraesCS6B01G238600;TraesCS7A01G222800;TraesCS2D01G102100;TraesCS3A01G223700;TraesCS3D01G369100;TraesCS5D01G118200;TraesCS1A01G275400;TraesCS1A01G403800;TraesCS4A01G138800;TraesCS2D01G328100;TraesCS3D01G407300;TraesCS4D01G132900;TraesCS5B01G162800;TraesCS4D01G094700;TraesCS7B01G219700;TraesCS7B01G162300;TraesCS7D01G543200;TraesCS5B01G084600;TraesCS6D01G252400;TraesCS5A01G165400;TraesCS3A01G292700;TraesCS7A01G190500;TraesCS4D01G081600;TraesCS1B01G271100;TraesCS6A01G158300;TraesCS4B01G300100;TraesCS4A01G158400;TraesCS6A01G125400;TraesCS3A01G224800;TraesCS5D01G321900;TraesCS7A01G466900;TraesCS5B01G517500;TraesCS2B01G520500;TraesCS6B01G166400;TraesCS7A01G252000;TraesCS1B01G366400;TraesCS2B01G315300;TraesCS5A01G315800;TraesCS5D01G044700;TraesCS6B01G296700;TraesCS7A01G510900;TraesCS5A01G357400;TraesCS4A01G446700;TraesCS1A01G025900;TraesCS4D01G165800;TraesCS3D01G271200;TraesCS3A01G137000;TraesCS2D01G597600;TraesCS3D01G336200;TraesCS7D01G291200;TraesCS5B01G185700;TraesCS2A01G467900;TraesCS3A01G521600;TraesCS5D01G280400;TraesCS7B01G217500;TraesCS2B01G477400;TraesCS3B01G103500;TraesCS3A01G288200;TraesCS4A01G298700;TraesCS5A01G221800;TraesCS6D01G189700;TraesCS2B01G325100;TraesCS4A01G005000;TraesCS4A01G078800;TraesCS2D01G549100;TraesCS3A01G268600;TraesCS6B01G099900;TraesCS3D01G224800;TraesCS7B01G092500;TraesCS5A01G199600;TraesCS2A01G517900;TraesCS6A01G123800;TraesCS1D01G264100;TraesCS5D01G013100;TraesCS7D01G227300;TraesCS5B01G409400;TraesCS2D01G288200;TraesCS5A01G229500;TraesCS6A01G018600;TraesCS6B01G213100;TraesCS1B01G343100;TraesCS7A01G390300;TraesCS1D01G401900;TraesCS5D01G412600;TraesCS2B01G240000;TraesCS3A01G330200;TraesCS3A01G334800;TraesCS7D01G288700;TraesCS1D01G275000;TraesCS1B01G193700;TraesCS3D01G041900;TraesCS5D01G099800;TraesCS3D01G391900;TraesCS1A01G218000;TraesCS5B01G539900;TraesCS7A01G276400;TraesCS1D01G265200;TraesCS5D01G530200;TraesCS3D01G236200;TraesCS4A01G178600;TraesCS5A01G119300;TraesCS3D01G217700;TraesCS5A01G123800;TraesCS1A01G110900;TraesCS1A01G116200;TraesCS3D01G507500;TraesCS4A01G052600;TraesCS4D01G212000;TraesCS2D01G115200;TraesCS4D01G252700;TraesCS7A01G115400;TraesCS1B01G348800;TraesCS6A01G355300;TraesCS5A01G050100;TraesCS5B01G154600;TraesCS6B01G199500;TraesCS3B01G324500;TraesCS5D01G517200;TraesCS3A01G381000;TraesCS1A01G092700;TraesCS6D01G007800;TraesCS5A01G096100;TraesCS2A01G093700;TraesCS7D01G025000;TraesCS2A01G187200;TraesCS2A01G223600;TraesCS2A01G200500;TraesCS5A01G004200;TraesCS3A01G151100;TraesCS7A01G277700;TraesCS7D01G250100;TraesCS4D01G129300;TraesCS7A01G307000;TraesCS1A01G224700;TraesCS1D01G241000;TraesCS6D01G362000;TraesCS6B01G246600;TraesCS1D01G155800;TraesCS5D01G141200;TraesCS7B01G197000;TraesCS6D01G186000;TraesCS6A01G209800;TraesCS2A01G309600;TraesCS5B01G396700;TraesCS1A01G241000;TraesCS4B01G246900;TraesCS5A01G054700;TraesCS2B01G267500;TraesCS1A01G036200;TraesCS1D01G252100;TraesCS1B01G167200;TraesCS5D01G261300;TraesCS7A01G220600;TraesCS3A01G412600;TraesCS2D01G362200;TraesCS5A01G322500;TraesCS3B01G254500;TraesCS6D01G149800;TraesCS5A01G104800;TraesCS2D01G094400;TraesCS7B01G129300;TraesCS3A01G435700;TraesCS3D01G376500;TraesCS5D01G238300;TraesCS6B01G256400;TraesCS3D01G228800;TraesCS7D01G407700;TraesCS1B01G378000;TraesCS4B01G151200;TraesCS1D01G211600;TraesCS4D01G240700;TraesCS7D01G231600;TraesCS6D01G179700;TraesCS7A01G313900;TraesCS7D01G332300;TraesCS6B01G294700;TraesCS7B01G006600;TraesCS1B01G253500;TraesCS5D01G237400;TraesCS7A01G139800;TraesCS1B01G301500;TraesCS2B01G348600;TraesCS5B01G132600;TraesCS2D01G397800;TraesCS3A01G084400;TraesCS3B01G093800;TraesCS2A01G175400;TraesCS3B01G268900;TraesCS4A01G354500;TraesCS6A01G159800;TraesCS2A01G123800;TraesCS6D01G094200;TraesCS4B01G129700;TraesCS4B01G150300;TraesCS5D01G248300;TraesCS2A01G092400;TraesCS2D01G194000;TraesCS4D01G318200;TraesCS6A01G308100;TraesCS4A01G262900;TraesCS1D01G003700;TraesCS2B01G150400;TraesCS6A01G336800;TraesCS6B01G134800;TraesCS2A01G338100;TraesCS3D01G271800;TraesCS3D01G288000;TraesCS2A01G342600;TraesCS4B01G245400;TraesCS5D01G402300;TraesCS2B01G602100;TraesCS5B01G563800;TraesCS6B01G176600;TraesCS2D01G528800;TraesCS4D01G003100;TraesCS2D01G059400;TraesCS6A01G322400;TraesCS1B01G200800;TraesCS2B01G079500;TraesCS4B01G287200;TraesCS2D01G279300;TraesCS4D01G107000;TraesCS5A01G132300;TraesCS3B01G370200;TraesCS6A01G259000;TraesCS3B01G154900;TraesCS1D01G383500;TraesCS2D01G327400;TraesCS5B01G517900;TraesCS4A01G227500;TraesCS7D01G032800;TraesCS7A01G518200;TraesCS6A01G146500;TraesCS5D01G424400;TraesCS2A01G110700;TraesCS6A01G192600;TraesCS3B01G400900;TraesCS5A01G241800;TraesCS1A01G392000;TraesCS6A01G188100;TraesCS6D01G293100;TraesCS7D01G447100;TraesCS2B01G185800;TraesCS5D01G005300;TraesCS1A01G172100;TraesCS1D01G231000;TraesCS6D01G283300;TraesCS5B01G290300;TraesCS5A01G416700;TraesCS2D01G255100;TraesCS5B01G256400;TraesCS4A01G247300;TraesCS6B01G331800;TraesCS1A01G265000;TraesCS2A01G455300;TraesCS2D01G214700;TraesCS2D01G407000;TraesCS7D01G169500;TraesCS3B01G497300;TraesCS3D01G412500;TraesCS5D01G329200;TraesCS7B01G236400;TraesCS2B01G604300;TraesCS3A01G271600;TraesCS4B01G131800;TraesCS1A01G281700;TraesCS4B01G109900;TraesCS5A01G460600;TraesCS6A01G077800;TraesCS2A01G382000;TraesCS1D01G198700;TraesCS4D01G189600;TraesCS7B01G446500;TraesCS5D01G480300;TraesCS7B01G119300;TraesCS7D01G132000;TraesCS4D01G110500;TraesCS4A01G093100;TraesCS6D01G121300;TraesCS4B01G252400;TraesCS5D01G525000;TraesCS4A01G125000;TraesCS2B01G307300;TraesCS6A01G184000;TraesCS1A01G260500;TraesCS2A01G234900;TraesCS5A01G468600;TraesCS1B01G049300;TraesCS3D01G323700;TraesCS3D01G411200;TraesCS5D01G219500;TraesCS5A01G108000;TraesCS5D01G162400;TraesCS3D01G359900;TraesCS6D01G077500;TraesCS7D01G150200;TraesCS1D01G101200;TraesCS7A01G368900;TraesCS3A01G099300;TraesCS4D01G170800;TraesCS2B01G229600;TraesCS4A01G119800;TraesCS1D01G219700;TraesCS5D01G171100;TraesCS1A01G292100;TraesCS4B01G226100;TraesCS5D01G148100;TraesCS7D01G276300;TraesCS4B01G152900;TraesCSU01G142500;TraesCS3D01G150400;TraesCS5A01G467500;TraesCS5D01G517600;TraesCS4D01G246300;TraesCS3B01G408800;TraesCS2B01G457300;TraesCS2A01G229300;TraesCS2A01G206200;TraesCS3D01G169000;TraesCS5B01G121500;TraesCS1D01G341100;TraesCS2A01G097900;TraesCS7A01G294200;TraesCS7B01G350400;TraesCS1A01G409600;TraesCS7D01G311300;TraesCS7B01G153100;TraesCS1A01G155200;TraesCS1A01G027200;TraesCS2D01G565200;TraesCS5B01G415100;TraesCS6A01G201800;TraesCS2B01G309500;TraesCS3D01G289600;TraesCS2A01G022000;TraesCS2D01G248600;TraesCS2A01G299200;TraesCS1D01G153900;TraesCS6D01G113900;TraesCS4A01G080100;TraesCS6B01G257900;TraesCS6D01G237400;TraesCS6A01G289200;TraesCS7D01G265200;TraesCS1A01G340400;TraesCS2B01G330100;TraesCS2D01G291200;TraesCS6A01G105400;TraesCS2B01G263300;TraesCS4B01G158000;TraesCS3D01G345500;TraesCS5D01G230300;TraesCS2B01G070700;TraesCS6D01G147900;TraesCS7A01G417000;TraesCS4A01G013500;TraesCS4A01G298100;TraesCS4B01G205200;TraesCS4B01G069300;TraesCS1A01G144300;TraesCS2A01G330000;TraesCS5A01G491400;TraesCS4A01G355100;TraesCS6A01G230100;TraesCS1B01G462200;TraesCS2A01G187700;TraesCS3D01G188800;TraesCS6B01G239000;TraesCS2D01G154100;TraesCS3B01G385400;TraesCS5B01G270200;TraesCS6A01G312200;TraesCS7B01G352800;TraesCS7A01G491200;TraesCS4A01G494400;TraesCS5B01G228900;TraesCS6A01G113000;TraesCS5B01G300100;TraesCS7D01G439900;TraesCS1D01G092200;TraesCS1B01G326400;TraesCS2D01G362700;TraesCS2D01G389900;TraesCS5D01G464800;TraesCS4B01G263100;TraesCS2D01G118000;TraesCS5D01G332000;TraesCS3D01G237100;TraesCS6B01G182300;TraesCS1B01G352700;TraesCS4D01G339700;TraesCS1D01G342400;TraesCS7D01G083200;TraesCS1D01G242500;TraesCS4B01G083600;TraesCS5D01G312400;TraesCS7A01G192000;TraesCS4D01G107400;TraesCS7D01G224900;TraesCS7D01G117800;TraesCS1B01G478800;TraesCS4A01G254100;TraesCS4D01G327300;TraesCS3A01G193900;TraesCS5A01G411500;TraesCS7A01G235200;TraesCS1A01G278000;TraesCS6D01G270400;TraesCS6B01G393500;TraesCS5B01G387600;TraesCS4B01G162900;TraesCS3B01G265000;TraesCS4A01G376000;TraesCS5A01G457500;TraesCS2B01G079100;TraesCS5A01G088400;TraesCS2A01G095300;TraesCS3A01G264700;TraesCS4B01G193400;TraesCS2D01G114900;TraesCS2D01G303500;TraesCS2A01G246700;TraesCS4A01G110800;TraesCS7A01G504900;TraesCS1D01G094400;TraesCS6B01G026900;TraesCS3D01G268700;TraesCS2D01G248400;TraesCS4A01G290400;TraesCS3A01G202700;TraesCS5A01G395200;TraesCS2D01G467900;TraesCS1A01G313300;TraesCS3D01G258900;TraesCS4D01G159800;TraesCS5A01G490500;TraesCS5B01G409700;TraesCS2B01G248100;TraesCS7A01G182200;TraesCS3D01G388400;TraesCS2D01G238600;TraesCS7D01G322000;TraesCS4A01G206400;TraesCS1D01G024800;TraesCS3A01G417000;TraesCS2D01G524500;TraesCS2D01G398400;TraesCS7D01G409000;TraesCS4D01G086400;TraesCS5B01G534400;TraesCS3D01G309400;TraesCS6A01G154400;TraesCS6B01G342300;TraesCS5B01G075800;TraesCS3A01G295400;TraesCS4A01G059500;TraesCS5B01G477800;TraesCS5D01G417600;TraesCS6D01G246300;TraesCS2D01G200700;TraesCS2A01G330200;TraesCS2D01G239700;TraesCS7A01G466600;TraesCS3D01G426300;TraesCS2A01G286500;TraesCS6D01G337500;TraesCS5D01G044400;TraesCS3D01G231200;TraesCS7D01G449900;TraesCS2B01G271300;TraesCS7D01G338600;TraesCS6A01G373400;TraesCS4A01G111000;TraesCS2A01G197900;TraesCS3D01G380100;TraesCS3D01G436100;TraesCS2B01G133300;TraesCS7A01G260600;TraesCS4A01G226900;TraesCS3A01G313300;TraesCS2A01G392900;TraesCS7A01G318800;TraesCS1B01G377800;TraesCS4A01G023500;TraesCS1A01G185900;TraesCS1A01G388400;TraesCS4A01G092500;TraesCS2B01G528300;TraesCS6D01G357100;TraesCS4D01G088200;TraesCS5A01G192000;TraesCS6D01G122800;TraesCS2D01G241800;TraesCS3B01G011800;TraesCS3D01G137800;TraesCS6A01G269400;TraesCS1A01G418700;TraesCS6B01G253900;TraesCS4D01G013900;TraesCS5B01G378700;TraesCS1A01G376400;TraesCS7A01G451100;TraesCS1B01G325100;TraesCS5B01G102600;TraesCS4B01G023800;TraesCS5A01G113200;TraesCS3A01G134100;TraesCS2B01G004000;TraesCS2D01G361800;TraesCS2A01G149600;TraesCS2B01G415500;TraesCS5B01G180300;TraesCS7D01G327700;TraesCS6B01G315800;TraesCS3D01G182400;TraesCS6D01G301300;TraesCS7B01G182300;TraesCS2B01G340300;TraesCS3A01G478800;TraesCS1A01G180200;TraesCS3B01G362100;TraesCS3D01G495100;TraesCS6A01G171300;TraesCS1D01G241800;TraesCS6D01G182200;TraesCS7D01G283900;TraesCS4B01G204500;TraesCS3D01G275600;TraesCS2D01G310000;TraesCS4A01G220100;TraesCS5B01G476900;TraesCS1A01G145000;TraesCS3A01G443700;TraesCS2D01G519500;TraesCS2B01G227800;TraesCS4A01G283000;TraesCS4D01G151900;TraesCS3B01G566600;TraesCS5A01G173700;TraesCS7B01G242200;TraesCS5D01G496400;TraesCS3A01G530100;TraesCS7D01G218000;TraesCS4B01G138800;TraesCS5D01G108700;TraesCS2B01G404600;TraesCS4D01G193500;TraesCS7A01G304400;TraesCS5A01G302400;TraesCS5A01G157000;TraesCS7A01G560200;TraesCS2A01G273400;TraesCS3A01G398000;TraesCS2D01G065300;TraesCS1B01G110400;TraesCS2A01G460000;TraesCS5A01G212500;TraesCS5D01G417400;TraesCS3D01G312200;TraesCS5D01G285200;TraesCS6B01G242800;TraesCS1B01G200300;TraesCS1B01G317500;TraesCS4A01G232300;TraesCS1B01G156600;TraesCS3A01G184800;TraesCS3B01G308200;TraesCS5A01G396700;TraesCS5D01G474200;TraesCS6B01G450500;TraesCS2B01G363200;TraesCS4B01G242800;TraesCS7A01G480700;TraesCS6A01G290600;TraesCS1A01G315900;TraesCS2A01G226000;TraesCS2B01G107200;TraesCS6D01G245600;TraesCS1D01G086600;TraesCS2B01G133500;TraesCS6D01G302200;TraesCS1B01G422200;TraesCS4D01G317900;TraesCS6B01G348700;TraesCS3A01G232700;TraesCS4A01G315700;TraesCS6D01G315500;TraesCS5A01G056400;TraesCS1A01G263400;TraesCS6A01G078200;TraesCS6B01G192500;TraesCS7D01G107600;TraesCS7D01G457900;TraesCS2B01G273900;TraesCS7B01G421800;TraesCS6D01G163700;TraesCS2A01G523600;TraesCS4A01G324400;TraesCS6A01G307700;TraesCS6B01G344100;TraesCS5A01G046600;TraesCS2B01G318400;TraesCS2D01G057900;TraesCS5D01G138500;TraesCS4A01G099100;TraesCS1B01G261700;TraesCS1D01G134300;TraesCS6D01G364900;TraesCS6D01G299200;TraesCS2A01G431900;TraesCS3B01G306000;TraesCS1A01G358800;TraesCS5B01G155100;TraesCS3D01G304800;TraesCS4A01G276300;TraesCS5A01G036600;TraesCS4D01G194400;TraesCS1D01G390500;TraesCS2B01G145700;TraesCS2D01G022800;TraesCS5D01G164800;TraesCS5D01G512300;TraesCS5A01G324200;TraesCS1B01G293500;TraesCS4D01G080700;TraesCSU01G135100;TraesCS6B01G104600;TraesCSU01G047800;TraesCS3B01G398300;TraesCS5D01G060900;TraesCS2D01G300400;TraesCS7B01G097000;TraesCS1A01G158500;TraesCS4D01G086000;TraesCS6B01G161800;TraesCS1A01G284300;TraesCS6B01G171600;TraesCS1B01G434400;TraesCS4B01G073200;TraesCS5B01G110000;TraesCS7D01G280600;TraesCS3B01G426600;TraesCS2B01G352300;TraesCS1A01G309200;TraesCS5A01G222500;TraesCS5B01G320100;TraesCS3D01G087300;TraesCS6A01G163500;TraesCS2B01G191800;TraesCS6B01G388100;TraesCS2B01G260800;TraesCS2D01G324900;TraesCS3B01G014900;TraesCS7A01G036200;TraesCS7D01G292000;TraesCS2A01G246200;TraesCS5A01G200800;TraesCS5B01G175800;TraesCS6B01G191500;TraesCS2A01G247300;TraesCS2D01G209900;TraesCS5A01G165700;TraesCS2A01G400900;TraesCS1D01G210200;TraesCS4A01G226500;TraesCS4A01G432400;TraesCS7D01G121200;TraesCS5B01G531900;TraesCS1B01G146200;TraesCS2D01G014800;TraesCS6B01G295700;TraesCS7D01G467500;TraesCS2A01G409700;TraesCS4D01G153900;TraesCS2A01G262700;TraesCS5B01G057300;TraesCS3A01G228000;TraesCS4A01G065400;TraesCS4B01G169900;TraesCS6B01G411900;TraesCS2D01G136200;TraesCS5D01G181600;TraesCS1A01G324800;TraesCS4B01G050200;TraesCS5D01G444700;TraesCS5D01G532100;TraesCS2B01G234500;TraesCS1D01G376900;TraesCS4D01G135000;TraesCS6A01G133100;TraesCS5A01G166800;TraesCS5B01G171200;TraesCS7A01G323200;TraesCS5D01G201300;TraesCS6D01G142900;TraesCS3A01G205100;TraesCS2B01G220100;TraesCS6A01G203300;TraesCS3A01G394600;TraesCS3D01G428300;TraesCS5B01G142900;TraesCS1B01G402900;TraesCS3A01G178900;TraesCS6B01G112700;TraesCS5A01G128300;TraesCS4D01G292900;TraesCS5A01G149000;TraesCS2D01G112000;TraesCS4B01G017400;TraesCS4D01G068100;TraesCS2B01G233400;TraesCS1D01G428200;TraesCS3A01G344300;TraesCS2A01G193800;TraesCS4D01G184400;TraesCS7D01G508100;TraesCS1B01G469400;TraesCS6D01G390000;TraesCS7D01G454200;TraesCS7A01G555700;TraesCS4D01G151500;TraesCS6B01G270400;TraesCS7B01G215000;TraesCS5A01G014500;TraesCS6A01G420100;TraesCSU01G068800;TraesCSU01G093800;TraesCS2D01G092500;TraesCS6A01G319700;TraesCS6D01G357600;TraesCS4A01G361100;TraesCS5B01G412500;TraesCS6D01G298300;TraesCS4D01G085900;TraesCS5B01G284100;TraesCS4D01G160200;TraesCS1A01G125000;TraesCS2B01G130300;TraesCS3B01G376200;TraesCS5A01G472100;TraesCS5D01G396300;TraesCS7B01G241500;TraesCS5D01G420300;TraesCS3D01G210300;TraesCS1D01G409700;TraesCS4A01G167000;TraesCS1D01G396300;TraesCS6D01G095800;TraesCS6D01G161000;TraesCS1D01G260500;TraesCS5B01G171400;TraesCS2A01G066800;TraesCS2B01G382000;TraesCS3D01G281100;TraesCS3D01G434800;TraesCS6B01G282200;TraesCS3D01G065800;TraesCS5D01G149900;TraesCS3A01G332300;TraesCS3D01G250600;TraesCS2D01G251000;TraesCS1D01G315700;TraesCS6A01G321600;TraesCS2A01G293400;TraesCS7B01G317000;TraesCS7A01G316700;TraesCS4A01G191500;TraesCS1D01G250700;TraesCS1D01G325500;TraesCS6A01G212200;TraesCS4D01G172000;TraesCS1A01G246800;TraesCS3B01G149800;TraesCS4A01G042500;TraesCS2A01G157700;TraesCS5D01G100800;TraesCS2D01G356700;TraesCS7A01G327600;TraesCS6B01G159800;TraesCS6D01G244900;TraesCS7B01G226100;TraesCS2B01G119700;TraesCS5B01G479200;TraesCS3D01G421500;TraesCS4D01G208900;TraesCS5B01G102000;TraesCS3A01G520600;TraesCS2D01G213100;TraesCS6D01G358500;TraesCS5A01G229400;TraesCS4A01G078900;TraesCS5A01G407700;TraesCS3D01G327600;TraesCS5D01G161800;TraesCS5D01G298700;TraesCS1A01G254400;TraesCS1A01G195500;TraesCS2B01G328500;TraesCS3B01G430000;TraesCS3B01G344200;TraesCS3D01G084300;TraesCS6D01G344100;TraesCS2D01G148200;TraesCS7D01G364400;TraesCS4B01G089500;TraesCS3B01G061700;TraesCS7B01G242800;TraesCS2B01G154700;TraesCS2D01G253200;TraesCS4A01G193700;TraesCS2A01G559600;TraesCS2A01G159900;TraesCS3A01G322500;TraesCS5B01G036800;TraesCS2A01G132200;TraesCS4A01G342800;TraesCS5A01G230400;TraesCS4B01G041900;TraesCS4B01G383000;TraesCS6A01G279100;TraesCS6D01G408000;TraesCS4B01G314600;TraesCS7D01G373100;TraesCS1A01G152800;TraesCS1A01G024700;TraesCS3D01G379000;TraesCS4D01G160000;TraesCS6B01G284600;TraesCS1D01G314600;TraesCS6B01G336300;TraesCS3A01G082700;TraesCS5D01G157300;TraesCS7A01G325400;TraesCS3B01G307600;TraesCS3A01G276100;TraesCS3B01G303000;TraesCS4B01G088400;TraesCS1A01G299500;TraesCS4D01G003600;TraesCS4D01G036500;TraesCS2D01G065100;TraesCS3B01G412600;TraesCS5B01G517400;TraesCS2D01G049500;TraesCS2D01G477200;TraesCS1D01G190900;TraesCS5B01G205700;TraesCS4B01G015600;TraesCS3A01G457400;TraesCS3A01G478100;TraesCS2B01G346500;TraesCS4A01G310600;TraesCS3A01G342300;TraesCS6B01G470700;TraesCS5D01G481500;TraesCS3D01G229800;TraesCS4A01G163000;TraesCSU01G158800;TraesCS2D01G492600;TraesCSU01G072700;TraesCS3A01G202000;TraesCS1A01G231100;TraesCS4B01G288200;TraesCS6D01G398100;TraesCS5A01G089900;TraesCS6D01G227300;TraesCS6A01G143300;TraesCS6A01G147900;TraesCS3B01G254400;TraesCS4A01G283700;TraesCS4B01G138100;TraesCS7D01G188300;TraesCS5D01G366500;TraesCS4B01G220400;TraesCS4D01G214300;TraesCS3B01G185300;TraesCS5A01G501800;TraesCS6B01G174100;TraesCS7A01G264300;TraesCS1D01G316200;TraesCS7A01G419600;TraesCS7D01G228500;TraesCS5B01G322900;TraesCS6B01G342400;TraesCS2A01G280500;TraesCS4A01G116000;TraesCS3A01G484800;TraesCS6B01G141400;TraesCS3D01G241900;TraesCS2B01G401900;TraesCS1B01G368500;TraesCS1A01G264000;TraesCS3A01G052700;TraesCS5A01G424400;TraesCS1D01G058300;TraesCS2B01G369600;TraesCS2D01G242100;TraesCS5A01G484700;TraesCS3A01G189400;TraesCS3D01G527700;TraesCS7A01G341000;TraesCS7B01G177700;TraesCS3D01G282800;TraesCS5B01G419300;TraesCS7D01G284200;TraesCS2D01G198300;TraesCS3A01G282800;TraesCS7B01G189500;TraesCS2B01G428100;TraesCS3D01G240800;TraesCS3B01G252200;TraesCS7A01G004000;TraesCS1D01G219200;TraesCS3B01G088300;TraesCS6B01G455100;TraesCS1B01G432700;TraesCS5A01G142200;TraesCS1B01G344300;TraesCS4D01G122800;TraesCS5D01G144600;TraesCS3B01G435900;TraesCS1B01G439600;TraesCS2B01G264100;TraesCS6A01G158800;TraesCS7B01G278200;TraesCS2B01G304900;TraesCS5B01G127300;TraesCS1A01G198400;TraesCS3D01G203400;TraesCS5D01G459800;TraesCS3A01G191700;TraesCS3D01G328100;TraesCS4B01G290300;TraesCS7B01G241900;TraesCS2A01G128300;TraesCS5D01G094000;TraesCS2D01G105300;TraesCS6D01G062500;TraesCS5D01G361000;TraesCS6B01G414800;TraesCS5A01G367700;TraesCS3D01G109700;TraesCS5D01G470400;TraesCS2B01G451100;TraesCS6B01G470900;TraesCS2D01G320900;TraesCS7B01G176200;TraesCS1B01G290800;TraesCS3B01G316500;TraesCS7B01G085700;TraesCS4D01G085700;TraesCS2B01G592500;TraesCS1A01G361400;TraesCS1D01G277100;TraesCS3A01G060300;TraesCS2D01G205900;TraesCS6D01G212000;TraesCS5A01G213000;TraesCS3B01G209400;TraesCS5D01G229900;TraesCS4A01G111600;TraesCS5D01G135900;TraesCS4A01G058000;TraesCS4D01G283800;TraesCS5A01G156400;TraesCS1B01G220700;TraesCS6D01G065600;TraesCS6B01G352400;TraesCS3A01G402500;TraesCS5D01G551200;TraesCS1A01G137000;TraesCS5D01G169900;TraesCS7D01G450700;TraesCS7A01G381900;TraesCS6D01G405600;TraesCS7A01G450600;TraesCS7D01G073000;TraesCS4D01G199300;TraesCS3D01G228900;TraesCS3D01G083400;TraesCS2D01G231000;TraesCS3A01G503200;TraesCS4B01G164800;TraesCS5B01G037500;TraesCS1A01G259700;TraesCS2A01G202600;TraesCS7D01G011800;TraesCS4A01G364400;TraesCS2B01G174700;TraesCS3B01G257700;TraesCS3D01G373300;TraesCS6B01G223200;TraesCS7A01G359800;TraesCS4B01G244400;TraesCS7D01G378400;TraesCS2A01G150000;TraesCS4A01G144500;TraesCS5D01G437600;TraesCS1D01G117400;TraesCS3D01G514100;TraesCS5A01G414400;TraesCS7D01G123400;TraesCS1B01G337800;TraesCS7D01G343300;TraesCS3B01G279700;TraesCS6D01G147700;TraesCS7A01G335600;TraesCS3D01G051800;TraesCS5D01G341200;TraesCS6B01G304100;TraesCS3A01G538300;TraesCS5A01G020800;TraesCS7B01G269300;TraesCS3D01G091000;TraesCS7A01G062100;TraesCS3A01G028600;TraesCS3D01G528600;TraesCS6A01G319100;TraesCS6B01G117100;TraesCS7A01G226000;TraesCS7A01G452800;TraesCS5A01G113700;TraesCS3B01G269900;TraesCS6B01G419000;TraesCSU01G132400;TraesCS3A01G488100;TraesCS7B01G421100;TraesCS5B01G316400;TraesCS7D01G386000;TraesCS1A01G129400;TraesCS6A01G272300;TraesCS4A01G246100;TraesCS2A01G204800;TraesCS6A01G360600;TraesCS1D01G411300;TraesCS3B01G224600;TraesCS7A01G351100;TraesCS4A01G166900;TraesCS7A01G238400;TraesCS6A01G268600;TraesCS1D01G226100;TraesCS2B01G334800;TraesCS5A01G272400;TraesCS5A01G513500;TraesCS1D01G329100;TraesCS5D01G359800;TraesCS5B01G141000;TraesCS6A01G380200;TraesCS7A01G148600;TraesCS6B01G159200;TraesCS1A01G112800;TraesCS5B01G227900;TraesCS5D01G528400;TraesCS6B01G113200;TraesCS3A01G181600;TraesCS4B01G150600;TraesCS7A01G350000;TraesCS5B01G431500;TraesCS6A01G153600;TraesCS6B01G226000;TraesCS6D01G180500;TraesCS6D01G204800;TraesCS7A01G286700;TraesCS2D01G417300;TraesCS3B01G112900;TraesCS5B01G496000;TraesCS3A01G205900;TraesCS3B01G131400;TraesCS4B01G321500;TraesCS2D01G065600;TraesCS1A01G416000;TraesCS6D01G236400;TraesCS4D01G244000;TraesCS4D01G133500;TraesCS7A01G088100;TraesCS7D01G549100;TraesCS4A01G355000;TraesCS5B01G146700;TraesCS2B01G352000;TraesCS2A01G563500;TraesCS1B01G255100;TraesCS5D01G193000;TraesCS3A01G321900;TraesCS6D01G224200;TraesCS6B01G219700;TraesCS7D01G313600;TraesCS6A01G379000;TraesCS3A01G103900;TraesCS4B01G090000;TraesCS5A01G482800;TraesCS3B01G222400;TraesCS6B01G039900;TraesCS4B01G171300;TraesCS6B01G056200;TraesCS3B01G006700;TraesCS5A01G305400;TraesCS5A01G454300;TraesCS5D01G265500;TraesCS1B01G254000;TraesCS3A01G513500;TraesCS2D01G587100;TraesCS2A01G103300;TraesCS1D01G412600;TraesCS4D01G359000;TraesCS7A01G077400;TraesCS6A01G200600;TraesCS1A01G007500;TraesCS1A01G339300;TraesCS7B01G363600;TraesCS1D01G229400;TraesCS6A01G303800;TraesCS4B01G285000;TraesCS6B01G393600;TraesCS6B01G231400;TraesCS6D01G135800;TraesCS2B01G079400;TraesCS7B01G052200;TraesCS2D01G237600;TraesCS3D01G423300;TraesCS2B01G501300;TraesCS4A01G091100;TraesCS5D01G206500;TraesCS7D01G554900;TraesCS2D01G349600;TraesCS4A01G194100;TraesCS5A01G466100;TraesCS4D01G341900;TraesCS5D01G472300;TraesCS7B01G199200;TraesCS5D01G143800;TraesCS1D01G280900;TraesCS3B01G555600;TraesCS2A01G437700;TraesCS3A01G275700;TraesCS5A01G353700;TraesCS7A01G002900;TraesCS1B01G304500;TraesCS1A01G206900;TraesCS3B01G214600;TraesCS6D01G350000;TraesCS2B01G263600;TraesCS3A01G336100;TraesCS5B01G120100;TraesCS2A01G222600;TraesCS2D01G238700;TraesCS6B01G402300;TraesCS7A01G293200;TraesCS5A01G150700;TraesCS4D01G212600;TraesCS1B01G396800;TraesCS5B01G502700;TraesCS2A01G067200;TraesCS3D01G341200;TraesCS5A01G173800;TraesCS4D01G157500;TraesCS2A01G235900;TraesCS2B01G272300;TraesCS2B01G620600;TraesCS3D01G194300;TraesCS7D01G148200;TraesCS2D01G520000;TraesCS4A01G036500;TraesCS4B01G091100;TraesCS5B01G099300;TraesCS1D01G443100;TraesCS3A01G272200;TraesCS4B01G069200;TraesCS1D01G423500;TraesCS4A01G185400;TraesCS3B01G374400;TraesCS4A01G387000;TraesCS4A01G452700;TraesCS7B01G455500;TraesCS5B01G503800;TraesCS7D01G200800;TraesCS7D01G410100;TraesCS2D01G301200;TraesCS6D01G259500;TraesCS6B01G307200;TraesCS1D01G392400;TraesCS7A01G285800;TraesCS2D01G246100;TraesCS1D01G352300;TraesCS1D01G356900;TraesCS4A01G051900;TraesCS4A01G165600;TraesCS3A01G200400;TraesCS5B01G199400;TraesCS2A01G492300;TraesCS1D01G151800;TraesCS3B01G564100;TraesCS5D01G399200;TraesCS5B01G509100;TraesCS6D01G132500;TraesCS6D01G210000;TraesCS5D01G357600;TraesCS3A01G376300;TraesCS4B01G211800;TraesCS5B01G214400;TraesCS4D01G264800;TraesCS6A01G107900;TraesCS4D01G039100;TraesCS1D01G242400;TraesCS2A01G478000;TraesCS2B01G312600;TraesCS3D01G217600;TraesCS2D01G208300;TraesCS5B01G397300;TraesCS1D01G298400;TraesCS4D01G065600;TraesCS1A01G431600;TraesCS1A01G133500;TraesCS4D01G298800;TraesCS7A01G239700;TraesCS1A01G100600;TraesCS6B01G173500;TraesCS3A01G274600;TraesCS1D01G125300;TraesCS6D01G238800;TraesCS7D01G499800;TraesCS3D01G482500;TraesCS3A01G241700;TraesCS2B01G079200;TraesCS2D01G296800;TraesCS5D01G155800;TraesCS3D01G264800;TraesCS1D01G155100;TraesCS3A01G212600;TraesCS7A01G223300;TraesCS1B01G261600;TraesCS3A01G289900;TraesCS1D01G226500;TraesCS1D01G426400;TraesCS5A01G092400;TraesCS4B01G168300;TraesCS1D01G149900;TraesCS3B01G046100;TraesCS5D01G081700;TraesCS3A01G250200;TraesCS7B01G093800;TraesCS4B01G286700;TraesCS4B01G133200;TraesCS7D01G454700;TraesCS1A01G420900;TraesCS6B01G299800;TraesCS5A01G490800;TraesCS2A01G058700;TraesCS5A01G215900;TraesCS2B01G343900;TraesCS6B01G251600;TraesCS4D01G021400;TraesCS3B01G426500;TraesCS4D01G348500;TraesCS6A01G130900;TraesCS2A01G302500;TraesCS2B01G385300;TraesCS4B01G354600;TraesCS5A01G429500;TraesCS3B01G161900;TraesCS1A01G060100;TraesCS7A01G376800;TraesCS2D01G065200;TraesCS6B01G181300;TraesCS4B01G191300;TraesCS2D01G236100;TraesCS6A01G203700;TraesCS2A01G290900;TraesCS3D01G206100;TraesCS5B01G335500;TraesCS2A01G102600;TraesCS7B01G451500;TraesCS7D01G174700;TraesCS1D01G331000;TraesCS2B01G050600;TraesCS6A01G312100;TraesCS3D01G529200;TraesCS5B01G263800;TraesCS4A01G157100;TraesCS7D01G232000;TraesCS1A01G086500;TraesCS2A01G501900;TraesCS7B01G393400;TraesCS5D01G504600;TraesCS1D01G178000;TraesCS3A01G523700;TraesCS4B01G028100;TraesCS4B01G341300;TraesCS6A01G386600;TraesCS2A01G430500;TraesCS6D01G172500;TraesCS1D01G303800;TraesCS7D01G004500;TraesCS1A01G001800;TraesCS2B01G297800;TraesCS6A01G200200;TraesCS2D01G111300;TraesCS1D01G144000;TraesCS2A01G252600;TraesCS7B01G230100;TraesCS2B01G457600;TraesCS4A01G296200;TraesCS5B01G529300;TraesCS6B01G263600;TraesCS2B01G411000;TraesCS2B01G247100;TraesCS3D01G220400;TraesCS2B01G157600;TraesCS7D01G476500;TraesCS3A01G023800;TraesCS1D01G440900;TraesCS3A01G367000;TraesCS7D01G315400;TraesCS2A01G114400;TraesCS5B01G155200;TraesCS6A01G314100;TraesCS3A01G161800;TraesCS4D01G194300;TraesCS2D01G288800;TraesCS3D01G325800;TraesCS4B01G179400;TraesCS6B01G089500;TraesCS4B01G154100;TraesCS1D01G313800;TraesCS5A01G548800;TraesCS2D01G167300;TraesCS3D01G162700;TraesCS2A01G387000;TraesCS3A01G097200;TraesCS5B01G344200;TraesCS5A01G328900;TraesCS2D01G182700;TraesCS3A01G100000;TraesCS2B01G198300;TraesCS6D01G174700;TraesCS3B01G309400;TraesCS3B01G229700;TraesCS6B01G319000;TraesCS5D01G127300;TraesCS2B01G217700;TraesCS7D01G442100;TraesCS5A01G429300;TraesCS2A01G134000;TraesCS6D01G291600;TraesCS2D01G229600;TraesCS4B01G321300;TraesCS5B01G511800;TraesCS2D01G249200;TraesCS6A01G267300;TraesCS2A01G254600;TraesCS6A01G408400;TraesCS1D01G146600;TraesCS2B01G098800;TraesCS3A01G304900;TraesCS4D01G263300;TraesCS5B01G220900;TraesCS4B01G344600;TraesCS4D01G150700;TraesCS2A01G296400;TraesCS7D01G193000;TraesCS1B01G443200;TraesCS2D01G126600;TraesCSU01G009200;TraesCS3A01G405300;TraesCS2A01G215000;TraesCS2B01G321700;TraesCS5D01G478900;TraesCS6D01G152700;TraesCS7B01G184800;TraesCS5D01G105500;TraesCS1B01G213300;TraesCS2D01G500600;TraesCS1A01G111100;TraesCS4A01G164900;TraesCS5B01G136500;TraesCS2B01G122500;TraesCS3A01G107900;TraesCS5A01G350600;TraesCS5B01G509500;TraesCS5B01G510500;TraesCS7A01G108600;TraesCS2B01G051500;TraesCS2B01G410100;TraesCS5A01G515700;TraesCS5D01G223700;TraesCS6B01G151900;TraesCS7A01G314100;TraesCS7B01G124100;TraesCS6A01G070600;TraesCS6D01G245500;TraesCS1D01G199100;TraesCS5B01G147600;TraesCS1D01G367600;TraesCS5D01G208300;TraesCS6D01G174500;TraesCS6A01G210200;TraesCS6D01G195400;TraesCS2B01G225300;TraesCS3B01G470400;TraesCS4A01G124000;TraesCS2A01G239200;TraesCS4D01G206100;TraesCS6D01G193000;TraesCS1B01G155600;TraesCS7A01G329600;TraesCS4B01G203100;TraesCS5B01G481100;TraesCS4A01G105500;TraesCS6A01G269700;TraesCS2B01G270300;TraesCS2B01G108200;TraesCS7D01G130500;TraesCS6A01G161200;TraesCS6B01G189000;TraesCS7D01G000100;TraesCS4B01G029400;TraesCS4D01G242400;TraesCS5B01G121000;TraesCS7B01G207300;TraesCS4A01G150500</t>
  </si>
  <si>
    <t>TraesCS3D01G426300;TraesCS4A01G125000;TraesCS5A01G092400;TraesCS2B01G271300;TraesCS7D01G338600;TraesCS5D01G219500;TraesCS3D01G436100;TraesCS5D01G481500;TraesCS5A01G513500;TraesCS1A01G420900;TraesCS1D01G210200;TraesCS4B01G213600;TraesCS2A01G058700;TraesCS6B01G159200;TraesCS6A01G143300;TraesCS2B01G530100;TraesCS6D01G122800;TraesCS4D01G147100;TraesCS5A01G119300;TraesCS4D01G021400;TraesCS4D01G214300;TraesCS4A01G052600;TraesCS1A01G376400;TraesCS5B01G102600;TraesCS2A01G280500;TraesCS5B01G324800;TraesCS6A01G133100;TraesCS5B01G171200;TraesCS1A01G416000;TraesCS6B01G315800;TraesCS7D01G549100;TraesCS4A01G286700;TraesCS6D01G301300;TraesCS3A01G151100;TraesCS7B01G350400;TraesCS2D01G236100;TraesCS5A01G128300;TraesCS2B01G050600;TraesCS2A01G309600;TraesCS2D01G310000;TraesCS7A01G341000;TraesCS2A01G193800;TraesCS5B01G476900;TraesCS5D01G026000;TraesCS3A01G443700;TraesCS2A01G501900;TraesCS6D01G390000;TraesCS2B01G330100;TraesCS6A01G105400;TraesCS4B01G028100;TraesCS1B01G254000;TraesCS7B01G242200;TraesCS2B01G257300;TraesCS2B01G070700;TraesCS7B01G129300;TraesCS1D01G412600;TraesCS4D01G025700;TraesCS4D01G359000;TraesCS5A01G093200;TraesCS2B01G297800;TraesCS4D01G120900;TraesCS7D01G224400;TraesCS6A01G303800;TraesCS7A01G560200;TraesCS5B01G127300;TraesCS1A01G198400;TraesCS2B01G457600;TraesCS4B01G151200;TraesCS3A01G191700;TraesCS5D01G178300;TraesCS6D01G135800;TraesCS2A01G313000;TraesCS1B01G110400;TraesCS5A01G212500;TraesCS6B01G242800;TraesCS6D01G047400;TraesCS6B01G239000;TraesCS4A01G091100;TraesCS4A01G232300;TraesCS7B01G006600;TraesCS3A01G367000;TraesCS5B01G300100;TraesCS7D01G439900;TraesCS6B01G470900;TraesCS1D01G092200;TraesCS5A01G396700;TraesCS7D01G283600;TraesCS2A01G437700;TraesCS6B01G450500;TraesCS4B01G179400;TraesCS6A01G290600;TraesCS2D01G251000;TraesCS2D01G389900;TraesCS1A01G206900;TraesCS6D01G094200;TraesCS5A01G548800;TraesCS6A01G321600;TraesCS7A01G222800;TraesCS5D01G135900;TraesCS2D01G194000;TraesCS7A01G316700;TraesCS1B01G220700;TraesCS4D01G339700;TraesCS6A01G212200;TraesCS6B01G352400;TraesCS1D01G003700;TraesCS4B01G083600;TraesCS1B01G396800;TraesCS5D01G551200;TraesCS5A01G173800;TraesCS6B01G134800;TraesCS3D01G288000;TraesCS4A01G315700;TraesCS5B01G563800;TraesCS6B01G176600;TraesCS7A01G450600;TraesCS1D01G423500;TraesCS4D01G003100;TraesCS3D01G083400;TraesCS4D01G081600;TraesCS2D01G279300;TraesCS4B01G300100;TraesCS1D01G383500;TraesCS2D01G057900;TraesCS1A01G259700;TraesCS6A01G146500;TraesCS4B01G193400;TraesCS5D01G105500;TraesCS1B01G213300;TraesCS4D01G194400;TraesCS4A01G290400;TraesCS1A01G195500;TraesCS2B01G328500;TraesCS5A01G324200;TraesCS2B01G410100;TraesCS6D01G132500;TraesCS1D01G199100;TraesCS5B01G409700;TraesCS6D01G283300;TraesCS1D01G367600;TraesCS2A01G467900;TraesCS2D01G238600;TraesCS2B01G154700;TraesCS6A01G210200;TraesCS6D01G195400;TraesCS7D01G343300;TraesCS7A01G335600;TraesCS7B01G217500;TraesCS5B01G036800;TraesCS2A01G132200;TraesCS2A01G239200;TraesCS4B01G041900;TraesCS1D01G024800;TraesCS3A01G288200;TraesCS5B01G481100;TraesCS6B01G171600;TraesCS1B01G434400;TraesCS4B01G131800;TraesCS1A01G024700;TraesCS1A01G133500;TraesCS5B01G534400;TraesCS1A01G100600;TraesCS6B01G173500;TraesCS1D01G198700;TraesCS3A01G082700;TraesCS4A01G093100</t>
  </si>
  <si>
    <t>TraesCS3D01G426300;TraesCS4A01G125000;TraesCS5A01G092400;TraesCS2B01G271300;TraesCS7D01G338600;TraesCS5D01G219500;TraesCS3D01G436100;TraesCS5D01G481500;TraesCS5A01G513500;TraesCS1A01G420900;TraesCS1D01G210200;TraesCS4B01G213600;TraesCS2A01G058700;TraesCS6B01G159200;TraesCS6A01G143300;TraesCS2B01G530100;TraesCS6D01G122800;TraesCS4D01G147100;TraesCS5A01G119300;TraesCS4D01G021400;TraesCS4D01G214300;TraesCS4A01G052600;TraesCS1A01G376400;TraesCS5B01G102600;TraesCS2A01G280500;TraesCS5B01G324800;TraesCS6A01G133100;TraesCS5B01G171200;TraesCS1A01G416000;TraesCS6B01G315800;TraesCS7D01G549100;TraesCS4A01G286700;TraesCS6D01G301300;TraesCS3A01G151100;TraesCS7B01G350400;TraesCS2D01G236100;TraesCS5A01G128300;TraesCS2B01G050600;TraesCS2A01G309600;TraesCS2D01G310000;TraesCS7A01G341000;TraesCS2A01G193800;TraesCS5B01G476900;TraesCS5D01G026000;TraesCS3A01G443700;TraesCS2A01G501900;TraesCS6D01G390000;TraesCS2B01G330100;TraesCS6A01G105400;TraesCS4B01G028100;TraesCS1B01G254000;TraesCS7B01G242200;TraesCS2B01G257300;TraesCS2B01G070700;TraesCS7B01G129300;TraesCS1D01G412600;TraesCS4D01G025700;TraesCS4D01G359000;TraesCS5A01G093200;TraesCS2B01G297800;TraesCS4D01G120900;TraesCS7D01G224400;TraesCS6A01G303800;TraesCS7A01G560200;TraesCS5B01G127300;TraesCS1A01G198400;TraesCS2B01G457600;TraesCS4B01G151200;TraesCS3A01G191700;TraesCS5D01G178300;TraesCS6D01G135800;TraesCS2A01G313000;TraesCS1B01G110400;TraesCS5A01G212500;TraesCS6B01G242800;TraesCS6D01G047400;TraesCS6B01G239000;TraesCS4A01G091100;TraesCS4A01G232300;TraesCS7B01G006600;TraesCS3A01G367000;TraesCS5B01G300100;TraesCS7D01G439900;TraesCS6B01G470900;TraesCS1D01G092200;TraesCS5A01G396700;TraesCS7D01G283600;TraesCS2A01G437700;TraesCS6B01G450500;TraesCS4B01G179400;TraesCS6A01G290600;TraesCS2D01G251000;TraesCS2D01G389900;TraesCS1A01G206900;TraesCS6D01G094200;TraesCS5A01G548800;TraesCS6A01G321600;TraesCS7A01G222800;TraesCS5D01G135900;TraesCS2D01G194000;TraesCS7A01G316700;TraesCS1B01G220700;TraesCS4D01G339700;TraesCS6A01G212200;TraesCS6B01G352400;TraesCS1D01G003700;TraesCS4B01G083600;TraesCS1B01G396800;TraesCS5D01G551200;TraesCS5A01G173800;TraesCS6B01G134800;TraesCS3D01G288000;TraesCS4A01G315700;TraesCS5B01G563800;TraesCS6B01G176600;TraesCS7A01G450600;TraesCS1D01G423500;TraesCS3D01G083400;TraesCS4D01G081600;TraesCS2D01G279300;TraesCS4B01G300100;TraesCS1D01G383500;TraesCS2D01G057900;TraesCS1A01G259700;TraesCS6A01G146500;TraesCS4B01G193400;TraesCS5D01G105500;TraesCS1B01G213300;TraesCS4D01G194400;TraesCS4A01G290400;TraesCS1A01G195500;TraesCS2B01G328500;TraesCS5A01G324200;TraesCS2B01G410100;TraesCS6D01G132500;TraesCS1D01G199100;TraesCS5B01G409700;TraesCS6D01G283300;TraesCS1D01G367600;TraesCS2A01G467900;TraesCS2D01G238600;TraesCS2B01G154700;TraesCS6A01G210200;TraesCS6D01G195400;TraesCS7D01G343300;TraesCS7A01G335600;TraesCS7B01G217500;TraesCS5B01G036800;TraesCS2A01G132200;TraesCS2A01G239200;TraesCS4B01G041900;TraesCS1D01G024800;TraesCS3A01G288200;TraesCS5B01G481100;TraesCS6B01G171600;TraesCS1B01G434400;TraesCS4B01G131800;TraesCS1A01G024700;TraesCS1A01G133500;TraesCS5B01G534400;TraesCS1A01G100600;TraesCS6B01G173500;TraesCS1D01G198700;TraesCS3A01G082700;TraesCS4A01G093100</t>
  </si>
  <si>
    <t>TraesCS3D01G426300;TraesCS7D01G227300;TraesCS1D01G411300;TraesCS3B01G014900;TraesCS6B01G454500;TraesCS5D01G388000;TraesCS5D01G219500;TraesCS5D01G412600;TraesCS3D01G436100;TraesCS4A01G226900;TraesCS5A01G378000;TraesCS4B01G213600;TraesCS2A01G058700;TraesCS3B01G441000;TraesCS2B01G528300;TraesCS5B01G227900;TraesCS5D01G530200;TraesCS7B01G240200;TraesCS7D01G293100;TraesCS4D01G214300;TraesCS2B01G234500;TraesCS4D01G135000;TraesCS5B01G322900;TraesCS2A01G280500;TraesCS3A01G381000;TraesCS5B01G171200;TraesCS3B01G219700;TraesCS2A01G187200;TraesCS7A01G294200;TraesCS7D01G549100;TraesCS3A01G151100;TraesCS5B01G381600;TraesCS2D01G236100;TraesCS3A01G210000;TraesCS3B01G362500;TraesCS2B01G340300;TraesCS3A01G075700;TraesCS7B01G186500;TraesCS3A01G052700;TraesCS2D01G380900;TraesCS5A01G128300;TraesCS6B01G286300;TraesCS6A01G209800;TraesCS2B01G233400;TraesCS4B01G204500;TraesCS3D01G060600;TraesCS5B01G263800;TraesCS6A01G289200;TraesCS3A01G443700;TraesCS7B01G114100;TraesCS7B01G189500;TraesCS3D01G296900;TraesCS6A01G237800;TraesCS5A01G454300;TraesCS6D01G287300;TraesCS5A01G173700;TraesCS1B01G254000;TraesCS4A01G101500;TraesCS4D01G204000;TraesCS2B01G070700;TraesCS6A01G319700;TraesCS1A01G007500;TraesCS2B01G297800;TraesCS4D01G122800;TraesCS5D01G238300;TraesCS2A01G252600;TraesCS6A01G303800;TraesCS7A01G560200;TraesCS5B01G127300;TraesCS1A01G198400;TraesCS2B01G457600;TraesCS5B01G171100;TraesCS3A01G191700;TraesCS3B01G240500;TraesCS5D01G178300;TraesCS1B01G110400;TraesCS5A01G212500;TraesCS5D01G094000;TraesCS1B01G317500;TraesCS5A01G229300;TraesCS5B01G270200;TraesCS4A01G091100;TraesCS4A01G232300;TraesCS7B01G006600;TraesCS4A01G167000;TraesCS2B01G405600;TraesCS5D01G237400;TraesCS7B01G142700;TraesCS1D01G092200;TraesCS2A01G114400;TraesCS2D01G320900;TraesCS7D01G283600;TraesCS3A01G212000;TraesCS5D01G164500;TraesCS2A01G437700;TraesCS6A01G290600;TraesCS4B01G129700;TraesCS3D01G256700;TraesCS6B01G238600;TraesCS5D01G135900;TraesCS4A01G268900;TraesCS2D01G238700;TraesCS2B01G133500;TraesCS6A01G308100;TraesCS1D01G242500;TraesCS4B01G083600;TraesCS1D01G030500;TraesCS5A01G173800;TraesCS2A01G342600;TraesCS6B01G319000;TraesCS2B01G272300;TraesCS4D01G081600;TraesCS6B01G065300;TraesCS2D01G279300;TraesCS6A01G267300;TraesCS2A01G254600;TraesCS6A01G408400;TraesCS3A01G304900;TraesCS4B01G164800;TraesCS2D01G057900;TraesCS5D01G117100;TraesCS1A01G259700;TraesCS5D01G321900;TraesCS6D01G299200;TraesCS4B01G193400;TraesCS5A01G315800;TraesCS6D01G152700;TraesCS7A01G342800;TraesCS1B01G213300;TraesCS4D01G194400;TraesCS5D01G164800;TraesCS7A01G108600;TraesCS5B01G409700;TraesCS6D01G283300;TraesCS3D01G514100;TraesCS4B01G089500;TraesCS2D01G238600;TraesCS5B01G256400;TraesCS4A01G342800;TraesCS2D01G214700;TraesCS3D01G397100;TraesCS5D01G329200;TraesCS7D01G280600;TraesCS4D01G086400;TraesCS6D01G051300;TraesCS1A01G100600;TraesCS2B01G325100;TraesCS5B01G316400;TraesCS3B01G477300;TraesCS4D01G292300</t>
  </si>
  <si>
    <t>chloroplast thylakoid membrane</t>
  </si>
  <si>
    <t>plastid thylakoid membrane</t>
  </si>
  <si>
    <t>TraesCS3D01G426300;TraesCS7D01G227300;TraesCS1D01G411300;TraesCS3B01G014900;TraesCS6B01G454500;TraesCS5D01G388000;TraesCS7D01G072100;TraesCS5D01G219500;TraesCS5D01G412600;TraesCS3D01G436100;TraesCS4A01G226900;TraesCS5A01G378000;TraesCS4B01G213600;TraesCS2A01G058700;TraesCS1B01G472100;TraesCS3B01G441000;TraesCS2B01G528300;TraesCS5B01G227900;TraesCS5D01G530200;TraesCS7B01G240200;TraesCS7D01G293100;TraesCS4D01G214300;TraesCS2B01G234500;TraesCS4D01G135000;TraesCS5B01G322900;TraesCS2A01G280500;TraesCS3A01G381000;TraesCS5B01G171200;TraesCS3B01G219700;TraesCS2A01G187200;TraesCS7A01G294200;TraesCS7D01G549100;TraesCS3A01G151100;TraesCS5B01G381600;TraesCS2D01G236100;TraesCS3A01G210000;TraesCS3B01G362500;TraesCS2B01G340300;TraesCS3A01G075700;TraesCS7B01G186500;TraesCS3A01G052700;TraesCS2D01G380900;TraesCS5A01G128300;TraesCS6B01G286300;TraesCS6A01G209800;TraesCS2B01G233400;TraesCS4B01G204500;TraesCS3D01G060600;TraesCS5B01G263800;TraesCS4D01G184400;TraesCS6A01G289200;TraesCS3A01G443700;TraesCS7B01G114100;TraesCS7B01G189500;TraesCS3D01G296900;TraesCS6A01G237800;TraesCS5A01G454300;TraesCS6D01G287300;TraesCS5A01G173700;TraesCS1B01G254000;TraesCS4A01G101500;TraesCS4D01G204000;TraesCS2B01G070700;TraesCS1A01G437500;TraesCS6A01G319700;TraesCS1A01G007500;TraesCS2B01G297800;TraesCS4D01G122800;TraesCS5D01G238300;TraesCS2A01G252600;TraesCS6A01G303800;TraesCS7A01G560200;TraesCS5B01G127300;TraesCS1A01G198400;TraesCS2B01G457600;TraesCS5B01G171100;TraesCS3A01G191700;TraesCS3B01G240500;TraesCS5D01G178300;TraesCS3D01G220400;TraesCS1B01G110400;TraesCS5A01G212500;TraesCS6B01G242800;TraesCS5D01G094000;TraesCS1B01G462200;TraesCS1B01G317500;TraesCS5A01G229300;TraesCS5B01G270200;TraesCS4A01G091100;TraesCS4A01G232300;TraesCS7B01G006600;TraesCS5A01G466100;TraesCS4A01G167000;TraesCS2B01G405600;TraesCS5D01G237400;TraesCS7B01G142700;TraesCS1D01G092200;TraesCS2A01G114400;TraesCS2D01G320900;TraesCS7D01G283600;TraesCS3A01G212000;TraesCS5D01G164500;TraesCS2A01G437700;TraesCS6A01G290600;TraesCS4B01G129700;TraesCS3D01G256700;TraesCS6B01G238600;TraesCS5D01G135900;TraesCS4A01G268900;TraesCS2D01G238700;TraesCS2B01G133500;TraesCS6A01G212200;TraesCS6A01G308100;TraesCS1D01G242500;TraesCS4B01G083600;TraesCS7D01G161000;TraesCS1D01G030500;TraesCS5A01G173800;TraesCS2A01G342600;TraesCS3A01G232700;TraesCS6B01G319000;TraesCS2B01G272300;TraesCS4D01G081600;TraesCS6B01G065300;TraesCS2D01G279300;TraesCS6A01G267300;TraesCS2A01G254600;TraesCS2A01G523600;TraesCS6A01G408400;TraesCS3A01G304900;TraesCS4B01G164800;TraesCS2D01G057900;TraesCS5D01G117100;TraesCS1A01G259700;TraesCS5D01G321900;TraesCS6D01G299200;TraesCS4B01G193400;TraesCS5A01G315800;TraesCS6D01G152700;TraesCS7A01G342800;TraesCS1B01G213300;TraesCS4D01G194400;TraesCS5D01G164800;TraesCS1D01G445300;TraesCS7A01G108600;TraesCS5B01G409700;TraesCS6D01G283300;TraesCS3D01G514100;TraesCS4B01G089500;TraesCS2A01G467900;TraesCS2D01G238600;TraesCS5B01G256400;TraesCS6D01G195400;TraesCS4A01G342800;TraesCS2D01G214700;TraesCS3D01G397100;TraesCS5D01G329200;TraesCS3A01G271600;TraesCS7D01G280600;TraesCS4D01G086400;TraesCS6D01G051300;TraesCS1A01G100600;TraesCS2B01G325100;TraesCS5B01G316400;TraesCS3B01G477300;TraesCS4D01G292300;TraesCS4D01G003600</t>
  </si>
  <si>
    <t>plastid thylakoid</t>
  </si>
  <si>
    <t>TraesCS3D01G426300;TraesCS7D01G227300;TraesCS1D01G411300;TraesCS3B01G014900;TraesCS6B01G454500;TraesCS5D01G388000;TraesCS4A01G310600;TraesCS5D01G219500;TraesCS5D01G412600;TraesCS2B01G240000;TraesCS3D01G436100;TraesCS2A01G247300;TraesCS4A01G226900;TraesCS5A01G378000;TraesCS4B01G213600;TraesCS2A01G058700;TraesCS3B01G441000;TraesCS2B01G528300;TraesCS5B01G227900;TraesCS5D01G530200;TraesCS7B01G240200;TraesCS7D01G293100;TraesCS2D01G220800;TraesCS4D01G214300;TraesCS2D01G115200;TraesCS2B01G234500;TraesCS4D01G135000;TraesCS5B01G322900;TraesCS2A01G280500;TraesCS3A01G381000;TraesCS5B01G171200;TraesCS3B01G219700;TraesCS2A01G187200;TraesCS7A01G294200;TraesCS7D01G549100;TraesCS3A01G151100;TraesCS5B01G381600;TraesCS2D01G236100;TraesCS3A01G210000;TraesCS3B01G362500;TraesCS2B01G340300;TraesCS3A01G075700;TraesCS7B01G186500;TraesCS3A01G052700;TraesCS2D01G380900;TraesCS5A01G128300;TraesCS6B01G286300;TraesCS6A01G209800;TraesCS2B01G233400;TraesCS4B01G204500;TraesCS3D01G060600;TraesCS2B01G267500;TraesCS5B01G263800;TraesCS6A01G289200;TraesCS3A01G443700;TraesCS7B01G114100;TraesCS7B01G189500;TraesCS3D01G296900;TraesCS6A01G237800;TraesCS5A01G454300;TraesCS6D01G287300;TraesCS5A01G173700;TraesCS1B01G254000;TraesCS4A01G101500;TraesCS4D01G204000;TraesCS2B01G070700;TraesCS6A01G319700;TraesCS1A01G007500;TraesCS2B01G297800;TraesCS4D01G122800;TraesCS5D01G238300;TraesCS2A01G252600;TraesCS6A01G303800;TraesCS7A01G560200;TraesCS5B01G127300;TraesCS1A01G198400;TraesCS2B01G457600;TraesCS5B01G171100;TraesCS3A01G191700;TraesCS3B01G240500;TraesCS5D01G178300;TraesCS1B01G110400;TraesCS5A01G212500;TraesCS5D01G094000;TraesCS1B01G317500;TraesCS5A01G229300;TraesCS5B01G270200;TraesCS4A01G091100;TraesCS4A01G232300;TraesCS7B01G006600;TraesCS5B01G228900;TraesCS4A01G167000;TraesCS2B01G405600;TraesCS5D01G237400;TraesCS7B01G142700;TraesCS1D01G092200;TraesCS2A01G114400;TraesCS2D01G320900;TraesCS5D01G474200;TraesCS7D01G283600;TraesCS3A01G212000;TraesCS5D01G164500;TraesCS2A01G437700;TraesCS6A01G290600;TraesCS4B01G129700;TraesCS3D01G256700;TraesCS6B01G238600;TraesCS5D01G135900;TraesCS4A01G268900;TraesCS2D01G238700;TraesCS2B01G133500;TraesCS6A01G308100;TraesCS1D01G242500;TraesCS4B01G083600;TraesCS1D01G030500;TraesCS5A01G173800;TraesCS2A01G342600;TraesCS6B01G319000;TraesCS2B01G272300;TraesCS4D01G081600;TraesCS6B01G065300;TraesCS2D01G279300;TraesCS6A01G267300;TraesCS2A01G254600;TraesCS6A01G408400;TraesCS3A01G304900;TraesCS4B01G164800;TraesCS2D01G057900;TraesCS5D01G117100;TraesCS1A01G259700;TraesCS5D01G321900;TraesCS6D01G299200;TraesCS4B01G193400;TraesCS5A01G315800;TraesCS2A01G215000;TraesCS6D01G152700;TraesCS7A01G504900;TraesCS7A01G342800;TraesCS1B01G213300;TraesCS4D01G194400;TraesCS2D01G248400;TraesCS5D01G164800;TraesCS7A01G108600;TraesCS5B01G409700;TraesCS6D01G283300;TraesCS3D01G514100;TraesCS4B01G089500;TraesCS2D01G255100;TraesCS2D01G238600;TraesCS5B01G256400;TraesCS4A01G342800;TraesCS5A01G230400;TraesCS2D01G214700;TraesCS3D01G397100;TraesCS5D01G329200;TraesCS4B01G203100;TraesCS2B01G270300;TraesCS7D01G280600;TraesCS4D01G086400;TraesCS6D01G051300;TraesCS1A01G100600;TraesCS2B01G325100;TraesCS5B01G316400;TraesCS3B01G477300;TraesCS4D01G292300;TraesCS4D01G003600</t>
  </si>
  <si>
    <t>TraesCS5B01G117800;TraesCS5B01G484700;TraesCS7D01G294300;TraesCS6D01G344200;TraesCS1A01G369600;TraesCS4B01G213600;TraesCS2B01G530100;TraesCS4D01G147100;TraesCS7B01G382800;TraesCS5B01G094600;TraesCS5D01G056900;TraesCS5B01G324800;TraesCS5D01G429200;TraesCS3B01G219700;TraesCS7B01G113100;TraesCS4A01G286700;TraesCS1A01G130700;TraesCS7B01G411000;TraesCS5A01G336500;TraesCS4B01G347000;TraesCS5D01G026000;TraesCS4D01G220700;TraesCS6D01G287300;TraesCS4A01G101500;TraesCS6A01G225200;TraesCS2B01G257300;TraesCS4D01G204000;TraesCS4D01G025700;TraesCS5A01G093200;TraesCS6D01G162200;TraesCS7D01G339300;TraesCS5B01G174600;TraesCS4A01G120000;TraesCS4D01G120900;TraesCS7A01G415500;TraesCS7D01G224400;TraesCS5B01G171100;TraesCS2A01G500400;TraesCS2D01G093700;TraesCS5D01G178300;TraesCS2A01G313000;TraesCS2B01G207000;TraesCS6D01G047400;TraesCS7B01G103100;TraesCS5D01G067600;TraesCS7D01G283600;TraesCS3B01G423600;TraesCS3A01G380100;TraesCS1B01G375300;TraesCS2D01G383800;TraesCS1B01G274600;TraesCS2B01G303300;TraesCS6B01G238600;TraesCS7A01G222800;TraesCS2D01G102100;TraesCS5D01G118200;TraesCS2D01G328100;TraesCS3D01G407300;TraesCS4D01G094700;TraesCS7B01G162300;TraesCS5B01G084600;TraesCS3A01G292700;TraesCS7A01G190500;TraesCS4D01G081600;TraesCS4B01G300100;TraesCS3A01G224800;TraesCS5D01G321900;TraesCS7A01G466900;TraesCS5B01G517500;TraesCS2B01G520500;TraesCS6B01G166400;TraesCS7A01G252000;TraesCS5A01G315800;TraesCS5D01G044700;TraesCS5A01G357400;TraesCS3D01G271200;TraesCS2A01G467900;TraesCS3A01G521600;TraesCS7B01G217500;TraesCS3A01G288200;TraesCS4A01G298700;TraesCS5A01G221800;TraesCS4A01G005000;TraesCS4A01G078800;TraesCS2D01G549100;TraesCS3A01G268600;TraesCS3D01G224800;TraesCS6A01G123800;TraesCS1D01G264100;TraesCS5D01G013100;TraesCS5B01G409400;TraesCS1D01G401900;TraesCS7D01G288700;TraesCS3D01G041900;TraesCS5D01G099800;TraesCS5D01G530200;TraesCS4A01G178600;TraesCS5A01G119300;TraesCS5A01G123800;TraesCS1A01G116200;TraesCS4A01G052600;TraesCS4D01G252700;TraesCS6A01G355300;TraesCS3B01G324500;TraesCS5D01G517200;TraesCS3A01G381000;TraesCS1A01G092700;TraesCS5A01G096100;TraesCS7D01G025000;TraesCS2A01G223600;TraesCS5A01G004200;TraesCS3A01G151100;TraesCS7D01G250100;TraesCS7A01G307000;TraesCS1A01G224700;TraesCS6D01G362000;TraesCS6B01G246600;TraesCS1D01G155800;TraesCS7B01G197000;TraesCS6D01G186000;TraesCS6A01G209800;TraesCS2A01G309600;TraesCS5B01G396700;TraesCS4B01G246900;TraesCS1B01G167200;TraesCS3A01G412600;TraesCS5A01G104800;TraesCS2D01G094400;TraesCS7B01G129300;TraesCS3A01G435700;TraesCS6B01G256400;TraesCS3D01G228800;TraesCS7D01G407700;TraesCS4B01G151200;TraesCS1D01G211600;TraesCS4D01G240700;TraesCS7A01G313900;TraesCS7D01G332300;TraesCS7B01G006600;TraesCS1B01G253500;TraesCS7A01G139800;TraesCS5B01G132600;TraesCS3A01G084400;TraesCS3B01G268900;TraesCS4A01G354500;TraesCS2A01G123800;TraesCS6D01G094200;TraesCS4B01G129700;TraesCS4B01G150300;TraesCS2A01G092400;TraesCS2D01G194000;TraesCS4D01G318200;TraesCS6A01G308100;TraesCS4A01G262900;TraesCS1D01G003700;TraesCS2B01G150400;TraesCS6A01G336800;TraesCS6B01G134800;TraesCS2A01G338100;TraesCS3D01G271800;TraesCS3D01G288000;TraesCS2A01G342600;TraesCS4B01G245400;TraesCS5B01G563800;TraesCS6B01G176600;TraesCS2D01G528800;TraesCS6A01G322400;TraesCS4B01G287200;TraesCS2D01G279300;TraesCS5A01G132300;TraesCS3B01G370200;TraesCS6A01G259000;TraesCS1D01G383500;TraesCS5B01G517900;TraesCS6A01G146500;TraesCS5D01G424400;TraesCS2A01G110700;TraesCS3B01G400900;TraesCS7D01G447100;TraesCS1A01G172100;TraesCS6D01G283300;TraesCS5A01G416700;TraesCS5B01G256400;TraesCS6B01G331800;TraesCS7D01G169500;TraesCS3D01G412500;TraesCS3A01G271600;TraesCS4B01G131800;TraesCS1A01G281700;TraesCS5A01G460600;TraesCS6A01G077800;TraesCS1D01G198700;TraesCS4D01G189600;TraesCS4A01G093100;TraesCS4B01G252400;TraesCS4A01G125000;TraesCS2B01G307300;TraesCS5A01G468600;TraesCS1B01G049300;TraesCS5D01G219500;TraesCS1D01G101200;TraesCS4D01G170800;TraesCS4A01G119800;TraesCS5D01G171100;TraesCS4B01G226100;TraesCSU01G142500;TraesCS5A01G467500;TraesCS5D01G517600;TraesCS4D01G246300;TraesCS2B01G457300;TraesCS1D01G341100;TraesCS2A01G097900;TraesCS7B01G350400;TraesCS1A01G409600;TraesCS5B01G415100;TraesCS6A01G201800;TraesCS2B01G309500;TraesCS3D01G289600;TraesCS2D01G248600;TraesCS6D01G113900;TraesCS4A01G080100;TraesCS6B01G257900;TraesCS6D01G237400;TraesCS7D01G265200;TraesCS1A01G340400;TraesCS2B01G330100;TraesCS6A01G105400;TraesCS2B01G263300;TraesCS5D01G230300;TraesCS2B01G070700;TraesCS4A01G013500;TraesCS4A01G298100;TraesCS6A01G230100;TraesCS1B01G462200;TraesCS2A01G187700;TraesCS6B01G239000;TraesCS2D01G154100;TraesCS7B01G352800;TraesCS4A01G494400;TraesCS6A01G113000;TraesCS5B01G300100;TraesCS7D01G439900;TraesCS1D01G092200;TraesCS2D01G362700;TraesCS2D01G389900;TraesCS4B01G263100;TraesCS5D01G332000;TraesCS3D01G237100;TraesCS6B01G182300;TraesCS1B01G352700;TraesCS4D01G339700;TraesCS1D01G342400;TraesCS1D01G242500;TraesCS4B01G083600;TraesCS7A01G192000;TraesCS7D01G117800;TraesCS1B01G478800;TraesCS4D01G327300;TraesCS5A01G411500;TraesCS6B01G393500;TraesCS5A01G088400;TraesCS2A01G095300;TraesCS3A01G264700;TraesCS4B01G193400;TraesCS2D01G303500;TraesCS4A01G110800;TraesCS1D01G094400;TraesCS3D01G268700;TraesCS4A01G290400;TraesCS5A01G395200;TraesCS3D01G258900;TraesCS4D01G159800;TraesCS5A01G490500;TraesCS5B01G409700;TraesCS2B01G248100;TraesCS7A01G182200;TraesCS2D01G238600;TraesCS1D01G024800;TraesCS3A01G417000;TraesCS2D01G524500;TraesCS7D01G409000;TraesCS5B01G534400;TraesCS6A01G154400;TraesCS5B01G477800;TraesCS3D01G426300;TraesCS2A01G286500;TraesCS6D01G337500;TraesCS7D01G449900;TraesCS2B01G271300;TraesCS7D01G338600;TraesCS6A01G373400;TraesCS2A01G197900;TraesCS3D01G436100;TraesCS7A01G260600;TraesCS4A01G226900;TraesCS1B01G377800;TraesCS4A01G092500;TraesCS2B01G528300;TraesCS6D01G357100;TraesCS6D01G122800;TraesCS3B01G011800;TraesCS6B01G253900;TraesCS4D01G013900;TraesCS5B01G378700;TraesCS1A01G376400;TraesCS7A01G451100;TraesCS5B01G102600;TraesCS4B01G023800;TraesCS3A01G134100;TraesCS2B01G004000;TraesCS2D01G361800;TraesCS2A01G149600;TraesCS7D01G327700;TraesCS6B01G315800;TraesCS6D01G301300;TraesCS2B01G340300;TraesCS3B01G362100;TraesCS1D01G241800;TraesCS4B01G204500;TraesCS3D01G275600;TraesCS2D01G310000;TraesCS4A01G220100;TraesCS5B01G476900;TraesCS3A01G443700;TraesCS4A01G283000;TraesCS4D01G151900;TraesCS5A01G173700;TraesCS7B01G242200;TraesCS4B01G138800;TraesCS5D01G108700;TraesCS2B01G404600;TraesCS7A01G560200;TraesCS1B01G110400;TraesCS2A01G460000;TraesCS5A01G212500;TraesCS6B01G242800;TraesCS4A01G232300;TraesCS1B01G156600;TraesCS3B01G308200;TraesCS5A01G396700;TraesCS6B01G450500;TraesCS2B01G363200;TraesCS4B01G242800;TraesCS7A01G480700;TraesCS6A01G290600;TraesCS2B01G107200;TraesCS1D01G086600;TraesCS2B01G133500;TraesCS6D01G302200;TraesCS1B01G422200;TraesCS4D01G317900;TraesCS6B01G348700;TraesCS3A01G232700;TraesCS4A01G315700;TraesCS5A01G056400;TraesCS1A01G263400;TraesCS7D01G107600;TraesCS2B01G273900;TraesCS6A01G307700;TraesCS6B01G344100;TraesCS5A01G046600;TraesCS2D01G057900;TraesCS1B01G261700;TraesCS3B01G306000;TraesCS1A01G358800;TraesCS5B01G155100;TraesCS3D01G304800;TraesCS4A01G276300;TraesCS5A01G036600;TraesCS4D01G194400;TraesCS1D01G390500;TraesCS2B01G145700;TraesCS5D01G164800;TraesCS5A01G324200;TraesCS6B01G104600;TraesCSU01G047800;TraesCS3B01G398300;TraesCS7B01G097000;TraesCS1A01G158500;TraesCS4D01G086000;TraesCS6B01G171600;TraesCS1B01G434400;TraesCS4B01G073200;TraesCS1A01G309200;TraesCS5A01G222500;TraesCS3D01G087300;TraesCS6B01G388100;TraesCS2D01G324900;TraesCS7D01G292000;TraesCS2A01G246200;TraesCS5B01G175800;TraesCS1D01G210200;TraesCS4A01G226500;TraesCS5B01G531900;TraesCS1B01G146200;TraesCS2D01G014800;TraesCS7D01G467500;TraesCS4D01G153900;TraesCS2A01G262700;TraesCS4A01G065400;TraesCS2D01G136200;TraesCS5D01G181600;TraesCS4D01G135000;TraesCS6A01G133100;TraesCS5A01G166800;TraesCS5B01G171200;TraesCS7A01G323200;TraesCS3D01G428300;TraesCS1B01G402900;TraesCS6B01G112700;TraesCS5A01G128300;TraesCS5A01G149000;TraesCS2A01G193800;TraesCS4D01G184400;TraesCS6D01G390000;TraesCS7A01G555700;TraesCS4D01G151500;TraesCS6A01G420100;TraesCSU01G093800;TraesCS6D01G357600;TraesCS6D01G298300;TraesCS7B01G241500;TraesCS5D01G420300;TraesCS1D01G409700;TraesCS4A01G167000;TraesCS6D01G095800;TraesCS5B01G171400;TraesCS2B01G382000;TraesCS3D01G434800;TraesCS6B01G282200;TraesCS5D01G149900;TraesCS3A01G332300;TraesCS2D01G251000;TraesCS1D01G315700;TraesCS6A01G321600;TraesCS2A01G293400;TraesCS7A01G316700;TraesCS1D01G250700;TraesCS6A01G212200;TraesCS1A01G246800;TraesCS3B01G149800;TraesCS4A01G042500;TraesCS2A01G157700;TraesCS5D01G100800;TraesCS2D01G356700;TraesCS7A01G327600;TraesCS2B01G119700;TraesCS5B01G102000;TraesCS4A01G078900;TraesCS3D01G327600;TraesCS1A01G195500;TraesCS2B01G328500;TraesCS3D01G084300;TraesCS6D01G344100;TraesCS2D01G148200;TraesCS7B01G242800;TraesCS2B01G154700;TraesCS4A01G193700;TraesCS5B01G036800;TraesCS2A01G132200;TraesCS4A01G342800;TraesCS4B01G041900;TraesCS4B01G314600;TraesCS7D01G373100;TraesCS1A01G024700;TraesCS4D01G160000;TraesCS6B01G336300;TraesCS3A01G082700;TraesCS5D01G157300;TraesCS3B01G307600;TraesCS3B01G303000;TraesCS1A01G299500;TraesCS3B01G412600;TraesCS4B01G015600;TraesCS5D01G481500;TraesCS2D01G492600;TraesCS3A01G202000;TraesCS4B01G288200;TraesCS6D01G398100;TraesCS5A01G089900;TraesCS6A01G143300;TraesCS3B01G254400;TraesCS5D01G366500;TraesCS4B01G220400;TraesCS4D01G214300;TraesCS3B01G185300;TraesCS5A01G501800;TraesCS7A01G264300;TraesCS1D01G316200;TraesCS2A01G280500;TraesCS4A01G116000;TraesCS3A01G484800;TraesCS2B01G401900;TraesCS1B01G368500;TraesCS1A01G264000;TraesCS5A01G424400;TraesCS1D01G058300;TraesCS2B01G369600;TraesCS2D01G242100;TraesCS3A01G189400;TraesCS3D01G527700;TraesCS7A01G341000;TraesCS3D01G240800;TraesCS3B01G252200;TraesCS7A01G004000;TraesCS6B01G455100;TraesCS4D01G122800;TraesCS3B01G435900;TraesCS1B01G439600;TraesCS2B01G264100;TraesCS7B01G278200;TraesCS2B01G304900;TraesCS5B01G127300;TraesCS1A01G198400;TraesCS3D01G203400;TraesCS5D01G459800;TraesCS3A01G191700;TraesCS2A01G128300;TraesCS2D01G105300;TraesCS6D01G062500;TraesCS6B01G414800;TraesCS5D01G470400;TraesCS6B01G470900;TraesCS1B01G290800;TraesCS7B01G085700;TraesCS2B01G592500;TraesCS2D01G205900;TraesCS6D01G212000;TraesCS3B01G209400;TraesCS5D01G135900;TraesCS4A01G058000;TraesCS1B01G220700;TraesCS6D01G065600;TraesCS6B01G352400;TraesCS3A01G402500;TraesCS5D01G551200;TraesCS7A01G381900;TraesCS6D01G405600;TraesCS7A01G450600;TraesCS3D01G228900;TraesCS3D01G083400;TraesCS4B01G164800;TraesCS5B01G037500;TraesCS1A01G259700;TraesCS4A01G364400;TraesCS2B01G174700;TraesCS3B01G257700;TraesCS3D01G373300;TraesCS6B01G223200;TraesCS7A01G359800;TraesCS4B01G244400;TraesCS7D01G378400;TraesCS4A01G144500;TraesCS5D01G437600;TraesCS1D01G117400;TraesCS3D01G514100;TraesCS7D01G343300;TraesCS7A01G335600;TraesCS5D01G341200;TraesCS5A01G020800;TraesCS6A01G319100;TraesCS7A01G452800;TraesCS5A01G113700;TraesCSU01G132400;TraesCS3A01G488100;TraesCS7B01G421100;TraesCS1A01G129400;TraesCS6A01G360600;TraesCS3B01G224600;TraesCS7A01G351100;TraesCS4A01G166900;TraesCS1D01G226100;TraesCS5A01G513500;TraesCS5B01G141000;TraesCS6B01G159200;TraesCS1A01G112800;TraesCS5B01G227900;TraesCS3A01G181600;TraesCS4B01G150600;TraesCS7A01G350000;TraesCS5B01G431500;TraesCS6D01G204800;TraesCS3B01G112900;TraesCS4B01G321500;TraesCS1A01G416000;TraesCS4D01G244000;TraesCS4D01G133500;TraesCS7D01G549100;TraesCS4A01G355000;TraesCS5B01G146700;TraesCS1B01G255100;TraesCS6D01G224200;TraesCS6B01G219700;TraesCS7D01G313600;TraesCS3A01G103900;TraesCS4B01G090000;TraesCS3B01G006700;TraesCS1B01G254000;TraesCS3A01G513500;TraesCS2A01G103300;TraesCS1D01G412600;TraesCS4D01G359000;TraesCS1A01G007500;TraesCS1A01G339300;TraesCS1D01G229400;TraesCS6A01G303800;TraesCS6B01G393600;TraesCS6D01G135800;TraesCS4A01G091100;TraesCS7D01G554900;TraesCS2D01G349600;TraesCS4A01G194100;TraesCS5A01G466100;TraesCS4D01G341900;TraesCS5D01G472300;TraesCS5D01G143800;TraesCS1D01G280900;TraesCS2A01G437700;TraesCS3A01G275700;TraesCS1B01G304500;TraesCS1A01G206900;TraesCS2A01G222600;TraesCS7A01G293200;TraesCS4D01G212600;TraesCS1B01G396800;TraesCS5B01G502700;TraesCS3D01G341200;TraesCS5A01G173800;TraesCS4D01G157500;TraesCS2B01G272300;TraesCS3D01G194300;TraesCS7D01G148200;TraesCS2D01G520000;TraesCS4B01G091100;TraesCS5B01G099300;TraesCS3A01G272200;TraesCS1D01G423500;TraesCS4A01G185400;TraesCS5B01G503800;TraesCS1D01G392400;TraesCS1D01G352300;TraesCS1D01G356900;TraesCS4A01G051900;TraesCS4A01G165600;TraesCS3A01G200400;TraesCS2A01G492300;TraesCS5B01G509100;TraesCS6D01G132500;TraesCS6D01G210000;TraesCS4B01G211800;TraesCS5B01G214400;TraesCS6A01G107900;TraesCS4D01G039100;TraesCS1D01G242400;TraesCS2B01G312600;TraesCS1D01G298400;TraesCS1A01G431600;TraesCS1A01G133500;TraesCS1A01G100600;TraesCS6B01G173500;TraesCS3A01G274600;TraesCS1D01G125300;TraesCS6D01G238800;TraesCS7D01G499800;TraesCS3D01G264800;TraesCS1D01G155100;TraesCS1B01G261600;TraesCS3A01G289900;TraesCS1D01G226500;TraesCS5A01G092400;TraesCS4B01G168300;TraesCS1D01G149900;TraesCS3B01G046100;TraesCS7B01G093800;TraesCS4B01G286700;TraesCS4B01G133200;TraesCS7D01G454700;TraesCS1A01G420900;TraesCS5A01G490800;TraesCS2A01G058700;TraesCS5A01G215900;TraesCS2B01G343900;TraesCS6B01G251600;TraesCS4D01G021400;TraesCS4D01G348500;TraesCS6A01G130900;TraesCS5A01G429500;TraesCS3B01G161900;TraesCS1A01G060100;TraesCS7A01G376800;TraesCS2D01G236100;TraesCS6A01G203700;TraesCS2A01G290900;TraesCS5B01G335500;TraesCS2A01G102600;TraesCS7D01G174700;TraesCS1D01G331000;TraesCS2B01G050600;TraesCS4A01G157100;TraesCS2A01G501900;TraesCS5D01G504600;TraesCS1D01G178000;TraesCS4B01G028100;TraesCS6D01G172500;TraesCS7D01G004500;TraesCS1A01G001800;TraesCS2B01G297800;TraesCS2D01G111300;TraesCS2A01G252600;TraesCS7B01G230100;TraesCS2B01G457600;TraesCS2B01G247100;TraesCS3D01G220400;TraesCS2B01G157600;TraesCS3A01G023800;TraesCS1D01G440900;TraesCS3A01G367000;TraesCS2A01G114400;TraesCS6A01G314100;TraesCS4D01G194300;TraesCS2D01G288800;TraesCS3D01G325800;TraesCS4B01G179400;TraesCS5A01G548800;TraesCS3D01G162700;TraesCS2A01G387000;TraesCS3A01G097200;TraesCS5B01G344200;TraesCS3B01G309400;TraesCS3B01G229700;TraesCS7D01G442100;TraesCS2A01G134000;TraesCS2D01G229600;TraesCS4B01G321300;TraesCS2D01G249200;TraesCS6A01G267300;TraesCS1D01G146600;TraesCS4D01G263300;TraesCS4B01G344600;TraesCS2A01G296400;TraesCS7D01G193000;TraesCS2D01G126600;TraesCS2B01G321700;TraesCS5D01G478900;TraesCS7B01G184800;TraesCS5D01G105500;TraesCS1B01G213300;TraesCS2D01G500600;TraesCS1A01G111100;TraesCS4A01G164900;TraesCS5B01G136500;TraesCS2B01G122500;TraesCS5B01G509500;TraesCS5B01G510500;TraesCS2B01G410100;TraesCS5A01G515700;TraesCS5D01G223700;TraesCS6B01G151900;TraesCS7A01G314100;TraesCS7B01G124100;TraesCS6A01G070600;TraesCS1D01G199100;TraesCS5B01G147600;TraesCS1D01G367600;TraesCS6D01G174500;TraesCS6A01G210200;TraesCS6D01G195400;TraesCS2B01G225300;TraesCS3B01G470400;TraesCS4A01G124000;TraesCS2A01G239200;TraesCS6D01G193000;TraesCS7A01G329600;TraesCS5B01G481100;TraesCS6A01G269700;TraesCS7D01G130500;TraesCS7D01G000100;TraesCS4D01G242400;TraesCS7B01G207300</t>
  </si>
  <si>
    <t>TraesCS4A01G125000;TraesCS1D01G411300;TraesCS3B01G014900;TraesCS6B01G454500;TraesCS5D01G388000;TraesCS6B01G191500;TraesCS5D01G219500;TraesCS7A01G238400;TraesCS2A01G247300;TraesCS2A01G249600;TraesCS5A01G378000;TraesCS4B01G213600;TraesCS1B01G472100;TraesCS5B01G227900;TraesCS7B01G240200;TraesCS6B01G249700;TraesCS7D01G293100;TraesCS2D01G220800;TraesCS4D01G174500;TraesCS7D01G276300;TraesCS2B01G234500;TraesCS7D01G209600;TraesCS4D01G135000;TraesCS5B01G496000;TraesCS5B01G324800;TraesCS6A01G133100;TraesCS5B01G171200;TraesCS3B01G219700;TraesCS2A01G206200;TraesCS2B01G220100;TraesCS7A01G294200;TraesCS7D01G549100;TraesCS5B01G381600;TraesCS3A01G210000;TraesCS3B01G362500;TraesCS3D01G428300;TraesCS7D01G311300;TraesCS3A01G321900;TraesCS7B01G186500;TraesCS4B01G172500;TraesCS5A01G128300;TraesCS6B01G286300;TraesCS2D01G112000;TraesCS5A01G482800;TraesCS2B01G233400;TraesCS3D01G060600;TraesCS4D01G184400;TraesCS6A01G289200;TraesCS7B01G114100;TraesCS3D01G296900;TraesCS5A01G454300;TraesCS4A01G132200;TraesCS6D01G287300;TraesCS5D01G265500;TraesCS7B01G215000;TraesCS1B01G254000;TraesCS4A01G101500;TraesCS4D01G204000;TraesCS2B01G070700;TraesCS1A01G437500;TraesCS6A01G319700;TraesCS1A01G007500;TraesCS6A01G303800;TraesCS4B01G285000;TraesCS5B01G171100;TraesCS3B01G240500;TraesCS5D01G178300;TraesCS2B01G130300;TraesCS4D01G181000;TraesCS1B01G462200;TraesCS5A01G229300;TraesCS5B01G270200;TraesCS4A01G091100;TraesCS5A01G466100;TraesCS5B01G228900;TraesCS4A01G167000;TraesCS2B01G405600;TraesCS7B01G142700;TraesCS1D01G092200;TraesCS7D01G283600;TraesCS5D01G164500;TraesCS2A01G437700;TraesCS2D01G251000;TraesCS3D01G256700;TraesCS6B01G238600;TraesCS2A01G222600;TraesCS2D01G238700;TraesCS1A01G403800;TraesCS6A01G212200;TraesCS1D01G242500;TraesCS4B01G083600;TraesCS5A01G173800;TraesCS2B01G272300;TraesCS1A01G200000;TraesCS3A01G272200;TraesCS4D01G081600;TraesCS5D01G117100;TraesCS5D01G321900;TraesCS5A01G457500;TraesCS4B01G193400;TraesCS5A01G315800;TraesCS7A01G206700;TraesCS6A01G314600;TraesCS7A01G504900;TraesCS2D01G248400;TraesCS1D01G445300;TraesCS3B01G344200;TraesCS5B01G409700;TraesCS4B01G089500;TraesCS2B01G248100;TraesCS5D01G357600;TraesCS2A01G467900;TraesCS2D01G238600;TraesCS3B01G061700;TraesCS2D01G253200;TraesCS4A01G342800;TraesCS5A01G230400;TraesCS2B01G312600;TraesCS3D01G397100;TraesCS6B01G344600;TraesCS4D01G086400;TraesCS1A01G100600;TraesCS2B01G325100;TraesCS3D01G309400;TraesCS3B01G477300;TraesCS2D01G200700;TraesCS4D01G003600;TraesCS3D01G426300;TraesCS7D01G227300;TraesCS5A01G092400;TraesCS7D01G072100;TraesCS2B01G271300;TraesCS4A01G310600;TraesCS1D01G203500;TraesCS5D01G412600;TraesCS2B01G240000;TraesCS3D01G436100;TraesCS4A01G226900;TraesCS2A01G058700;TraesCS7A01G276400;TraesCS3B01G441000;TraesCS2B01G528300;TraesCS5D01G530200;TraesCS6D01G122800;TraesCS4D01G214300;TraesCS2D01G115200;TraesCS7A01G419600;TraesCS5B01G322900;TraesCS2A01G280500;TraesCS3A01G381000;TraesCS2A01G187200;TraesCS3A01G151100;TraesCS2D01G236100;TraesCS2B01G340300;TraesCS3A01G075700;TraesCS3A01G052700;TraesCS2D01G380900;TraesCS3B01G331600;TraesCS7B01G197000;TraesCS6A01G209800;TraesCS4B01G204500;TraesCS2B01G267500;TraesCS5B01G263800;TraesCS3A01G443700;TraesCS7B01G189500;TraesCS6A01G237800;TraesCS5A01G173700;TraesCS5D01G496400;TraesCS3A01G435700;TraesCS2B01G297800;TraesCS4D01G122800;TraesCS1B01G214700;TraesCS5D01G238300;TraesCS2A01G252600;TraesCS7A01G560200;TraesCS5B01G127300;TraesCS1A01G198400;TraesCS2B01G457600;TraesCS3A01G191700;TraesCS3D01G220400;TraesCS1B01G110400;TraesCS5A01G212500;TraesCS6B01G242800;TraesCS5D01G094000;TraesCS1B01G317500;TraesCS4A01G232300;TraesCS7B01G006600;TraesCS3A01G367000;TraesCS5D01G237400;TraesCS2A01G114400;TraesCS2D01G320900;TraesCS5D01G474200;TraesCS3A01G212000;TraesCS4B01G179400;TraesCS6A01G290600;TraesCS4B01G129700;TraesCS2D01G205900;TraesCS5D01G135900;TraesCS4A01G268900;TraesCS2B01G133500;TraesCS6A01G308100;TraesCS7D01G161000;TraesCS1D01G030500;TraesCS3D01G271800;TraesCS2A01G342600;TraesCS3A01G232700;TraesCS6B01G319000;TraesCS6B01G065300;TraesCS2D01G279300;TraesCS6A01G267300;TraesCS2A01G254600;TraesCS2A01G523600;TraesCS3B01G370200;TraesCS6A01G408400;TraesCS3A01G304900;TraesCS4B01G164800;TraesCS2D01G057900;TraesCS1A01G259700;TraesCS2A01G296400;TraesCS6D01G299200;TraesCS2A01G215000;TraesCS6D01G152700;TraesCS7A01G342800;TraesCS1B01G213300;TraesCS4D01G194400;TraesCS1A01G392000;TraesCS5D01G164800;TraesCS6A01G292800;TraesCS5A01G324200;TraesCS7A01G108600;TraesCS7A01G314100;TraesCS6D01G283300;TraesCS3D01G514100;TraesCS5A01G414400;TraesCS2D01G255100;TraesCS5B01G256400;TraesCS3B01G398300;TraesCS6D01G195400;TraesCS6A01G231900;TraesCS3D01G051800;TraesCS2D01G214700;TraesCS5D01G329200;TraesCS4B01G203100;TraesCS2B01G270300;TraesCS3A01G271600;TraesCS7D01G280600;TraesCS6D01G051300;TraesCS5B01G316400;TraesCS4D01G292300</t>
  </si>
  <si>
    <t>TraesCS3D01G426300;TraesCS7A01G223300;TraesCS4A01G125000;TraesCS5B01G484700;TraesCS5B01G249000;TraesCS7A01G351100;TraesCS7D01G072100;TraesCS2B01G271300;TraesCS7D01G338600;TraesCS5D01G219500;TraesCS5D01G412600;TraesCS3D01G436100;TraesCS5D01G162400;TraesCS2A01G058700;TraesCS2D01G014800;TraesCS6B01G159200;TraesCS5D01G530200;TraesCS4D01G147100;TraesCS5A01G119300;TraesCS5D01G366500;TraesCS7B01G240200;TraesCS4B01G220400;TraesCS7A01G190700;TraesCS1A01G376400;TraesCS2D01G417300;TraesCS5B01G102600;TraesCS3A01G381000;TraesCS5B01G324800;TraesCS3B01G219700;TraesCS2B01G004000;TraesCS7D01G327700;TraesCS6B01G315800;TraesCS7D01G549100;TraesCS7B01G350400;TraesCS1B01G255100;TraesCS3A01G075700;TraesCS7A01G307000;TraesCS3A01G052700;TraesCS5A01G149000;TraesCS7B01G197000;TraesCS2B01G050600;TraesCS3D01G529200;TraesCS4B01G204500;TraesCS3D01G275600;TraesCS7A01G341000;TraesCS3A01G443700;TraesCS7B01G189500;TraesCS3D01G296900;TraesCS4D01G220700;TraesCS3A01G523700;TraesCS1B01G254000;TraesCS3A01G513500;TraesCS5A01G251000;TraesCS6A01G225200;TraesCS7B01G242200;TraesCS2B01G070700;TraesCS3A01G530100;TraesCS7B01G129300;TraesCS4D01G359000;TraesCS5A01G093200;TraesCS4D01G309500;TraesCS4D01G122800;TraesCS7D01G224400;TraesCS6B01G256400;TraesCS5A01G157000;TraesCS6A01G303800;TraesCS7A01G560200;TraesCS6A01G158800;TraesCS1A01G198400;TraesCS3A01G191700;TraesCS5A01G547300;TraesCS1B01G110400;TraesCS5A01G212500;TraesCS6B01G242800;TraesCS1D01G211600;TraesCS6D01G047400;TraesCS1B01G462200;TraesCS6B01G239000;TraesCS3A01G023800;TraesCS5D01G258900;TraesCS3A01G367000;TraesCS5B01G300100;TraesCS7D01G439900;TraesCS6B01G470900;TraesCS1D01G092200;TraesCS5A01G396700;TraesCS5B01G155200;TraesCS7D01G283600;TraesCS3D01G281100;TraesCS4D01G085700;TraesCS4B01G179400;TraesCS6A01G290600;TraesCS6B01G089500;TraesCS2D01G251000;TraesCS2D01G389900;TraesCS4B01G129700;TraesCS5A01G548800;TraesCS2D01G118000;TraesCS2D01G205900;TraesCS5A01G114600;TraesCS7A01G222800;TraesCS2A01G387000;TraesCS6A01G212200;TraesCS1A01G246800;TraesCS3A01G100000;TraesCS1B01G396800;TraesCS5D01G551200;TraesCS3D01G288000;TraesCS4A01G315700;TraesCS7D01G224900;TraesCS1B01G270800;TraesCS5A01G429300;TraesCS5B01G563800;TraesCS7A01G450600;TraesCS6B01G192500;TraesCS3D01G083400;TraesCS6A01G267300;TraesCS3A01G304900;TraesCS1D01G383500;TraesCS2D01G057900;TraesCS2A01G296400;TraesCS6D01G299200;TraesCS1D01G260200;TraesCS7A01G342800;TraesCS5A01G357400;TraesCS5D01G105500;TraesCS1B01G213300;TraesCS5D01G164800;TraesCSU01G131300;TraesCS5A01G324200;TraesCS2B01G410100;TraesCS6D01G210000;TraesCS5B01G147600;TraesCS5B01G409700;TraesCS6D01G283300;TraesCS2A01G467900;TraesCS2B01G154700;TraesCS6D01G174500;TraesCS6A01G210200;TraesCS6D01G195400;TraesCS7D01G343300;TraesCS7A01G335600;TraesCS5B01G036800;TraesCS2A01G132200;TraesCS4A01G342800;TraesCS2B01G312600;TraesCS3A01G288200;TraesCS3A01G271600;TraesCS1A01G133500;TraesCS5B01G534400;TraesCS1A01G100600;TraesCS2B01G325100;TraesCS6B01G231600;TraesCS3A01G082700;TraesCS7D01G000100;TraesCS4B01G380800;TraesCS4D01G003600;TraesCS4A01G093100;TraesCS7B01G207300;TraesCS1A01G165700</t>
  </si>
  <si>
    <t>plastid organization</t>
  </si>
  <si>
    <t>TraesCS1D01G411300;TraesCS3B01G014900;TraesCS6B01G454500;TraesCS5D01G388000;TraesCS5D01G219500;TraesCS2A01G400900;TraesCS5A01G378000;TraesCS4B01G213600;TraesCS1B01G472100;TraesCS5B01G227900;TraesCS7B01G240200;TraesCS7D01G293100;TraesCS2B01G234500;TraesCS4D01G135000;TraesCS5B01G171200;TraesCS3B01G219700;TraesCS7A01G294200;TraesCS7D01G549100;TraesCS5B01G381600;TraesCS3A01G210000;TraesCS3B01G362500;TraesCS7B01G186500;TraesCS5A01G128300;TraesCS6B01G286300;TraesCS2B01G233400;TraesCS2A01G201200;TraesCS3D01G060600;TraesCS4D01G184400;TraesCS6A01G289200;TraesCS7B01G114100;TraesCS3D01G296900;TraesCS5A01G454300;TraesCS7D01G326000;TraesCS6D01G287300;TraesCS1B01G254000;TraesCS4A01G101500;TraesCS4D01G204000;TraesCS2B01G070700;TraesCS7B01G464900;TraesCS1A01G437500;TraesCS6A01G319700;TraesCS1A01G007500;TraesCS6A01G303800;TraesCS5B01G171100;TraesCS3B01G240500;TraesCS5D01G178300;TraesCS2D01G237600;TraesCS1B01G462200;TraesCS5A01G229300;TraesCS5B01G270200;TraesCS4A01G091100;TraesCS5A01G466100;TraesCS7B01G103100;TraesCS4A01G167000;TraesCS2B01G405600;TraesCS7B01G142700;TraesCS1D01G092200;TraesCS7D01G283600;TraesCS5D01G164500;TraesCS2A01G437700;TraesCS3D01G256700;TraesCS6B01G238600;TraesCS2D01G238700;TraesCS6A01G212200;TraesCS1D01G242500;TraesCS4B01G083600;TraesCS5A01G173800;TraesCS7A01G192000;TraesCS2B01G272300;TraesCS4D01G081600;TraesCS2D01G202900;TraesCS5D01G117100;TraesCS5D01G321900;TraesCS4B01G193400;TraesCS5A01G315800;TraesCS5B01G413400;TraesCS1D01G445300;TraesCS5B01G409700;TraesCS4B01G089500;TraesCS2A01G467900;TraesCS2D01G238600;TraesCS4A01G342800;TraesCS3D01G397100;TraesCS2D01G398400;TraesCS4D01G086400;TraesCS1A01G100600;TraesCS2B01G325100;TraesCS3B01G477300;TraesCS4D01G003600;TraesCS7B01G092500;TraesCS3D01G426300;TraesCS7D01G227300;TraesCS7D01G072100;TraesCS5D01G412600;TraesCS3D01G436100;TraesCS4A01G226900;TraesCS2A01G058700;TraesCS3B01G441000;TraesCS2B01G528300;TraesCS5D01G530200;TraesCS4D01G214300;TraesCS5B01G322900;TraesCS2A01G280500;TraesCS3A01G381000;TraesCS2A01G187200;TraesCS3A01G151100;TraesCS2D01G236100;TraesCS2B01G340300;TraesCS3A01G075700;TraesCS3A01G052700;TraesCS2D01G380900;TraesCS6A01G209800;TraesCS4B01G204500;TraesCS1A01G206600;TraesCS5B01G263800;TraesCS3A01G443700;TraesCS7B01G189500;TraesCS6A01G237800;TraesCS5A01G173700;TraesCS2B01G297800;TraesCS4D01G122800;TraesCS5D01G238300;TraesCS2A01G252600;TraesCS7A01G560200;TraesCS5B01G127300;TraesCS1A01G198400;TraesCS2B01G457600;TraesCS3A01G191700;TraesCS3D01G220400;TraesCS1B01G110400;TraesCS5A01G212500;TraesCS6B01G242800;TraesCS2A01G128300;TraesCS5D01G094000;TraesCS1B01G317500;TraesCS4A01G232300;TraesCS5A01G489100;TraesCS7B01G006600;TraesCS7A01G143900;TraesCS5D01G237400;TraesCS2A01G114400;TraesCS2D01G320900;TraesCS3A01G212000;TraesCS6A01G290600;TraesCS4B01G129700;TraesCS5D01G135900;TraesCS4A01G268900;TraesCS2B01G133500;TraesCS5A01G328900;TraesCS6A01G308100;TraesCS2B01G150400;TraesCS7D01G161000;TraesCS1D01G030500;TraesCS6B01G348700;TraesCS2A01G342600;TraesCS3A01G232700;TraesCS6B01G319000;TraesCS2A01G585800;TraesCS3B01G254200;TraesCS3D01G228900;TraesCS2B01G222600;TraesCS6B01G065300;TraesCS2D01G279300;TraesCS6A01G267300;TraesCS2A01G254600;TraesCS2A01G523600;TraesCS6A01G408400;TraesCS3A01G304900;TraesCS4B01G164800;TraesCS2D01G057900;TraesCS1A01G259700;TraesCS7D01G193000;TraesCS6D01G299200;TraesCS6D01G152700;TraesCS7A01G342800;TraesCS1B01G213300;TraesCS4D01G152000;TraesCS4D01G194400;TraesCS5D01G164800;TraesCS7A01G108600;TraesCS6D01G283300;TraesCS3D01G514100;TraesCS5B01G256400;TraesCS6D01G195400;TraesCS7B01G097000;TraesCS2D01G214700;TraesCS5D01G329200;TraesCS3A01G271600;TraesCS7D01G280600;TraesCS6D01G051300;TraesCSU01G132400;TraesCS5B01G316400;TraesCS4D01G292300</t>
  </si>
  <si>
    <t>TraesCS4A01G125000;TraesCS1D01G411300;TraesCS3B01G014900;TraesCS5B01G484700;TraesCS6B01G454500;TraesCS6B01G191500;TraesCS7A01G238400;TraesCS2A01G247300;TraesCS2D01G209900;TraesCS5A01G165700;TraesCS6B01G159200;TraesCS5B01G227900;TraesCS2D01G220800;TraesCS7D01G276300;TraesCS2B01G234500;TraesCS2D01G417300;TraesCS4D01G135000;TraesCS5B01G496000;TraesCS2D01G065600;TraesCS5B01G324800;TraesCS5B01G171200;TraesCS3B01G219700;TraesCS2A01G206200;TraesCS2B01G220100;TraesCS7A01G294200;TraesCS7D01G549100;TraesCS1B01G255100;TraesCS7D01G311300;TraesCS3A01G321900;TraesCS7B01G186500;TraesCS5A01G149000;TraesCS2D01G112000;TraesCS5A01G482800;TraesCS2B01G233400;TraesCS1D01G428200;TraesCS2A01G066700;TraesCS2A01G193800;TraesCS3D01G296900;TraesCS6A01G105400;TraesCS5A01G454300;TraesCS6D01G287300;TraesCS5D01G265500;TraesCS7B01G215000;TraesCS1B01G254000;TraesCS4A01G101500;TraesCS4D01G204000;TraesCS2B01G070700;TraesCS6A01G319700;TraesCS5D01G169600;TraesCS6A01G303800;TraesCS5B01G171100;TraesCS5D01G178300;TraesCS6D01G135800;TraesCS2B01G130300;TraesCS2B01G079400;TraesCS5A01G229300;TraesCS5B01G270200;TraesCS5B01G228900;TraesCS5B01G300100;TraesCS7B01G142700;TraesCS1D01G092200;TraesCS7D01G283600;TraesCS2A01G066800;TraesCS2A01G437700;TraesCS5D01G464800;TraesCS2D01G238700;TraesCS1A01G403800;TraesCS5B01G162800;TraesCS6A01G212200;TraesCS4B01G083600;TraesCS2A01G067200;TraesCS5A01G173800;TraesCS5A01G165400;TraesCS2B01G272300;TraesCS2B01G620600;TraesCS3D01G194300;TraesCS6D01G244900;TraesCS4D01G081600;TraesCS5A01G457500;TraesCS2B01G079100;TraesCS7A01G504900;TraesCS2D01G248400;TraesCS1A01G195500;TraesCS3B01G344200;TraesCS6D01G132500;TraesCS1A01G313300;TraesCS4B01G089500;TraesCS5D01G357600;TraesCS2D01G238600;TraesCS3B01G061700;TraesCS2D01G253200;TraesCS2A01G559600;TraesCS5B01G036800;TraesCS5A01G230400;TraesCS2B01G312600;TraesCS4B01G041900;TraesCS3A01G288200;TraesCS6D01G408000;TraesCS4D01G086400;TraesCS5B01G534400;TraesCS7A01G239700;TraesCS1A01G100600;TraesCS3D01G309400;TraesCS6B01G336300;TraesCS2D01G200700;TraesCS4D01G003600;TraesCS2D01G065100;TraesCS2B01G079200;TraesCS3D01G426300;TraesCS7D01G227300;TraesCS4A01G310600;TraesCS7D01G338600;TraesCS5D01G412600;TraesCS2B01G240000;TraesCS4A01G226900;TraesCS1A01G420900;TraesCS2A01G058700;TraesCS7A01G276400;TraesCS6A01G143300;TraesCS2D01G115200;TraesCS5B01G322900;TraesCS3A01G381000;TraesCS2D01G065200;TraesCS2A01G187200;TraesCS3A01G151100;TraesCS2D01G236100;TraesCS2B01G340300;TraesCS3A01G052700;TraesCS7B01G197000;TraesCS4B01G204500;TraesCS5A01G484700;TraesCS2B01G267500;TraesCS7A01G341000;TraesCS7B01G189500;TraesCS5A01G322500;TraesCS5A01G173700;TraesCS7B01G242200;TraesCS5D01G496400;TraesCS1B01G432700;TraesCS4D01G122800;TraesCS5D01G238300;TraesCS2A01G252600;TraesCS7A01G560200;TraesCS6A01G158800;TraesCS1A01G198400;TraesCS2B01G457600;TraesCS3A01G191700;TraesCS6B01G263600;TraesCS2D01G065300;TraesCS1B01G110400;TraesCS2B01G157600;TraesCS6B01G242800;TraesCS5D01G094000;TraesCS1B01G317500;TraesCS6B01G294700;TraesCS4A01G232300;TraesCS7B01G006600;TraesCS3A01G367000;TraesCS5D01G237400;TraesCS2A01G114400;TraesCS2D01G320900;TraesCS5D01G474200;TraesCS6A01G159800;TraesCS4B01G179400;TraesCS6A01G290600;TraesCS6B01G089500;TraesCS6D01G094200;TraesCS4B01G129700;TraesCS5A01G213000;TraesCS2A01G387000;TraesCS2D01G194000;TraesCS2B01G133500;TraesCS6A01G308100;TraesCS3A01G100000;TraesCS6B01G134800;TraesCS3D01G288000;TraesCS5D01G169900;TraesCS2A01G342600;TraesCS5A01G429300;TraesCS6B01G192500;TraesCS2B01G079500;TraesCS6A01G267300;TraesCS2A01G254600;TraesCS3B01G370200;TraesCS6A01G408400;TraesCS6A01G307700;TraesCS3A01G304900;TraesCS2D01G057900;TraesCS2A01G296400;TraesCS6A01G146500;TraesCS6D01G299200;TraesCS2A01G215000;TraesCS6D01G152700;TraesCS1B01G213300;TraesCS1A01G392000;TraesCS5A01G350600;TraesCS5A01G324200;TraesCS7A01G108600;TraesCS7A01G314100;TraesCS1D01G199100;TraesCS5B01G147600;TraesCS6D01G283300;TraesCS5A01G414400;TraesCS2D01G255100;TraesCS5B01G256400;TraesCS6D01G195400;TraesCS7D01G343300;TraesCS7A01G335600;TraesCS3D01G051800;TraesCS2D01G214700;TraesCS5D01G329200;TraesCS4B01G203100;TraesCS6B01G171600;TraesCS2B01G270300;TraesCS7D01G280600;TraesCS4A01G093100;TraesCS2A01G204800</t>
  </si>
  <si>
    <t>TraesCS5B01G117800;TraesCS5B01G484700;TraesCS7D01G294300;TraesCS5A01G059300;TraesCS6D01G344200;TraesCS1A01G369600;TraesCS4B01G213600;TraesCS2B01G530100;TraesCS4D01G147100;TraesCS7B01G382800;TraesCS5B01G094600;TraesCS5D01G056900;TraesCS5B01G324800;TraesCS5D01G429200;TraesCS3B01G219700;TraesCS5B01G255700;TraesCS7B01G113100;TraesCS4A01G286700;TraesCS1A01G130700;TraesCS7B01G411000;TraesCS5A01G336500;TraesCS4B01G347000;TraesCS5D01G026000;TraesCS4D01G220700;TraesCS6D01G287300;TraesCS4A01G101500;TraesCS6A01G225200;TraesCS2B01G257300;TraesCS4D01G204000;TraesCS4D01G025700;TraesCS5A01G093200;TraesCS6D01G162200;TraesCS7D01G339300;TraesCS5D01G169600;TraesCS5B01G174600;TraesCS4A01G120000;TraesCS4D01G120900;TraesCS7A01G415500;TraesCS7D01G224400;TraesCS5B01G171100;TraesCS2A01G500400;TraesCS5A01G143800;TraesCS2D01G093700;TraesCS5D01G178300;TraesCS2A01G313000;TraesCS2B01G207000;TraesCS6D01G047400;TraesCS7B01G103100;TraesCS5D01G067600;TraesCS5A01G390200;TraesCS7D01G283600;TraesCS3B01G423600;TraesCS4D01G343400;TraesCS3A01G380100;TraesCS1B01G375300;TraesCS2D01G383800;TraesCS1B01G274600;TraesCS2B01G303300;TraesCS6B01G238600;TraesCS7A01G222800;TraesCS2D01G102100;TraesCS5D01G118200;TraesCS2D01G328100;TraesCS3D01G407300;TraesCS5B01G162800;TraesCS4D01G094700;TraesCS7B01G162300;TraesCS5B01G084600;TraesCS5A01G165400;TraesCS3A01G292700;TraesCS7A01G190500;TraesCS4D01G081600;TraesCS4B01G300100;TraesCS3A01G224800;TraesCS5D01G321900;TraesCS7A01G466900;TraesCS5B01G517500;TraesCS2B01G520500;TraesCS6B01G166400;TraesCS7A01G252000;TraesCS5A01G315800;TraesCS5D01G044700;TraesCS5A01G357400;TraesCS4A01G446700;TraesCS3D01G271200;TraesCS2A01G467900;TraesCS3A01G521600;TraesCS7B01G217500;TraesCS3A01G288200;TraesCS4A01G147500;TraesCS4A01G298700;TraesCS5A01G221800;TraesCS4A01G005000;TraesCS4A01G078800;TraesCS2D01G549100;TraesCS3A01G268600;TraesCS3D01G224800;TraesCS7B01G092500;TraesCS6A01G123800;TraesCS1D01G264100;TraesCS5D01G013100;TraesCS5B01G409400;TraesCS6A01G018600;TraesCS5B01G339200;TraesCS1D01G401900;TraesCS7D01G288700;TraesCS3D01G041900;TraesCS5D01G099800;TraesCS5D01G530200;TraesCS4A01G178600;TraesCS5A01G119300;TraesCS5A01G123800;TraesCS1A01G116200;TraesCS4A01G052600;TraesCS4D01G252700;TraesCS6A01G355300;TraesCS3B01G324500;TraesCS5D01G517200;TraesCS3A01G381000;TraesCS4A01G187100;TraesCS1A01G092700;TraesCS5A01G096100;TraesCS7D01G025000;TraesCS2A01G223600;TraesCS5A01G004200;TraesCS3A01G151100;TraesCS7D01G250100;TraesCS7A01G307000;TraesCS1A01G224700;TraesCS6D01G362000;TraesCS6B01G246600;TraesCS1D01G155800;TraesCS7B01G197000;TraesCS6D01G186000;TraesCS6A01G209800;TraesCS2A01G309600;TraesCS5B01G396700;TraesCS4B01G246900;TraesCS1A01G036200;TraesCS1B01G167200;TraesCS3A01G412600;TraesCS3D01G298000;TraesCS5A01G104800;TraesCS2D01G094400;TraesCS7B01G129300;TraesCS3A01G435700;TraesCS6B01G256400;TraesCS3D01G228800;TraesCS7D01G407700;TraesCS4B01G151200;TraesCS1D01G211600;TraesCS4D01G240700;TraesCS7A01G313900;TraesCS7D01G332300;TraesCS6B01G294700;TraesCS7B01G006600;TraesCS1B01G253500;TraesCS7A01G139800;TraesCS5B01G132600;TraesCS3A01G084400;TraesCS3B01G268900;TraesCS4A01G354500;TraesCS2A01G123800;TraesCS6D01G094200;TraesCS4B01G129700;TraesCS4B01G150300;TraesCS2A01G092400;TraesCS2D01G194000;TraesCS4D01G318200;TraesCS6A01G308100;TraesCS4A01G262900;TraesCS1D01G003700;TraesCS2B01G150400;TraesCS6A01G336800;TraesCS6B01G134800;TraesCS2A01G338100;TraesCS3D01G271800;TraesCS3D01G288000;TraesCS2A01G342600;TraesCS4B01G245400;TraesCS5B01G563800;TraesCS6B01G176600;TraesCS2D01G528800;TraesCS6A01G322400;TraesCS4B01G287200;TraesCS2D01G279300;TraesCS5A01G132300;TraesCS3B01G370200;TraesCS6A01G259000;TraesCS1D01G383500;TraesCS5B01G517900;TraesCS6A01G146500;TraesCS5D01G424400;TraesCS2A01G110700;TraesCS3B01G400900;TraesCS6A01G188100;TraesCS7D01G447100;TraesCS1A01G172100;TraesCS6D01G283300;TraesCS5A01G416700;TraesCS5B01G256400;TraesCS6B01G331800;TraesCS7D01G169500;TraesCS3D01G412500;TraesCS3A01G271600;TraesCS4B01G131800;TraesCS1A01G281700;TraesCS5A01G460600;TraesCS6A01G077800;TraesCS1D01G198700;TraesCS4D01G189600;TraesCS4A01G093100;TraesCS6D01G121300;TraesCS4B01G252400;TraesCS4A01G125000;TraesCS2B01G307300;TraesCS4D01G211200;TraesCS5A01G468600;TraesCS1B01G049300;TraesCS5D01G219500;TraesCS1D01G101200;TraesCS4D01G170800;TraesCS4A01G119800;TraesCS5D01G171100;TraesCS4B01G226100;TraesCS5D01G148100;TraesCSU01G142500;TraesCS5A01G467500;TraesCS5D01G517600;TraesCS4D01G246300;TraesCS2B01G457300;TraesCS1D01G341100;TraesCS2A01G097900;TraesCS7B01G350400;TraesCS1A01G409600;TraesCS5B01G415100;TraesCS6A01G201800;TraesCS2B01G309500;TraesCS3D01G289600;TraesCS2D01G248600;TraesCS6D01G113900;TraesCS4A01G080100;TraesCS6B01G257900;TraesCS6D01G237400;TraesCS7D01G265200;TraesCS1A01G340400;TraesCS2B01G330100;TraesCS6A01G105400;TraesCS2B01G263300;TraesCS5D01G230300;TraesCS2B01G070700;TraesCS4A01G013500;TraesCS4A01G298100;TraesCS1D01G037900;TraesCS6A01G230100;TraesCS1B01G462200;TraesCS2A01G187700;TraesCS6B01G239000;TraesCS2D01G154100;TraesCS7B01G352800;TraesCS4A01G494400;TraesCS6A01G113000;TraesCS5B01G300100;TraesCS7D01G439900;TraesCS1D01G092200;TraesCS2D01G362700;TraesCS2D01G389900;TraesCS4B01G263100;TraesCS5D01G332000;TraesCS3D01G237100;TraesCS6B01G182300;TraesCS1B01G352700;TraesCS4D01G339700;TraesCS1D01G342400;TraesCS1D01G242500;TraesCS4B01G083600;TraesCS5D01G312400;TraesCS7A01G192000;TraesCS7D01G117800;TraesCS1B01G478800;TraesCS4D01G327300;TraesCS5A01G411500;TraesCS6B01G393500;TraesCS5A01G088400;TraesCS2A01G095300;TraesCS3A01G264700;TraesCS4B01G193400;TraesCS2D01G303500;TraesCS4A01G110800;TraesCS1D01G094400;TraesCS6B01G026900;TraesCS3D01G268700;TraesCS4A01G290400;TraesCS5A01G395200;TraesCS1A01G313300;TraesCS3D01G258900;TraesCS4D01G159800;TraesCS5A01G490500;TraesCS5B01G409700;TraesCS2B01G248100;TraesCS7A01G182200;TraesCS2D01G238600;TraesCS1D01G024800;TraesCS3A01G417000;TraesCS2D01G524500;TraesCS7D01G409000;TraesCS5B01G534400;TraesCS6A01G154400;TraesCS5B01G477800;TraesCS7A01G466600;TraesCS3D01G426300;TraesCS2A01G286500;TraesCS6D01G337500;TraesCS7D01G449900;TraesCS2B01G271300;TraesCS7D01G338600;TraesCS6A01G373400;TraesCS2A01G197900;TraesCS3D01G436100;TraesCS7A01G260600;TraesCS4A01G226900;TraesCS1B01G377800;TraesCS4A01G092500;TraesCS2B01G528300;TraesCS6D01G357100;TraesCS6D01G122800;TraesCS3B01G011800;TraesCS6B01G253900;TraesCS4D01G013900;TraesCS5B01G378700;TraesCS1A01G376400;TraesCS7A01G451100;TraesCS5B01G102600;TraesCS4B01G023800;TraesCS3A01G134100;TraesCS2B01G004000;TraesCS2D01G361800;TraesCS2A01G149600;TraesCS7D01G327700;TraesCS6B01G315800;TraesCS6D01G301300;TraesCS2B01G340300;TraesCS3B01G362100;TraesCS1D01G241800;TraesCS4B01G204500;TraesCS3D01G275600;TraesCS1A01G206600;TraesCS2D01G310000;TraesCS4A01G220100;TraesCS5B01G476900;TraesCS3A01G443700;TraesCS4A01G283000;TraesCS4D01G151900;TraesCS5A01G173700;TraesCS7B01G242200;TraesCS4B01G138800;TraesCS5D01G108700;TraesCS2B01G404600;TraesCS7A01G560200;TraesCS1B01G110400;TraesCS2A01G460000;TraesCS5A01G212500;TraesCS6B01G242800;TraesCS4A01G232300;TraesCS1B01G156600;TraesCS3B01G308200;TraesCS2A01G521400;TraesCS5A01G396700;TraesCS6B01G450500;TraesCS2B01G363200;TraesCS4B01G242800;TraesCS7A01G480700;TraesCS6A01G290600;TraesCS2B01G107200;TraesCS1D01G086600;TraesCS2B01G133500;TraesCS6D01G302200;TraesCS1B01G422200;TraesCS4D01G317900;TraesCS6B01G348700;TraesCS3A01G232700;TraesCS4A01G315700;TraesCS5A01G056400;TraesCS1A01G263400;TraesCS7D01G107600;TraesCS2B01G273900;TraesCS6A01G307700;TraesCS6B01G344100;TraesCS5A01G046600;TraesCS2D01G057900;TraesCS1B01G261700;TraesCS3B01G306000;TraesCS1A01G358800;TraesCS5B01G155100;TraesCS3D01G304800;TraesCS4A01G276300;TraesCS5A01G036600;TraesCS4D01G194400;TraesCS1D01G390500;TraesCS2B01G145700;TraesCS5D01G164800;TraesCS5A01G324200;TraesCS6B01G104600;TraesCSU01G047800;TraesCS3B01G398300;TraesCS7B01G097000;TraesCS1A01G158500;TraesCS4D01G086000;TraesCS6B01G171600;TraesCS1B01G434400;TraesCS4B01G073200;TraesCS1A01G309200;TraesCS5A01G222500;TraesCS5B01G320100;TraesCS3D01G087300;TraesCS6B01G388100;TraesCS2D01G324900;TraesCS7D01G292000;TraesCS2A01G261600;TraesCS2A01G246200;TraesCS5B01G175800;TraesCS5A01G165700;TraesCS1D01G210200;TraesCS4A01G226500;TraesCS5B01G531900;TraesCS1B01G146200;TraesCS2D01G014800;TraesCS7D01G467500;TraesCS4D01G153900;TraesCS2A01G262700;TraesCS4A01G065400;TraesCS2D01G136200;TraesCS5D01G181600;TraesCS1D01G376900;TraesCS4D01G135000;TraesCS6A01G133100;TraesCS5A01G166800;TraesCS5B01G171200;TraesCS7A01G323200;TraesCS3D01G428300;TraesCS5B01G142900;TraesCS1B01G402900;TraesCS6B01G112700;TraesCS5A01G128300;TraesCS5A01G149000;TraesCS2A01G193800;TraesCS4D01G184400;TraesCS6D01G390000;TraesCS7D01G454200;TraesCS7A01G555700;TraesCS4D01G151500;TraesCS6A01G420100;TraesCSU01G093800;TraesCS3A01G303800;TraesCS6D01G357600;TraesCS6D01G298300;TraesCS4D01G160200;TraesCS7B01G241500;TraesCS5D01G420300;TraesCS1D01G409700;TraesCS4A01G167000;TraesCS6D01G095800;TraesCS5B01G171400;TraesCS2B01G382000;TraesCS3D01G434800;TraesCS6B01G282200;TraesCS5D01G149900;TraesCS3A01G332300;TraesCS2D01G251000;TraesCS1D01G315700;TraesCS6A01G321600;TraesCS2A01G293400;TraesCS7A01G316700;TraesCS1D01G250700;TraesCS2D01G530600;TraesCS2B01G280600;TraesCS6A01G212200;TraesCS1A01G246800;TraesCS3B01G149800;TraesCS4A01G042500;TraesCS2A01G157700;TraesCS5D01G100800;TraesCS2D01G356700;TraesCS7A01G327600;TraesCS6B01G159800;TraesCS2B01G119700;TraesCS5B01G102000;TraesCS4A01G078900;TraesCS3D01G327600;TraesCS1A01G195500;TraesCS2B01G328500;TraesCS3D01G084300;TraesCS6D01G344100;TraesCS2D01G148200;TraesCS7B01G242800;TraesCS2B01G154700;TraesCS4A01G193700;TraesCS4B01G123900;TraesCS5B01G036800;TraesCS2A01G132200;TraesCS4A01G342800;TraesCS4B01G041900;TraesCS4B01G314600;TraesCS7D01G373100;TraesCS1A01G024700;TraesCS4D01G160000;TraesCS6B01G336300;TraesCS3A01G082700;TraesCS5D01G157300;TraesCS3B01G307600;TraesCS3B01G303000;TraesCS1A01G299500;TraesCS3B01G412600;TraesCS4B01G015600;TraesCS5D01G481500;TraesCS2D01G492600;TraesCS3A01G202000;TraesCS4B01G288200;TraesCS6D01G398100;TraesCS5A01G089900;TraesCS6A01G143300;TraesCS3B01G254400;TraesCS4A01G283700;TraesCS7D01G188300;TraesCS5D01G366500;TraesCS4B01G220400;TraesCS4D01G214300;TraesCS3B01G185300;TraesCS5A01G501800;TraesCS7A01G264300;TraesCS1D01G316200;TraesCS2A01G280500;TraesCS4A01G116000;TraesCS3A01G484800;TraesCS2B01G401900;TraesCS1B01G368500;TraesCS1A01G264000;TraesCS5A01G424400;TraesCS1D01G058300;TraesCS2B01G369600;TraesCS2D01G242100;TraesCS3A01G189400;TraesCS3D01G527700;TraesCS7A01G341000;TraesCS3D01G240800;TraesCS3B01G252200;TraesCS7A01G004000;TraesCS6B01G455100;TraesCS4D01G122800;TraesCS3B01G435900;TraesCS1B01G439600;TraesCS2B01G264100;TraesCS7B01G278200;TraesCS2B01G304900;TraesCS5B01G127300;TraesCS1A01G198400;TraesCS3D01G203400;TraesCS5D01G459800;TraesCS3A01G191700;TraesCS2A01G128300;TraesCS2D01G105300;TraesCS6D01G062500;TraesCS6B01G414800;TraesCS5D01G470400;TraesCS6B01G470900;TraesCS1B01G290800;TraesCS7B01G085700;TraesCS2B01G592500;TraesCS2D01G205900;TraesCS6D01G212000;TraesCS3B01G209400;TraesCS5D01G135900;TraesCS4A01G058000;TraesCS1B01G220700;TraesCS6D01G065600;TraesCS6B01G352400;TraesCS3A01G402500;TraesCS5D01G551200;TraesCS4D01G157900;TraesCS5D01G400000;TraesCS7A01G381900;TraesCS6D01G405600;TraesCS7A01G450600;TraesCS4D01G199300;TraesCS3D01G228900;TraesCS3D01G083400;TraesCS4B01G164800;TraesCS5B01G037500;TraesCS1A01G259700;TraesCS4A01G364400;TraesCS2B01G174700;TraesCS3B01G257700;TraesCS3D01G373300;TraesCS6B01G223200;TraesCS7A01G359800;TraesCS4B01G244400;TraesCS7D01G378400;TraesCS4A01G144500;TraesCS5D01G437600;TraesCS1D01G117400;TraesCS3D01G514100;TraesCS7D01G343300;TraesCS7A01G335600;TraesCS5D01G341200;TraesCS5A01G020800;TraesCS6A01G319100;TraesCS7A01G452800;TraesCS5A01G113700;TraesCSU01G132400;TraesCS3A01G488100;TraesCS7B01G421100;TraesCS1A01G129400;TraesCS6A01G360600;TraesCS3B01G224600;TraesCS7A01G351100;TraesCS4A01G166900;TraesCS1D01G226100;TraesCS5A01G513500;TraesCS5B01G141000;TraesCS6B01G159200;TraesCS1A01G112800;TraesCS5B01G227900;TraesCS3A01G181600;TraesCS4B01G150600;TraesCS7A01G350000;TraesCS5B01G431500;TraesCS6D01G204800;TraesCS3B01G112900;TraesCS4B01G321500;TraesCS1A01G416000;TraesCS4D01G244000;TraesCS4D01G133500;TraesCS7D01G549100;TraesCS4A01G355000;TraesCS5B01G146700;TraesCS1B01G255100;TraesCS6D01G224200;TraesCS6B01G219700;TraesCS7D01G313600;TraesCS3A01G103900;TraesCS4B01G090000;TraesCS3B01G006700;TraesCS5A01G305400;TraesCS1B01G254000;TraesCS3A01G513500;TraesCS2A01G103300;TraesCS1D01G412600;TraesCS4D01G359000;TraesCS1A01G007500;TraesCS1A01G339300;TraesCS1D01G229400;TraesCS6A01G303800;TraesCS6B01G393600;TraesCS6D01G135800;TraesCS2B01G079400;TraesCS4A01G091100;TraesCS7D01G554900;TraesCS2D01G349600;TraesCS4A01G194100;TraesCS5A01G466100;TraesCS4D01G341900;TraesCS5D01G472300;TraesCS5D01G143800;TraesCS1D01G280900;TraesCS2A01G437700;TraesCS3A01G275700;TraesCS1B01G304500;TraesCS1A01G206900;TraesCS2A01G222600;TraesCS7A01G293200;TraesCS4D01G212600;TraesCS1B01G396800;TraesCS5B01G502700;TraesCS3D01G341200;TraesCS5A01G173800;TraesCS4D01G157500;TraesCS2B01G272300;TraesCS3D01G194300;TraesCS7D01G148200;TraesCS2D01G520000;TraesCS4B01G091100;TraesCS5B01G099300;TraesCS3A01G272200;TraesCS1D01G423500;TraesCS4A01G185400;TraesCS5B01G503800;TraesCS1D01G392400;TraesCS1D01G352300;TraesCS1D01G356900;TraesCS4A01G051900;TraesCS4A01G165600;TraesCS3A01G200400;TraesCS2A01G492300;TraesCS5B01G509100;TraesCS6D01G132500;TraesCS6D01G210000;TraesCS4B01G211800;TraesCS5B01G214400;TraesCS6A01G107900;TraesCS4D01G039100;TraesCS1D01G242400;TraesCS2B01G312600;TraesCS1D01G298400;TraesCS1A01G431600;TraesCS1A01G133500;TraesCS1A01G100600;TraesCS6B01G173500;TraesCS3A01G274600;TraesCS1D01G125300;TraesCS6D01G238800;TraesCS7D01G499800;TraesCS3D01G264800;TraesCS1D01G155100;TraesCS1B01G261600;TraesCS3A01G289900;TraesCS1D01G226500;TraesCS5A01G092400;TraesCS4B01G168300;TraesCS1D01G149900;TraesCS3B01G046100;TraesCS7B01G093800;TraesCS4B01G286700;TraesCS4B01G133200;TraesCS7D01G454700;TraesCS1A01G420900;TraesCS5A01G490800;TraesCS2A01G058700;TraesCS5A01G215900;TraesCS2B01G343900;TraesCS6B01G251600;TraesCS4D01G021400;TraesCS4D01G348500;TraesCS6A01G130900;TraesCS5A01G429500;TraesCS3B01G161900;TraesCS1A01G060100;TraesCS7A01G376800;TraesCS7A01G120300;TraesCS2D01G236100;TraesCS6A01G203700;TraesCS2A01G290900;TraesCS5B01G335500;TraesCS2A01G102600;TraesCS7D01G174700;TraesCS1D01G331000;TraesCS2B01G050600;TraesCS4A01G157100;TraesCS2A01G501900;TraesCS5D01G504600;TraesCS1D01G178000;TraesCS4B01G028100;TraesCS2A01G098500;TraesCS6D01G172500;TraesCS1D01G303800;TraesCS7D01G004500;TraesCS1A01G001800;TraesCS2B01G297800;TraesCS2D01G111300;TraesCS2A01G252600;TraesCS7B01G230100;TraesCS2B01G457600;TraesCS2B01G247100;TraesCS3D01G220400;TraesCS2B01G157600;TraesCS3A01G023800;TraesCS1D01G440900;TraesCS3A01G367000;TraesCS2A01G114400;TraesCS6A01G314100;TraesCS4D01G194300;TraesCS2D01G288800;TraesCS3D01G325800;TraesCS4B01G179400;TraesCS4B01G154100;TraesCS5A01G548800;TraesCS3D01G162700;TraesCS2A01G387000;TraesCS3A01G097200;TraesCS5B01G344200;TraesCS3B01G309400;TraesCS3B01G229700;TraesCS7D01G442100;TraesCS2A01G134000;TraesCS2D01G262400;TraesCS2D01G229600;TraesCS4B01G321300;TraesCS2D01G249200;TraesCS6A01G267300;TraesCS1D01G146600;TraesCS4D01G263300;TraesCS4B01G344600;TraesCS2A01G296400;TraesCS7D01G193000;TraesCS2D01G126600;TraesCS3A01G405300;TraesCS2B01G321700;TraesCS5D01G478900;TraesCS7B01G184800;TraesCS5D01G105500;TraesCS1B01G213300;TraesCS2D01G500600;TraesCS1A01G111100;TraesCS4A01G164900;TraesCS5B01G136500;TraesCS2B01G122500;TraesCS5B01G509500;TraesCS5B01G510500;TraesCS2B01G410100;TraesCS5A01G515700;TraesCS5D01G223700;TraesCS6B01G151900;TraesCS7A01G314100;TraesCS7B01G124100;TraesCS6A01G070600;TraesCS1D01G199100;TraesCS5B01G147600;TraesCS1D01G367600;TraesCS6D01G174500;TraesCS6A01G210200;TraesCS6D01G195400;TraesCS2B01G225300;TraesCS3B01G470400;TraesCS4A01G124000;TraesCS2A01G239200;TraesCS6D01G193000;TraesCS7A01G329600;TraesCS5B01G481100;TraesCS4A01G105500;TraesCS6A01G269700;TraesCS5D01G070800;TraesCS7D01G130500;TraesCS7D01G000100;TraesCS4B01G029400;TraesCS4D01G242400;TraesCS7B01G207300</t>
  </si>
  <si>
    <t>TraesCS1D01G107300;TraesCS5B01G484700;TraesCS5A01G103100;TraesCS5B01G249000;TraesCS1A01G256800;TraesCS3D01G273800;TraesCS2B01G152100;TraesCS2D01G427900;TraesCS2D01G014800;TraesCS6B01G295700;TraesCS4D01G153900;TraesCS4D01G147100;TraesCS7B01G240200;TraesCS5D01G532100;TraesCS7A01G190700;TraesCS5B01G094600;TraesCS3B01G242700;TraesCS5B01G324800;TraesCS5D01G429200;TraesCS5A01G166800;TraesCS3B01G219700;TraesCS2A01G171900;TraesCS7A01G323200;TraesCS5A01G149000;TraesCS5A01G336500;TraesCS4B01G397700;TraesCS3D01G296900;TraesCS4D01G220700;TraesCS7D01G454200;TraesCS3A01G091100;TraesCS3A01G393400;TraesCS5A01G251000;TraesCS6A01G225200;TraesCS5A01G093200;TraesCS2A01G027000;TraesCS4D01G309500;TraesCS6B01G190300;TraesCS7D01G224400;TraesCS7A01G151000;TraesCS4B01G109700;TraesCS3D01G274900;TraesCS2D01G093700;TraesCS5B01G484800;TraesCS5A01G472100;TraesCS1B01G447500;TraesCS6D01G047400;TraesCS6A01G364300;TraesCS4D01G278500;TraesCS1D01G260500;TraesCS5B01G171400;TraesCS7D01G283600;TraesCS3D01G281100;TraesCS5B01G000600;TraesCS2D01G251000;TraesCS1B01G274600;TraesCS7A01G222800;TraesCS1D01G325500;TraesCS6A01G212200;TraesCS1A01G246800;TraesCS7A01G490900;TraesCS4A01G030400;TraesCS1B01G271100;TraesCS5B01G479200;TraesCS2B01G375700;TraesCS2A01G592600;TraesCS7A01G466900;TraesCS5D01G044700;TraesCS5A01G357400;TraesCS1A01G094200;TraesCS4A01G078900;TraesCS6D01G344100;TraesCS3A01G275000;TraesCS3B01G308700;TraesCS5B01G185700;TraesCS2A01G467900;TraesCS2B01G154700;TraesCS2A01G159900;TraesCS5B01G036800;TraesCS2A01G132200;TraesCS4A01G342800;TraesCS1B01G122300;TraesCS2B01G477400;TraesCS3A01G288200;TraesCS2B01G325100;TraesCS6D01G263300;TraesCS1D01G314600;TraesCS3A01G082700;TraesCS4A01G005000;TraesCS4A01G074200;TraesCS1A01G299500;TraesCS4D01G003600;TraesCS7A01G200700;TraesCS5A01G233900;TraesCS1D01G264100;TraesCS2D01G477200;TraesCS3B01G423800;TraesCS7D01G072100;TraesCS1D01G222700;TraesCS5D01G412600;TraesCS7D01G261100;TraesCSU01G072700;TraesCS1D01G265200;TraesCS5D01G530200;TraesCS4A01G178600;TraesCS5A01G119300;TraesCS5D01G366500;TraesCS4B01G220400;TraesCS3B01G185300;TraesCS1A01G076000;TraesCS1D01G316200;TraesCS3A01G381000;TraesCS5B01G232400;TraesCS3B01G299100;TraesCS2B01G401900;TraesCS1A01G264000;TraesCS3A01G075700;TraesCS7A01G307000;TraesCS3A01G052700;TraesCS5D01G141200;TraesCS7B01G197000;TraesCS5B01G058200;TraesCS7A01G341000;TraesCS6B01G341400;TraesCS7B01G189500;TraesCS7A01G220600;TraesCS6D01G149800;TraesCS3B01G252200;TraesCS7B01G129300;TraesCS4D01G122800;TraesCS6B01G256400;TraesCS6A01G158800;TraesCS1A01G198400;TraesCS3D01G203400;TraesCS4A01G334700;TraesCS3A01G191700;TraesCS1D01G211600;TraesCS2A01G128300;TraesCS2B01G174600;TraesCS5A01G489100;TraesCS6B01G470900;TraesCS7D01G399400;TraesCS2B01G348600;TraesCS4D01G085700;TraesCS4B01G129700;TraesCS2D01G205900;TraesCS1B01G333100;TraesCS4D01G318200;TraesCS5B01G107400;TraesCS2B01G150400;TraesCS5D01G551200;TraesCS6A01G040200;TraesCS3D01G288000;TraesCS2A01G342600;TraesCS4B01G152700;TraesCS4B01G245400;TraesCS2A01G434600;TraesCS5B01G563800;TraesCS6B01G176600;TraesCS7A01G450600;TraesCS2D01G059400;TraesCS3D01G083400;TraesCS5D01G484800;TraesCS5B01G037500;TraesCS1D01G383500;TraesCS2B01G174700;TraesCS1D01G103000;TraesCS7A01G204000;TraesCS7A01G260100;TraesCSU01G131300;TraesCS2B01G185800;TraesCS6D01G283300;TraesCS7D01G343300;TraesCS4A01G247300;TraesCS7A01G335600;TraesCS2A01G455300;TraesCS5D01G341200;TraesCS3D01G091000;TraesCS5D01G240800;TraesCS1A01G221100;TraesCS3A01G271600;TraesCS7A01G452800;TraesCS5A01G460600;TraesCS2A01G382000;TraesCS1A01G314100;TraesCS5D01G480300;TraesCS7B01G119300;TraesCS1B01G403000;TraesCS1A01G129400;TraesCS4A01G093100;TraesCS1A01G165700;TraesCS4A01G125000;TraesCS6A01G360600;TraesCS1A01G260500;TraesCS7A01G351100;TraesCS1B01G049300;TraesCS6B01G399000;TraesCS5D01G219500;TraesCS5D01G162400;TraesCS6A01G268600;TraesCS6D01G348000;TraesCS5D01G359800;TraesCS4B01G230500;TraesCS6B01G159200;TraesCS5D01G171100;TraesCS6A01G311200;TraesCS5A01G467500;TraesCSU01G121900;TraesCS2D01G417300;TraesCS3B01G112900;TraesCS1B01G267200;TraesCS4B01G321500;TraesCS4D01G244000;TraesCS4D01G133500;TraesCS7D01G549100;TraesCS2A01G563500;TraesCS2D01G399800;TraesCS7B01G350400;TraesCS1B01G255100;TraesCS5D01G193000;TraesCS6A01G379000;TraesCS6A01G282800;TraesCS7A01G321900;TraesCS1A01G099400;TraesCS1B01G254000;TraesCS3A01G513500;TraesCS2B01G070700;TraesCS4D01G359000;TraesCS6A01G303800;TraesCS3D01G205300;TraesCS5A01G547300;TraesCS1B01G462200;TraesCS3D01G188800;TraesCS6B01G239000;TraesCS2B01G501300;TraesCS7B01G352800;TraesCS5D01G472300;TraesCS5B01G300100;TraesCS7D01G439900;TraesCS2D01G561900;TraesCS1D01G092200;TraesCS1B01G326400;TraesCS2D01G362700;TraesCS2D01G389900;TraesCS3B01G214600;TraesCS2D01G118000;TraesCS5A01G114600;TraesCS3A01G336100;TraesCS1D01G433300;TraesCS1B01G396800;TraesCS3D01G341200;TraesCS7D01G207100;TraesCS7D01G224900;TraesCS1B01G270800;TraesCS5D01G000100;TraesCS6B01G393500;TraesCS4B01G355100;TraesCS2A01G095300;TraesCS4A01G110800;TraesCS3A01G200400;TraesCS3D01G114000;TraesCS6D01G210000;TraesCS5A01G490500;TraesCS5B01G409700;TraesCS3A01G391800;TraesCS2A01G478000;TraesCS2B01G312600;TraesCS7D01G152900;TraesCS1D01G298400;TraesCS1A01G133500;TraesCS5B01G534400;TraesCS1A01G100600;TraesCS1D01G125300;TraesCS3A01G295400;TraesCS6D01G246300;TraesCS7A01G466600;TraesCS3D01G426300;TraesCS3A01G212600;TraesCS3A01G264600;TraesCS7A01G223300;TraesCS1B01G261600;TraesCS3B01G083400;TraesCS1A01G071100;TraesCS1D01G226500;TraesCS2B01G271300;TraesCS7D01G338600;TraesCS3D01G384700;TraesCS3D01G436100;TraesCS7D01G454700;TraesCS4A01G023500;TraesCS2A01G058700;TraesCS2B01G528300;TraesCS5B01G378700;TraesCS1A01G376400;TraesCS2B01G385300;TraesCS2D01G554500;TraesCS5B01G102600;TraesCS2B01G004000;TraesCS2A01G149600;TraesCS7D01G327700;TraesCS6B01G311200;TraesCS6B01G315800;TraesCS2B01G340300;TraesCS1A01G180200;TraesCS5A01G420600;TraesCS5B01G335500;TraesCS3D01G264700;TraesCS1D01G331000;TraesCS2B01G050600;TraesCS3D01G529200;TraesCS4B01G204500;TraesCS3D01G275600;TraesCS3A01G443700;TraesCS3A01G523700;TraesCS5D01G208100;TraesCS7B01G242200;TraesCS2D01G132100;TraesCS3A01G530100;TraesCS1A01G095200;TraesCS5A01G157000;TraesCS7A01G560200;TraesCS2B01G247100;TraesCS2A01G149500;TraesCS1B01G110400;TraesCS5A01G212500;TraesCS5D01G285200;TraesCS6B01G242800;TraesCS1B01G200300;TraesCS3A01G023800;TraesCS5D01G258900;TraesCS3A01G184800;TraesCS3A01G367000;TraesCS7B01G111000;TraesCS2A01G129900;TraesCS5A01G396700;TraesCS5B01G155200;TraesCS4D01G194300;TraesCS3B01G297900;TraesCS5A01G059900;TraesCS4B01G179400;TraesCS6A01G290600;TraesCS6B01G089500;TraesCS1A01G315900;TraesCS5A01G548800;TraesCS2A01G387000;TraesCS3A01G097200;TraesCS3A01G100000;TraesCS3A01G530000;TraesCS3D01G150600;TraesCS4A01G315700;TraesCS7D01G442100;TraesCS5A01G429300;TraesCS7D01G339600;TraesCS1A01G263400;TraesCS3D01G068900;TraesCS6B01G192500;TraesCS6A01G267300;TraesCS3A01G304900;TraesCS2D01G057900;TraesCS2A01G296400;TraesCS6D01G299200;TraesCS6D01G278500;TraesCS3A01G069900;TraesCS2A01G391400;TraesCS1D01G260200;TraesCS7A01G342800;TraesCS5D01G105500;TraesCS5A01G036600;TraesCS1B01G213300;TraesCS4A01G164900;TraesCS5D01G164800;TraesCS5A01G324200;TraesCS1B01G293500;TraesCS2B01G410100;TraesCS7B01G124100;TraesCS5B01G147600;TraesCS6D01G174500;TraesCS6A01G210200;TraesCS6D01G195400;TraesCS2D01G300400;TraesCS2A01G216100;TraesCS1A01G284300;TraesCS4D01G348600;TraesCS5B01G104800;TraesCS6B01G231600;TraesCS6A01G161200;TraesCS6B01G189000;TraesCS7D01G000100;TraesCS4B01G380800;TraesCS5A01G524400;TraesCS7B01G207300</t>
  </si>
  <si>
    <t>TraesCS3D01G426300;TraesCS4A01G125000;TraesCS5A01G092400;TraesCS2B01G271300;TraesCS7D01G338600;TraesCS5D01G219500;TraesCS3D01G436100;TraesCS5D01G481500;TraesCS5A01G513500;TraesCS1D01G210200;TraesCS4B01G213600;TraesCS2A01G058700;TraesCS6B01G159200;TraesCS6A01G143300;TraesCS6D01G122800;TraesCS5A01G119300;TraesCS4D01G021400;TraesCS4D01G214300;TraesCS4A01G052600;TraesCS1A01G376400;TraesCS5B01G102600;TraesCS2A01G280500;TraesCS5B01G324800;TraesCS6A01G133100;TraesCS5B01G171200;TraesCS6B01G315800;TraesCS4A01G286700;TraesCS3A01G151100;TraesCS7B01G350400;TraesCS2B01G050600;TraesCS2A01G309600;TraesCS2D01G310000;TraesCS7A01G341000;TraesCS2A01G193800;TraesCS5D01G026000;TraesCS3A01G443700;TraesCS6D01G390000;TraesCS2B01G330100;TraesCS6A01G105400;TraesCS4B01G028100;TraesCS1B01G254000;TraesCS7B01G242200;TraesCS2B01G070700;TraesCS7B01G129300;TraesCS1D01G412600;TraesCS4D01G025700;TraesCS4D01G359000;TraesCS5A01G093200;TraesCS2B01G297800;TraesCS7D01G224400;TraesCS6A01G303800;TraesCS1A01G198400;TraesCS2B01G457600;TraesCS4B01G151200;TraesCS3A01G191700;TraesCS5D01G178300;TraesCS6D01G135800;TraesCS2A01G313000;TraesCS1B01G110400;TraesCS5A01G212500;TraesCS6B01G242800;TraesCS6D01G047400;TraesCS6B01G239000;TraesCS4A01G091100;TraesCS7B01G006600;TraesCS3A01G367000;TraesCS5B01G300100;TraesCS7D01G439900;TraesCS6B01G470900;TraesCS1D01G092200;TraesCS5A01G396700;TraesCS7D01G283600;TraesCS2A01G437700;TraesCS6B01G450500;TraesCS4B01G179400;TraesCS6A01G290600;TraesCS2D01G251000;TraesCS2D01G389900;TraesCS1A01G206900;TraesCS6D01G094200;TraesCS5A01G548800;TraesCS7A01G222800;TraesCS2D01G194000;TraesCS7A01G316700;TraesCS1B01G220700;TraesCS4D01G339700;TraesCS6A01G212200;TraesCS1D01G003700;TraesCS1B01G396800;TraesCS5D01G551200;TraesCS5A01G173800;TraesCS6B01G134800;TraesCS3D01G288000;TraesCS4A01G315700;TraesCS5B01G563800;TraesCS6B01G176600;TraesCS7A01G450600;TraesCS3D01G083400;TraesCS2D01G279300;TraesCS1D01G383500;TraesCS2D01G057900;TraesCS1A01G259700;TraesCS6A01G146500;TraesCS5D01G105500;TraesCS1B01G213300;TraesCS4D01G194400;TraesCS4A01G290400;TraesCS1A01G195500;TraesCS2B01G328500;TraesCS5A01G324200;TraesCS2B01G410100;TraesCS6D01G132500;TraesCS1D01G199100;TraesCS5B01G409700;TraesCS6D01G283300;TraesCS2D01G238600;TraesCS2B01G154700;TraesCS6A01G210200;TraesCS6D01G195400;TraesCS7B01G217500;TraesCS5B01G036800;TraesCS2A01G132200;TraesCS4B01G041900;TraesCS1D01G024800;TraesCS3A01G288200;TraesCS5B01G481100;TraesCS6B01G171600;TraesCS1B01G434400;TraesCS4B01G131800;TraesCS1A01G024700;TraesCS1A01G133500;TraesCS5B01G534400;TraesCS1A01G100600;TraesCS1D01G198700;TraesCS3A01G082700</t>
  </si>
  <si>
    <t>TraesCS2A01G517900;TraesCS3D01G426300;TraesCS7D01G227300;TraesCS5B01G484700;TraesCS5B01G249000;TraesCS7A01G351100;TraesCS5D01G388000;TraesCS5A01G092400;TraesCS7D01G072100;TraesCS4B01G168300;TraesCS6B01G470700;TraesCS5D01G219500;TraesCS5D01G481500;TraesCS6D01G344200;TraesCS4B01G286700;TraesCS2D01G492600;TraesCS3D01G359500;TraesCS5A01G513500;TraesCS5A01G378000;TraesCS1D01G210200;TraesCS1B01G472100;TraesCS3B01G441000;TraesCS2B01G528300;TraesCS5B01G227900;TraesCS6A01G143300;TraesCS6D01G122800;TraesCS7B01G240200;TraesCS6A01G418800;TraesCS7D01G293100;TraesCS4A01G065400;TraesCS4B01G220400;TraesCS7A01G190700;TraesCS2B01G234500;TraesCS6A01G000900;TraesCS3B01G112900;TraesCS4D01G135000;TraesCS2B01G457300;TraesCS5B01G324800;TraesCS6A01G133100;TraesCS5B01G171200;TraesCS3B01G219700;TraesCS7D01G327700;TraesCS7A01G294200;TraesCS7D01G549100;TraesCS4B01G193100;TraesCS3A01G151100;TraesCS5B01G381600;TraesCS7B01G350400;TraesCS1B01G255100;TraesCS2D01G236100;TraesCS2B01G340300;TraesCS3D01G428300;TraesCS6A01G203700;TraesCS7B01G186500;TraesCS7A01G307000;TraesCS3A01G052700;TraesCS2D01G380900;TraesCS7B01G197000;TraesCS6A01G209800;TraesCS2B01G369600;TraesCS4B01G204500;TraesCS5A01G484700;TraesCS2D01G310000;TraesCS2A01G193800;TraesCS4D01G184400;TraesCS6A01G289200;TraesCS7B01G114100;TraesCS7B01G189500;TraesCS2D01G519500;TraesCS4D01G220700;TraesCS6D01G390000;TraesCS5D01G504600;TraesCS6A01G105400;TraesCS1B01G254000;TraesCS5A01G251000;TraesCS7B01G129300;TraesCS1A01G437500;TraesCS3A01G435700;TraesCS5A01G093200;TraesCS4D01G009100;TraesCS1A01G007500;TraesCS4D01G025300;TraesCS7D01G224400;TraesCS6A01G303800;TraesCS7A01G560200;TraesCS7D01G407700;TraesCS4B01G285000;TraesCS6A01G158800;TraesCS5A01G030400;TraesCS1A01G198400;TraesCS6B01G393600;TraesCS3A01G191700;TraesCS7B01G247200;TraesCS5D01G178300;TraesCS3D01G220400;TraesCS1B01G110400;TraesCS2B01G157600;TraesCS5A01G212500;TraesCS6B01G242800;TraesCS5B01G270200;TraesCS2D01G349600;TraesCS5D01G258900;TraesCSU01G019900;TraesCS3A01G367000;TraesCS7D01G439900;TraesCS6B01G470900;TraesCS1D01G092200;TraesCS5D01G164500;TraesCS6B01G450500;TraesCS6B01G089500;TraesCS1A01G206900;TraesCS6D01G094200;TraesCS2D01G118000;TraesCS3D01G256700;TraesCS5A01G114600;TraesCS6B01G238600;TraesCS7A01G222800;TraesCS2A01G387000;TraesCS3A01G097200;TraesCS2A01G222600;TraesCS2D01G194000;TraesCS7A01G316700;TraesCS2D01G238700;TraesCS1B01G220700;TraesCS4D01G339700;TraesCS6A01G212200;TraesCS7D01G196000;TraesCS4A01G367700;TraesCS1D01G003700;TraesCS1D01G242500;TraesCS5D01G505700;TraesCS5A01G173800;TraesCS6B01G134800;TraesCS3D01G271800;TraesCS2A01G342600;TraesCS3A01G232700;TraesCS6B01G319000;TraesCS7B01G100000;TraesCS7A01G450600;TraesCS7D01G339600;TraesCS6B01G192500;TraesCS3A01G272200;TraesCS4D01G003100;TraesCS6D01G186800;TraesCS6A01G267300;TraesCS1A01G259700;TraesCS5D01G321900;TraesCS2B01G520500;TraesCS5A01G315800;TraesCS7A01G342800;TraesCS5D01G105500;TraesCS3D01G268700;TraesCS1B01G213300;TraesCS1D01G445300;TraesCS2A01G492300;TraesCS2B01G328500;TraesCS5A01G324200;TraesCS6D01G132500;TraesCS6D01G283300;TraesCS3D01G514100;TraesCS2B01G248100;TraesCS1D01G367600;TraesCS2A01G467900;TraesCS2D01G238600;TraesCS5B01G256400;TraesCS3B01G398300;TraesCS6D01G174500;TraesCS6D01G195400;TraesCS7D01G343300;TraesCS7A01G335600;TraesCS7B01G217500;TraesCS5B01G036800;TraesCS2A01G480200;TraesCS5B01G504900;TraesCS4B01G041900;TraesCS2D01G136100;TraesCS6B01G115200;TraesCS5B01G481100;TraesCS6B01G171600;TraesCS6A01G319100;TraesCS7A01G568800;TraesCS7A01G239700;TraesCS1A01G100600;TraesCS2B01G325100;TraesCS5B01G316400;TraesCS3A01G268600;TraesCS4A01G093100;TraesCS7B01G207300;TraesCS1A01G165700</t>
  </si>
  <si>
    <t>plastid envelope</t>
  </si>
  <si>
    <t>TraesCS2A01G517900;TraesCS3D01G426300;TraesCS7D01G227300;TraesCS5B01G484700;TraesCS5B01G249000;TraesCS7A01G351100;TraesCS5D01G388000;TraesCS5A01G092400;TraesCS7D01G072100;TraesCS4B01G168300;TraesCS6B01G470700;TraesCS5D01G219500;TraesCS5D01G481500;TraesCS6D01G344200;TraesCS4B01G286700;TraesCS2D01G492600;TraesCS3D01G359500;TraesCS5A01G513500;TraesCS5A01G378000;TraesCS1D01G210200;TraesCS1B01G472100;TraesCS3B01G441000;TraesCS2B01G528300;TraesCS5B01G227900;TraesCS6A01G143300;TraesCS6D01G122800;TraesCS7B01G240200;TraesCS6A01G418800;TraesCS7D01G293100;TraesCS4A01G065400;TraesCS4B01G220400;TraesCS7A01G190700;TraesCS2B01G234500;TraesCS6A01G000900;TraesCS3B01G112900;TraesCS4D01G135000;TraesCS2B01G457300;TraesCS5B01G324800;TraesCS6A01G133100;TraesCS5B01G171200;TraesCS3B01G219700;TraesCS7D01G327700;TraesCS7A01G294200;TraesCS7D01G549100;TraesCS4B01G193100;TraesCS3A01G151100;TraesCS5B01G381600;TraesCS7B01G350400;TraesCS1B01G255100;TraesCS2D01G236100;TraesCS2B01G340300;TraesCS3D01G428300;TraesCS6A01G203700;TraesCS7B01G186500;TraesCS7A01G307000;TraesCS3A01G052700;TraesCS2D01G380900;TraesCS7B01G197000;TraesCS6A01G209800;TraesCS2B01G369600;TraesCS4B01G204500;TraesCS5A01G484700;TraesCS2D01G310000;TraesCS2A01G193800;TraesCS4D01G184400;TraesCS6A01G289200;TraesCS7B01G114100;TraesCS7B01G189500;TraesCS2D01G519500;TraesCS4D01G220700;TraesCS6D01G390000;TraesCS5D01G504600;TraesCS6A01G105400;TraesCS1B01G254000;TraesCS5A01G251000;TraesCS7B01G129300;TraesCS1A01G437500;TraesCS3A01G435700;TraesCS5A01G093200;TraesCS4D01G009100;TraesCS1A01G007500;TraesCS4D01G025300;TraesCS7D01G224400;TraesCS6A01G303800;TraesCS7A01G560200;TraesCS7D01G407700;TraesCS4B01G285000;TraesCS6A01G158800;TraesCS5A01G030400;TraesCS1A01G198400;TraesCS6B01G393600;TraesCS3A01G191700;TraesCS7B01G247200;TraesCS5D01G178300;TraesCS3D01G220400;TraesCS1B01G110400;TraesCS2B01G157600;TraesCS5A01G212500;TraesCS6B01G242800;TraesCS5B01G270200;TraesCS2D01G349600;TraesCS5D01G258900;TraesCSU01G019900;TraesCS3A01G367000;TraesCS7D01G439900;TraesCS6B01G470900;TraesCS1D01G092200;TraesCS5D01G164500;TraesCS6B01G450500;TraesCS6B01G089500;TraesCS1A01G206900;TraesCS6D01G094200;TraesCS2D01G118000;TraesCS3D01G256700;TraesCS5A01G114600;TraesCS6B01G238600;TraesCS7A01G222800;TraesCS2A01G387000;TraesCS3A01G097200;TraesCS2A01G222600;TraesCS2D01G194000;TraesCS7A01G316700;TraesCS2D01G238700;TraesCS1B01G220700;TraesCS4D01G339700;TraesCS6A01G212200;TraesCS7D01G196000;TraesCS4A01G367700;TraesCS1D01G003700;TraesCS1D01G242500;TraesCS5D01G505700;TraesCS5A01G173800;TraesCS6B01G134800;TraesCS3D01G271800;TraesCS2A01G342600;TraesCS3A01G232700;TraesCS6B01G319000;TraesCS7B01G100000;TraesCS7A01G450600;TraesCS7D01G339600;TraesCS6B01G192500;TraesCS3A01G272200;TraesCS4D01G003100;TraesCS6D01G186800;TraesCS6A01G267300;TraesCS1A01G259700;TraesCS5D01G321900;TraesCS2B01G520500;TraesCS5A01G315800;TraesCS7A01G342800;TraesCS5D01G105500;TraesCS3D01G268700;TraesCS1B01G213300;TraesCS1D01G445300;TraesCS2A01G492300;TraesCS2B01G328500;TraesCS5A01G324200;TraesCS6D01G132500;TraesCS6D01G283300;TraesCS3D01G514100;TraesCS2B01G248100;TraesCS1D01G367600;TraesCS2A01G467900;TraesCS2D01G238600;TraesCS5B01G256400;TraesCS3B01G398300;TraesCS6D01G174500;TraesCS6D01G195400;TraesCS7D01G343300;TraesCS7A01G335600;TraesCS7B01G217500;TraesCS5B01G036800;TraesCS2A01G480200;TraesCS5B01G504900;TraesCS4B01G041900;TraesCS2D01G136100;TraesCS6B01G115200;TraesCS5B01G481100;TraesCS6B01G171600;TraesCS6A01G319100;TraesCS7A01G568800;TraesCS7A01G239700;TraesCS1A01G100600;TraesCS2B01G325100;TraesCS5B01G316400;TraesCS3A01G268600;TraesCS7B01G207300;TraesCS1A01G165700</t>
  </si>
  <si>
    <t>chloroplast envelope</t>
  </si>
  <si>
    <t>TraesCS5B01G117800;TraesCS5B01G484700;TraesCS7D01G294300;TraesCS6D01G344200;TraesCS1A01G369600;TraesCS4B01G213600;TraesCS2B01G530100;TraesCS4D01G147100;TraesCS7B01G382800;TraesCS5B01G094600;TraesCS5D01G056900;TraesCS5B01G324800;TraesCS5D01G429200;TraesCS3B01G219700;TraesCS5B01G255700;TraesCS7B01G113100;TraesCS4A01G286700;TraesCS1A01G130700;TraesCS7B01G411000;TraesCS5A01G336500;TraesCS4B01G347000;TraesCS5D01G026000;TraesCS4D01G220700;TraesCS6D01G287300;TraesCS4A01G101500;TraesCS6A01G225200;TraesCS2B01G257300;TraesCS4D01G204000;TraesCS4D01G025700;TraesCS5A01G093200;TraesCS6D01G162200;TraesCS7D01G339300;TraesCS5D01G169600;TraesCS5B01G174600;TraesCS4A01G120000;TraesCS4D01G120900;TraesCS7A01G415500;TraesCS7D01G224400;TraesCS5B01G171100;TraesCS2A01G500400;TraesCS5A01G143800;TraesCS2D01G093700;TraesCS5D01G178300;TraesCS2A01G313000;TraesCS2B01G207000;TraesCS6D01G047400;TraesCS7B01G103100;TraesCS5D01G067600;TraesCS7D01G283600;TraesCS3B01G423600;TraesCS4D01G343400;TraesCS3A01G380100;TraesCS1B01G375300;TraesCS2D01G383800;TraesCS1B01G274600;TraesCS2B01G303300;TraesCS6B01G238600;TraesCS7A01G222800;TraesCS2D01G102100;TraesCS5D01G118200;TraesCS2D01G328100;TraesCS3D01G407300;TraesCS5B01G162800;TraesCS4D01G094700;TraesCS7B01G162300;TraesCS5B01G084600;TraesCS5A01G165400;TraesCS3A01G292700;TraesCS7A01G190500;TraesCS4D01G081600;TraesCS4B01G300100;TraesCS3A01G224800;TraesCS5D01G321900;TraesCS7A01G466900;TraesCS5B01G517500;TraesCS2B01G520500;TraesCS6B01G166400;TraesCS7A01G252000;TraesCS5A01G315800;TraesCS5D01G044700;TraesCS5A01G357400;TraesCS3D01G271200;TraesCS2A01G467900;TraesCS3A01G521600;TraesCS7B01G217500;TraesCS3A01G288200;TraesCS4A01G147500;TraesCS4A01G298700;TraesCS5A01G221800;TraesCS4A01G005000;TraesCS4A01G078800;TraesCS2D01G549100;TraesCS3A01G268600;TraesCS3D01G224800;TraesCS7B01G092500;TraesCS6A01G123800;TraesCS1D01G264100;TraesCS5D01G013100;TraesCS5B01G409400;TraesCS5B01G339200;TraesCS1D01G401900;TraesCS7D01G288700;TraesCS3D01G041900;TraesCS5D01G099800;TraesCS5D01G530200;TraesCS4A01G178600;TraesCS5A01G119300;TraesCS5A01G123800;TraesCS1A01G116200;TraesCS4A01G052600;TraesCS4D01G252700;TraesCS6A01G355300;TraesCS3B01G324500;TraesCS5D01G517200;TraesCS3A01G381000;TraesCS4A01G187100;TraesCS1A01G092700;TraesCS5A01G096100;TraesCS7D01G025000;TraesCS2A01G223600;TraesCS5A01G004200;TraesCS3A01G151100;TraesCS7D01G250100;TraesCS7A01G307000;TraesCS1A01G224700;TraesCS6D01G362000;TraesCS6B01G246600;TraesCS1D01G155800;TraesCS7B01G197000;TraesCS6D01G186000;TraesCS6A01G209800;TraesCS2A01G309600;TraesCS5B01G396700;TraesCS4B01G246900;TraesCS1A01G036200;TraesCS1B01G167200;TraesCS3A01G412600;TraesCS3D01G298000;TraesCS5A01G104800;TraesCS2D01G094400;TraesCS7B01G129300;TraesCS3A01G435700;TraesCS6B01G256400;TraesCS3D01G228800;TraesCS7D01G407700;TraesCS4B01G151200;TraesCS1D01G211600;TraesCS4D01G240700;TraesCS7A01G313900;TraesCS7D01G332300;TraesCS6B01G294700;TraesCS7B01G006600;TraesCS1B01G253500;TraesCS7A01G139800;TraesCS5B01G132600;TraesCS3A01G084400;TraesCS3B01G268900;TraesCS4A01G354500;TraesCS2A01G123800;TraesCS6D01G094200;TraesCS4B01G129700;TraesCS4B01G150300;TraesCS2A01G092400;TraesCS2D01G194000;TraesCS4D01G318200;TraesCS6A01G308100;TraesCS4A01G262900;TraesCS1D01G003700;TraesCS2B01G150400;TraesCS6A01G336800;TraesCS6B01G134800;TraesCS2A01G338100;TraesCS3D01G271800;TraesCS3D01G288000;TraesCS2A01G342600;TraesCS4B01G245400;TraesCS5B01G563800;TraesCS6B01G176600;TraesCS2D01G528800;TraesCS6A01G322400;TraesCS4B01G287200;TraesCS2D01G279300;TraesCS5A01G132300;TraesCS3B01G370200;TraesCS6A01G259000;TraesCS1D01G383500;TraesCS5B01G517900;TraesCS6A01G146500;TraesCS5D01G424400;TraesCS2A01G110700;TraesCS3B01G400900;TraesCS6A01G188100;TraesCS7D01G447100;TraesCS1A01G172100;TraesCS6D01G283300;TraesCS5A01G416700;TraesCS5B01G256400;TraesCS6B01G331800;TraesCS7D01G169500;TraesCS3D01G412500;TraesCS3A01G271600;TraesCS4B01G131800;TraesCS1A01G281700;TraesCS5A01G460600;TraesCS6A01G077800;TraesCS1D01G198700;TraesCS4D01G189600;TraesCS4A01G093100;TraesCS6D01G121300;TraesCS4B01G252400;TraesCS4A01G125000;TraesCS2B01G307300;TraesCS5A01G468600;TraesCS1B01G049300;TraesCS5D01G219500;TraesCS1D01G101200;TraesCS4D01G170800;TraesCS4A01G119800;TraesCS5D01G171100;TraesCS4B01G226100;TraesCS5D01G148100;TraesCSU01G142500;TraesCS5A01G467500;TraesCS5D01G517600;TraesCS4D01G246300;TraesCS2B01G457300;TraesCS1D01G341100;TraesCS2A01G097900;TraesCS7B01G350400;TraesCS1A01G409600;TraesCS5B01G415100;TraesCS6A01G201800;TraesCS2B01G309500;TraesCS3D01G289600;TraesCS2D01G248600;TraesCS6D01G113900;TraesCS4A01G080100;TraesCS6B01G257900;TraesCS6D01G237400;TraesCS7D01G265200;TraesCS1A01G340400;TraesCS2B01G330100;TraesCS6A01G105400;TraesCS2B01G263300;TraesCS5D01G230300;TraesCS2B01G070700;TraesCS4A01G013500;TraesCS4A01G298100;TraesCS1D01G037900;TraesCS6A01G230100;TraesCS1B01G462200;TraesCS2A01G187700;TraesCS6B01G239000;TraesCS2D01G154100;TraesCS7B01G352800;TraesCS4A01G494400;TraesCS6A01G113000;TraesCS5B01G300100;TraesCS7D01G439900;TraesCS1D01G092200;TraesCS2D01G362700;TraesCS2D01G389900;TraesCS4B01G263100;TraesCS5D01G332000;TraesCS3D01G237100;TraesCS6B01G182300;TraesCS1B01G352700;TraesCS4D01G339700;TraesCS1D01G342400;TraesCS1D01G242500;TraesCS4B01G083600;TraesCS5D01G312400;TraesCS7A01G192000;TraesCS7D01G117800;TraesCS1B01G478800;TraesCS4D01G327300;TraesCS5A01G411500;TraesCS6B01G393500;TraesCS5A01G088400;TraesCS2A01G095300;TraesCS3A01G264700;TraesCS4B01G193400;TraesCS2D01G303500;TraesCS4A01G110800;TraesCS1D01G094400;TraesCS3D01G268700;TraesCS4A01G290400;TraesCS5A01G395200;TraesCS1A01G313300;TraesCS3D01G258900;TraesCS4D01G159800;TraesCS5A01G490500;TraesCS5B01G409700;TraesCS2B01G248100;TraesCS7A01G182200;TraesCS2D01G238600;TraesCS1D01G024800;TraesCS3A01G417000;TraesCS2D01G524500;TraesCS7D01G409000;TraesCS5B01G534400;TraesCS6A01G154400;TraesCS5B01G477800;TraesCS7A01G466600;TraesCS3D01G426300;TraesCS2A01G286500;TraesCS6D01G337500;TraesCS7D01G449900;TraesCS2B01G271300;TraesCS7D01G338600;TraesCS6A01G373400;TraesCS2A01G197900;TraesCS3D01G436100;TraesCS7A01G260600;TraesCS4A01G226900;TraesCS1B01G377800;TraesCS4A01G092500;TraesCS2B01G528300;TraesCS6D01G357100;TraesCS6D01G122800;TraesCS3B01G011800;TraesCS6B01G253900;TraesCS4D01G013900;TraesCS5B01G378700;TraesCS1A01G376400;TraesCS7A01G451100;TraesCS5B01G102600;TraesCS4B01G023800;TraesCS3A01G134100;TraesCS2B01G004000;TraesCS2D01G361800;TraesCS2A01G149600;TraesCS7D01G327700;TraesCS6B01G315800;TraesCS6D01G301300;TraesCS2B01G340300;TraesCS3B01G362100;TraesCS1D01G241800;TraesCS4B01G204500;TraesCS3D01G275600;TraesCS2D01G310000;TraesCS4A01G220100;TraesCS5B01G476900;TraesCS3A01G443700;TraesCS4A01G283000;TraesCS4D01G151900;TraesCS5A01G173700;TraesCS7B01G242200;TraesCS4B01G138800;TraesCS5D01G108700;TraesCS2B01G404600;TraesCS7A01G560200;TraesCS1B01G110400;TraesCS2A01G460000;TraesCS5A01G212500;TraesCS6B01G242800;TraesCS4A01G232300;TraesCS1B01G156600;TraesCS3B01G308200;TraesCS2A01G521400;TraesCS5A01G396700;TraesCS6B01G450500;TraesCS2B01G363200;TraesCS4B01G242800;TraesCS7A01G480700;TraesCS6A01G290600;TraesCS2B01G107200;TraesCS1D01G086600;TraesCS2B01G133500;TraesCS6D01G302200;TraesCS1B01G422200;TraesCS4D01G317900;TraesCS6B01G348700;TraesCS3A01G232700;TraesCS4A01G315700;TraesCS5A01G056400;TraesCS1A01G263400;TraesCS7D01G107600;TraesCS2B01G273900;TraesCS6A01G307700;TraesCS6B01G344100;TraesCS5A01G046600;TraesCS2D01G057900;TraesCS1B01G261700;TraesCS3B01G306000;TraesCS1A01G358800;TraesCS5B01G155100;TraesCS3D01G304800;TraesCS4A01G276300;TraesCS5A01G036600;TraesCS4D01G194400;TraesCS1D01G390500;TraesCS2B01G145700;TraesCS5D01G164800;TraesCS5A01G324200;TraesCS6B01G104600;TraesCSU01G047800;TraesCS3B01G398300;TraesCS7B01G097000;TraesCS1A01G158500;TraesCS4D01G086000;TraesCS6B01G171600;TraesCS1B01G434400;TraesCS4B01G073200;TraesCS1A01G309200;TraesCS5A01G222500;TraesCS5B01G320100;TraesCS3D01G087300;TraesCS6B01G388100;TraesCS2D01G324900;TraesCS7D01G292000;TraesCS2A01G246200;TraesCS5B01G175800;TraesCS5A01G165700;TraesCS1D01G210200;TraesCS4A01G226500;TraesCS5B01G531900;TraesCS1B01G146200;TraesCS2D01G014800;TraesCS7D01G467500;TraesCS4D01G153900;TraesCS2A01G262700;TraesCS4A01G065400;TraesCS2D01G136200;TraesCS5D01G181600;TraesCS1D01G376900;TraesCS4D01G135000;TraesCS6A01G133100;TraesCS5A01G166800;TraesCS5B01G171200;TraesCS7A01G323200;TraesCS3D01G428300;TraesCS5B01G142900;TraesCS1B01G402900;TraesCS6B01G112700;TraesCS5A01G128300;TraesCS5A01G149000;TraesCS2A01G193800;TraesCS4D01G184400;TraesCS6D01G390000;TraesCS7D01G454200;TraesCS7A01G555700;TraesCS4D01G151500;TraesCS6A01G420100;TraesCSU01G093800;TraesCS3A01G303800;TraesCS6D01G357600;TraesCS6D01G298300;TraesCS4D01G160200;TraesCS7B01G241500;TraesCS5D01G420300;TraesCS1D01G409700;TraesCS4A01G167000;TraesCS6D01G095800;TraesCS5B01G171400;TraesCS2B01G382000;TraesCS3D01G434800;TraesCS6B01G282200;TraesCS5D01G149900;TraesCS3A01G332300;TraesCS2D01G251000;TraesCS1D01G315700;TraesCS6A01G321600;TraesCS2A01G293400;TraesCS7A01G316700;TraesCS1D01G250700;TraesCS6A01G212200;TraesCS1A01G246800;TraesCS3B01G149800;TraesCS4A01G042500;TraesCS2A01G157700;TraesCS5D01G100800;TraesCS2D01G356700;TraesCS7A01G327600;TraesCS6B01G159800;TraesCS2B01G119700;TraesCS5B01G102000;TraesCS4A01G078900;TraesCS3D01G327600;TraesCS1A01G195500;TraesCS2B01G328500;TraesCS3D01G084300;TraesCS6D01G344100;TraesCS2D01G148200;TraesCS7B01G242800;TraesCS2B01G154700;TraesCS4A01G193700;TraesCS5B01G036800;TraesCS2A01G132200;TraesCS4A01G342800;TraesCS4B01G041900;TraesCS4B01G314600;TraesCS7D01G373100;TraesCS1A01G024700;TraesCS4D01G160000;TraesCS6B01G336300;TraesCS3A01G082700;TraesCS5D01G157300;TraesCS3B01G307600;TraesCS3B01G303000;TraesCS1A01G299500;TraesCS3B01G412600;TraesCS4B01G015600;TraesCS5D01G481500;TraesCS2D01G492600;TraesCS3A01G202000;TraesCS4B01G288200;TraesCS6D01G398100;TraesCS5A01G089900;TraesCS6A01G143300;TraesCS3B01G254400;TraesCS4A01G283700;TraesCS7D01G188300;TraesCS5D01G366500;TraesCS4B01G220400;TraesCS4D01G214300;TraesCS3B01G185300;TraesCS5A01G501800;TraesCS7A01G264300;TraesCS2A01G280500;TraesCS4A01G116000;TraesCS3A01G484800;TraesCS2B01G401900;TraesCS1B01G368500;TraesCS1A01G264000;TraesCS1D01G058300;TraesCS2B01G369600;TraesCS2D01G242100;TraesCS3A01G189400;TraesCS3D01G527700;TraesCS7A01G341000;TraesCS3D01G240800;TraesCS3B01G252200;TraesCS7A01G004000;TraesCS6B01G455100;TraesCS4D01G122800;TraesCS3B01G435900;TraesCS1B01G439600;TraesCS7B01G278200;TraesCS2B01G304900;TraesCS5B01G127300;TraesCS1A01G198400;TraesCS3D01G203400;TraesCS5D01G459800;TraesCS3A01G191700;TraesCS2A01G128300;TraesCS2D01G105300;TraesCS6D01G062500;TraesCS6B01G414800;TraesCS5D01G470400;TraesCS6B01G470900;TraesCS1B01G290800;TraesCS7B01G085700;TraesCS2B01G592500;TraesCS2D01G205900;TraesCS6D01G212000;TraesCS3B01G209400;TraesCS5D01G135900;TraesCS4A01G058000;TraesCS1B01G220700;TraesCS6D01G065600;TraesCS6B01G352400;TraesCS3A01G402500;TraesCS5D01G551200;TraesCS4D01G157900;TraesCS7A01G381900;TraesCS6D01G405600;TraesCS7A01G450600;TraesCS4D01G199300;TraesCS3D01G228900;TraesCS3D01G083400;TraesCS4B01G164800;TraesCS5B01G037500;TraesCS1A01G259700;TraesCS4A01G364400;TraesCS2B01G174700;TraesCS3B01G257700;TraesCS3D01G373300;TraesCS6B01G223200;TraesCS7A01G359800;TraesCS4B01G244400;TraesCS7D01G378400;TraesCS4A01G144500;TraesCS5D01G437600;TraesCS1D01G117400;TraesCS3D01G514100;TraesCS7D01G343300;TraesCS7A01G335600;TraesCS5D01G341200;TraesCS5A01G020800;TraesCS6A01G319100;TraesCS7A01G452800;TraesCS5A01G113700;TraesCSU01G132400;TraesCS3A01G488100;TraesCS7B01G421100;TraesCS1A01G129400;TraesCS6A01G360600;TraesCS3B01G224600;TraesCS7A01G351100;TraesCS4A01G166900;TraesCS1D01G226100;TraesCS5A01G513500;TraesCS5B01G141000;TraesCS6B01G159200;TraesCS1A01G112800;TraesCS5B01G227900;TraesCS3A01G181600;TraesCS4B01G150600;TraesCS7A01G350000;TraesCS5B01G431500;TraesCS6D01G204800;TraesCS3B01G112900;TraesCS4B01G321500;TraesCS1A01G416000;TraesCS4D01G244000;TraesCS4D01G133500;TraesCS7D01G549100;TraesCS4A01G355000;TraesCS5B01G146700;TraesCS1B01G255100;TraesCS6D01G224200;TraesCS6B01G219700;TraesCS7D01G313600;TraesCS3A01G103900;TraesCS4B01G090000;TraesCS3B01G006700;TraesCS5A01G305400;TraesCS1B01G254000;TraesCS3A01G513500;TraesCS2A01G103300;TraesCS1D01G412600;TraesCS4D01G359000;TraesCS1A01G007500;TraesCS1A01G339300;TraesCS1D01G229400;TraesCS6A01G303800;TraesCS6B01G393600;TraesCS6D01G135800;TraesCS2B01G079400;TraesCS4A01G091100;TraesCS7D01G554900;TraesCS2D01G349600;TraesCS4A01G194100;TraesCS5A01G466100;TraesCS4D01G341900;TraesCS5D01G472300;TraesCS5D01G143800;TraesCS1D01G280900;TraesCS2A01G437700;TraesCS3A01G275700;TraesCS1B01G304500;TraesCS1A01G206900;TraesCS2A01G222600;TraesCS7A01G293200;TraesCS4D01G212600;TraesCS1B01G396800;TraesCS5B01G502700;TraesCS3D01G341200;TraesCS5A01G173800;TraesCS4D01G157500;TraesCS2B01G272300;TraesCS3D01G194300;TraesCS7D01G148200;TraesCS2D01G520000;TraesCS4B01G091100;TraesCS5B01G099300;TraesCS3A01G272200;TraesCS1D01G423500;TraesCS4A01G185400;TraesCS5B01G503800;TraesCS1D01G392400;TraesCS1D01G352300;TraesCS1D01G356900;TraesCS4A01G051900;TraesCS4A01G165600;TraesCS3A01G200400;TraesCS2A01G492300;TraesCS5B01G509100;TraesCS6D01G132500;TraesCS6D01G210000;TraesCS4B01G211800;TraesCS5B01G214400;TraesCS6A01G107900;TraesCS4D01G039100;TraesCS1D01G242400;TraesCS2B01G312600;TraesCS1D01G298400;TraesCS1A01G431600;TraesCS1A01G133500;TraesCS1A01G100600;TraesCS6B01G173500;TraesCS3A01G274600;TraesCS1D01G125300;TraesCS6D01G238800;TraesCS7D01G499800;TraesCS3D01G264800;TraesCS1D01G155100;TraesCS1B01G261600;TraesCS3A01G289900;TraesCS1D01G226500;TraesCS5A01G092400;TraesCS4B01G168300;TraesCS1D01G149900;TraesCS3B01G046100;TraesCS7B01G093800;TraesCS4B01G286700;TraesCS4B01G133200;TraesCS7D01G454700;TraesCS1A01G420900;TraesCS5A01G490800;TraesCS2A01G058700;TraesCS5A01G215900;TraesCS2B01G343900;TraesCS6B01G251600;TraesCS4D01G021400;TraesCS4D01G348500;TraesCS6A01G130900;TraesCS5A01G429500;TraesCS3B01G161900;TraesCS1A01G060100;TraesCS7A01G376800;TraesCS7A01G120300;TraesCS2D01G236100;TraesCS6A01G203700;TraesCS2A01G290900;TraesCS5B01G335500;TraesCS2A01G102600;TraesCS7D01G174700;TraesCS1D01G331000;TraesCS2B01G050600;TraesCS4A01G157100;TraesCS2A01G501900;TraesCS5D01G504600;TraesCS1D01G178000;TraesCS4B01G028100;TraesCS6D01G172500;TraesCS1D01G303800;TraesCS7D01G004500;TraesCS1A01G001800;TraesCS2B01G297800;TraesCS2D01G111300;TraesCS2A01G252600;TraesCS7B01G230100;TraesCS2B01G457600;TraesCS2B01G247100;TraesCS3D01G220400;TraesCS2B01G157600;TraesCS3A01G023800;TraesCS1D01G440900;TraesCS3A01G367000;TraesCS2A01G114400;TraesCS6A01G314100;TraesCS4D01G194300;TraesCS2D01G288800;TraesCS3D01G325800;TraesCS4B01G179400;TraesCS4B01G154100;TraesCS5A01G548800;TraesCS3D01G162700;TraesCS2A01G387000;TraesCS3A01G097200;TraesCS5B01G344200;TraesCS3B01G309400;TraesCS3B01G229700;TraesCS7D01G442100;TraesCS2A01G134000;TraesCS2D01G229600;TraesCS4B01G321300;TraesCS2D01G249200;TraesCS6A01G267300;TraesCS1D01G146600;TraesCS4D01G263300;TraesCS4B01G344600;TraesCS2A01G296400;TraesCS7D01G193000;TraesCS2D01G126600;TraesCS3A01G405300;TraesCS2B01G321700;TraesCS5D01G478900;TraesCS7B01G184800;TraesCS5D01G105500;TraesCS1B01G213300;TraesCS2D01G500600;TraesCS1A01G111100;TraesCS4A01G164900;TraesCS5B01G136500;TraesCS2B01G122500;TraesCS5B01G509500;TraesCS5B01G510500;TraesCS2B01G410100;TraesCS5A01G515700;TraesCS5D01G223700;TraesCS6B01G151900;TraesCS7A01G314100;TraesCS7B01G124100;TraesCS6A01G070600;TraesCS1D01G199100;TraesCS5B01G147600;TraesCS1D01G367600;TraesCS6D01G174500;TraesCS6A01G210200;TraesCS6D01G195400;TraesCS2B01G225300;TraesCS3B01G470400;TraesCS4A01G124000;TraesCS2A01G239200;TraesCS6D01G193000;TraesCS7A01G329600;TraesCS5B01G481100;TraesCS4A01G105500;TraesCS6A01G269700;TraesCS7D01G130500;TraesCS7D01G000100;TraesCS4B01G029400;TraesCS4D01G242400;TraesCS7B01G207300</t>
  </si>
  <si>
    <t>TraesCS3D01G426300;TraesCS4A01G125000;TraesCS5B01G484700;TraesCS2A01G234900;TraesCS5A01G092400;TraesCS2B01G271300;TraesCS7D01G338600;TraesCS1D01G401900;TraesCS5D01G219500;TraesCS3D01G436100;TraesCS5D01G481500;TraesCS5D01G099800;TraesCS5A01G513500;TraesCS1D01G210200;TraesCS4B01G213600;TraesCS2A01G058700;TraesCS6B01G159200;TraesCS2B01G528300;TraesCS6A01G143300;TraesCS6D01G122800;TraesCS5A01G119300;TraesCS4D01G021400;TraesCS4D01G214300;TraesCS4A01G052600;TraesCS1A01G376400;TraesCS2B01G385300;TraesCS5B01G102600;TraesCS2A01G280500;TraesCS5B01G324800;TraesCS6A01G133100;TraesCS5A01G113200;TraesCS5B01G171200;TraesCS3A01G205100;TraesCS6B01G315800;TraesCS7D01G549100;TraesCS4A01G286700;TraesCS3A01G151100;TraesCS7B01G350400;TraesCS3A01G478800;TraesCS2B01G050600;TraesCS2A01G309600;TraesCS3D01G529200;TraesCS4B01G204500;TraesCS2D01G310000;TraesCS7A01G341000;TraesCS2A01G193800;TraesCS5D01G026000;TraesCS3A01G443700;TraesCS5B01G419300;TraesCS7B01G189500;TraesCS6D01G390000;TraesCS2B01G330100;TraesCS6A01G105400;TraesCS3A01G523700;TraesCS6D01G287300;TraesCS4B01G028100;TraesCS3A01G393400;TraesCS1B01G254000;TraesCS7B01G242200;TraesCS2B01G070700;TraesCS7B01G129300;TraesCS1D01G412600;TraesCS4D01G025700;TraesCS4D01G359000;TraesCS5A01G093200;TraesCS2B01G297800;TraesCS4D01G122800;TraesCS7D01G224400;TraesCS6A01G303800;TraesCS7A01G560200;TraesCS4B01G285000;TraesCS1A01G198400;TraesCS2B01G457600;TraesCS4B01G151200;TraesCS3A01G191700;TraesCS2B01G201700;TraesCS5D01G178300;TraesCS6D01G135800;TraesCS2A01G313000;TraesCS1B01G110400;TraesCS5A01G212500;TraesCS6B01G242800;TraesCS6D01G047400;TraesCS6B01G239000;TraesCS4A01G091100;TraesCS4A01G232300;TraesCS7B01G006600;TraesCS3D01G210300;TraesCS5B01G228900;TraesCS3A01G367000;TraesCS5B01G300100;TraesCS7D01G439900;TraesCS5D01G237400;TraesCS6B01G470900;TraesCS1D01G092200;TraesCS2A01G114400;TraesCS5A01G396700;TraesCS7D01G283600;TraesCS2A01G437700;TraesCS6B01G450500;TraesCS2A01G175400;TraesCS4B01G179400;TraesCS6A01G290600;TraesCS2D01G251000;TraesCS2D01G389900;TraesCS1A01G206900;TraesCS6D01G094200;TraesCS4B01G129700;TraesCS5A01G548800;TraesCS7A01G222800;TraesCS2A01G387000;TraesCS5B01G120100;TraesCS2D01G194000;TraesCS7A01G316700;TraesCS4D01G283800;TraesCS2B01G133500;TraesCS1B01G220700;TraesCS4D01G339700;TraesCS6A01G212200;TraesCS6A01G308100;TraesCS1B01G422200;TraesCS1D01G003700;TraesCS2D01G182700;TraesCS4B01G083600;TraesCS1B01G396800;TraesCS5D01G551200;TraesCS5A01G173800;TraesCS6B01G134800;TraesCS3D01G288000;TraesCS5D01G127300;TraesCS4A01G315700;TraesCS2B01G602100;TraesCS5B01G563800;TraesCS6B01G176600;TraesCS7A01G450600;TraesCS4D01G003100;TraesCS3D01G083400;TraesCS4D01G081600;TraesCS2D01G279300;TraesCS6A01G267300;TraesCS2A01G523600;TraesCS1D01G383500;TraesCS2D01G057900;TraesCS1A01G259700;TraesCS2A01G296400;TraesCS5D01G321900;TraesCS6A01G146500;TraesCS5A01G315800;TraesCS5D01G105500;TraesCS1B01G213300;TraesCS4D01G194400;TraesCS4A01G290400;TraesCS1A01G195500;TraesCS2B01G328500;TraesCS5A01G324200;TraesCS2B01G410100;TraesCS6D01G132500;TraesCS1D01G199100;TraesCS5B01G409700;TraesCS6D01G283300;TraesCS2D01G238600;TraesCS2B01G154700;TraesCS6A01G210200;TraesCS6D01G195400;TraesCS7D01G343300;TraesCS7A01G335600;TraesCS7B01G217500;TraesCS5B01G036800;TraesCS2A01G132200;TraesCS5A01G230400;TraesCS2B01G312600;TraesCS4B01G041900;TraesCS1D01G024800;TraesCS3A01G288200;TraesCS5B01G481100;TraesCS6B01G171600;TraesCS1B01G434400;TraesCS4B01G131800;TraesCS1A01G024700;TraesCS1A01G133500;TraesCS5B01G534400;TraesCS1A01G100600;TraesCS6B01G284600;TraesCS1D01G198700;TraesCS7B01G421100;TraesCS3A01G082700;TraesCS4D01G003600;TraesCS4A01G093100</t>
  </si>
  <si>
    <t>TraesCS3B01G014900;TraesCS1D01G107300;TraesCS5B01G484700;TraesCS5A01G103100;TraesCS5B01G249000;TraesCS6B01G454500;TraesCS6B01G418400;TraesCS1A01G256800;TraesCS2A01G400900;TraesCS3D01G273800;TraesCS2B01G152100;TraesCS2D01G427900;TraesCS2D01G014800;TraesCS6B01G295700;TraesCS4D01G153900;TraesCS4D01G147100;TraesCS7B01G240200;TraesCS5D01G532100;TraesCS7A01G190700;TraesCS1D01G376900;TraesCS5B01G094600;TraesCS3B01G242700;TraesCS5B01G324800;TraesCS5D01G429200;TraesCS5A01G166800;TraesCS2D01G233900;TraesCS3B01G219700;TraesCS2A01G171900;TraesCS7A01G323200;TraesCS5B01G255700;TraesCS5B01G142900;TraesCS5A01G149000;TraesCS2B01G443900;TraesCS5A01G336500;TraesCS6A01G379800;TraesCS4B01G397700;TraesCS6B01G262800;TraesCS1D01G178400;TraesCS3D01G296900;TraesCS4D01G220700;TraesCS7D01G454200;TraesCS3A01G091100;TraesCS3A01G393400;TraesCS4A01G101500;TraesCS5A01G251000;TraesCS6A01G225200;TraesCS4D01G204000;TraesCS5A01G093200;TraesCS2A01G027000;TraesCS4A01G120000;TraesCS4D01G309500;TraesCS6B01G190300;TraesCS7D01G224400;TraesCS7A01G151000;TraesCS4B01G109700;TraesCS3D01G274900;TraesCS5A01G143800;TraesCS2D01G093700;TraesCS5B01G484800;TraesCS5A01G472100;TraesCS1B01G447500;TraesCS6D01G047400;TraesCS6A01G364300;TraesCS4D01G278500;TraesCS2B01G405600;TraesCS1D01G260500;TraesCS5B01G171400;TraesCS7D01G283600;TraesCS3D01G281100;TraesCS5B01G000600;TraesCS1B01G196500;TraesCS4D01G082700;TraesCS2D01G251000;TraesCS1B01G274600;TraesCS7A01G222800;TraesCS5A01G416400;TraesCS1D01G325500;TraesCS6A01G212200;TraesCS1A01G246800;TraesCS6B01G159800;TraesCS7A01G490900;TraesCS6D01G244900;TraesCS4A01G030400;TraesCS4D01G081600;TraesCS6A01G234000;TraesCS1B01G271100;TraesCS5B01G479200;TraesCS2B01G375700;TraesCS2A01G592600;TraesCS7A01G466900;TraesCS5D01G044700;TraesCS4D01G175600;TraesCS5A01G357400;TraesCS1A01G094200;TraesCS4A01G078900;TraesCS1A01G195500;TraesCS6D01G344100;TraesCS2D01G148200;TraesCS3A01G275000;TraesCS3B01G308700;TraesCS5B01G185700;TraesCS2A01G467900;TraesCS2B01G154700;TraesCS2A01G559600;TraesCS2A01G159900;TraesCS5B01G036800;TraesCS2A01G132200;TraesCS4A01G342800;TraesCS1B01G122300;TraesCS4B01G383000;TraesCS2B01G477400;TraesCS3A01G288200;TraesCS6D01G408000;TraesCS2D01G202200;TraesCS2B01G325100;TraesCS6D01G263300;TraesCS1D01G314600;TraesCS3A01G082700;TraesCS4A01G005000;TraesCS4A01G074200;TraesCS1A01G299500;TraesCS4D01G003600;TraesCS7A01G200700;TraesCS7B01G092500;TraesCS5A01G233900;TraesCS1D01G264100;TraesCS2D01G477200;TraesCS3B01G423800;TraesCS4B01G015600;TraesCS7D01G072100;TraesCS1D01G222700;TraesCS5B01G339200;TraesCS1D01G401900;TraesCS5D01G412600;TraesCS7D01G261100;TraesCSU01G072700;TraesCS4A01G134800;TraesCS1D01G265200;TraesCS3B01G441000;TraesCS5D01G530200;TraesCS4A01G283700;TraesCS7D01G188300;TraesCS4A01G178600;TraesCS5A01G119300;TraesCS5D01G366500;TraesCS4B01G220400;TraesCS3B01G185300;TraesCS1A01G076000;TraesCS1D01G316200;TraesCS3A01G220000;TraesCS3B01G324500;TraesCS5B01G396900;TraesCS3A01G381000;TraesCS5B01G232400;TraesCS3B01G299100;TraesCS2B01G401900;TraesCS1B01G368500;TraesCS1A01G264000;TraesCS3A01G075700;TraesCS7A01G307000;TraesCS3A01G052700;TraesCS5D01G141200;TraesCS7B01G197000;TraesCS5B01G058200;TraesCS1A01G258800;TraesCS7A01G341000;TraesCS6B01G341400;TraesCS6D01G216300;TraesCS7B01G189500;TraesCS7A01G220600;TraesCS6D01G149800;TraesCS3B01G252200;TraesCS7B01G129300;TraesCS4D01G122800;TraesCS6B01G256400;TraesCS6A01G158800;TraesCS1A01G198400;TraesCS3D01G203400;TraesCS4A01G334700;TraesCS5D01G459800;TraesCS3A01G191700;TraesCS1D01G211600;TraesCS2A01G128300;TraesCS5D01G094000;TraesCS3D01G075800;TraesCS2B01G174600;TraesCS5A01G489100;TraesCS5D01G470400;TraesCS1B01G171600;TraesCS5D01G237400;TraesCS6B01G470900;TraesCS7D01G399400;TraesCS2B01G348600;TraesCS4D01G085700;TraesCS5B01G501200;TraesCS2B01G592500;TraesCS2A01G123800;TraesCS2A01G387800;TraesCS6D01G094200;TraesCS4B01G129700;TraesCS5A01G095200;TraesCS2D01G205900;TraesCS5A01G135700;TraesCS1B01G333100;TraesCS4D01G318200;TraesCS5B01G107400;TraesCS2B01G150400;TraesCS5D01G551200;TraesCS6A01G040200;TraesCS6B01G134800;TraesCS3D01G288000;TraesCS2A01G342600;TraesCS4B01G152700;TraesCS4B01G245400;TraesCS2A01G434600;TraesCS5B01G563800;TraesCS6B01G176600;TraesCS7A01G450600;TraesCS2D01G059400;TraesCS3D01G083400;TraesCS5D01G484800;TraesCS4D01G057000;TraesCS5B01G037500;TraesCS1D01G383500;TraesCS2B01G174700;TraesCS1D01G103000;TraesCS7A01G204000;TraesCS7A01G260100;TraesCSU01G131300;TraesCS1D01G258800;TraesCS2B01G185800;TraesCS1D01G117400;TraesCS6D01G283300;TraesCS7D01G343300;TraesCS4A01G247300;TraesCS7A01G335600;TraesCS2A01G455300;TraesCS5D01G341200;TraesCS5A01G020800;TraesCS3D01G091000;TraesCS5D01G240800;TraesCS1A01G221100;TraesCS3A01G271600;TraesCS7A01G452800;TraesCS5A01G460600;TraesCS6A01G077800;TraesCS2A01G382000;TraesCSU01G132400;TraesCS1A01G314100;TraesCS5D01G480300;TraesCS7B01G119300;TraesCS1B01G403000;TraesCS1A01G129400;TraesCS4A01G093100;TraesCS1A01G165700;TraesCS6D01G121300;TraesCS4A01G125000;TraesCS6A01G360600;TraesCS1A01G260500;TraesCS5D01G107900;TraesCS7A01G351100;TraesCS4A01G257800;TraesCS1B01G049300;TraesCS6B01G399000;TraesCS5D01G219500;TraesCS5D01G162400;TraesCS6A01G268600;TraesCS6D01G348000;TraesCS5D01G359800;TraesCS4B01G230500;TraesCS1B01G197100;TraesCS6B01G159200;TraesCS5D01G171100;TraesCS6A01G311200;TraesCS5D01G148100;TraesCSU01G142500;TraesCS5A01G467500;TraesCSU01G121900;TraesCS2D01G417300;TraesCS3B01G112900;TraesCS1B01G267200;TraesCS4B01G321500;TraesCS4D01G244000;TraesCS4D01G133500;TraesCS7D01G216000;TraesCS7D01G549100;TraesCS2A01G563500;TraesCS2D01G399800;TraesCS7B01G350400;TraesCS1B01G255100;TraesCS3B01G362500;TraesCS5D01G193000;TraesCS1A01G350200;TraesCS4B01G084800;TraesCS6A01G379000;TraesCS6A01G282800;TraesCS7A01G321900;TraesCS4A01G080100;TraesCS6A01G105400;TraesCS1A01G099400;TraesCS1B01G254000;TraesCS3A01G513500;TraesCS5D01G230300;TraesCS2B01G070700;TraesCS1D01G412600;TraesCS4D01G359000;TraesCS4A01G298100;TraesCS1A01G007500;TraesCS5B01G097100;TraesCS6A01G303800;TraesCS3D01G205300;TraesCS5A01G547300;TraesCS1B01G462200;TraesCS3D01G188800;TraesCS6B01G239000;TraesCS2B01G501300;TraesCS5B01G201700;TraesCS7B01G352800;TraesCS4A01G194100;TraesCS6D01G364400;TraesCS5D01G472300;TraesCS5B01G300100;TraesCS7D01G439900;TraesCS2D01G561900;TraesCS1D01G092200;TraesCS1B01G326400;TraesCS2D01G362700;TraesCS2D01G389900;TraesCS3B01G214600;TraesCS2B01G221800;TraesCS2D01G118000;TraesCS5A01G114600;TraesCS3A01G336100;TraesCS1D01G433300;TraesCS4B01G083600;TraesCS1B01G396800;TraesCS3D01G341200;TraesCS7A01G192000;TraesCS2B01G620600;TraesCS7D01G207100;TraesCS7D01G224900;TraesCS1B01G270800;TraesCS5D01G000100;TraesCS6B01G393500;TraesCS2A01G185500;TraesCS4B01G355100;TraesCS2A01G095300;TraesCS4B01G193400;TraesCS4B01G170400;TraesCS4A01G110800;TraesCS1D01G356900;TraesCS3A01G200400;TraesCS3D01G114000;TraesCS1D01G151800;TraesCS6D01G210000;TraesCS5A01G490500;TraesCS5B01G409700;TraesCS3A01G391800;TraesCS2A01G478000;TraesCS2B01G312600;TraesCS7D01G152900;TraesCS1D01G298400;TraesCS2D01G398400;TraesCS7D01G409000;TraesCS1A01G133500;TraesCS5B01G534400;TraesCS1A01G100600;TraesCS1D01G125300;TraesCS3A01G295400;TraesCS6D01G246300;TraesCS7A01G466600;TraesCS3D01G426300;TraesCS3A01G212600;TraesCS3A01G264600;TraesCS7A01G223300;TraesCS1B01G261600;TraesCS3B01G083400;TraesCS1A01G071100;TraesCS1D01G226500;TraesCS2B01G271300;TraesCS7D01G338600;TraesCS3D01G384700;TraesCS3D01G436100;TraesCS7D01G454700;TraesCS6B01G169300;TraesCS4A01G023500;TraesCS2A01G058700;TraesCS2B01G528300;TraesCS4B01G056700;TraesCS5A01G091200;TraesCS4D01G013900;TraesCS5B01G378700;TraesCS1A01G376400;TraesCS2B01G385300;TraesCS2D01G554500;TraesCS5B01G102600;TraesCS5A01G264400;TraesCS2B01G004000;TraesCS2A01G149600;TraesCS7D01G327700;TraesCS6B01G311200;TraesCS6B01G315800;TraesCS3D01G182400;TraesCS2B01G340300;TraesCS1A01G180200;TraesCS5A01G420600;TraesCS5B01G335500;TraesCS3D01G264700;TraesCS2A01G102600;TraesCS1D01G331000;TraesCS2B01G050600;TraesCS3D01G529200;TraesCS6D01G182200;TraesCS4B01G204500;TraesCS3D01G275600;TraesCS3A01G443700;TraesCS5D01G504600;TraesCS3A01G523700;TraesCS5D01G208100;TraesCS7B01G242200;TraesCS2D01G132100;TraesCS3A01G530100;TraesCS1A01G095200;TraesCS5A01G157000;TraesCS7A01G560200;TraesCS2B01G247100;TraesCS2A01G149500;TraesCS1B01G110400;TraesCS5A01G212500;TraesCS5A01G392000;TraesCS5D01G285200;TraesCS6B01G242800;TraesCS1B01G200300;TraesCS3D01G259000;TraesCS3A01G023800;TraesCS4A01G232300;TraesCS5D01G258900;TraesCS5D01G401900;TraesCS3A01G184800;TraesCS3A01G367000;TraesCS7B01G111000;TraesCS2A01G129900;TraesCS2A01G521400;TraesCS5A01G396700;TraesCS5B01G155200;TraesCS4D01G194300;TraesCS3B01G297900;TraesCS5A01G059900;TraesCS4B01G179400;TraesCS6A01G290600;TraesCS6B01G089500;TraesCS1A01G315900;TraesCS5A01G548800;TraesCS6D01G130500;TraesCS2A01G387000;TraesCS3A01G097200;TraesCS1B01G422200;TraesCS3A01G100000;TraesCS4A01G231200;TraesCS5B01G418700;TraesCS3A01G530000;TraesCS6B01G348700;TraesCS3D01G150600;TraesCS4A01G315700;TraesCS7D01G442100;TraesCS5A01G429300;TraesCS7D01G339600;TraesCS1A01G263400;TraesCS3D01G068900;TraesCS6B01G192500;TraesCS6B01G065300;TraesCS6A01G267300;TraesCS6A01G408400;TraesCS3A01G304900;TraesCS2D01G057900;TraesCS2A01G296400;TraesCS7D01G193000;TraesCS2D01G126600;TraesCS6D01G299200;TraesCS6D01G278500;TraesCS3A01G069900;TraesCS2A01G391400;TraesCS1D01G260200;TraesCS7A01G342800;TraesCS5D01G105500;TraesCS5A01G036600;TraesCS1B01G213300;TraesCS4A01G164900;TraesCS2B01G145700;TraesCS5D01G164800;TraesCS5A01G324200;TraesCS1B01G293500;TraesCS2B01G410100;TraesCS7B01G124100;TraesCS6B01G104600;TraesCS1D01G199100;TraesCS5B01G147600;TraesCS5B01G101400;TraesCS6D01G174500;TraesCS6A01G210200;TraesCS6D01G195400;TraesCS2D01G300400;TraesCS7B01G097000;TraesCS2A01G216100;TraesCS1A01G284300;TraesCS1D01G353100;TraesCS1B01G434400;TraesCS4D01G348600;TraesCS5B01G104800;TraesCS5A01G222500;TraesCS6B01G231600;TraesCS5B01G320100;TraesCS6A01G161200;TraesCS6B01G189000;TraesCS7D01G000100;TraesCS4B01G380800;TraesCS5A01G524400;TraesCS4B01G029400;TraesCS7B01G207300</t>
  </si>
  <si>
    <t>TraesCS4B01G252400;TraesCS4A01G125000;TraesCS5B01G484700;TraesCS5B01G249000;TraesCS7A01G351100;TraesCS5D01G219500;TraesCS2A01G249600;TraesCS6D01G344200;TraesCS5A01G513500;TraesCS4B01G213600;TraesCS2D01G014800;TraesCS1B01G472100;TraesCS5B01G227900;TraesCS6B01G249700;TraesCS4A01G065400;TraesCS5D01G532100;TraesCS7A01G190700;TraesCS6A01G000900;TraesCS4D01G135000;TraesCS5B01G324800;TraesCS6A01G133100;TraesCS5B01G171200;TraesCS3A01G205100;TraesCS7A01G294200;TraesCS7D01G549100;TraesCS7B01G350400;TraesCS3D01G428300;TraesCS7B01G186500;TraesCS5A01G128300;TraesCS4D01G184400;TraesCS6A01G289200;TraesCS5D01G026000;TraesCS7B01G114100;TraesCS6D01G390000;TraesCS6A01G105400;TraesCS1B01G254000;TraesCS5A01G251000;TraesCS2B01G257300;TraesCS1A01G437500;TraesCS5A01G093200;TraesCS4D01G009100;TraesCS1A01G007500;TraesCS7D01G224400;TraesCS6A01G303800;TraesCS4B01G285000;TraesCS6B01G393600;TraesCS7B01G247200;TraesCS5D01G178300;TraesCS6D01G135800;TraesCS5A01G547300;TraesCS4D01G181000;TraesCS5B01G270200;TraesCS4A01G091100;TraesCS2D01G349600;TraesCS3B01G425900;TraesCS4A01G194100;TraesCS3D01G210300;TraesCS5A01G466100;TraesCS4A01G167000;TraesCS5B01G300100;TraesCS7D01G439900;TraesCS1D01G092200;TraesCS7D01G283600;TraesCS1D01G280900;TraesCS2D01G251000;TraesCS2D01G118000;TraesCS3D01G256700;TraesCS6B01G238600;TraesCS7A01G222800;TraesCS2A01G222600;TraesCS7A01G316700;TraesCS4D01G339700;TraesCS1D01G242500;TraesCS5D01G505700;TraesCS5A01G173800;TraesCS1B01G270800;TraesCS7A01G190500;TraesCS3A01G272200;TraesCS6A01G158300;TraesCS3A01G224800;TraesCS5A01G101900;TraesCS3B01G276700;TraesCS5A01G357400;TraesCS3D01G268700;TraesCS4A01G051900;TraesCS4A01G290400;TraesCS1D01G445300;TraesCS2B01G328500;TraesCS5A01G395200;TraesCS5B01G509100;TraesCS6D01G132500;TraesCS2B01G248100;TraesCS2A01G467900;TraesCS2D01G238600;TraesCS2B01G154700;TraesCS7B01G217500;TraesCS5B01G036800;TraesCS2A01G132200;TraesCS5B01G504900;TraesCS4B01G041900;TraesCS3A01G288200;TraesCS6D01G408000;TraesCS7D01G373100;TraesCS5B01G534400;TraesCS7A01G239700;TraesCS1A01G100600;TraesCS6B01G342300;TraesCS3A01G082700;TraesCS3A01G268600;TraesCS2A01G517900;TraesCS7D01G227300;TraesCS5A01G229500;TraesCS5A01G092400;TraesCS7D01G072100;TraesCS2B01G271300;TraesCS4B01G168300;TraesCS4B01G158500;TraesCS5D01G481500;TraesCS4A01G226900;TraesCS2A01G037200;TraesCS2B01G528300;TraesCS6A01G143300;TraesCS6D01G122800;TraesCS5D01G366500;TraesCS4D01G021400;TraesCS4D01G348500;TraesCS4D01G214300;TraesCS5B01G102600;TraesCS2B01G004000;TraesCS7D01G327700;TraesCS7A01G120300;TraesCS3A01G151100;TraesCS2D01G236100;TraesCS2B01G340300;TraesCS4D01G129300;TraesCS7A01G307000;TraesCS3A01G052700;TraesCS7B01G197000;TraesCS2B01G050600;TraesCS3D01G176600;TraesCS6A01G209800;TraesCS6A01G312100;TraesCS2B01G369600;TraesCS3D01G275600;TraesCS2D01G310000;TraesCS1A01G036200;TraesCS2D01G519500;TraesCS5D01G504600;TraesCS7B01G129300;TraesCS3A01G435700;TraesCS4D01G122800;TraesCS3D01G228800;TraesCS7A01G560200;TraesCS7D01G407700;TraesCS5B01G127300;TraesCS1A01G198400;TraesCS3D01G201100;TraesCS1B01G110400;TraesCS2B01G157600;TraesCS5A01G212500;TraesCS5B01G182500;TraesCS3A01G023800;TraesCS5D01G258900;TraesCS3A01G367000;TraesCS1B01G290800;TraesCS6B01G450500;TraesCS4B01G179400;TraesCS6D01G094200;TraesCS4B01G129700;TraesCS2D01G205900;TraesCS2A01G387000;TraesCS5D01G135900;TraesCS4A01G367700;TraesCS1D01G003700;TraesCS3A01G100000;TraesCS6B01G134800;TraesCS3D01G271800;TraesCS3D01G288000;TraesCS2A01G342600;TraesCS6B01G319000;TraesCS7A01G450600;TraesCS3D01G083400;TraesCS5D01G113700;TraesCS6B01G065300;TraesCS6A01G267300;TraesCS4B01G164800;TraesCS4D01G263300;TraesCS1A01G259700;TraesCS6A01G146500;TraesCS5D01G424400;TraesCS1D01G260200;TraesCS5D01G105500;TraesCS1B01G213300;TraesCSU01G131300;TraesCS5A01G324200;TraesCS5D01G189500;TraesCS6D01G283300;TraesCS5A01G416700;TraesCS3B01G398300;TraesCS6D01G174500;TraesCS7D01G343300;TraesCS6A01G231900;TraesCS7A01G335600;TraesCS2A01G239200;TraesCS5B01G481100;TraesCS6B01G171600;TraesCS6A01G319100;TraesCS7A01G568800;TraesCS1A01G281700;TraesCS1D01G198700;TraesCS4B01G380800;TraesCS4A01G093100;TraesCS7B01G207300</t>
  </si>
  <si>
    <t>chloroplast stroma</t>
  </si>
  <si>
    <t>TraesCS4B01G252400;TraesCS4A01G125000;TraesCS5B01G484700;TraesCS5B01G249000;TraesCS7A01G351100;TraesCS5D01G219500;TraesCS2A01G249600;TraesCS6D01G344200;TraesCS5A01G513500;TraesCS4B01G213600;TraesCS2D01G014800;TraesCS1B01G472100;TraesCS5B01G227900;TraesCS6B01G249700;TraesCS4A01G065400;TraesCS5D01G532100;TraesCS7A01G190700;TraesCS6A01G000900;TraesCS4D01G135000;TraesCS5B01G324800;TraesCS6A01G133100;TraesCS5B01G171200;TraesCS3A01G205100;TraesCS7A01G294200;TraesCS7D01G549100;TraesCS7B01G350400;TraesCS3D01G428300;TraesCS7B01G186500;TraesCS5A01G128300;TraesCS5A01G149000;TraesCS4D01G184400;TraesCS6A01G289200;TraesCS5D01G026000;TraesCS7B01G114100;TraesCS6D01G390000;TraesCS6A01G105400;TraesCS1B01G254000;TraesCS5A01G251000;TraesCS2B01G257300;TraesCS1A01G437500;TraesCS5A01G093200;TraesCS4D01G009100;TraesCS1A01G007500;TraesCS7D01G224400;TraesCS6A01G303800;TraesCS4B01G285000;TraesCS6B01G393600;TraesCS7B01G247200;TraesCS5D01G178300;TraesCS6D01G135800;TraesCS5A01G547300;TraesCS4D01G181000;TraesCS1B01G462200;TraesCS5B01G270200;TraesCS4A01G091100;TraesCS2D01G349600;TraesCS3B01G425900;TraesCS4A01G194100;TraesCS3D01G210300;TraesCS5A01G466100;TraesCS4A01G167000;TraesCS5B01G300100;TraesCS7D01G439900;TraesCS1D01G092200;TraesCS5D01G143800;TraesCS7D01G283600;TraesCS1D01G280900;TraesCS2D01G251000;TraesCS2D01G118000;TraesCS3D01G256700;TraesCS6B01G238600;TraesCS7A01G222800;TraesCS2A01G222600;TraesCS7A01G316700;TraesCS2D01G238700;TraesCS4D01G339700;TraesCS1D01G242500;TraesCS5D01G505700;TraesCS5A01G173800;TraesCS1B01G270800;TraesCS7A01G190500;TraesCS3A01G272200;TraesCS6A01G158300;TraesCS3A01G224800;TraesCS5A01G101900;TraesCS3B01G276700;TraesCS5A01G357400;TraesCS3D01G268700;TraesCS4A01G051900;TraesCS4A01G290400;TraesCS1D01G445300;TraesCS2B01G328500;TraesCS5A01G395200;TraesCS5B01G509100;TraesCS6D01G132500;TraesCS2B01G248100;TraesCS2A01G467900;TraesCS2D01G238600;TraesCS2B01G154700;TraesCS7B01G217500;TraesCS5B01G036800;TraesCS2A01G132200;TraesCS5B01G504900;TraesCS4B01G041900;TraesCS3A01G288200;TraesCS6D01G408000;TraesCS7D01G373100;TraesCS5B01G534400;TraesCS7A01G239700;TraesCS1A01G100600;TraesCS6B01G342300;TraesCS3A01G082700;TraesCS3A01G268600;TraesCS2A01G517900;TraesCS7D01G227300;TraesCS5A01G229500;TraesCS5A01G092400;TraesCS7D01G072100;TraesCS2B01G271300;TraesCS4B01G168300;TraesCS4B01G158500;TraesCS5D01G481500;TraesCS4A01G226900;TraesCS2A01G037200;TraesCS2B01G528300;TraesCS6A01G143300;TraesCS6D01G122800;TraesCS5D01G366500;TraesCS4D01G021400;TraesCS4D01G348500;TraesCS4D01G214300;TraesCS5B01G102600;TraesCS2B01G004000;TraesCS7D01G327700;TraesCS7A01G120300;TraesCS3A01G151100;TraesCS2D01G236100;TraesCS2B01G340300;TraesCS4D01G129300;TraesCS7A01G307000;TraesCS3A01G052700;TraesCS2D01G380900;TraesCS7B01G197000;TraesCS2B01G050600;TraesCS3D01G176600;TraesCS6A01G209800;TraesCS6A01G312100;TraesCS2B01G369600;TraesCS3D01G275600;TraesCS2D01G310000;TraesCS1A01G036200;TraesCS2D01G519500;TraesCS5D01G504600;TraesCS7B01G129300;TraesCS3A01G435700;TraesCS4D01G122800;TraesCS3D01G228800;TraesCS7A01G560200;TraesCS7D01G407700;TraesCS5B01G127300;TraesCS1A01G198400;TraesCS3D01G201100;TraesCS1B01G110400;TraesCS2B01G157600;TraesCS5A01G212500;TraesCS5B01G182500;TraesCS3A01G023800;TraesCS5D01G258900;TraesCS3A01G367000;TraesCS1B01G290800;TraesCS6B01G450500;TraesCS4B01G179400;TraesCS6D01G094200;TraesCS4B01G129700;TraesCS2D01G205900;TraesCS2A01G387000;TraesCS5D01G135900;TraesCS4A01G367700;TraesCS1D01G003700;TraesCS3A01G100000;TraesCS6B01G134800;TraesCS3D01G271800;TraesCS3D01G288000;TraesCS2A01G342600;TraesCS6B01G319000;TraesCS7A01G450600;TraesCS3D01G083400;TraesCS5D01G113700;TraesCS6B01G065300;TraesCS6A01G267300;TraesCS4B01G164800;TraesCS4D01G263300;TraesCS1A01G259700;TraesCS6A01G146500;TraesCS5D01G424400;TraesCS1D01G260200;TraesCS3D01G304800;TraesCS5D01G105500;TraesCS1B01G213300;TraesCSU01G131300;TraesCS5A01G324200;TraesCS5D01G189500;TraesCS5B01G147600;TraesCS6D01G283300;TraesCS5A01G416700;TraesCS3B01G398300;TraesCS6D01G174500;TraesCS7D01G343300;TraesCS6A01G231900;TraesCS7A01G335600;TraesCS2A01G239200;TraesCS5B01G481100;TraesCS6B01G171600;TraesCS6A01G319100;TraesCS7A01G568800;TraesCS1A01G281700;TraesCS1D01G198700;TraesCS4B01G380800;TraesCS4A01G093100;TraesCS7B01G207300</t>
  </si>
  <si>
    <t>plastid stroma</t>
  </si>
  <si>
    <t>TraesCS5B01G484700;TraesCS5B01G249000;TraesCS6B01G454500;TraesCS5B01G228300;TraesCS2A01G249600;TraesCS6D01G344200;TraesCS3D01G273800;TraesCS5D01G303200;TraesCS5B01G239200;TraesCS2D01G427900;TraesCS4B01G238900;TraesCS4B01G213600;TraesCS4D01G147100;TraesCS2B01G364900;TraesCS6B01G249700;TraesCS4D01G174500;TraesCS7A01G190700;TraesCS6A01G000900;TraesCS5B01G094600;TraesCS5B01G324800;TraesCS5D01G429200;TraesCS2D01G233900;TraesCS3B01G219700;TraesCS2A01G171900;TraesCS5B01G255700;TraesCSU01G054300;TraesCS4A01G286700;TraesCS5B01G381600;TraesCS7B01G186500;TraesCS3A01G426600;TraesCS1B01G255900;TraesCS1A01G130700;TraesCS5A01G336500;TraesCS7A01G242000;TraesCS2A01G066700;TraesCS2A01G201200;TraesCS4B01G397700;TraesCS5D01G026000;TraesCS3D01G296900;TraesCS4D01G220700;TraesCS7D01G326000;TraesCS4A01G132200;TraesCS6D01G287300;TraesCS4A01G101500;TraesCS5A01G251000;TraesCS6A01G225200;TraesCS2B01G257300;TraesCS4D01G204000;TraesCS4D01G025700;TraesCS5A01G093200;TraesCS7D01G339300;TraesCS5D01G169600;TraesCS4D01G309500;TraesCS4D01G120900;TraesCS7A01G415500;TraesCS7D01G224400;TraesCS5B01G171100;TraesCS3B01G240500;TraesCS5A01G143800;TraesCS5D01G178300;TraesCS2A01G313000;TraesCS3B01G309700;TraesCS6A01G343500;TraesCS1B01G447500;TraesCS2B01G207000;TraesCS4D01G181000;TraesCS6D01G047400;TraesCS1D01G175000;TraesCS5A01G229300;TraesCS6D01G337700;TraesCS7B01G103100;TraesCS4D01G278500;TraesCS7B01G142700;TraesCS7D01G283600;TraesCS3B01G423600;TraesCS1D01G013100;TraesCS3A01G059600;TraesCS2D01G383800;TraesCS1B01G274600;TraesCS6B01G238600;TraesCS7A01G222800;TraesCS5D01G118200;TraesCS1A01G403800;TraesCS4A01G138800;TraesCS3D01G407300;TraesCS4D01G132900;TraesCS5B01G162800;TraesCS2A01G214300;TraesCS5A01G165400;TraesCS7A01G190500;TraesCS4A01G030400;TraesCS4D01G081600;TraesCS6A01G158300;TraesCS5D01G117100;TraesCS3A01G224800;TraesCS5D01G321900;TraesCS2B01G520500;TraesCS6B01G166400;TraesCS7A01G252000;TraesCS5A01G315800;TraesCS5B01G310600;TraesCS3B01G276700;TraesCS4D01G175600;TraesCS5A01G357400;TraesCS6A01G321700;TraesCS5B01G185700;TraesCS2A01G467900;TraesCS7B01G217500;TraesCS2D01G136100;TraesCS3A01G288200;TraesCS2B01G325100;TraesCS4A01G005000;TraesCS3A01G268600;TraesCS5D01G247600;TraesCS7B01G092500;TraesCS2A01G517900;TraesCS1D01G264100;TraesCS3B01G423800;TraesCS7D01G227300;TraesCS5A01G229500;TraesCS6B01G213100;TraesCS1B01G343100;TraesCS4A01G129200;TraesCS1D01G401900;TraesCS5D01G412600;TraesCS7A01G276400;TraesCS3B01G441000;TraesCS5D01G530200;TraesCS5A01G119300;TraesCS1A01G076000;TraesCS1A01G253000;TraesCS3A01G220000;TraesCS3A01G381000;TraesCS1A01G092700;TraesCS4D01G076900;TraesCS2A01G187200;TraesCS3B01G229100;TraesCS3A01G151100;TraesCS7B01G054900;TraesCS7D01G250100;TraesCS3A01G075700;TraesCS4D01G129300;TraesCS7A01G307000;TraesCS1D01G241000;TraesCS4A01G062200;TraesCS3D01G266200;TraesCS5D01G141200;TraesCS7B01G197000;TraesCS6D01G186000;TraesCS5A01G357600;TraesCS3D01G176600;TraesCS6A01G209800;TraesCS5B01G396700;TraesCS1A01G241000;TraesCS4B01G246900;TraesCS5B01G197300;TraesCS1A01G036200;TraesCS6D01G216300;TraesCS7A01G220600;TraesCS3A01G412600;TraesCS6B01G356900;TraesCS6D01G149800;TraesCS2D01G094400;TraesCS7B01G129300;TraesCS3A01G435700;TraesCS4D01G025300;TraesCS5D01G238300;TraesCS6B01G256400;TraesCS3D01G228800;TraesCS7D01G407700;TraesCS1B01G378000;TraesCS3D01G201100;TraesCS1D01G211600;TraesCS3D01G205700;TraesCS7D01G231600;TraesCS6B01G294700;TraesCS7B01G006600;TraesCSU01G019900;TraesCS1B01G253500;TraesCS5D01G237400;TraesCS2B01G348600;TraesCS2B01G250000;TraesCS5B01G132600;TraesCS3B01G299400;TraesCS6D01G094200;TraesCS4B01G129700;TraesCS4B01G150300;TraesCS1B01G333100;TraesCS2D01G194000;TraesCS6A01G308100;TraesCS4A01G262900;TraesCS1D01G003700;TraesCS2B01G150400;TraesCS3A01G427900;TraesCS6B01G134800;TraesCS3D01G271800;TraesCS3D01G288000;TraesCS2A01G342600;TraesCS2A01G585800;TraesCS2B01G602100;TraesCS5B01G563800;TraesCS4D01G003100;TraesCS2B01G222600;TraesCS2B01G079500;TraesCS2D01G279300;TraesCS4B01G025500;TraesCS5A01G132300;TraesCS3B01G370200;TraesCS6A01G259000;TraesCS1D01G383500;TraesCS2D01G327400;TraesCS4A01G227500;TraesCS1B01G019300;TraesCS3D01G423400;TraesCS6A01G146500;TraesCS5D01G424400;TraesCS4D01G154300;TraesCS6A01G188100;TraesCS5A01G015100;TraesCS7D01G447100;TraesCS6D01G283300;TraesCS5A01G416700;TraesCS1B01G182400;TraesCS2B01G267700;TraesCS5B01G256400;TraesCS4A01G247300;TraesCS6A01G231900;TraesCS4B01G138200;TraesCS2D01G214700;TraesCS3D01G412500;TraesCS5D01G329200;TraesCS3A01G271600;TraesCS4B01G131800;TraesCS6D01G051300;TraesCS1A01G281700;TraesCS4A01G353400;TraesCS2A01G382000;TraesCS1D01G198700;TraesCS3B01G221400;TraesCS7D01G132000;TraesCS1B01G403000;TraesCS4A01G093100;TraesCS2A01G277000;TraesCS3D01G165500;TraesCS4B01G252400;TraesCS4A01G125000;TraesCS2D01G179600;TraesCS5D01G388000;TraesCS1B01G049300;TraesCS6B01G399000;TraesCS5D01G219500;TraesCS2D01G362500;TraesCS5D01G162400;TraesCS6D01G348000;TraesCS1D01G101200;TraesCS4A01G289400;TraesCS5B01G407500;TraesCS5D01G148100;TraesCS7D01G276300;TraesCS4B01G152900;TraesCS3D01G150400;TraesCS5A01G181500;TraesCS5A01G467500;TraesCS4D01G246300;TraesCS2B01G457300;TraesCS2A01G206200;TraesCS3D01G356400;TraesCS7A01G294200;TraesCS7B01G350400;TraesCS3B01G362500;TraesCS4B01G172500;TraesCS1A01G027200;TraesCS5B01G415100;TraesCS6A01G201800;TraesCS7A01G525400;TraesCS6D01G237400;TraesCS3A01G192400;TraesCS6A01G289200;TraesCS7A01G448800;TraesCS1D01G252500;TraesCS2B01G330100;TraesCS6A01G105400;TraesCS6D01G168300;TraesCS5D01G230300;TraesCS2B01G070700;TraesCS4A01G298100;TraesCS5A01G030400;TraesCS2B01G021100;TraesCS7B01G247200;TraesCS3B01G221200;TraesCS1B01G462200;TraesCS6B01G239000;TraesCS5B01G270200;TraesCS7B01G352800;TraesCS6A01G113000;TraesCS5B01G300100;TraesCS7D01G439900;TraesCS1D01G092200;TraesCS2D01G546500;TraesCS1B01G326400;TraesCS2D01G362700;TraesCS2D01G389900;TraesCS3B01G105200;TraesCS4B01G263100;TraesCS2D01G118000;TraesCS3D01G256700;TraesCS2D01G496200;TraesCS1B01G352700;TraesCS4D01G339700;TraesCS7D01G196000;TraesCS1D01G242500;TraesCS4B01G083600;TraesCS7A01G192000;TraesCS7D01G224900;TraesCS7D01G117800;TraesCS1B01G270800;TraesCS4D01G223400;TraesCS5A01G411500;TraesCS6B01G393500;TraesCS2D01G202900;TraesCS5A01G101900;TraesCS2B01G079100;TraesCS5A01G088400;TraesCS3A01G264700;TraesCS4B01G193400;TraesCS4A01G110800;TraesCS3D01G268700;TraesCS4A01G290400;TraesCS5A01G395200;TraesCS1A01G313300;TraesCS5B01G409700;TraesCS2B01G248100;TraesCS2D01G238600;TraesCS2A01G480200;TraesCS3D01G397100;TraesCS3A01G417000;TraesCS4B01G180100;TraesCS2D01G398400;TraesCS7D01G409000;TraesCS4D01G086400;TraesCS5B01G534400;TraesCS3D01G309400;TraesCS6B01G342300;TraesCS3A01G295400;TraesCS3B01G477300;TraesCS2D01G200700;TraesCS7A01G466600;TraesCS3D01G426300;TraesCS4A01G236700;TraesCS3B01G083400;TraesCS3D01G231200;TraesCS4D01G022600;TraesCS7D01G449900;TraesCS4B01G114800;TraesCS2B01G271300;TraesCS7D01G338600;TraesCS6A01G373400;TraesCS3A01G036800;TraesCS3D01G436100;TraesCS7A01G260600;TraesCS4A01G226900;TraesCS3D01G359500;TraesCS2A01G392900;TraesCS5A01G106900;TraesCS1B01G377800;TraesCS4A01G023500;TraesCS2B01G528300;TraesCS6D01G122800;TraesCS2D01G241800;TraesCS6B01G253900;TraesCS4D01G013900;TraesCS5B01G378700;TraesCS1A01G376400;TraesCS3B01G401100;TraesCS5B01G102600;TraesCS2B01G186400;TraesCS3A01G134100;TraesCS2B01G004000;TraesCS2D01G361800;TraesCS7D01G300000;TraesCS2A01G149600;TraesCS7D01G327700;TraesCS6B01G315800;TraesCS4D01G246700;TraesCS6D01G301300;TraesCS2B01G340300;TraesCS3D01G495100;TraesCS5A01G420600;TraesCS2D01G380900;TraesCS1D01G241800;TraesCS6D01G182200;TraesCS4B01G204500;TraesCS3D01G275600;TraesCS1A01G206600;TraesCS2D01G310000;TraesCS2A01G203100;TraesCS3A01G443700;TraesCS6A01G237800;TraesCS2D01G519500;TraesCS3A01G112300;TraesCS4A01G283000;TraesCS3B01G132000;TraesCS5A01G173700;TraesCS7B01G242200;TraesCS2D01G132100;TraesCS2B01G404600;TraesCS7A01G304400;TraesCS1A01G225100;TraesCS5A01G157000;TraesCS7A01G560200;TraesCS2A01G273400;TraesCS2D01G065300;TraesCS1B01G110400;TraesCS5A01G212500;TraesCS5B01G182500;TraesCS6B01G242800;TraesCS1B01G317500;TraesCS4A01G232300;TraesCS5D01G258900;TraesCS1B01G156600;TraesCS7A01G143900;TraesCS6B01G450500;TraesCS2B01G363200;TraesCS6A01G290600;TraesCS1A01G315900;TraesCS2A01G226000;TraesCS2B01G107200;TraesCS2A01G557600;TraesCS4A01G268900;TraesCS1D01G086600;TraesCS2B01G133500;TraesCS1B01G422200;TraesCS6B01G348700;TraesCS3A01G232700;TraesCS7B01G100000;TraesCS3A01G251200;TraesCS4A01G315700;TraesCS1A01G263400;TraesCS6B01G192500;TraesCS6D01G186800;TraesCS6D01G104100;TraesCS2A01G523600;TraesCS4A01G324400;TraesCS2D01G057900;TraesCS1D01G134300;TraesCS6D01G364900;TraesCS6D01G299200;TraesCS5A01G235800;TraesCS3A01G069900;TraesCS5B01G155100;TraesCS3D01G304800;TraesCS4A01G276300;TraesCS4D01G194400;TraesCS5D01G164800;TraesCS2B01G294600;TraesCS5A01G324200;TraesCS1B01G293500;TraesCS3B01G398300;TraesCS2D01G300400;TraesCS7B01G097000;TraesCS3A01G389100;TraesCS1A01G284300;TraesCS2A01G545600;TraesCS6B01G171600;TraesCS1B01G434400;TraesCS4B01G073200;TraesCS7D01G280600;TraesCS4D01G348600;TraesCS1A01G309200;TraesCS5A01G222500;TraesCS5B01G320100;TraesCS4B01G380800;TraesCS6A01G163500;TraesCS2A01G487900;TraesCS2B01G260800;TraesCS3B01G014900;TraesCS7D01G292000;TraesCS5B01G175800;TraesCS6B01G191500;TraesCS5A01G165700;TraesCS2A01G400900;TraesCS2B01G152100;TraesCS5A01G378000;TraesCS1D01G210200;TraesCS1B01G146200;TraesCS3B01G398000;TraesCS2D01G014800;TraesCS1D01G051300;TraesCS7B01G240200;TraesCS2A01G262700;TraesCS7D01G293100;TraesCS4A01G065400;TraesCS3A01G301600;TraesCS5D01G532100;TraesCS2B01G234500;TraesCS1D01G376900;TraesCS4D01G135000;TraesCS6A01G133100;TraesCS5B01G171200;TraesCS7A01G323200;TraesCS5D01G201300;TraesCS3A01G205100;TraesCS2B01G220100;TraesCS3D01G428300;TraesCS5B01G142900;TraesCS6B01G112700;TraesCS5A01G128300;TraesCS4D01G292900;TraesCS5A01G149000;TraesCS6A01G354500;TraesCS2B01G233400;TraesCS2A01G193800;TraesCS4D01G184400;TraesCS6B01G262800;TraesCS7B01G114100;TraesCS6D01G390000;TraesCS7D01G454200;TraesCS7B01G464900;TraesCSU01G093800;TraesCS1A01G437500;TraesCS6A01G319700;TraesCS4D01G009100;TraesCS6D01G357600;TraesCS2A01G027000;TraesCS4B01G373400;TraesCS4D01G085900;TraesCS7D01G153000;TraesCS4B01G134600;TraesCS4D01G160200;TraesCS1A01G102300;TraesCS7B01G117600;TraesCS6A01G364300;TraesCS5D01G420300;TraesCS3B01G425900;TraesCS4A01G062100;TraesCS3D01G210300;TraesCS1D01G409700;TraesCS4A01G167000;TraesCS1D01G396300;TraesCS2B01G405600;TraesCS5B01G562200;TraesCS5B01G171400;TraesCS2A01G066800;TraesCS2B01G382000;TraesCS1B01G196500;TraesCS6A01G373200;TraesCS6B01G282200;TraesCS1D01G113900;TraesCS3D01G065800;TraesCS3A01G332300;TraesCS2D01G251000;TraesCS4A01G077600;TraesCS6A01G321600;TraesCS7A01G316700;TraesCS1D01G325500;TraesCS6A01G212200;TraesCS1A01G246800;TraesCS2A01G157700;TraesCS5D01G100800;TraesCS2D01G356700;TraesCS7A01G327600;TraesCS7A01G490900;TraesCS6D01G244900;TraesCS7B01G226100;TraesCS6A01G234000;TraesCS3D01G421500;TraesCS5B01G413400;TraesCS3A01G214000;TraesCS3D01G327600;TraesCS1A01G195500;TraesCS2B01G328500;TraesCS3B01G344200;TraesCS6D01G344100;TraesCS2D01G148200;TraesCS4B01G089500;TraesCS7B01G242800;TraesCS2B01G154700;TraesCS4A01G193700;TraesCS5D01G412700;TraesCS5B01G036800;TraesCS2A01G132200;TraesCS4A01G342800;TraesCS4B01G041900;TraesCS6D01G408000;TraesCS7D01G373100;TraesCS3D01G379000;TraesCS4D01G160000;TraesCS1D01G314600;TraesCS5B01G094300;TraesCS3A01G082700;TraesCS5D01G157300;TraesCS7A01G325400;TraesCS4B01G088400;TraesCS1A01G299500;TraesCS4D01G003600;TraesCS2D01G065100;TraesCS6D01G301400;TraesCS2D01G477200;TraesCS3B01G442200;TraesCS5B01G205700;TraesCS4B01G015600;TraesCS2B01G346500;TraesCS7B01G363100;TraesCS7D01G072100;TraesCS6B01G470700;TraesCS5D01G481500;TraesCS2D01G492600;TraesCSU01G072700;TraesCS7A01G461700;TraesCS2A01G037200;TraesCS4B01G288200;TraesCS6D01G398100;TraesCS6A01G143300;TraesCS4A01G283700;TraesCS7D01G188300;TraesCS5D01G366500;TraesCS4B01G220400;TraesCS4D01G214300;TraesCS3B01G185300;TraesCS1D01G316200;TraesCS7A01G419600;TraesCS5B01G322900;TraesCS2A01G280500;TraesCS2B01G401900;TraesCS1B01G368500;TraesCS1A01G264000;TraesCS3A01G052700;TraesCS5B01G058200;TraesCS5A01G424400;TraesCS2B01G369600;TraesCS2D01G242100;TraesCS5A01G484700;TraesCS3A01G189400;TraesCS7A01G341000;TraesCS5D01G242900;TraesCS7B01G189500;TraesCS2D01G232300;TraesCS5D01G121100;TraesCS3B01G252200;TraesCS3B01G088300;TraesCS5A01G123700;TraesCS2A01G233300;TraesCS1B01G344300;TraesCS4D01G122800;TraesCS5D01G144600;TraesCS3B01G435900;TraesCS2B01G264100;TraesCS6A01G158800;TraesCS5B01G127300;TraesCS1A01G198400;TraesCS3D01G203400;TraesCS5D01G459800;TraesCS3A01G191700;TraesCS3A01G266100;TraesCS6D01G215100;TraesCS4B01G153500;TraesCS2A01G128300;TraesCS5D01G094000;TraesCS2D01G105300;TraesCS6A01G314900;TraesCS5A01G489100;TraesCS6B01G470900;TraesCS2D01G320900;TraesCS1B01G290800;TraesCS3A01G212000;TraesCS4D01G085700;TraesCS5B01G501200;TraesCS2A01G387800;TraesCS1A01G361400;TraesCS2D01G205900;TraesCS5A01G213000;TraesCS3B01G209400;TraesCS5D01G229900;TraesCS5D01G135900;TraesCS4A01G058000;TraesCS1B01G220700;TraesCS6B01G352400;TraesCS4A01G367700;TraesCS5D01G366700;TraesCS1D01G244400;TraesCS3A01G402500;TraesCS5D01G551200;TraesCS4D01G157900;TraesCS3B01G439000;TraesCS6A01G040200;TraesCS1A01G137000;TraesCS5D01G169900;TraesCS7A01G381900;TraesCS3B01G254200;TraesCS7A01G450600;TraesCS4D01G199300;TraesCS3D01G228900;TraesCS3D01G083400;TraesCS5D01G113700;TraesCS2D01G231000;TraesCS4B01G164800;TraesCS1A01G259700;TraesCS2B01G174700;TraesCS2A01G234200;TraesCS6B01G223200;TraesCS4D01G152000;TraesCS7D01G378400;TraesCS2A01G150000;TraesCS7A01G260100;TraesCS5D01G437600;TraesCSU01G131300;TraesCS5D01G189500;TraesCS3D01G514100;TraesCS7D01G343300;TraesCS6D01G147700;TraesCS7A01G335600;TraesCS5D01G341200;TraesCS5A01G020800;TraesCS2D01G096900;TraesCS3A01G028600;TraesCS4A01G141000;TraesCS6A01G319100;TraesCS7A01G452800;TraesCS7A01G568800;TraesCS6B01G419000;TraesCSU01G132400;TraesCS3A01G488100;TraesCS7B01G421100;TraesCS5B01G316400;TraesCS4D01G292300;TraesCS5B01G360200;TraesCS1A01G129400;TraesCS1A01G165700;TraesCS6A01G360600;TraesCS1D01G411300;TraesCS3B01G224600;TraesCS7A01G351100;TraesCS7A01G238400;TraesCS4A01G184100;TraesCS5A01G513500;TraesCS5D01G359800;TraesCS6A01G380200;TraesCS1B01G472100;TraesCS6B01G159200;TraesCS5B01G227900;TraesCS6A01G418800;TraesCS5B01G431500;TraesCS2D01G417300;TraesCS3B01G112900;TraesCS3B01G131400;TraesCS2D01G065600;TraesCS7D01G235900;TraesCS5A01G549700;TraesCS7D01G549100;TraesCS5B01G146700;TraesCS4B01G193100;TraesCS2A01G563500;TraesCS1B01G255100;TraesCS3A01G210000;TraesCS5D01G193000;TraesCS1A01G157500;TraesCS3A01G321900;TraesCS3B01G335000;TraesCS7D01G313600;TraesCS6B01G286300;TraesCS5B01G111800;TraesCS3A01G103900;TraesCS3D01G060600;TraesCS6B01G039900;TraesCS3B01G568500;TraesCS5A01G454300;TraesCS1B01G254000;TraesCS3A01G513500;TraesCS1D01G412600;TraesCS4D01G359000;TraesCS4A01G015800;TraesCS1A01G007500;TraesCS6A01G303800;TraesCS4B01G285000;TraesCS6B01G393600;TraesCS5D01G071300;TraesCS6D01G135800;TraesCS5A01G547300;TraesCS2B01G079400;TraesCS2A01G239000;TraesCS2D01G237600;TraesCS2B01G501300;TraesCS4A01G091100;TraesCS2D01G349600;TraesCS4A01G194100;TraesCS5A01G466100;TraesCS2B01G309400;TraesCS5D01G143800;TraesCS1D01G280900;TraesCS5D01G164500;TraesCS2A01G437700;TraesCS3D01G311800;TraesCS1A01G206900;TraesCS5A01G114600;TraesCS2D01G295500;TraesCS3A01G336100;TraesCS2A01G222600;TraesCS2D01G238700;TraesCS1B01G396800;TraesCS5D01G505700;TraesCS2A01G067200;TraesCS5A01G173800;TraesCS2A01G235900;TraesCS2B01G272300;TraesCS7D01G148200;TraesCS3A01G272200;TraesCS4A01G185400;TraesCS4B01G355100;TraesCS2A01G097600;TraesCS5A01G296200;TraesCS4A01G238100;TraesCS1D01G392400;TraesCS3D01G159100;TraesCS1D01G356900;TraesCS4A01G051900;TraesCS1D01G445300;TraesCS3A01G200400;TraesCS3D01G114000;TraesCS2A01G492300;TraesCS5B01G509100;TraesCS6D01G132500;TraesCS6D01G210000;TraesCS5D01G357600;TraesCS5B01G214400;TraesCS1A01G049300;TraesCS5B01G504900;TraesCS2A01G478000;TraesCS2B01G312600;TraesCS5B01G397300;TraesCS6B01G115200;TraesCS1D01G298400;TraesCS2B01G515500;TraesCS1A01G431600;TraesCS3A01G362600;TraesCS1A01G133500;TraesCS7A01G239700;TraesCS1A01G100600;TraesCS1D01G125300;TraesCS3D01G482500;TraesCS2B01G079200;TraesCS3D01G264800;TraesCS1D01G155100;TraesCS3A01G212600;TraesCS7A01G223300;TraesCS1B01G261600;TraesCS1D01G226500;TraesCS5A01G092400;TraesCS4B01G168300;TraesCS3D01G300300;TraesCS1D01G124600;TraesCS2B01G376600;TraesCS4B01G158500;TraesCS7B01G093800;TraesCS4B01G286700;TraesCS4B01G133200;TraesCS2A01G058700;TraesCS5A01G215900;TraesCS4D01G021400;TraesCS4D01G348500;TraesCS6A01G130900;TraesCS2B01G385300;TraesCS4B01G354600;TraesCS5A01G429500;TraesCS3B01G161900;TraesCS5A01G264400;TraesCS1A01G060100;TraesCS2D01G065200;TraesCS7A01G120300;TraesCS2D01G236100;TraesCS6A01G203700;TraesCS5B01G335500;TraesCS7B01G451500;TraesCS7D01G174700;TraesCS2B01G050600;TraesCS6A01G312100;TraesCS5B01G263800;TraesCS1A01G086500;TraesCS5D01G504600;TraesCS4B01G028100;TraesCS7D01G349600;TraesCS6D01G172500;TraesCS5D01G148400;TraesCS1D01G303800;TraesCS2B01G297800;TraesCS2A01G252600;TraesCS7B01G230100;TraesCS2B01G457600;TraesCS4D01G275500;TraesCS3D01G220400;TraesCS2B01G157600;TraesCS3D01G259000;TraesCS3A01G023800;TraesCS1D01G440900;TraesCS3A01G367000;TraesCS2A01G129900;TraesCS2A01G114400;TraesCS5B01G155200;TraesCS4D01G194300;TraesCS4D01G234800;TraesCS3D01G325800;TraesCS4B01G179400;TraesCS6B01G089500;TraesCS4B01G154100;TraesCS5A01G548800;TraesCS1D01G124400;TraesCS3D01G162700;TraesCS2A01G387000;TraesCS3A01G097200;TraesCS5B01G344200;TraesCS5A01G328900;TraesCS3A01G100000;TraesCS7D01G161000;TraesCS1D01G030500;TraesCS3A01G530000;TraesCS1D01G404400;TraesCS3D01G232600;TraesCS4B01G115800;TraesCS6B01G319000;TraesCS7D01G442100;TraesCS5A01G429300;TraesCS7D01G339600;TraesCS3D01G068900;TraesCS6B01G065300;TraesCS6A01G267300;TraesCS2A01G254600;TraesCS6A01G408400;TraesCS2B01G098800;TraesCS3A01G304900;TraesCS4D01G263300;TraesCS5B01G220900;TraesCS2A01G296400;TraesCS7D01G193000;TraesCS5B01G295200;TraesCSU01G009200;TraesCS3A01G405300;TraesCS6D01G152700;TraesCS1D01G260200;TraesCS7A01G342800;TraesCS5D01G105500;TraesCS1B01G213300;TraesCS5A01G059800;TraesCS2B01G122500;TraesCS5B01G510500;TraesCS7A01G108600;TraesCS2B01G410100;TraesCS5D01G223700;TraesCS6B01G151900;TraesCS1D01G199100;TraesCS5B01G147600;TraesCS2B01G179800;TraesCS1D01G367600;TraesCS2A01G297500;TraesCS6D01G174500;TraesCS5A01G418200;TraesCS6A01G210200;TraesCS6D01G195400;TraesCS2A01G239200;TraesCS1B01G155600;TraesCS2A01G216100;TraesCS7A01G329600;TraesCS5B01G481100;TraesCS4A01G105500;TraesCS6A01G269700;TraesCS3B01G072200;TraesCS4A01G057600;TraesCS6B01G231600;TraesCS6B01G189000;TraesCS7D01G000100;TraesCS5A01G524400;TraesCS4B01G029400;TraesCS5B01G121000;TraesCS7B01G207300</t>
  </si>
  <si>
    <t>TraesCS5B01G484700;TraesCS5B01G249000;TraesCS6B01G454500;TraesCS5B01G228300;TraesCS2A01G249600;TraesCS6D01G344200;TraesCS3D01G273800;TraesCS5D01G303200;TraesCS2D01G427900;TraesCS4B01G238900;TraesCS4B01G213600;TraesCS4D01G147100;TraesCS2B01G364900;TraesCS6B01G249700;TraesCS4D01G174500;TraesCS7A01G190700;TraesCS6A01G000900;TraesCS5B01G094600;TraesCS5B01G324800;TraesCS5D01G429200;TraesCS2D01G233900;TraesCS3B01G219700;TraesCS2A01G171900;TraesCS5B01G255700;TraesCSU01G054300;TraesCS4A01G286700;TraesCS5B01G381600;TraesCS7B01G186500;TraesCS3A01G426600;TraesCS1B01G255900;TraesCS1A01G130700;TraesCS5A01G336500;TraesCS7A01G242000;TraesCS2A01G066700;TraesCS2A01G201200;TraesCS4B01G397700;TraesCS5D01G026000;TraesCS3D01G296900;TraesCS4D01G220700;TraesCS7D01G326000;TraesCS4A01G132200;TraesCS6D01G287300;TraesCS4A01G101500;TraesCS5A01G251000;TraesCS6A01G225200;TraesCS2B01G257300;TraesCS4D01G204000;TraesCS4D01G025700;TraesCS5A01G093200;TraesCS7D01G339300;TraesCS5D01G169600;TraesCS4D01G309500;TraesCS4D01G120900;TraesCS7A01G415500;TraesCS7D01G224400;TraesCS5B01G171100;TraesCS3B01G240500;TraesCS5A01G143800;TraesCS5D01G178300;TraesCS2A01G313000;TraesCS3B01G309700;TraesCS6A01G343500;TraesCS1B01G447500;TraesCS2B01G207000;TraesCS4D01G181000;TraesCS6D01G047400;TraesCS1D01G175000;TraesCS5A01G229300;TraesCS6D01G337700;TraesCS7B01G103100;TraesCS4D01G278500;TraesCS7B01G142700;TraesCS7D01G283600;TraesCS3B01G423600;TraesCS1D01G013100;TraesCS3A01G059600;TraesCS2D01G383800;TraesCS1B01G274600;TraesCS6B01G238600;TraesCS7A01G222800;TraesCS5D01G118200;TraesCS1A01G403800;TraesCS4A01G138800;TraesCS3D01G407300;TraesCS4D01G132900;TraesCS5B01G162800;TraesCS2A01G214300;TraesCS5A01G165400;TraesCS7A01G190500;TraesCS4A01G030400;TraesCS4D01G081600;TraesCS6A01G158300;TraesCS5D01G117100;TraesCS3A01G224800;TraesCS5D01G321900;TraesCS2B01G520500;TraesCS6B01G166400;TraesCS7A01G252000;TraesCS5A01G315800;TraesCS5B01G310600;TraesCS3B01G276700;TraesCS4D01G175600;TraesCS5A01G357400;TraesCS6A01G321700;TraesCS5B01G185700;TraesCS2A01G467900;TraesCS7B01G217500;TraesCS2D01G136100;TraesCS3A01G288200;TraesCS2B01G325100;TraesCS4A01G005000;TraesCS3A01G268600;TraesCS7B01G092500;TraesCS2A01G517900;TraesCS1D01G264100;TraesCS3B01G423800;TraesCS7D01G227300;TraesCS5A01G229500;TraesCS6B01G213100;TraesCS1B01G343100;TraesCS4A01G129200;TraesCS1D01G401900;TraesCS5D01G412600;TraesCS7A01G276400;TraesCS3B01G441000;TraesCS5D01G530200;TraesCS5A01G119300;TraesCS1A01G076000;TraesCS1A01G253000;TraesCS3A01G220000;TraesCS3A01G381000;TraesCS1A01G092700;TraesCS4D01G076900;TraesCS2A01G187200;TraesCS3B01G229100;TraesCS3A01G151100;TraesCS7B01G054900;TraesCS7D01G250100;TraesCS3A01G075700;TraesCS4D01G129300;TraesCS7A01G307000;TraesCS1D01G241000;TraesCS4A01G062200;TraesCS3D01G266200;TraesCS5D01G141200;TraesCS7B01G197000;TraesCS6D01G186000;TraesCS5A01G357600;TraesCS3D01G176600;TraesCS6A01G209800;TraesCS5B01G396700;TraesCS1A01G241000;TraesCS4B01G246900;TraesCS5B01G197300;TraesCS1A01G036200;TraesCS6D01G216300;TraesCS7A01G220600;TraesCS3A01G412600;TraesCS6B01G356900;TraesCS6D01G149800;TraesCS2D01G094400;TraesCS7B01G129300;TraesCS3A01G435700;TraesCS4D01G025300;TraesCS5D01G238300;TraesCS6B01G256400;TraesCS3D01G228800;TraesCS7D01G407700;TraesCS1B01G378000;TraesCS3D01G201100;TraesCS1D01G211600;TraesCS3D01G205700;TraesCS7D01G231600;TraesCS6B01G294700;TraesCS7B01G006600;TraesCSU01G019900;TraesCS1B01G253500;TraesCS5D01G237400;TraesCS2B01G348600;TraesCS2B01G250000;TraesCS5B01G132600;TraesCS3B01G299400;TraesCS6D01G094200;TraesCS4B01G129700;TraesCS4B01G150300;TraesCS1B01G333100;TraesCS2D01G194000;TraesCS6A01G308100;TraesCS4A01G262900;TraesCS1D01G003700;TraesCS2B01G150400;TraesCS3A01G427900;TraesCS6B01G134800;TraesCS3D01G271800;TraesCS3D01G288000;TraesCS2A01G342600;TraesCS2A01G585800;TraesCS2B01G602100;TraesCS5B01G563800;TraesCS4D01G003100;TraesCS2B01G222600;TraesCS2B01G079500;TraesCS2D01G279300;TraesCS4B01G025500;TraesCS5A01G132300;TraesCS3B01G370200;TraesCS6A01G259000;TraesCS1D01G383500;TraesCS2D01G327400;TraesCS4A01G227500;TraesCS1B01G019300;TraesCS3D01G423400;TraesCS6A01G146500;TraesCS5D01G424400;TraesCS4D01G154300;TraesCS6A01G188100;TraesCS5A01G015100;TraesCS7D01G447100;TraesCS6D01G283300;TraesCS5A01G416700;TraesCS1B01G182400;TraesCS2B01G267700;TraesCS5B01G256400;TraesCS4A01G247300;TraesCS6A01G231900;TraesCS4B01G138200;TraesCS2D01G214700;TraesCS3D01G412500;TraesCS5D01G329200;TraesCS3A01G271600;TraesCS4B01G131800;TraesCS6D01G051300;TraesCS1A01G281700;TraesCS4A01G353400;TraesCS2A01G382000;TraesCS1D01G198700;TraesCS3B01G221400;TraesCS7D01G132000;TraesCS1B01G403000;TraesCS4A01G093100;TraesCS2A01G277000;TraesCS3D01G165500;TraesCS4B01G252400;TraesCS4A01G125000;TraesCS2D01G179600;TraesCS5D01G388000;TraesCS1B01G049300;TraesCS6B01G399000;TraesCS5D01G219500;TraesCS2D01G362500;TraesCS5D01G162400;TraesCS6D01G348000;TraesCS1D01G101200;TraesCS4A01G289400;TraesCS5B01G407500;TraesCS5D01G148100;TraesCS7D01G276300;TraesCS4B01G152900;TraesCS3D01G150400;TraesCS5A01G181500;TraesCS5A01G467500;TraesCS4D01G246300;TraesCS2B01G457300;TraesCS2A01G206200;TraesCS3D01G356400;TraesCS7A01G294200;TraesCS7B01G350400;TraesCS3B01G362500;TraesCS4B01G172500;TraesCS1A01G027200;TraesCS5B01G415100;TraesCS6A01G201800;TraesCS7A01G525400;TraesCS6D01G237400;TraesCS3A01G192400;TraesCS6A01G289200;TraesCS7A01G448800;TraesCS1D01G252500;TraesCS2B01G330100;TraesCS6A01G105400;TraesCS6D01G168300;TraesCS5D01G230300;TraesCS2B01G070700;TraesCS4A01G298100;TraesCS5A01G030400;TraesCS2B01G021100;TraesCS7B01G247200;TraesCS3B01G221200;TraesCS1B01G462200;TraesCS6B01G239000;TraesCS5B01G270200;TraesCS7B01G352800;TraesCS6A01G113000;TraesCS5B01G300100;TraesCS7D01G439900;TraesCS1D01G092200;TraesCS2D01G546500;TraesCS1B01G326400;TraesCS2D01G362700;TraesCS2D01G389900;TraesCS3B01G105200;TraesCS4B01G263100;TraesCS2D01G118000;TraesCS3D01G256700;TraesCS2D01G496200;TraesCS1B01G352700;TraesCS4D01G339700;TraesCS7D01G196000;TraesCS1D01G242500;TraesCS4B01G083600;TraesCS7A01G192000;TraesCS7D01G224900;TraesCS7D01G117800;TraesCS1B01G270800;TraesCS4D01G223400;TraesCS5A01G411500;TraesCS6B01G393500;TraesCS2D01G202900;TraesCS5A01G101900;TraesCS2B01G079100;TraesCS5A01G088400;TraesCS3A01G264700;TraesCS4B01G193400;TraesCS4A01G110800;TraesCS3D01G268700;TraesCS4A01G290400;TraesCS5A01G395200;TraesCS1A01G313300;TraesCS5B01G409700;TraesCS2B01G248100;TraesCS2D01G238600;TraesCS2A01G480200;TraesCS3D01G397100;TraesCS3A01G417000;TraesCS4B01G180100;TraesCS2D01G398400;TraesCS7D01G409000;TraesCS4D01G086400;TraesCS5B01G534400;TraesCS3D01G309400;TraesCS6B01G342300;TraesCS3A01G295400;TraesCS3B01G477300;TraesCS2D01G200700;TraesCS7A01G466600;TraesCS3D01G426300;TraesCS4A01G236700;TraesCS3B01G083400;TraesCS3D01G231200;TraesCS4D01G022600;TraesCS7D01G449900;TraesCS4B01G114800;TraesCS2B01G271300;TraesCS7D01G338600;TraesCS6A01G373400;TraesCS3A01G036800;TraesCS3D01G436100;TraesCS7A01G260600;TraesCS4A01G226900;TraesCS3D01G359500;TraesCS2A01G392900;TraesCS1B01G377800;TraesCS4A01G023500;TraesCS2B01G528300;TraesCS6D01G122800;TraesCS2D01G241800;TraesCS6B01G253900;TraesCS4D01G013900;TraesCS5B01G378700;TraesCS1A01G376400;TraesCS3B01G401100;TraesCS5B01G102600;TraesCS2B01G186400;TraesCS3A01G134100;TraesCS2B01G004000;TraesCS2D01G361800;TraesCS7D01G300000;TraesCS2A01G149600;TraesCS7D01G327700;TraesCS6B01G315800;TraesCS4D01G246700;TraesCS6D01G301300;TraesCS2B01G340300;TraesCS3D01G495100;TraesCS5A01G420600;TraesCS2D01G380900;TraesCS1D01G241800;TraesCS6D01G182200;TraesCS4B01G204500;TraesCS3D01G275600;TraesCS1A01G206600;TraesCS2D01G310000;TraesCS3A01G443700;TraesCS6A01G237800;TraesCS2D01G519500;TraesCS3A01G112300;TraesCS4A01G283000;TraesCS3B01G132000;TraesCS5A01G173700;TraesCS7B01G242200;TraesCS2D01G132100;TraesCS2B01G404600;TraesCS7A01G304400;TraesCS1A01G225100;TraesCS5A01G157000;TraesCS7A01G560200;TraesCS2A01G273400;TraesCS2D01G065300;TraesCS1B01G110400;TraesCS5A01G212500;TraesCS5B01G182500;TraesCS6B01G242800;TraesCS1B01G317500;TraesCS4A01G232300;TraesCS5D01G258900;TraesCS1B01G156600;TraesCS7A01G143900;TraesCS6B01G450500;TraesCS2B01G363200;TraesCS6A01G290600;TraesCS1A01G315900;TraesCS2A01G226000;TraesCS2B01G107200;TraesCS4A01G268900;TraesCS1D01G086600;TraesCS2B01G133500;TraesCS1B01G422200;TraesCS6B01G348700;TraesCS3A01G232700;TraesCS7B01G100000;TraesCS3A01G251200;TraesCS4A01G315700;TraesCS1A01G263400;TraesCS6B01G192500;TraesCS6D01G186800;TraesCS6D01G104100;TraesCS2A01G523600;TraesCS4A01G324400;TraesCS2D01G057900;TraesCS1D01G134300;TraesCS6D01G364900;TraesCS6D01G299200;TraesCS5A01G235800;TraesCS3A01G069900;TraesCS5B01G155100;TraesCS3D01G304800;TraesCS4A01G276300;TraesCS4D01G194400;TraesCS5D01G164800;TraesCS2B01G294600;TraesCS5A01G324200;TraesCS1B01G293500;TraesCS3B01G398300;TraesCS2D01G300400;TraesCS7B01G097000;TraesCS3A01G389100;TraesCS1A01G284300;TraesCS2A01G545600;TraesCS6B01G171600;TraesCS1B01G434400;TraesCS4B01G073200;TraesCS7D01G280600;TraesCS4D01G348600;TraesCS1A01G309200;TraesCS5A01G222500;TraesCS5B01G320100;TraesCS4B01G380800;TraesCS6A01G163500;TraesCS2A01G487900;TraesCS2B01G260800;TraesCS3B01G014900;TraesCS7D01G292000;TraesCS5B01G175800;TraesCS6B01G191500;TraesCS5A01G165700;TraesCS2A01G400900;TraesCS2B01G152100;TraesCS5A01G378000;TraesCS1D01G210200;TraesCS1B01G146200;TraesCS3B01G398000;TraesCS2D01G014800;TraesCS1D01G051300;TraesCS7B01G240200;TraesCS2A01G262700;TraesCS7D01G293100;TraesCS4A01G065400;TraesCS3A01G301600;TraesCS5D01G532100;TraesCS2B01G234500;TraesCS1D01G376900;TraesCS4D01G135000;TraesCS6A01G133100;TraesCS5B01G171200;TraesCS7A01G323200;TraesCS5D01G201300;TraesCS3A01G205100;TraesCS2B01G220100;TraesCS3D01G428300;TraesCS5B01G142900;TraesCS6B01G112700;TraesCS5A01G128300;TraesCS4D01G292900;TraesCS5A01G149000;TraesCS6A01G354500;TraesCS2B01G233400;TraesCS2A01G193800;TraesCS4D01G184400;TraesCS6B01G262800;TraesCS7B01G114100;TraesCS6D01G390000;TraesCS7D01G454200;TraesCS7B01G464900;TraesCSU01G093800;TraesCS1A01G437500;TraesCS6A01G319700;TraesCS4D01G009100;TraesCS6D01G357600;TraesCS2A01G027000;TraesCS4B01G373400;TraesCS4D01G085900;TraesCS7D01G153000;TraesCS4B01G134600;TraesCS4D01G160200;TraesCS1A01G102300;TraesCS7B01G117600;TraesCS6A01G364300;TraesCS5D01G420300;TraesCS3B01G425900;TraesCS4A01G062100;TraesCS3D01G210300;TraesCS1D01G409700;TraesCS4A01G167000;TraesCS1D01G396300;TraesCS2B01G405600;TraesCS5B01G562200;TraesCS5B01G171400;TraesCS2A01G066800;TraesCS2B01G382000;TraesCS1B01G196500;TraesCS6A01G373200;TraesCS6B01G282200;TraesCS1D01G113900;TraesCS3D01G065800;TraesCS3A01G332300;TraesCS2D01G251000;TraesCS4A01G077600;TraesCS6A01G321600;TraesCS7A01G316700;TraesCS1D01G325500;TraesCS6A01G212200;TraesCS1A01G246800;TraesCS2A01G157700;TraesCS5D01G100800;TraesCS2D01G356700;TraesCS7A01G327600;TraesCS7A01G490900;TraesCS6D01G244900;TraesCS7B01G226100;TraesCS6A01G234000;TraesCS3D01G421500;TraesCS5B01G413400;TraesCS3A01G214000;TraesCS3D01G327600;TraesCS1A01G195500;TraesCS2B01G328500;TraesCS3B01G344200;TraesCS6D01G344100;TraesCS2D01G148200;TraesCS4B01G089500;TraesCS7B01G242800;TraesCS2B01G154700;TraesCS4A01G193700;TraesCS5D01G412700;TraesCS5B01G036800;TraesCS2A01G132200;TraesCS4A01G342800;TraesCS4B01G041900;TraesCS6D01G408000;TraesCS7D01G373100;TraesCS3D01G379000;TraesCS4D01G160000;TraesCS1D01G314600;TraesCS5B01G094300;TraesCS3A01G082700;TraesCS5D01G157300;TraesCS7A01G325400;TraesCS4B01G088400;TraesCS1A01G299500;TraesCS4D01G003600;TraesCS2D01G065100;TraesCS6D01G301400;TraesCS2D01G477200;TraesCS3B01G442200;TraesCS5B01G205700;TraesCS4B01G015600;TraesCS2B01G346500;TraesCS7B01G363100;TraesCS7D01G072100;TraesCS6B01G470700;TraesCS5D01G481500;TraesCS2D01G492600;TraesCSU01G072700;TraesCS7A01G461700;TraesCS2A01G037200;TraesCS4B01G288200;TraesCS6D01G398100;TraesCS6A01G143300;TraesCS4A01G283700;TraesCS7D01G188300;TraesCS5D01G366500;TraesCS4B01G220400;TraesCS4D01G214300;TraesCS3B01G185300;TraesCS1D01G316200;TraesCS7A01G419600;TraesCS5B01G322900;TraesCS2A01G280500;TraesCS2B01G401900;TraesCS1B01G368500;TraesCS1A01G264000;TraesCS3A01G052700;TraesCS5B01G058200;TraesCS5A01G424400;TraesCS2B01G369600;TraesCS2D01G242100;TraesCS5A01G484700;TraesCS3A01G189400;TraesCS7A01G341000;TraesCS5D01G242900;TraesCS7B01G189500;TraesCS2D01G232300;TraesCS5D01G121100;TraesCS3B01G252200;TraesCS3B01G088300;TraesCS5A01G123700;TraesCS2A01G233300;TraesCS1B01G344300;TraesCS4D01G122800;TraesCS5D01G144600;TraesCS3B01G435900;TraesCS2B01G264100;TraesCS6A01G158800;TraesCS5B01G127300;TraesCS1A01G198400;TraesCS3D01G203400;TraesCS5D01G459800;TraesCS3A01G191700;TraesCS3A01G266100;TraesCS6D01G215100;TraesCS4B01G153500;TraesCS2A01G128300;TraesCS5D01G094000;TraesCS2D01G105300;TraesCS6A01G314900;TraesCS5A01G489100;TraesCS6B01G470900;TraesCS2D01G320900;TraesCS1B01G290800;TraesCS3A01G212000;TraesCS4D01G085700;TraesCS5B01G501200;TraesCS2A01G387800;TraesCS1A01G361400;TraesCS2D01G205900;TraesCS5A01G213000;TraesCS3B01G209400;TraesCS5D01G229900;TraesCS5D01G135900;TraesCS4A01G058000;TraesCS1B01G220700;TraesCS6B01G352400;TraesCS4A01G367700;TraesCS5D01G366700;TraesCS1D01G244400;TraesCS3A01G402500;TraesCS5D01G551200;TraesCS4D01G157900;TraesCS3B01G439000;TraesCS6A01G040200;TraesCS1A01G137000;TraesCS5D01G169900;TraesCS7A01G381900;TraesCS3B01G254200;TraesCS7A01G450600;TraesCS4D01G199300;TraesCS3D01G228900;TraesCS3D01G083400;TraesCS5D01G113700;TraesCS2D01G231000;TraesCS4B01G164800;TraesCS1A01G259700;TraesCS2B01G174700;TraesCS2A01G234200;TraesCS6B01G223200;TraesCS4D01G152000;TraesCS7D01G378400;TraesCS2A01G150000;TraesCS7A01G260100;TraesCS5D01G437600;TraesCSU01G131300;TraesCS5D01G189500;TraesCS3D01G514100;TraesCS7D01G343300;TraesCS6D01G147700;TraesCS7A01G335600;TraesCS5D01G341200;TraesCS5A01G020800;TraesCS2D01G096900;TraesCS3A01G028600;TraesCS4A01G141000;TraesCS6A01G319100;TraesCS7A01G452800;TraesCS7A01G568800;TraesCS6B01G419000;TraesCSU01G132400;TraesCS3A01G488100;TraesCS7B01G421100;TraesCS5B01G316400;TraesCS4D01G292300;TraesCS5B01G360200;TraesCS1A01G129400;TraesCS1A01G165700;TraesCS6A01G360600;TraesCS1D01G411300;TraesCS3B01G224600;TraesCS7A01G351100;TraesCS7A01G238400;TraesCS4A01G184100;TraesCS5A01G513500;TraesCS5D01G359800;TraesCS6A01G380200;TraesCS1B01G472100;TraesCS6B01G159200;TraesCS5B01G227900;TraesCS6A01G418800;TraesCS5B01G431500;TraesCS2D01G417300;TraesCS3B01G112900;TraesCS3B01G131400;TraesCS2D01G065600;TraesCS7D01G235900;TraesCS5A01G549700;TraesCS7D01G549100;TraesCS5B01G146700;TraesCS4B01G193100;TraesCS2A01G563500;TraesCS1B01G255100;TraesCS3A01G210000;TraesCS5D01G193000;TraesCS1A01G157500;TraesCS3A01G321900;TraesCS3B01G335000;TraesCS7D01G313600;TraesCS6B01G286300;TraesCS5B01G111800;TraesCS3A01G103900;TraesCS3D01G060600;TraesCS3B01G568500;TraesCS5A01G454300;TraesCS1B01G254000;TraesCS3A01G513500;TraesCS1D01G412600;TraesCS4D01G359000;TraesCS4A01G015800;TraesCS1A01G007500;TraesCS6A01G303800;TraesCS4B01G285000;TraesCS6B01G393600;TraesCS5D01G071300;TraesCS6D01G135800;TraesCS5A01G547300;TraesCS2B01G079400;TraesCS2A01G239000;TraesCS2D01G237600;TraesCS2B01G501300;TraesCS4A01G091100;TraesCS2D01G349600;TraesCS4A01G194100;TraesCS5A01G466100;TraesCS2B01G309400;TraesCS5D01G143800;TraesCS1D01G280900;TraesCS5D01G164500;TraesCS2A01G437700;TraesCS3D01G311800;TraesCS1A01G206900;TraesCS5A01G114600;TraesCS2D01G295500;TraesCS3A01G336100;TraesCS2A01G222600;TraesCS2D01G238700;TraesCS1B01G396800;TraesCS5D01G505700;TraesCS2A01G067200;TraesCS5A01G173800;TraesCS2A01G235900;TraesCS2B01G272300;TraesCS7D01G148200;TraesCS3A01G272200;TraesCS4A01G185400;TraesCS4B01G355100;TraesCS2A01G097600;TraesCS5A01G296200;TraesCS4A01G238100;TraesCS1D01G392400;TraesCS3D01G159100;TraesCS1D01G356900;TraesCS4A01G051900;TraesCS1D01G445300;TraesCS3A01G200400;TraesCS3D01G114000;TraesCS2A01G492300;TraesCS5B01G509100;TraesCS6D01G132500;TraesCS6D01G210000;TraesCS5D01G357600;TraesCS5B01G214400;TraesCS1A01G049300;TraesCS5B01G504900;TraesCS2A01G478000;TraesCS2B01G312600;TraesCS5B01G397300;TraesCS6B01G115200;TraesCS1D01G298400;TraesCS2B01G515500;TraesCS1A01G431600;TraesCS3A01G362600;TraesCS1A01G133500;TraesCS7A01G239700;TraesCS1A01G100600;TraesCS1D01G125300;TraesCS3D01G482500;TraesCS2B01G079200;TraesCS3D01G264800;TraesCS1D01G155100;TraesCS3A01G212600;TraesCS7A01G223300;TraesCS1B01G261600;TraesCS1D01G226500;TraesCS5A01G092400;TraesCS4B01G168300;TraesCS3D01G300300;TraesCS1D01G124600;TraesCS2B01G376600;TraesCS4B01G158500;TraesCS7B01G093800;TraesCS4B01G286700;TraesCS4B01G133200;TraesCS2A01G058700;TraesCS5A01G215900;TraesCS4D01G021400;TraesCS4D01G348500;TraesCS6A01G130900;TraesCS2B01G385300;TraesCS4B01G354600;TraesCS5A01G429500;TraesCS3B01G161900;TraesCS5A01G264400;TraesCS1A01G060100;TraesCS2D01G065200;TraesCS7A01G120300;TraesCS2D01G236100;TraesCS6A01G203700;TraesCS5B01G335500;TraesCS7B01G451500;TraesCS7D01G174700;TraesCS2B01G050600;TraesCS6A01G312100;TraesCS5B01G263800;TraesCS1A01G086500;TraesCS5D01G504600;TraesCS4B01G028100;TraesCS7D01G349600;TraesCS6D01G172500;TraesCS5D01G148400;TraesCS1D01G303800;TraesCS2B01G297800;TraesCS2A01G252600;TraesCS7B01G230100;TraesCS2B01G457600;TraesCS4D01G275500;TraesCS3D01G220400;TraesCS2B01G157600;TraesCS3A01G023800;TraesCS1D01G440900;TraesCS3A01G367000;TraesCS2A01G129900;TraesCS2A01G114400;TraesCS5B01G155200;TraesCS4D01G194300;TraesCS4D01G234800;TraesCS3D01G325800;TraesCS4B01G179400;TraesCS6B01G089500;TraesCS4B01G154100;TraesCS5A01G548800;TraesCS1D01G124400;TraesCS3D01G162700;TraesCS2A01G387000;TraesCS3A01G097200;TraesCS5B01G344200;TraesCS5A01G328900;TraesCS3A01G100000;TraesCS7D01G161000;TraesCS1D01G030500;TraesCS3A01G530000;TraesCS1D01G404400;TraesCS3D01G232600;TraesCS4B01G115800;TraesCS6B01G319000;TraesCS7D01G442100;TraesCS5A01G429300;TraesCS7D01G339600;TraesCS3D01G068900;TraesCS6B01G065300;TraesCS6A01G267300;TraesCS2A01G254600;TraesCS6A01G408400;TraesCS2B01G098800;TraesCS3A01G304900;TraesCS4D01G263300;TraesCS5B01G220900;TraesCS2A01G296400;TraesCS7D01G193000;TraesCS5B01G295200;TraesCSU01G009200;TraesCS3A01G405300;TraesCS6D01G152700;TraesCS1D01G260200;TraesCS7A01G342800;TraesCS5D01G105500;TraesCS1B01G213300;TraesCS5A01G059800;TraesCS2B01G122500;TraesCS5B01G510500;TraesCS7A01G108600;TraesCS2B01G410100;TraesCS5D01G223700;TraesCS6B01G151900;TraesCS1D01G199100;TraesCS5B01G147600;TraesCS2B01G179800;TraesCS1D01G367600;TraesCS2A01G297500;TraesCS6D01G174500;TraesCS5A01G418200;TraesCS6A01G210200;TraesCS6D01G195400;TraesCS2A01G239200;TraesCS1B01G155600;TraesCS2A01G216100;TraesCS7A01G329600;TraesCS5B01G481100;TraesCS4A01G105500;TraesCS6A01G269700;TraesCS3B01G072200;TraesCS4A01G057600;TraesCS6B01G231600;TraesCS6B01G189000;TraesCS7D01G000100;TraesCS5A01G524400;TraesCS4B01G029400;TraesCS5B01G121000;TraesCS7B01G207300</t>
  </si>
  <si>
    <t>TraesCS3D01G426300;TraesCS4A01G125000;TraesCS5B01G484700;TraesCS2A01G234900;TraesCS5A01G092400;TraesCS2B01G271300;TraesCS7D01G338600;TraesCS5D01G219500;TraesCS3D01G436100;TraesCS5D01G481500;TraesCS5A01G513500;TraesCS1D01G210200;TraesCS4B01G213600;TraesCS2A01G058700;TraesCS6B01G159200;TraesCS2B01G528300;TraesCS6A01G143300;TraesCS6D01G122800;TraesCS5A01G119300;TraesCS4D01G021400;TraesCS4D01G214300;TraesCS4A01G052600;TraesCS1A01G376400;TraesCS2B01G385300;TraesCS5B01G102600;TraesCS2A01G280500;TraesCS5B01G324800;TraesCS6A01G133100;TraesCS5B01G171200;TraesCS3A01G205100;TraesCS6B01G315800;TraesCS7D01G549100;TraesCS4A01G286700;TraesCS3A01G151100;TraesCS7B01G350400;TraesCS2B01G050600;TraesCS2A01G309600;TraesCS3D01G529200;TraesCS4B01G204500;TraesCS2D01G310000;TraesCS7A01G341000;TraesCS2A01G193800;TraesCS5D01G026000;TraesCS3A01G443700;TraesCS5B01G419300;TraesCS7B01G189500;TraesCS6D01G390000;TraesCS2B01G330100;TraesCS6A01G105400;TraesCS3A01G523700;TraesCS6D01G287300;TraesCS4B01G028100;TraesCS1B01G254000;TraesCS7B01G242200;TraesCS2B01G070700;TraesCS7B01G129300;TraesCS1D01G412600;TraesCS4D01G025700;TraesCS4D01G359000;TraesCS5A01G093200;TraesCS2B01G297800;TraesCS4D01G122800;TraesCS7D01G224400;TraesCS6A01G303800;TraesCS7A01G560200;TraesCS4B01G285000;TraesCS1A01G198400;TraesCS2B01G457600;TraesCS4B01G151200;TraesCS3A01G191700;TraesCS2B01G201700;TraesCS5D01G178300;TraesCS6D01G135800;TraesCS2A01G313000;TraesCS1B01G110400;TraesCS5A01G212500;TraesCS6B01G242800;TraesCS6D01G047400;TraesCS6B01G239000;TraesCS4A01G091100;TraesCS4A01G232300;TraesCS7B01G006600;TraesCS3D01G210300;TraesCS5B01G228900;TraesCS3A01G367000;TraesCS5B01G300100;TraesCS7D01G439900;TraesCS5D01G237400;TraesCS6B01G470900;TraesCS1D01G092200;TraesCS2A01G114400;TraesCS5A01G396700;TraesCS7D01G283600;TraesCS2A01G437700;TraesCS6B01G450500;TraesCS2A01G175400;TraesCS4B01G179400;TraesCS6A01G290600;TraesCS2D01G251000;TraesCS2D01G389900;TraesCS1A01G206900;TraesCS6D01G094200;TraesCS4B01G129700;TraesCS5A01G548800;TraesCS7A01G222800;TraesCS2A01G387000;TraesCS2D01G194000;TraesCS7A01G316700;TraesCS4D01G283800;TraesCS2B01G133500;TraesCS1B01G220700;TraesCS4D01G339700;TraesCS6A01G212200;TraesCS6A01G308100;TraesCS1D01G003700;TraesCS2D01G182700;TraesCS4B01G083600;TraesCS1B01G396800;TraesCS5D01G551200;TraesCS5A01G173800;TraesCS6B01G134800;TraesCS3D01G288000;TraesCS4A01G315700;TraesCS5B01G563800;TraesCS6B01G176600;TraesCS7A01G450600;TraesCS4D01G003100;TraesCS3D01G083400;TraesCS4D01G081600;TraesCS2D01G279300;TraesCS6A01G267300;TraesCS2A01G523600;TraesCS1D01G383500;TraesCS2D01G057900;TraesCS1A01G259700;TraesCS2A01G296400;TraesCS5D01G321900;TraesCS6A01G146500;TraesCS5A01G315800;TraesCS5D01G105500;TraesCS1B01G213300;TraesCS4D01G194400;TraesCS4A01G290400;TraesCS1A01G195500;TraesCS2B01G328500;TraesCS5A01G324200;TraesCS2B01G410100;TraesCS6D01G132500;TraesCS1D01G199100;TraesCS5B01G409700;TraesCS6D01G283300;TraesCS2D01G238600;TraesCS2B01G154700;TraesCS6A01G210200;TraesCS6D01G195400;TraesCS7D01G343300;TraesCS7A01G335600;TraesCS7B01G217500;TraesCS5B01G036800;TraesCS2A01G132200;TraesCS5A01G230400;TraesCS2B01G312600;TraesCS4B01G041900;TraesCS1D01G024800;TraesCS3A01G288200;TraesCS5B01G481100;TraesCS6B01G171600;TraesCS1B01G434400;TraesCS4B01G131800;TraesCS1A01G024700;TraesCS1A01G133500;TraesCS5B01G534400;TraesCS1A01G100600;TraesCS1D01G198700;TraesCS7B01G421100;TraesCS3A01G082700;TraesCS4D01G003600;TraesCS4A01G093100</t>
  </si>
  <si>
    <t>TraesCS1D01G107300;TraesCS5B01G484700;TraesCS5B01G249000;TraesCS6B01G454500;TraesCS5B01G228300;TraesCS2A01G249600;TraesCS6D01G344200;TraesCS3D01G273800;TraesCS5D01G303200;TraesCS5B01G239200;TraesCS2D01G427900;TraesCS4B01G238900;TraesCS4B01G213600;TraesCS4D01G147100;TraesCS2B01G364900;TraesCS6B01G249700;TraesCS4D01G174500;TraesCS7A01G190700;TraesCS6A01G000900;TraesCS5B01G094600;TraesCS5B01G324800;TraesCS5D01G429200;TraesCS2D01G233900;TraesCS3B01G219700;TraesCS2A01G171900;TraesCS5B01G255700;TraesCS5A01G390000;TraesCSU01G054300;TraesCS4A01G286700;TraesCS5B01G381600;TraesCS7B01G186500;TraesCS3A01G426600;TraesCS1B01G255900;TraesCS1A01G130700;TraesCS5A01G336500;TraesCS7A01G242000;TraesCS2A01G066700;TraesCS4B01G200300;TraesCS2A01G201200;TraesCS4B01G397700;TraesCS2A01G488400;TraesCS4B01G347000;TraesCS5D01G026000;TraesCS3D01G296900;TraesCS4D01G220700;TraesCS7D01G326000;TraesCS4A01G132200;TraesCS6D01G287300;TraesCS4A01G101500;TraesCS5A01G251000;TraesCS6A01G225200;TraesCS2B01G257300;TraesCS4D01G204000;TraesCS4D01G025700;TraesCS5A01G093200;TraesCS6D01G162200;TraesCS7D01G339300;TraesCS5D01G169600;TraesCS4D01G309500;TraesCS4D01G120900;TraesCS7A01G415500;TraesCS7D01G224400;TraesCS5B01G171100;TraesCS3B01G240500;TraesCS5A01G143800;TraesCS2D01G093700;TraesCS5D01G178300;TraesCS2A01G313000;TraesCS3B01G309700;TraesCS6A01G343500;TraesCS1B01G447500;TraesCS2B01G207000;TraesCS4D01G181000;TraesCS6D01G047400;TraesCS1D01G175000;TraesCS5A01G229300;TraesCS6D01G337700;TraesCS7B01G103100;TraesCS4D01G278500;TraesCS7B01G142700;TraesCS2D01G322800;TraesCS7D01G283600;TraesCS3B01G423600;TraesCS1D01G013100;TraesCS3A01G059600;TraesCS2D01G383800;TraesCS1B01G274600;TraesCS6B01G238600;TraesCS7A01G222800;TraesCS5D01G118200;TraesCS1A01G403800;TraesCS4A01G138800;TraesCS3D01G407300;TraesCS4D01G132900;TraesCS5B01G162800;TraesCS2A01G214300;TraesCS5A01G165400;TraesCS7A01G190500;TraesCS4A01G030400;TraesCS4D01G081600;TraesCS6A01G158300;TraesCS5D01G117100;TraesCS3A01G224800;TraesCS5D01G321900;TraesCS2B01G520500;TraesCS6B01G166400;TraesCS7A01G252000;TraesCS5A01G315800;TraesCS5D01G044700;TraesCS5B01G310600;TraesCS3B01G276700;TraesCS4D01G175600;TraesCS5A01G357400;TraesCS5D01G405400;TraesCS6A01G321700;TraesCS5B01G185700;TraesCS2A01G467900;TraesCS7B01G217500;TraesCS2D01G136100;TraesCS3A01G288200;TraesCS2B01G325100;TraesCS4A01G005000;TraesCS3A01G268600;TraesCS6D01G106900;TraesCS2A01G487500;TraesCS3D01G224800;TraesCS5D01G247600;TraesCS7B01G092500;TraesCS2A01G517900;TraesCS1D01G264100;TraesCS2D01G213200;TraesCS3B01G423800;TraesCS7D01G227300;TraesCS5B01G409400;TraesCS5A01G229500;TraesCS6B01G213100;TraesCS1B01G343100;TraesCS4A01G129200;TraesCS1D01G401900;TraesCS4A01G375000;TraesCS5D01G412600;TraesCS5D01G099800;TraesCS7A01G276400;TraesCS3B01G441000;TraesCS5D01G530200;TraesCS5A01G119300;TraesCS1A01G076000;TraesCS1A01G253000;TraesCS3A01G220000;TraesCS3A01G381000;TraesCS1A01G092700;TraesCS7A01G076600;TraesCS7D01G025000;TraesCS4D01G076900;TraesCS2A01G187200;TraesCS3B01G229100;TraesCS3A01G151100;TraesCS7B01G054900;TraesCS7D01G250100;TraesCS3A01G075700;TraesCS4D01G129300;TraesCS7A01G307000;TraesCS1D01G241000;TraesCS4A01G062200;TraesCS1D01G155800;TraesCS3D01G266200;TraesCS5D01G141200;TraesCS7B01G197000;TraesCS6D01G186000;TraesCS5A01G357600;TraesCS3D01G176600;TraesCS6A01G209800;TraesCS5B01G396700;TraesCS1A01G241000;TraesCS4B01G246900;TraesCS6B01G341400;TraesCS5B01G197300;TraesCS1A01G036200;TraesCS6D01G216300;TraesCS7A01G220600;TraesCS3A01G412600;TraesCS6B01G356900;TraesCS6D01G149800;TraesCS2D01G094400;TraesCS7B01G129300;TraesCS3A01G435700;TraesCS4D01G025300;TraesCS1A01G177600;TraesCS5D01G238300;TraesCS6B01G256400;TraesCS3D01G228800;TraesCS7D01G407700;TraesCS1B01G378000;TraesCS3D01G201100;TraesCS4A01G334700;TraesCS2A01G221200;TraesCS1D01G211600;TraesCS3D01G205700;TraesCS7D01G231600;TraesCS2B01G174600;TraesCS6B01G294700;TraesCS7B01G006600;TraesCSU01G019900;TraesCS1B01G253500;TraesCS5D01G237400;TraesCS2B01G348600;TraesCS2B01G250000;TraesCS5B01G132600;TraesCS3B01G299400;TraesCS3B01G268900;TraesCS6D01G094200;TraesCS4B01G129700;TraesCS4B01G150300;TraesCS1B01G333100;TraesCS2D01G194000;TraesCS6A01G308100;TraesCS2A01G480500;TraesCS4A01G262900;TraesCS1D01G003700;TraesCS2B01G150400;TraesCS3A01G427900;TraesCS6B01G134800;TraesCS2A01G338100;TraesCS3D01G271800;TraesCS3D01G288000;TraesCS2A01G342600;TraesCS2A01G585800;TraesCS4B01G245400;TraesCS2B01G602100;TraesCS5B01G563800;TraesCS4D01G003100;TraesCS2B01G222600;TraesCS2B01G079500;TraesCS2D01G279300;TraesCS4B01G025500;TraesCS5A01G132300;TraesCS3B01G370200;TraesCS6A01G259000;TraesCS1D01G383500;TraesCS2D01G327400;TraesCS4A01G227500;TraesCS1B01G019300;TraesCS3D01G423400;TraesCS6A01G146500;TraesCS5D01G424400;TraesCS4D01G154300;TraesCS2D01G154600;TraesCS6A01G188100;TraesCS5A01G015100;TraesCS7D01G447100;TraesCS6D01G283300;TraesCS5A01G416700;TraesCS1B01G182400;TraesCS2B01G267700;TraesCS5B01G256400;TraesCS4A01G247300;TraesCS6B01G331800;TraesCS6A01G231900;TraesCS7D01G190300;TraesCS4B01G138200;TraesCS2D01G214700;TraesCS6A01G311500;TraesCS3D01G412500;TraesCS5D01G329200;TraesCS3A01G271600;TraesCS4B01G131800;TraesCS6D01G051300;TraesCS1A01G281700;TraesCS4A01G353400;TraesCS2A01G382000;TraesCS1D01G198700;TraesCS5D01G480300;TraesCS3B01G221400;TraesCS7B01G119300;TraesCS7D01G132000;TraesCS1B01G403000;TraesCS4A01G093100;TraesCS2A01G277000;TraesCS3D01G165500;TraesCS1B01G259800;TraesCS4B01G252400;TraesCS4A01G125000;TraesCS2D01G179600;TraesCS4A01G257800;TraesCS5D01G388000;TraesCS5A01G468600;TraesCS1B01G049300;TraesCS6B01G399000;TraesCS5D01G219500;TraesCS2D01G362500;TraesCS5D01G162400;TraesCS6D01G348000;TraesCS1D01G101200;TraesCS4A01G289400;TraesCS5B01G407500;TraesCS5D01G148100;TraesCS7D01G276300;TraesCS4B01G152900;TraesCS4B01G186700;TraesCS3D01G150400;TraesCS5A01G181500;TraesCS5A01G467500;TraesCS4D01G246300;TraesCS2B01G457300;TraesCS2A01G206200;TraesCS3D01G356400;TraesCS4B01G126400;TraesCS7A01G294200;TraesCS7B01G350400;TraesCS3B01G362500;TraesCS1A01G350200;TraesCS4B01G172500;TraesCS1A01G027200;TraesCS5B01G415100;TraesCS6A01G201800;TraesCS7A01G525400;TraesCS6D01G237400;TraesCS3A01G192400;TraesCS6A01G289200;TraesCS7A01G448800;TraesCS1D01G252500;TraesCS2B01G330100;TraesCS3D01G275200;TraesCS6A01G105400;TraesCS6D01G168300;TraesCS5D01G230300;TraesCS2B01G070700;TraesCS4A01G298100;TraesCS5A01G030400;TraesCS2B01G021100;TraesCS7B01G247200;TraesCS3B01G221200;TraesCS3D01G205300;TraesCS1D01G020000;TraesCS1B01G462200;TraesCS3D01G188800;TraesCS6B01G239000;TraesCS5B01G270200;TraesCS7B01G352800;TraesCS6A01G113000;TraesCS5B01G300100;TraesCS7D01G439900;TraesCS2D01G561900;TraesCS1D01G092200;TraesCS2D01G546500;TraesCS1B01G326400;TraesCS2D01G362700;TraesCS2D01G389900;TraesCS3B01G105200;TraesCS4B01G263100;TraesCS2D01G118000;TraesCS3D01G256700;TraesCS2D01G496200;TraesCS6A01G103200;TraesCS1B01G352700;TraesCS4D01G339700;TraesCS7D01G196000;TraesCS1D01G242500;TraesCS4B01G083600;TraesCS7A01G192000;TraesCS7D01G207100;TraesCS7D01G224900;TraesCS7D01G117800;TraesCS1B01G270800;TraesCS4D01G223400;TraesCS5A01G411500;TraesCS7D01G072300;TraesCS6B01G393500;TraesCS2D01G202900;TraesCS5A01G101900;TraesCS2A01G185500;TraesCS2B01G079100;TraesCS5A01G088400;TraesCS2A01G095300;TraesCS3A01G264700;TraesCS4B01G193400;TraesCS4A01G110800;TraesCS3D01G268700;TraesCS4A01G290400;TraesCS5A01G395200;TraesCS1A01G313300;TraesCS5B01G409700;TraesCS3A01G391800;TraesCS2B01G248100;TraesCS2D01G238600;TraesCS2A01G480200;TraesCS6D01G363400;TraesCS3D01G397100;TraesCS3A01G417000;TraesCS5B01G395000;TraesCS4B01G180100;TraesCS2D01G398400;TraesCS7D01G409000;TraesCS4D01G086400;TraesCS5B01G534400;TraesCS3D01G309400;TraesCS6B01G342300;TraesCS7A01G279000;TraesCS3A01G295400;TraesCS3B01G477300;TraesCS2D01G200700;TraesCS7A01G466600;TraesCS3D01G426300;TraesCS4A01G236700;TraesCS3B01G083400;TraesCS3D01G231200;TraesCS4D01G022600;TraesCS7D01G449900;TraesCS4B01G114800;TraesCS2B01G271300;TraesCS7D01G338600;TraesCS6A01G373400;TraesCS3A01G036800;TraesCS3D01G384700;TraesCS3D01G436100;TraesCS7A01G260600;TraesCS4A01G226900;TraesCS3D01G359500;TraesCS2A01G392900;TraesCS5A01G106900;TraesCS6B01G169300;TraesCS1B01G377800;TraesCS4A01G023500;TraesCS2B01G505400;TraesCS2B01G528300;TraesCS4A01G101200;TraesCS6D01G122800;TraesCS7B01G181200;TraesCS2D01G241800;TraesCS4B01G056700;TraesCS6B01G253900;TraesCS4D01G013900;TraesCS5B01G378700;TraesCS1A01G376400;TraesCS3B01G401100;TraesCS5B01G102600;TraesCS2B01G186400;TraesCS3A01G134100;TraesCS2B01G004000;TraesCS2D01G361800;TraesCS7D01G300000;TraesCS2A01G149600;TraesCS7D01G327700;TraesCS6B01G315800;TraesCS4D01G246700;TraesCS6D01G301300;TraesCS2B01G340300;TraesCS3B01G362100;TraesCS3D01G495100;TraesCS5A01G420600;TraesCS2D01G380900;TraesCS2D01G487700;TraesCS1D01G241800;TraesCS6D01G182200;TraesCS4B01G204500;TraesCS3D01G275600;TraesCS1A01G206600;TraesCS2D01G310000;TraesCS2A01G203100;TraesCS3A01G443700;TraesCS6A01G237800;TraesCS2D01G519500;TraesCS3A01G112300;TraesCS4A01G283000;TraesCS3B01G132000;TraesCS5A01G173700;TraesCS7B01G242200;TraesCS2D01G132100;TraesCS2B01G404600;TraesCS7A01G304400;TraesCS6B01G285500;TraesCS1A01G225100;TraesCS5A01G157000;TraesCS7A01G560200;TraesCS2A01G273400;TraesCS2D01G065300;TraesCS1B01G110400;TraesCS5A01G212500;TraesCS5B01G182500;TraesCS6B01G242800;TraesCS1B01G317500;TraesCS4A01G232300;TraesCS5D01G258900;TraesCS1B01G156600;TraesCS3A01G184800;TraesCS7A01G143900;TraesCS6D01G091600;TraesCS5A01G059900;TraesCS6B01G450500;TraesCS2B01G363200;TraesCS4B01G242800;TraesCS6A01G290600;TraesCS1A01G315900;TraesCS1A01G249100;TraesCS2A01G226000;TraesCS2B01G107200;TraesCS2A01G557600;TraesCS4A01G268900;TraesCS1D01G086600;TraesCS2B01G133500;TraesCS1B01G422200;TraesCS6B01G348700;TraesCS3A01G232700;TraesCS3D01G150600;TraesCS7B01G100000;TraesCS6D01G221400;TraesCS3A01G251200;TraesCS4A01G315700;TraesCS1A01G263400;TraesCS6B01G192500;TraesCS6D01G186800;TraesCS6D01G104100;TraesCS2A01G523600;TraesCS4A01G324400;TraesCS2D01G057900;TraesCS7B01G169100;TraesCS1D01G134300;TraesCS6D01G364900;TraesCS5D01G231200;TraesCS6D01G299200;TraesCS5A01G235800;TraesCS3A01G069900;TraesCS2A01G391400;TraesCS3B01G306000;TraesCS5B01G155100;TraesCS3D01G304800;TraesCS4A01G276300;TraesCS5A01G036600;TraesCS4D01G194400;TraesCS5D01G164800;TraesCS2B01G294600;TraesCS5A01G324200;TraesCS1B01G293500;TraesCS3B01G398300;TraesCS2D01G300400;TraesCS7B01G097000;TraesCS1A01G158500;TraesCS3A01G389100;TraesCS1A01G284300;TraesCS1D01G353100;TraesCS2A01G545600;TraesCS6B01G171600;TraesCS1B01G434400;TraesCS4B01G073200;TraesCS7D01G280600;TraesCS4D01G348600;TraesCS1B01G269400;TraesCS1A01G309200;TraesCS5A01G222500;TraesCS5B01G320100;TraesCS4B01G380800;TraesCS6A01G163500;TraesCS2A01G487900;TraesCS2B01G260800;TraesCS2D01G324900;TraesCS3B01G014900;TraesCS7D01G292000;TraesCS5B01G175800;TraesCS6B01G191500;TraesCS5A01G165700;TraesCS2A01G400900;TraesCS2B01G152100;TraesCS5A01G378000;TraesCS1D01G210200;TraesCS5B01G531900;TraesCS1B01G146200;TraesCS3B01G398000;TraesCS2D01G014800;TraesCS1D01G051300;TraesCS7B01G240200;TraesCS2A01G262700;TraesCS7D01G293100;TraesCS4A01G065400;TraesCS3A01G301600;TraesCS5D01G532100;TraesCS6B01G132300;TraesCS2B01G234500;TraesCS1D01G376900;TraesCS4D01G135000;TraesCS6A01G133100;TraesCS5B01G171200;TraesCS7A01G323200;TraesCS5D01G201300;TraesCS3A01G205100;TraesCS2B01G220100;TraesCS3D01G428300;TraesCS5B01G142900;TraesCS5B01G159100;TraesCS6B01G112700;TraesCS3A01G229100;TraesCS5A01G128300;TraesCS4D01G292900;TraesCS5A01G149000;TraesCS6A01G354500;TraesCS2B01G233400;TraesCS2A01G193800;TraesCS4D01G184400;TraesCS6B01G262800;TraesCS7B01G114100;TraesCS6D01G390000;TraesCS5D01G399800;TraesCS7D01G454200;TraesCS4D01G151500;TraesCS7B01G464900;TraesCSU01G093800;TraesCS1A01G437500;TraesCS6A01G319700;TraesCS4D01G009100;TraesCS6D01G357600;TraesCS2A01G027000;TraesCS4B01G373400;TraesCS6D01G298300;TraesCS7A01G151000;TraesCS4D01G085900;TraesCS7D01G153000;TraesCS4B01G134600;TraesCS4D01G160200;TraesCS5B01G484800;TraesCS1A01G102300;TraesCS5A01G472100;TraesCS7B01G117600;TraesCS5D01G396300;TraesCS6A01G364300;TraesCS5D01G420300;TraesCS3B01G425900;TraesCS4A01G062100;TraesCS3D01G210300;TraesCS1D01G409700;TraesCS4A01G167000;TraesCS1D01G396300;TraesCS2B01G405600;TraesCS5B01G562200;TraesCS5B01G171400;TraesCS2A01G066800;TraesCS2B01G382000;TraesCS1B01G196500;TraesCS6A01G373200;TraesCS6B01G282200;TraesCS1D01G113900;TraesCS3D01G065800;TraesCS3A01G332300;TraesCS2D01G251000;TraesCS1D01G315700;TraesCS4A01G077600;TraesCS2A01G387400;TraesCS6A01G321600;TraesCS5A01G416400;TraesCS7A01G316700;TraesCS1D01G325500;TraesCS6A01G212200;TraesCS1A01G246800;TraesCS4A01G042500;TraesCS2A01G157700;TraesCS5D01G444500;TraesCS5D01G100800;TraesCS2D01G356700;TraesCS7A01G327600;TraesCS7A01G490900;TraesCS6D01G244900;TraesCS7B01G226100;TraesCS6A01G234000;TraesCS5B01G479200;TraesCS3D01G421500;TraesCS2B01G375700;TraesCS2A01G592600;TraesCS5B01G413400;TraesCS4A01G078900;TraesCS3A01G214000;TraesCS3D01G327600;TraesCS1A01G195500;TraesCS2B01G328500;TraesCS3B01G344200;TraesCS6D01G344100;TraesCS2D01G148200;TraesCS4B01G089500;TraesCS7B01G242800;TraesCS2B01G154700;TraesCS4A01G193700;TraesCS5D01G412700;TraesCS5B01G036800;TraesCS2A01G132200;TraesCS4A01G342800;TraesCS4B01G041900;TraesCS6D01G408000;TraesCS7D01G373100;TraesCS3D01G379000;TraesCS2D01G202200;TraesCS4D01G160000;TraesCS1D01G314600;TraesCS5B01G094300;TraesCS3A01G082700;TraesCS5D01G157300;TraesCS7A01G325400;TraesCS3B01G303000;TraesCS4B01G088400;TraesCS1A01G299500;TraesCS4D01G003600;TraesCS2D01G065100;TraesCS6D01G301400;TraesCS2D01G477200;TraesCS3B01G442200;TraesCS5B01G205700;TraesCS4B01G015600;TraesCS2B01G514800;TraesCS2B01G346500;TraesCS7B01G363100;TraesCS7D01G072100;TraesCS6B01G470700;TraesCS2B01G246900;TraesCS5D01G481500;TraesCS2D01G492600;TraesCS4B01G050600;TraesCSU01G072700;TraesCS7A01G461700;TraesCS2A01G037200;TraesCS4B01G288200;TraesCS2B01G410600;TraesCS6D01G398100;TraesCS6A01G143300;TraesCS4A01G283700;TraesCS7D01G188300;TraesCS5D01G366500;TraesCS6A01G040400;TraesCS4B01G220400;TraesCS4D01G214300;TraesCS3B01G185300;TraesCS1D01G316200;TraesCS7A01G419600;TraesCS5B01G322900;TraesCS2A01G280500;TraesCS3B01G299100;TraesCS2B01G401900;TraesCS1B01G368500;TraesCS1A01G264000;TraesCS3A01G052700;TraesCS5B01G058200;TraesCS5A01G424400;TraesCS2B01G369600;TraesCS2D01G242100;TraesCS5A01G484700;TraesCS3A01G189400;TraesCS1A01G258800;TraesCS7A01G341000;TraesCS5D01G242900;TraesCS7B01G189500;TraesCS2D01G232300;TraesCS3D01G240800;TraesCS5D01G121100;TraesCS3B01G252200;TraesCS3B01G088300;TraesCS5A01G123700;TraesCS2A01G233300;TraesCS1B01G344300;TraesCS4D01G122800;TraesCS5D01G144600;TraesCS3B01G435900;TraesCS2B01G264100;TraesCS6A01G158800;TraesCS5B01G127300;TraesCS1A01G198400;TraesCS3D01G203400;TraesCS5D01G459800;TraesCS3A01G191700;TraesCS3A01G266100;TraesCS6D01G215100;TraesCS4B01G153500;TraesCS2D01G304000;TraesCS2A01G128300;TraesCS5D01G094000;TraesCS2D01G105300;TraesCS6A01G314900;TraesCS5A01G489100;TraesCS6B01G470900;TraesCS2D01G320900;TraesCS1B01G290800;TraesCS3A01G212000;TraesCS4D01G085700;TraesCS5B01G501200;TraesCS2A01G387800;TraesCS1A01G361400;TraesCS2B01G405200;TraesCS2D01G205900;TraesCS5A01G213000;TraesCS3B01G209400;TraesCS5D01G229900;TraesCS5D01G135900;TraesCS4A01G058000;TraesCS1B01G220700;TraesCS6B01G352400;TraesCS4A01G367700;TraesCS5D01G366700;TraesCS1D01G244400;TraesCS3A01G402500;TraesCS5D01G551200;TraesCS4D01G157900;TraesCS3B01G439000;TraesCS6A01G040200;TraesCS1A01G137000;TraesCS5D01G169900;TraesCS7A01G381900;TraesCS3B01G254200;TraesCS7A01G450600;TraesCS4D01G199300;TraesCS3D01G228900;TraesCS3D01G083400;TraesCS5D01G113700;TraesCS5D01G484800;TraesCS2D01G231000;TraesCS4B01G164800;TraesCS4D01G057000;TraesCS5B01G037500;TraesCS1A01G259700;TraesCS2B01G174700;TraesCS2A01G234200;TraesCS3B01G257700;TraesCS6B01G223200;TraesCS7A01G204000;TraesCS4D01G152000;TraesCS7D01G378400;TraesCS2A01G150000;TraesCS4A01G144500;TraesCS7A01G260100;TraesCS5D01G437600;TraesCSU01G131300;TraesCS1D01G258800;TraesCS2D01G226900;TraesCS5D01G189500;TraesCS3D01G514100;TraesCS7D01G343300;TraesCS6D01G147700;TraesCS7A01G335600;TraesCS5D01G341200;TraesCS5A01G020800;TraesCS2D01G096900;TraesCS3A01G028600;TraesCS4A01G141000;TraesCS6A01G319100;TraesCS7A01G452800;TraesCS7A01G568800;TraesCS6B01G419000;TraesCSU01G132400;TraesCS3A01G488100;TraesCS7B01G421100;TraesCS1A01G314100;TraesCS5B01G316400;TraesCS4D01G292300;TraesCS5B01G360200;TraesCS1A01G129400;TraesCS1A01G165700;TraesCS6A01G360600;TraesCS1D01G411300;TraesCS3B01G224600;TraesCS7A01G351100;TraesCS5A01G032500;TraesCS7A01G238400;TraesCS4A01G184100;TraesCS5A01G513500;TraesCS5D01G359800;TraesCS6A01G380200;TraesCS1B01G472100;TraesCS6B01G159200;TraesCS5B01G227900;TraesCS6A01G311200;TraesCS6A01G418800;TraesCS5B01G156500;TraesCS5B01G431500;TraesCSU01G121900;TraesCS2D01G417300;TraesCS3B01G112900;TraesCS3B01G131400;TraesCS2D01G065600;TraesCS4D01G244000;TraesCS7D01G235900;TraesCS5A01G549700;TraesCS7D01G549100;TraesCS5B01G146700;TraesCS4B01G193100;TraesCS2A01G563500;TraesCS2D01G399800;TraesCS1B01G255100;TraesCS3A01G210000;TraesCS5D01G193000;TraesCS1A01G157500;TraesCS3A01G321900;TraesCS6D01G224200;TraesCS3B01G335000;TraesCS6B01G219700;TraesCS7D01G313600;TraesCS6A01G379000;TraesCS6B01G286300;TraesCS5B01G111800;TraesCS3A01G103900;TraesCS7A01G321900;TraesCS3D01G060600;TraesCS6B01G039900;TraesCS3B01G568500;TraesCS5A01G454300;TraesCS1A01G099400;TraesCS1B01G254000;TraesCS3A01G513500;TraesCS1D01G412600;TraesCS4D01G359000;TraesCS4A01G015800;TraesCS1A01G007500;TraesCS1D01G229400;TraesCS6A01G303800;TraesCS4B01G285000;TraesCS6B01G393600;TraesCS3B01G246600;TraesCS5D01G071300;TraesCS6D01G135800;TraesCS3A01G077600;TraesCS5A01G547300;TraesCS2B01G079400;TraesCS2A01G239000;TraesCS2D01G237600;TraesCS2B01G501300;TraesCS4A01G091100;TraesCS2D01G349600;TraesCS4A01G194100;TraesCS5A01G466100;TraesCS4D01G341900;TraesCS2B01G309400;TraesCS5D01G143800;TraesCS1D01G280900;TraesCS5D01G164500;TraesCS2A01G437700;TraesCS3D01G311800;TraesCS1A01G206900;TraesCS3B01G214600;TraesCS2B01G221800;TraesCS5A01G114600;TraesCS2D01G295500;TraesCS3A01G336100;TraesCS2A01G222600;TraesCS2D01G238700;TraesCS1B01G396800;TraesCS5D01G505700;TraesCS7D01G278800;TraesCS2A01G067200;TraesCS5A01G173800;TraesCS2A01G235900;TraesCS2B01G272300;TraesCS7D01G148200;TraesCS2A01G344500;TraesCS3A01G272200;TraesCS4A01G185400;TraesCS6B01G365300;TraesCS4B01G355100;TraesCS2A01G097600;TraesCS5B01G503800;TraesCS5A01G296200;TraesCS4A01G238100;TraesCS1D01G392400;TraesCS3D01G159100;TraesCS1D01G356900;TraesCS4A01G051900;TraesCS1D01G445300;TraesCS3A01G200400;TraesCS3D01G114000;TraesCS2A01G492300;TraesCS5B01G509100;TraesCS6D01G132500;TraesCS6D01G210000;TraesCS5D01G357600;TraesCS5B01G214400;TraesCS2B01G229500;TraesCS4D01G039100;TraesCS1A01G049300;TraesCS5B01G504900;TraesCS2A01G478000;TraesCS2B01G312600;TraesCS3B01G363500;TraesCS7D01G152900;TraesCS2D01G488700;TraesCS5B01G397300;TraesCS6B01G115200;TraesCS1D01G298400;TraesCS2B01G515500;TraesCS1A01G431600;TraesCS3A01G362600;TraesCS1A01G133500;TraesCS7A01G239700;TraesCS1A01G100600;TraesCS1D01G125300;TraesCS7D01G499800;TraesCS3D01G482500;TraesCS2B01G079200;TraesCS3D01G264800;TraesCS1D01G155100;TraesCS3A01G212600;TraesCS7A01G223300;TraesCS1B01G261600;TraesCS1D01G226500;TraesCS5A01G092400;TraesCS4B01G168300;TraesCS3D01G300300;TraesCS1D01G124600;TraesCS2B01G376600;TraesCS4B01G158500;TraesCS7B01G093800;TraesCS4B01G286700;TraesCS4B01G133200;TraesCS2A01G058700;TraesCS5A01G215900;TraesCS2B01G343900;TraesCS4D01G021400;TraesCS4D01G147500;TraesCS4D01G348500;TraesCS6A01G130900;TraesCS2B01G385300;TraesCS4B01G354600;TraesCS5A01G429500;TraesCS3B01G161900;TraesCS5A01G264400;TraesCS1A01G060100;TraesCS2D01G065200;TraesCS7A01G120300;TraesCS2D01G236100;TraesCS6A01G203700;TraesCS5B01G335500;TraesCS7B01G451500;TraesCS7D01G174700;TraesCS2B01G050600;TraesCS6A01G312100;TraesCS5B01G263800;TraesCS1A01G086500;TraesCS4A01G264400;TraesCS2D01G385000;TraesCS5D01G504600;TraesCS4B01G028100;TraesCS5D01G208100;TraesCS7D01G349600;TraesCS6D01G172500;TraesCS5D01G148400;TraesCS1D01G303800;TraesCS1A01G001800;TraesCS1A01G095200;TraesCS2B01G297800;TraesCS2A01G252600;TraesCS7B01G230100;TraesCS2B01G457600;TraesCS4D01G275500;TraesCS2A01G149500;TraesCS3D01G220400;TraesCS2B01G157600;TraesCS3D01G259000;TraesCS3A01G023800;TraesCS1D01G440900;TraesCS3A01G367000;TraesCS7B01G111000;TraesCS2A01G129900;TraesCS2A01G114400;TraesCS5B01G155200;TraesCS4D01G194300;TraesCS4D01G234800;TraesCS3D01G325800;TraesCS4B01G179400;TraesCS5D01G078500;TraesCS6B01G089500;TraesCS4B01G154100;TraesCS3A01G275300;TraesCS5A01G548800;TraesCS1D01G124400;TraesCS6D01G130500;TraesCS3D01G162700;TraesCS2A01G387000;TraesCS3A01G097200;TraesCS5B01G344200;TraesCS5A01G328900;TraesCS3A01G100000;TraesCS5B01G418700;TraesCS7D01G161000;TraesCS1D01G030500;TraesCS3A01G530000;TraesCS1D01G404400;TraesCS3D01G232600;TraesCS4B01G115800;TraesCS6B01G319000;TraesCS7D01G442100;TraesCS5A01G429300;TraesCS7D01G339600;TraesCS3D01G068900;TraesCS3D01G326900;TraesCS6B01G065300;TraesCS6A01G267300;TraesCS2A01G254600;TraesCS6A01G408400;TraesCS2B01G098800;TraesCS3A01G304900;TraesCS4D01G263300;TraesCS5B01G220900;TraesCS4B01G344600;TraesCS2A01G296400;TraesCS7D01G193000;TraesCS5B01G295200;TraesCSU01G009200;TraesCS3A01G405300;TraesCS6A01G117300;TraesCS6D01G152700;TraesCS1D01G260200;TraesCS7A01G342800;TraesCS5D01G105500;TraesCS1B01G213300;TraesCS5A01G223700;TraesCS5A01G059800;TraesCS2B01G122500;TraesCS5B01G510500;TraesCS7A01G108600;TraesCS2B01G410100;TraesCS5A01G515700;TraesCS5D01G223700;TraesCS6B01G151900;TraesCS1D01G199100;TraesCS5B01G147600;TraesCS2B01G179800;TraesCS1D01G367600;TraesCS2A01G297500;TraesCS6D01G174500;TraesCS5A01G418200;TraesCS6A01G210200;TraesCS6D01G195400;TraesCS3B01G470400;TraesCS2A01G239200;TraesCS1B01G155600;TraesCS2A01G216100;TraesCS7A01G329600;TraesCS5B01G074200;TraesCS5B01G481100;TraesCS4A01G105500;TraesCS6A01G269700;TraesCS1A01G020500;TraesCS3B01G072200;TraesCS4A01G057600;TraesCS2B01G293400;TraesCS6B01G231600;TraesCS6B01G189000;TraesCS7D01G000100;TraesCS5A01G524400;TraesCS4B01G029400;TraesCS4D01G242400;TraesCS5B01G121000;TraesCS7B01G207300</t>
  </si>
  <si>
    <t>TraesCS3B01G014900;TraesCS1D01G107300;TraesCS5B01G484700;TraesCS5B01G249000;TraesCS6B01G454500;TraesCS2A01G249600;TraesCS6D01G344200;TraesCS2A01G400900;TraesCS3D01G273800;TraesCS5A01G378000;TraesCS5B01G239200;TraesCS1D01G210200;TraesCS2D01G427900;TraesCS4B01G213600;TraesCS2D01G014800;TraesCS1D01G051300;TraesCS7B01G240200;TraesCS2B01G364900;TraesCS6B01G249700;TraesCS7D01G293100;TraesCS4A01G065400;TraesCS5D01G532100;TraesCS6B01G132300;TraesCS7A01G190700;TraesCS2B01G234500;TraesCS6A01G000900;TraesCS1D01G376900;TraesCS4D01G135000;TraesCS5B01G094600;TraesCS5B01G324800;TraesCS6A01G133100;TraesCS5B01G171200;TraesCS2D01G233900;TraesCS3B01G219700;TraesCS2A01G171900;TraesCS5B01G255700;TraesCS5A01G390000;TraesCS5D01G201300;TraesCS3A01G205100;TraesCS5B01G381600;TraesCS3D01G428300;TraesCS5B01G142900;TraesCS7B01G186500;TraesCS5B01G159100;TraesCS6B01G112700;TraesCS3A01G229100;TraesCS5A01G128300;TraesCS5A01G149000;TraesCS1A01G130700;TraesCS2B01G233400;TraesCS7A01G242000;TraesCS2A01G201200;TraesCS2A01G193800;TraesCS4B01G397700;TraesCS2A01G488400;TraesCS4D01G184400;TraesCS5D01G026000;TraesCS7B01G114100;TraesCS3D01G296900;TraesCS4D01G220700;TraesCS6D01G390000;TraesCS5D01G399800;TraesCS7D01G326000;TraesCS7D01G454200;TraesCS6D01G287300;TraesCS4D01G151500;TraesCS4A01G101500;TraesCS5A01G251000;TraesCS2B01G257300;TraesCS4D01G204000;TraesCS7B01G464900;TraesCS1A01G437500;TraesCS5A01G093200;TraesCS6A01G319700;TraesCS4D01G009100;TraesCS2A01G027000;TraesCS4B01G373400;TraesCS4D01G309500;TraesCS7A01G415500;TraesCS7D01G224400;TraesCS7A01G151000;TraesCS7D01G153000;TraesCS5B01G171100;TraesCS3B01G240500;TraesCS5A01G143800;TraesCS5D01G178300;TraesCS1A01G102300;TraesCS3B01G309700;TraesCS1B01G447500;TraesCS5D01G396300;TraesCS4D01G181000;TraesCS6A01G364300;TraesCS5A01G229300;TraesCS3B01G425900;TraesCS4A01G062100;TraesCS3D01G210300;TraesCS7B01G103100;TraesCS4A01G167000;TraesCS2B01G405600;TraesCS7B01G142700;TraesCS5B01G562200;TraesCS2D01G322800;TraesCS7D01G283600;TraesCS1B01G196500;TraesCS6B01G282200;TraesCS1D01G113900;TraesCS3D01G065800;TraesCS2D01G251000;TraesCS3A01G059600;TraesCS4A01G077600;TraesCS2A01G387400;TraesCS6B01G238600;TraesCS7A01G222800;TraesCS5A01G416400;TraesCS7A01G316700;TraesCS1D01G325500;TraesCS3D01G407300;TraesCS6A01G212200;TraesCS2A01G157700;TraesCS5D01G444500;TraesCS2D01G356700;TraesCS7A01G327600;TraesCS7A01G490900;TraesCS7A01G190500;TraesCS4A01G030400;TraesCS4D01G081600;TraesCS6A01G158300;TraesCS5D01G117100;TraesCS2B01G375700;TraesCS3A01G224800;TraesCS2A01G592600;TraesCS5D01G321900;TraesCS2B01G520500;TraesCS6B01G166400;TraesCS5A01G315800;TraesCS5D01G044700;TraesCS5B01G310600;TraesCS5B01G413400;TraesCS3B01G276700;TraesCS4D01G175600;TraesCS5A01G357400;TraesCS4A01G078900;TraesCS5D01G405400;TraesCS2B01G328500;TraesCS6D01G344100;TraesCS2D01G148200;TraesCS4B01G089500;TraesCS2A01G467900;TraesCS2B01G154700;TraesCS4A01G193700;TraesCS7B01G217500;TraesCS5B01G036800;TraesCS2A01G132200;TraesCS4A01G342800;TraesCS4B01G041900;TraesCS2D01G136100;TraesCS3A01G288200;TraesCS6D01G408000;TraesCS7D01G373100;TraesCS2D01G202200;TraesCS4D01G160000;TraesCS2B01G325100;TraesCS3A01G082700;TraesCS3A01G268600;TraesCS6D01G106900;TraesCS1A01G299500;TraesCS2A01G487500;TraesCS4D01G003600;TraesCS5D01G247600;TraesCS7B01G092500;TraesCS2A01G517900;TraesCS1D01G264100;TraesCS2D01G213200;TraesCS3B01G423800;TraesCS7D01G227300;TraesCS5A01G229500;TraesCS6B01G213100;TraesCS2B01G514800;TraesCS4A01G129200;TraesCS7D01G072100;TraesCS6B01G470700;TraesCS1D01G401900;TraesCS4A01G375000;TraesCS5D01G412600;TraesCS2B01G246900;TraesCS5D01G481500;TraesCS2D01G492600;TraesCSU01G072700;TraesCS2A01G037200;TraesCS4B01G288200;TraesCS3B01G441000;TraesCS5D01G530200;TraesCS6A01G143300;TraesCS4A01G283700;TraesCS7D01G188300;TraesCS5D01G366500;TraesCS6A01G040400;TraesCS4B01G220400;TraesCS4D01G214300;TraesCS1D01G316200;TraesCS5B01G322900;TraesCS2A01G280500;TraesCS3A01G381000;TraesCS7A01G076600;TraesCS2A01G187200;TraesCS3A01G151100;TraesCS3B01G299100;TraesCS1A01G264000;TraesCS3A01G075700;TraesCS4D01G129300;TraesCS7A01G307000;TraesCS3A01G052700;TraesCS3D01G266200;TraesCS7B01G197000;TraesCS6D01G186000;TraesCS5B01G058200;TraesCS3D01G176600;TraesCS6A01G209800;TraesCS2B01G369600;TraesCS2D01G242100;TraesCS5A01G484700;TraesCS1A01G258800;TraesCS6B01G341400;TraesCS1A01G036200;TraesCS5D01G242900;TraesCS7B01G189500;TraesCS2D01G232300;TraesCS3A01G412600;TraesCS6D01G149800;TraesCS3B01G252200;TraesCS7B01G129300;TraesCS2A01G233300;TraesCS3A01G435700;TraesCS4D01G025300;TraesCS1A01G177600;TraesCS4D01G122800;TraesCS5D01G238300;TraesCS3B01G435900;TraesCS3D01G228800;TraesCS7D01G407700;TraesCS6A01G158800;TraesCS5B01G127300;TraesCS1A01G198400;TraesCS1B01G378000;TraesCS3D01G201100;TraesCS3D01G203400;TraesCS4A01G334700;TraesCS2A01G221200;TraesCS3A01G191700;TraesCS3A01G266100;TraesCS6D01G215100;TraesCS4B01G153500;TraesCS2D01G304000;TraesCS2A01G128300;TraesCS5D01G094000;TraesCS2B01G174600;TraesCS5A01G489100;TraesCS7B01G006600;TraesCSU01G019900;TraesCS5D01G237400;TraesCS6B01G470900;TraesCS2D01G320900;TraesCS1B01G290800;TraesCS2B01G348600;TraesCS2B01G250000;TraesCS3A01G212000;TraesCS5B01G132600;TraesCS3B01G299400;TraesCS1A01G361400;TraesCS2B01G405200;TraesCS6D01G094200;TraesCS4B01G129700;TraesCS2D01G205900;TraesCS4B01G150300;TraesCS5D01G135900;TraesCS2D01G194000;TraesCS1B01G220700;TraesCS6A01G308100;TraesCS2A01G480500;TraesCS4A01G262900;TraesCS4A01G367700;TraesCS1D01G003700;TraesCS2B01G150400;TraesCS3A01G402500;TraesCS4D01G157900;TraesCS6A01G040200;TraesCS6B01G134800;TraesCS1A01G137000;TraesCS3D01G271800;TraesCS3D01G288000;TraesCS2A01G342600;TraesCS2A01G585800;TraesCS4B01G245400;TraesCS3B01G254200;TraesCS7A01G450600;TraesCS3D01G228900;TraesCS4D01G003100;TraesCS2B01G222600;TraesCS3D01G083400;TraesCS5D01G113700;TraesCS2D01G279300;TraesCS5A01G132300;TraesCS4B01G164800;TraesCS4D01G057000;TraesCS5B01G037500;TraesCS1A01G259700;TraesCS6A01G146500;TraesCS5D01G424400;TraesCS2A01G234200;TraesCS4D01G154300;TraesCS6B01G223200;TraesCS7A01G204000;TraesCS4D01G152000;TraesCS2D01G154600;TraesCS7D01G447100;TraesCS7A01G260100;TraesCSU01G131300;TraesCS1D01G258800;TraesCS2D01G226900;TraesCS5D01G189500;TraesCS6D01G283300;TraesCS3D01G514100;TraesCS5A01G416700;TraesCS2B01G267700;TraesCS5B01G256400;TraesCS7D01G343300;TraesCS6A01G231900;TraesCS7A01G335600;TraesCS7D01G190300;TraesCS2D01G214700;TraesCS6A01G311500;TraesCS4A01G141000;TraesCS3D01G412500;TraesCS5D01G329200;TraesCS3A01G271600;TraesCS6A01G319100;TraesCS6D01G051300;TraesCS7A01G568800;TraesCS1A01G281700;TraesCSU01G132400;TraesCS1D01G198700;TraesCS3A01G488100;TraesCS5B01G316400;TraesCS3B01G221400;TraesCS4D01G292300;TraesCS4A01G093100;TraesCS1A01G165700;TraesCS3D01G165500;TraesCS1B01G259800;TraesCS4B01G252400;TraesCS4A01G125000;TraesCS6A01G360600;TraesCS2D01G179600;TraesCS1D01G411300;TraesCS7A01G351100;TraesCS4A01G257800;TraesCS5A01G032500;TraesCS5D01G388000;TraesCS6B01G399000;TraesCS5D01G219500;TraesCS6D01G348000;TraesCS5A01G513500;TraesCS1B01G472100;TraesCS6B01G159200;TraesCS5B01G227900;TraesCS6A01G311200;TraesCS5D01G148100;TraesCS6A01G418800;TraesCS4B01G152900;TraesCS4B01G186700;TraesCS5B01G156500;TraesCS5A01G467500;TraesCSU01G121900;TraesCS3B01G112900;TraesCS2B01G457300;TraesCS3D01G356400;TraesCS4B01G126400;TraesCS4D01G244000;TraesCS7A01G294200;TraesCS7D01G549100;TraesCS4B01G193100;TraesCS2D01G399800;TraesCS7B01G350400;TraesCS1B01G255100;TraesCS3A01G210000;TraesCS3B01G362500;TraesCS1A01G350200;TraesCS6A01G379000;TraesCS1A01G027200;TraesCS6A01G201800;TraesCS6B01G286300;TraesCS3D01G060600;TraesCS6D01G237400;TraesCS3A01G192400;TraesCS6A01G289200;TraesCS6B01G039900;TraesCS7A01G448800;TraesCS3D01G275200;TraesCS6A01G105400;TraesCS5A01G454300;TraesCS1A01G099400;TraesCS6D01G168300;TraesCS1B01G254000;TraesCS2B01G070700;TraesCS4A01G015800;TraesCS1A01G007500;TraesCS1D01G229400;TraesCS6A01G303800;TraesCS4B01G285000;TraesCS5A01G030400;TraesCS6B01G393600;TraesCS3B01G246600;TraesCS7B01G247200;TraesCS6D01G135800;TraesCS3B01G221200;TraesCS3D01G205300;TraesCS5A01G547300;TraesCS2A01G239000;TraesCS2D01G237600;TraesCS1B01G462200;TraesCS5B01G270200;TraesCS4A01G091100;TraesCS2D01G349600;TraesCS4A01G194100;TraesCS5A01G466100;TraesCS5B01G300100;TraesCS7D01G439900;TraesCS2D01G561900;TraesCS1D01G092200;TraesCS5D01G143800;TraesCS1D01G280900;TraesCS5D01G164500;TraesCS2A01G437700;TraesCS3D01G311800;TraesCS1A01G206900;TraesCS2B01G221800;TraesCS2D01G118000;TraesCS3D01G256700;TraesCS5A01G114600;TraesCS2D01G496200;TraesCS2A01G222600;TraesCS2D01G238700;TraesCS6A01G103200;TraesCS4D01G339700;TraesCS7D01G196000;TraesCS1D01G242500;TraesCS4B01G083600;TraesCS5D01G505700;TraesCS7D01G278800;TraesCS5A01G173800;TraesCS7A01G192000;TraesCS2B01G272300;TraesCS2A01G344500;TraesCS7D01G207100;TraesCS1B01G270800;TraesCS3A01G272200;TraesCS4D01G223400;TraesCS7D01G072300;TraesCS6B01G365300;TraesCS6B01G393500;TraesCS2D01G202900;TraesCS5A01G101900;TraesCS2A01G185500;TraesCS4B01G355100;TraesCS3A01G264700;TraesCS4B01G193400;TraesCS4A01G238100;TraesCS3D01G268700;TraesCS3D01G159100;TraesCS4A01G051900;TraesCS4A01G290400;TraesCS1D01G445300;TraesCS3A01G200400;TraesCS3D01G114000;TraesCS2A01G492300;TraesCS5A01G395200;TraesCS5B01G509100;TraesCS6D01G132500;TraesCS5B01G409700;TraesCS3A01G391800;TraesCS2B01G248100;TraesCS2D01G238600;TraesCS2B01G229500;TraesCS1A01G049300;TraesCS2A01G480200;TraesCS5B01G504900;TraesCS6D01G363400;TraesCS3B01G363500;TraesCS3D01G397100;TraesCS7D01G152900;TraesCS2D01G488700;TraesCS3A01G417000;TraesCS5B01G397300;TraesCS6B01G115200;TraesCS5B01G395000;TraesCS2D01G398400;TraesCS3A01G362600;TraesCS7D01G409000;TraesCS4D01G086400;TraesCS5B01G534400;TraesCS7A01G239700;TraesCS1A01G100600;TraesCS6B01G342300;TraesCS7A01G279000;TraesCS3B01G477300;TraesCS3D01G264800;TraesCS7A01G466600;TraesCS3D01G426300;TraesCS3B01G083400;TraesCS3D01G231200;TraesCS1D01G226500;TraesCS5A01G092400;TraesCS2B01G271300;TraesCS4B01G168300;TraesCS1D01G124600;TraesCS3D01G384700;TraesCS3D01G436100;TraesCS4B01G158500;TraesCS4B01G286700;TraesCS4A01G226900;TraesCS3D01G359500;TraesCS5A01G106900;TraesCS6B01G169300;TraesCS1B01G377800;TraesCS2A01G058700;TraesCS2B01G505400;TraesCS2B01G528300;TraesCS4A01G101200;TraesCS6D01G122800;TraesCS7B01G181200;TraesCS4D01G021400;TraesCS4D01G147500;TraesCS4D01G348500;TraesCS4B01G056700;TraesCS5B01G378700;TraesCS2B01G385300;TraesCS3B01G401100;TraesCS5B01G102600;TraesCS5A01G264400;TraesCS1A01G060100;TraesCS3A01G134100;TraesCS2B01G004000;TraesCS7D01G327700;TraesCS7A01G120300;TraesCS2D01G236100;TraesCS2B01G340300;TraesCS6A01G203700;TraesCS2D01G380900;TraesCS2B01G050600;TraesCS6A01G312100;TraesCS6D01G182200;TraesCS4B01G204500;TraesCS3D01G275600;TraesCS1A01G206600;TraesCS2D01G310000;TraesCS5B01G263800;TraesCS3A01G443700;TraesCS6A01G237800;TraesCS2D01G519500;TraesCS2D01G385000;TraesCS5D01G504600;TraesCS5D01G208100;TraesCS5A01G173700;TraesCS6D01G172500;TraesCS5D01G148400;TraesCS7A01G304400;TraesCS1A01G095200;TraesCS6B01G285500;TraesCS2B01G297800;TraesCS1A01G225100;TraesCS2A01G252600;TraesCS7A01G560200;TraesCS2B01G457600;TraesCS2A01G149500;TraesCS3D01G220400;TraesCS1B01G110400;TraesCS2B01G157600;TraesCS5A01G212500;TraesCS5B01G182500;TraesCS6B01G242800;TraesCS1B01G317500;TraesCS3A01G023800;TraesCS4A01G232300;TraesCS5D01G258900;TraesCS7A01G143900;TraesCS3A01G367000;TraesCS7B01G111000;TraesCS2A01G114400;TraesCS4D01G234800;TraesCS6D01G091600;TraesCS5A01G059900;TraesCS6B01G450500;TraesCS4B01G242800;TraesCS4B01G179400;TraesCS5D01G078500;TraesCS6A01G290600;TraesCS6B01G089500;TraesCS1A01G315900;TraesCS1A01G249100;TraesCS2A01G226000;TraesCS3A01G275300;TraesCS6D01G130500;TraesCS2A01G387000;TraesCS3A01G097200;TraesCS4A01G268900;TraesCS2B01G133500;TraesCS5A01G328900;TraesCS1B01G422200;TraesCS3A01G100000;TraesCS5B01G418700;TraesCS7D01G161000;TraesCS1D01G030500;TraesCS3A01G530000;TraesCS6B01G348700;TraesCS3A01G232700;TraesCS6B01G319000;TraesCS7B01G100000;TraesCS6D01G221400;TraesCS7D01G339600;TraesCS3D01G326900;TraesCS6B01G192500;TraesCS6D01G186800;TraesCS6B01G065300;TraesCS6D01G104100;TraesCS6A01G267300;TraesCS2A01G254600;TraesCS2A01G523600;TraesCS6A01G408400;TraesCS2B01G098800;TraesCS3A01G304900;TraesCS4D01G263300;TraesCS2D01G057900;TraesCS7B01G169100;TraesCS7D01G193000;TraesCS1D01G134300;TraesCS5D01G231200;TraesCS6D01G299200;TraesCS5A01G235800;TraesCS6A01G117300;TraesCS6D01G152700;TraesCS2A01G391400;TraesCS1D01G260200;TraesCS7A01G342800;TraesCS3D01G304800;TraesCS5D01G105500;TraesCS5A01G036600;TraesCS1B01G213300;TraesCS4D01G194400;TraesCS5A01G223700;TraesCS5D01G164800;TraesCS5A01G324200;TraesCS7A01G108600;TraesCS1B01G293500;TraesCS6B01G151900;TraesCS5B01G147600;TraesCS1D01G367600;TraesCS3B01G398300;TraesCS6D01G174500;TraesCS5A01G418200;TraesCS6D01G195400;TraesCS2D01G300400;TraesCS7B01G097000;TraesCS2A01G239200;TraesCS1B01G155600;TraesCS2A01G216100;TraesCS3A01G389100;TraesCS1A01G284300;TraesCS1D01G353100;TraesCS5B01G074200;TraesCS5B01G481100;TraesCS6B01G171600;TraesCS7D01G280600;TraesCS4D01G348600;TraesCS1B01G269400;TraesCS3B01G072200;TraesCS2B01G293400;TraesCS5B01G320100;TraesCS6B01G189000;TraesCS7D01G000100;TraesCS4B01G380800;TraesCS5A01G524400;TraesCS4B01G029400;TraesCS4D01G242400;TraesCS7B01G207300</t>
  </si>
  <si>
    <t>TraesCS5B01G117800;TraesCS1D01G107300;TraesCS5B01G484700;TraesCS5B01G249000;TraesCS6B01G454500;TraesCS5B01G228300;TraesCS2A01G249600;TraesCS6D01G344200;TraesCS5B01G239200;TraesCS4B01G238900;TraesCS4B01G213600;TraesCS4D01G147100;TraesCS5A01G014400;TraesCS6B01G249700;TraesCS4D01G174500;TraesCS7B01G104400;TraesCS7A01G190700;TraesCS6A01G000900;TraesCS5B01G324800;TraesCS2D01G233900;TraesCS3B01G219700;TraesCS5B01G255700;TraesCS4A01G286700;TraesCS5B01G381600;TraesCS7B01G186500;TraesCS3A01G426600;TraesCS1B01G255900;TraesCS2A01G066700;TraesCS4B01G200300;TraesCS2A01G201200;TraesCS4B01G397700;TraesCS4B01G347000;TraesCS5D01G026000;TraesCS3D01G296900;TraesCS4D01G220700;TraesCS7D01G326000;TraesCS4A01G132200;TraesCS6D01G287300;TraesCS4A01G101500;TraesCS5A01G251000;TraesCS6A01G225200;TraesCS2B01G257300;TraesCS4D01G204000;TraesCS4D01G025700;TraesCS5A01G093200;TraesCS6D01G162200;TraesCS5D01G169600;TraesCS4D01G309500;TraesCS4D01G120900;TraesCS7A01G415500;TraesCS7D01G224400;TraesCS5B01G171100;TraesCS3B01G240500;TraesCS5A01G143800;TraesCS2B01G201700;TraesCS2D01G093700;TraesCS5D01G178300;TraesCS2A01G313000;TraesCS1B01G447500;TraesCS2B01G207000;TraesCS4D01G181000;TraesCS6D01G047400;TraesCS1D01G175000;TraesCS5A01G229300;TraesCS6D01G337700;TraesCS7B01G103100;TraesCS5D01G067600;TraesCS7B01G142700;TraesCS7D01G283600;TraesCS1D01G013100;TraesCS3A01G059600;TraesCS2D01G383800;TraesCS1B01G274600;TraesCS6B01G238600;TraesCS7A01G222800;TraesCS1A01G403800;TraesCS3D01G407300;TraesCS4D01G132900;TraesCS5B01G162800;TraesCS2A01G214300;TraesCS5A01G165400;TraesCS7A01G190500;TraesCS4D01G081600;TraesCS6A01G158300;TraesCS5D01G117100;TraesCS3A01G224800;TraesCS5D01G321900;TraesCS2B01G520500;TraesCS6B01G166400;TraesCS2B01G315300;TraesCS5A01G315800;TraesCS5B01G310600;TraesCS3B01G276700;TraesCS4D01G175600;TraesCS5A01G357400;TraesCS6A01G321700;TraesCS2A01G467900;TraesCS3A01G521600;TraesCS7B01G217500;TraesCS2D01G136100;TraesCS3A01G288200;TraesCS2B01G325100;TraesCS4A01G005000;TraesCS3A01G268600;TraesCS3D01G224800;TraesCS5D01G247600;TraesCS7B01G092500;TraesCS2A01G517900;TraesCS1D01G264100;TraesCS7D01G227300;TraesCS5B01G409400;TraesCS5A01G229500;TraesCS4A01G129200;TraesCS1D01G401900;TraesCS5D01G412600;TraesCS5D01G099800;TraesCS7A01G276400;TraesCS3B01G441000;TraesCS5D01G530200;TraesCS5A01G119300;TraesCS1A01G076000;TraesCS3A01G220000;TraesCS3A01G381000;TraesCS1A01G092700;TraesCS7D01G025000;TraesCS2A01G187200;TraesCS2A01G200500;TraesCS3A01G151100;TraesCS7B01G054900;TraesCS3A01G075700;TraesCS4D01G129300;TraesCS7A01G307000;TraesCS1D01G241000;TraesCS4A01G062200;TraesCS1D01G155800;TraesCS3D01G266200;TraesCS7B01G197000;TraesCS6D01G186000;TraesCS3D01G176600;TraesCS6A01G209800;TraesCS1A01G241000;TraesCS5B01G197300;TraesCS1A01G036200;TraesCS6D01G216300;TraesCS7A01G220600;TraesCS3A01G412600;TraesCS2D01G094400;TraesCS7B01G129300;TraesCS3A01G435700;TraesCS4D01G025300;TraesCS5D01G238300;TraesCS6B01G256400;TraesCS3D01G228800;TraesCS7D01G407700;TraesCS1B01G378000;TraesCS3D01G201100;TraesCS1D01G211600;TraesCS7D01G231600;TraesCS2B01G174600;TraesCS6B01G294700;TraesCS7B01G006600;TraesCSU01G019900;TraesCS1B01G253500;TraesCS5D01G237400;TraesCS2B01G250000;TraesCS5B01G132600;TraesCS3B01G299400;TraesCS3B01G268900;TraesCS2A01G123800;TraesCS6D01G094200;TraesCS4B01G129700;TraesCS2D01G194000;TraesCS4B01G068500;TraesCS6A01G308100;TraesCS1D01G003700;TraesCS2B01G150400;TraesCS3A01G427900;TraesCS6B01G134800;TraesCS2A01G338100;TraesCS3D01G271800;TraesCS3D01G288000;TraesCS2A01G342600;TraesCS2A01G585800;TraesCS2B01G602100;TraesCS5B01G563800;TraesCS6B01G176600;TraesCS4D01G003100;TraesCS2B01G222600;TraesCS2B01G079500;TraesCS2D01G279300;TraesCS5A01G132300;TraesCS3B01G370200;TraesCS7D01G386100;TraesCS1D01G383500;TraesCS2D01G327400;TraesCS4A01G227500;TraesCS1B01G019300;TraesCS3D01G423400;TraesCS6A01G146500;TraesCS5D01G424400;TraesCS6A01G188100;TraesCS5A01G015100;TraesCS2B01G185800;TraesCS6D01G283300;TraesCS5A01G416700;TraesCS1B01G182400;TraesCS2B01G267700;TraesCS5B01G256400;TraesCS4A01G247300;TraesCS6B01G331800;TraesCS6A01G231900;TraesCS4B01G138200;TraesCS2D01G214700;TraesCS3D01G412500;TraesCS5D01G329200;TraesCS3A01G271600;TraesCS4B01G131800;TraesCS6D01G051300;TraesCS1A01G281700;TraesCS4A01G353400;TraesCS1D01G198700;TraesCS3B01G221400;TraesCS4D01G110500;TraesCS5D01G178500;TraesCS4A01G093100;TraesCS2A01G277000;TraesCS3D01G165500;TraesCS6D01G121300;TraesCS4B01G252400;TraesCS4A01G125000;TraesCS5D01G388000;TraesCS5A01G468600;TraesCS5D01G219500;TraesCS2D01G362500;TraesCS5D01G162400;TraesCS1D01G101200;TraesCS5B01G407500;TraesCS5D01G148100;TraesCS7D01G276300;TraesCS4B01G152900;TraesCS3D01G150400;TraesCS5A01G181500;TraesCS4B01G117900;TraesCS5A01G467500;TraesCS2B01G457300;TraesCS2A01G206200;TraesCS3D01G356400;TraesCS7A01G294200;TraesCS7B01G350400;TraesCS3B01G362500;TraesCS4B01G172500;TraesCS5B01G415100;TraesCS6A01G201800;TraesCS6A01G119800;TraesCS7A01G525400;TraesCS3A01G192400;TraesCS6A01G289200;TraesCS7A01G448800;TraesCS2B01G330100;TraesCS6A01G105400;TraesCS5D01G230300;TraesCS2B01G070700;TraesCS4A01G298100;TraesCS5A01G030400;TraesCS7B01G247200;TraesCS3B01G221200;TraesCS1B01G462200;TraesCS6B01G239000;TraesCS5B01G270200;TraesCS6A01G312200;TraesCS7B01G352800;TraesCS5B01G300100;TraesCS7D01G439900;TraesCS2D01G561900;TraesCS1D01G092200;TraesCS2D01G546500;TraesCS2D01G389900;TraesCS3B01G105200;TraesCS4B01G263100;TraesCS2D01G118000;TraesCS3D01G256700;TraesCS1B01G352700;TraesCS4D01G339700;TraesCS7D01G083200;TraesCS7D01G196000;TraesCS1D01G242500;TraesCS4B01G083600;TraesCS5D01G312400;TraesCS7A01G192000;TraesCS7D01G224900;TraesCS7D01G117800;TraesCS1B01G270800;TraesCS5A01G411500;TraesCS2D01G202900;TraesCS5A01G101900;TraesCS2B01G079100;TraesCS2A01G095300;TraesCS3A01G264700;TraesCS4B01G193400;TraesCS3D01G268700;TraesCS4A01G290400;TraesCS5A01G395200;TraesCS1A01G313300;TraesCS5B01G409700;TraesCS2B01G248100;TraesCS2D01G238600;TraesCS2A01G480200;TraesCS3D01G397100;TraesCS3A01G417000;TraesCS4B01G180100;TraesCS2D01G398400;TraesCS7D01G409000;TraesCS4D01G086400;TraesCS5B01G534400;TraesCS3D01G309400;TraesCS6B01G342300;TraesCS3B01G477300;TraesCS2D01G200700;TraesCS7A01G466600;TraesCS3D01G426300;TraesCS2B01G271300;TraesCS7D01G338600;TraesCS3A01G036800;TraesCS3D01G436100;TraesCS4A01G226900;TraesCS3D01G359500;TraesCS5A01G106900;TraesCS1B01G377800;TraesCS2B01G528300;TraesCS6D01G357100;TraesCS5A01G192000;TraesCS6D01G122800;TraesCS4D01G013900;TraesCS5B01G378700;TraesCS1A01G376400;TraesCS5B01G102600;TraesCS2B01G186400;TraesCS3A01G134100;TraesCS2B01G004000;TraesCS7D01G327700;TraesCS6B01G315800;TraesCS6D01G301300;TraesCS2B01G340300;TraesCS1A01G180200;TraesCS3B01G362100;TraesCS3D01G495100;TraesCS2D01G380900;TraesCS1D01G241800;TraesCS4B01G204500;TraesCS3D01G275600;TraesCS1A01G206600;TraesCS2D01G310000;TraesCS2A01G203100;TraesCS5B01G476900;TraesCS3A01G443700;TraesCS6A01G237800;TraesCS2D01G519500;TraesCS2B01G227800;TraesCS4A01G197700;TraesCS5A01G173700;TraesCS7B01G242200;TraesCS2B01G404600;TraesCS5A01G157000;TraesCS7A01G560200;TraesCS3A01G398000;TraesCS2D01G065300;TraesCS1B01G110400;TraesCS5A01G212500;TraesCS5B01G182500;TraesCS6B01G242800;TraesCS1B01G200300;TraesCS1B01G317500;TraesCS4A01G232300;TraesCS5D01G258900;TraesCS7A01G143900;TraesCS1B01G383200;TraesCS6B01G450500;TraesCS4B01G242800;TraesCS6A01G290600;TraesCS2B01G107200;TraesCS4D01G115600;TraesCS2A01G557600;TraesCS4A01G268900;TraesCS1D01G086600;TraesCS2B01G133500;TraesCS1B01G422200;TraesCS2A01G289800;TraesCS6B01G348700;TraesCS3A01G232700;TraesCS7B01G100000;TraesCS4A01G315700;TraesCS5A01G056400;TraesCS6B01G192500;TraesCS6D01G186800;TraesCS6D01G104100;TraesCS2A01G523600;TraesCS4A01G324400;TraesCS6B01G344100;TraesCS2D01G057900;TraesCS1D01G134300;TraesCS6D01G299200;TraesCS3B01G306000;TraesCS5B01G155100;TraesCS3D01G304800;TraesCS4A01G276300;TraesCS4D01G194400;TraesCS2B01G145700;TraesCS5D01G164800;TraesCS2B01G294600;TraesCS5A01G324200;TraesCS1B01G293500;TraesCS3B01G398300;TraesCS7B01G097000;TraesCS1A01G158500;TraesCS1A01G284300;TraesCS2A01G545600;TraesCS6B01G171600;TraesCS1B01G434400;TraesCS7D01G280600;TraesCS4D01G348600;TraesCS5A01G222500;TraesCS5B01G320100;TraesCS4B01G380800;TraesCS6A01G163500;TraesCS2A01G487900;TraesCS2D01G324900;TraesCS3B01G014900;TraesCS7D01G292000;TraesCS6D01G165800;TraesCS5B01G175800;TraesCS6B01G191500;TraesCS5A01G165700;TraesCS2A01G400900;TraesCS5A01G378000;TraesCS1D01G210200;TraesCS5B01G531900;TraesCS3B01G398000;TraesCS2D01G014800;TraesCS7B01G240200;TraesCS2A01G262700;TraesCS7D01G293100;TraesCS4A01G065400;TraesCS3A01G301600;TraesCS5D01G532100;TraesCS2B01G234500;TraesCS1D01G376900;TraesCS4D01G135000;TraesCS6A01G133100;TraesCS5B01G171200;TraesCS3A01G205100;TraesCS2B01G220100;TraesCS3D01G428300;TraesCS5B01G142900;TraesCS5A01G128300;TraesCS4D01G292900;TraesCS5A01G149000;TraesCS6A01G354500;TraesCS2B01G233400;TraesCS2A01G193800;TraesCS4D01G184400;TraesCS6B01G262800;TraesCS7B01G114100;TraesCS6D01G390000;TraesCS7D01G454200;TraesCS4D01G151500;TraesCS5A01G014500;TraesCS7B01G464900;TraesCSU01G093800;TraesCS1A01G437500;TraesCS6A01G319700;TraesCS4D01G009100;TraesCS4B01G373400;TraesCS6D01G298300;TraesCS4D01G085900;TraesCS4B01G134600;TraesCS4D01G160200;TraesCS1A01G102300;TraesCS5A01G472100;TraesCS7B01G117600;TraesCS5D01G420300;TraesCS3B01G425900;TraesCS4A01G062100;TraesCS3D01G210300;TraesCS1D01G409700;TraesCS4A01G167000;TraesCS1D01G396300;TraesCS2B01G405600;TraesCS2A01G066800;TraesCS6A01G373200;TraesCS6B01G282200;TraesCS1D01G113900;TraesCS5D01G149900;TraesCS3A01G332300;TraesCS2D01G251000;TraesCS1D01G315700;TraesCS4A01G077600;TraesCS6A01G321600;TraesCS7A01G316700;TraesCS6A01G101700;TraesCS6A01G212200;TraesCS1A01G246800;TraesCS4A01G042500;TraesCS2D01G356700;TraesCS7A01G327600;TraesCS6B01G159800;TraesCS6D01G244900;TraesCS7B01G226100;TraesCS6A01G234000;TraesCS3D01G421500;TraesCS2A01G592600;TraesCS5B01G413400;TraesCS3A01G214000;TraesCS1A01G195500;TraesCS2B01G328500;TraesCS3B01G430000;TraesCS3B01G344200;TraesCS2D01G148200;TraesCS4B01G089500;TraesCS2B01G154700;TraesCS4A01G193700;TraesCS5D01G412700;TraesCS2A01G159900;TraesCS5B01G036800;TraesCS2A01G132200;TraesCS4A01G342800;TraesCS4B01G041900;TraesCS6A01G279100;TraesCS6D01G408000;TraesCS7D01G373100;TraesCS3A01G082700;TraesCS5D01G157300;TraesCS7A01G325400;TraesCS3B01G303000;TraesCS4B01G088400;TraesCS4D01G003600;TraesCS2D01G065100;TraesCS6D01G301400;TraesCS4B01G015600;TraesCS3A01G478100;TraesCS2B01G346500;TraesCS7D01G072100;TraesCS6B01G470700;TraesCS5D01G481500;TraesCS2D01G492600;TraesCSU01G072700;TraesCS2A01G037200;TraesCS4D01G342400;TraesCS6A01G143300;TraesCS4A01G283700;TraesCS7D01G188300;TraesCS5D01G366500;TraesCS4B01G220400;TraesCS4D01G214300;TraesCS3B01G185300;TraesCS7A01G419600;TraesCS5B01G322900;TraesCS2D01G447800;TraesCS6B01G342400;TraesCS2A01G280500;TraesCS1B01G368500;TraesCS1A01G264000;TraesCS3A01G052700;TraesCS5A01G424400;TraesCS2B01G369600;TraesCS2D01G242100;TraesCS5A01G484700;TraesCS3A01G189400;TraesCS3D01G527700;TraesCS7A01G341000;TraesCS7B01G189500;TraesCS2D01G232300;TraesCS3D01G240800;TraesCS5A01G123700;TraesCS2A01G233300;TraesCS4D01G122800;TraesCS5D01G144600;TraesCS2B01G264100;TraesCS6A01G158800;TraesCS5B01G127300;TraesCS1A01G198400;TraesCS3D01G203400;TraesCS3A01G191700;TraesCS3A01G266100;TraesCS6D01G215100;TraesCS2A01G128300;TraesCS5D01G094000;TraesCS2D01G105300;TraesCS5A01G489100;TraesCS2B01G451100;TraesCS6B01G470900;TraesCS2D01G320900;TraesCS7B01G176200;TraesCS1B01G290800;TraesCS3A01G212000;TraesCS4D01G085700;TraesCS5B01G501200;TraesCS2A01G387800;TraesCS1A01G361400;TraesCS2D01G205900;TraesCS5A01G213000;TraesCS5D01G229900;TraesCS5D01G135900;TraesCS1B01G220700;TraesCS6B01G352400;TraesCS4A01G367700;TraesCS1D01G244400;TraesCS5D01G551200;TraesCS4D01G157900;TraesCS3B01G439000;TraesCS5D01G169900;TraesCS7D01G450700;TraesCS3B01G254200;TraesCS7A01G450600;TraesCS4D01G199300;TraesCS3D01G228900;TraesCS3D01G083400;TraesCS5D01G113700;TraesCS2D01G231000;TraesCS4B01G164800;TraesCS1A01G259700;TraesCS2A01G234200;TraesCS3B01G257700;TraesCS6B01G223200;TraesCS7A01G390400;TraesCS4D01G152000;TraesCS2A01G150000;TraesCS4A01G144500;TraesCSU01G131300;TraesCS5D01G189500;TraesCS3D01G514100;TraesCS7D01G343300;TraesCS6D01G147700;TraesCS7A01G335600;TraesCS2D01G096900;TraesCS6A01G319100;TraesCS7A01G226000;TraesCS7A01G452800;TraesCS7A01G568800;TraesCSU01G132400;TraesCS3A01G488100;TraesCS7B01G421100;TraesCS5B01G316400;TraesCS4D01G292300;TraesCS1A01G165700;TraesCS1D01G411300;TraesCS7A01G351100;TraesCS7A01G238400;TraesCS4A01G184100;TraesCS5A01G513500;TraesCS5B01G141000;TraesCS1B01G472100;TraesCS6B01G159200;TraesCS5B01G227900;TraesCS2B01G469400;TraesCS6A01G418800;TraesCS2D01G417300;TraesCS3B01G112900;TraesCS3B01G131400;TraesCS2D01G065600;TraesCS7A01G088100;TraesCS7D01G549100;TraesCS5B01G146700;TraesCS4B01G193100;TraesCS1B01G255100;TraesCS3A01G210000;TraesCS3A01G321900;TraesCS6D01G224200;TraesCS3B01G335000;TraesCS6B01G219700;TraesCS7D01G313600;TraesCS6A01G379000;TraesCS6B01G286300;TraesCS5B01G111800;TraesCS3A01G103900;TraesCS3D01G060600;TraesCS6B01G039900;TraesCS5A01G305400;TraesCS3B01G568500;TraesCS5A01G454300;TraesCS1A01G099400;TraesCS1B01G254000;TraesCS3A01G513500;TraesCS1D01G412600;TraesCS4D01G359000;TraesCS1A01G007500;TraesCS3D01G414600;TraesCS7B01G363600;TraesCS6A01G303800;TraesCS4B01G285000;TraesCS6B01G393600;TraesCS5D01G071300;TraesCS6D01G135800;TraesCS3A01G077600;TraesCS5A01G547300;TraesCS2B01G079400;TraesCS2D01G237600;TraesCS4A01G091100;TraesCS2D01G349600;TraesCS4A01G194100;TraesCS5A01G466100;TraesCS4D01G341900;TraesCS5D01G143800;TraesCS1D01G280900;TraesCS5D01G164500;TraesCS2A01G437700;TraesCS3D01G311800;TraesCS1A01G365600;TraesCS1A01G206900;TraesCS5A01G114600;TraesCS2D01G295500;TraesCS2A01G222600;TraesCS2D01G238700;TraesCS2A01G448600;TraesCS1D01G433300;TraesCS1B01G396800;TraesCS5D01G505700;TraesCS2A01G067200;TraesCS5A01G173800;TraesCS2B01G272300;TraesCS2D01G249600;TraesCS3A01G272200;TraesCS4A01G387000;TraesCS4B01G355100;TraesCS2A01G097600;TraesCS5B01G503800;TraesCS7D01G200800;TraesCS5A01G296200;TraesCS6D01G259500;TraesCS4A01G238100;TraesCS5B01G377700;TraesCS3D01G159100;TraesCS1D01G356900;TraesCS4A01G051900;TraesCS1D01G445300;TraesCS3A01G200400;TraesCS2A01G492300;TraesCS5B01G509100;TraesCS6D01G132500;TraesCS6D01G210000;TraesCS5D01G357600;TraesCS4D01G039100;TraesCS5B01G504900;TraesCS2B01G312600;TraesCS2D01G208300;TraesCS5B01G397300;TraesCS6B01G115200;TraesCS2B01G515500;TraesCS4B01G117800;TraesCS1A01G431600;TraesCS3A01G362600;TraesCS1A01G133500;TraesCS7A01G239700;TraesCS1A01G100600;TraesCS6D01G238800;TraesCS7D01G499800;TraesCS2B01G079200;TraesCS2D01G296800;TraesCS3D01G264800;TraesCS3A01G212600;TraesCS7A01G223300;TraesCS1B01G261600;TraesCS5A01G092400;TraesCS4B01G168300;TraesCS3D01G300300;TraesCS1D01G124600;TraesCS4B01G158500;TraesCS7B01G093800;TraesCS4B01G286700;TraesCS2A01G058700;TraesCS2B01G343900;TraesCS4D01G021400;TraesCS7D01G083900;TraesCS4D01G348500;TraesCS6A01G130900;TraesCS2B01G385300;TraesCS4B01G354600;TraesCS3B01G161900;TraesCS5A01G264400;TraesCS1A01G060100;TraesCS2D01G065200;TraesCS7A01G120300;TraesCS2D01G236100;TraesCS6A01G203700;TraesCS7B01G451500;TraesCS7D01G174700;TraesCS2B01G050600;TraesCS6A01G312100;TraesCS5B01G263800;TraesCS1A01G086500;TraesCS5D01G504600;TraesCS4B01G028100;TraesCS2A01G430500;TraesCS6D01G172500;TraesCS5D01G148400;TraesCS4A01G197600;TraesCS1D01G303800;TraesCS1A01G001800;TraesCS2B01G297800;TraesCS2A01G252600;TraesCS2B01G457600;TraesCS2A01G149500;TraesCS3D01G220400;TraesCS2B01G157600;TraesCS3D01G259000;TraesCS3A01G023800;TraesCS1D01G440900;TraesCS3A01G367000;TraesCS2A01G114400;TraesCS5B01G155200;TraesCS6A01G314100;TraesCS4D01G234800;TraesCS3D01G325800;TraesCS4B01G179400;TraesCS5D01G078500;TraesCS6B01G089500;TraesCS4B01G154100;TraesCS5A01G548800;TraesCS1D01G124400;TraesCS2A01G387000;TraesCS3A01G097200;TraesCS5A01G328900;TraesCS2D01G182700;TraesCS3A01G100000;TraesCS4D01G067600;TraesCS7D01G161000;TraesCS1D01G030500;TraesCS3A01G530000;TraesCS3D01G232600;TraesCS6B01G319000;TraesCS7D01G442100;TraesCS5A01G429300;TraesCS7D01G339600;TraesCS6D01G291600;TraesCS6B01G065300;TraesCS6A01G267300;TraesCS2A01G254600;TraesCS6A01G408400;TraesCS3A01G304900;TraesCS4D01G263300;TraesCS5B01G220900;TraesCS4B01G344600;TraesCS2A01G296400;TraesCS7D01G193000;TraesCS2D01G126600;TraesCSU01G009200;TraesCS3A01G405300;TraesCS6D01G152700;TraesCS1D01G260200;TraesCS7A01G342800;TraesCS5D01G105500;TraesCS1B01G213300;TraesCS4A01G164900;TraesCS5A01G059800;TraesCS2B01G122500;TraesCS4D01G115500;TraesCS7A01G108600;TraesCS2B01G410100;TraesCS5A01G515700;TraesCS7B01G124100;TraesCS1D01G199100;TraesCS5B01G147600;TraesCS2B01G179800;TraesCS1D01G367600;TraesCS2A01G297500;TraesCS6D01G174500;TraesCS5A01G418200;TraesCS6A01G210200;TraesCS6D01G195400;TraesCS3B01G470400;TraesCS2A01G239200;TraesCS2A01G216100;TraesCS5B01G074200;TraesCS5B01G481100;TraesCS4A01G105500;TraesCS6A01G269700;TraesCS3B01G072200;TraesCS7D01G130500;TraesCS6B01G231600;TraesCS7D01G000100;TraesCS5A01G524400;TraesCS4B01G029400;TraesCS4D01G242400;TraesCS7B01G207300</t>
  </si>
  <si>
    <t>TraesCS5B01G117800;TraesCS1D01G107300;TraesCS5B01G484700;TraesCS5B01G249000;TraesCS6B01G454500;TraesCS5B01G228300;TraesCS2A01G249600;TraesCS6D01G344200;TraesCS5B01G239200;TraesCS4B01G238900;TraesCS4B01G213600;TraesCS4D01G147100;TraesCS5A01G014400;TraesCS6B01G249700;TraesCS4D01G174500;TraesCS7B01G104400;TraesCS7A01G190700;TraesCS6A01G000900;TraesCS5B01G094600;TraesCS5B01G324800;TraesCS5D01G429200;TraesCS2D01G233900;TraesCS3B01G219700;TraesCS5B01G255700;TraesCS4A01G286700;TraesCS5B01G381600;TraesCS7B01G186500;TraesCS3A01G426600;TraesCS1B01G255900;TraesCS2A01G066700;TraesCS4B01G200300;TraesCS2A01G201200;TraesCS4B01G397700;TraesCS2A01G488400;TraesCS4B01G347000;TraesCS5D01G026000;TraesCS3D01G296900;TraesCS4D01G220700;TraesCS7D01G326000;TraesCS4A01G132200;TraesCS6D01G287300;TraesCS4A01G101500;TraesCS5A01G251000;TraesCS6A01G225200;TraesCS2B01G257300;TraesCS4D01G204000;TraesCS4D01G025700;TraesCS5A01G093200;TraesCS6D01G162200;TraesCS4D01G250100;TraesCS5D01G169600;TraesCS4A01G120000;TraesCS4D01G309500;TraesCS4D01G120900;TraesCS7A01G415500;TraesCS7D01G224400;TraesCS5B01G171100;TraesCS3B01G240500;TraesCS5A01G143800;TraesCS2B01G201700;TraesCS2D01G093700;TraesCS5D01G178300;TraesCS2A01G313000;TraesCS1B01G447500;TraesCS2B01G207000;TraesCS4D01G181000;TraesCS6D01G047400;TraesCS1D01G175000;TraesCS5A01G229300;TraesCS6D01G337700;TraesCS7B01G103100;TraesCS5D01G067600;TraesCS7B01G142700;TraesCS7D01G283600;TraesCS1D01G013100;TraesCS3A01G059600;TraesCS2D01G383800;TraesCS1B01G274600;TraesCS2B01G303300;TraesCS6B01G238600;TraesCS7A01G222800;TraesCS1A01G403800;TraesCS3D01G407300;TraesCS4D01G132900;TraesCS5B01G162800;TraesCS2A01G214300;TraesCS7B01G162300;TraesCS6D01G252400;TraesCS5A01G165400;TraesCS7A01G190500;TraesCS4D01G081600;TraesCS6A01G158300;TraesCS5D01G117100;TraesCS3A01G224800;TraesCS5D01G321900;TraesCS2B01G520500;TraesCS6B01G166400;TraesCS2B01G315300;TraesCS5A01G315800;TraesCS5B01G310600;TraesCS3B01G276700;TraesCS4D01G175600;TraesCS5A01G357400;TraesCS6A01G321700;TraesCS2A01G467900;TraesCS3A01G521600;TraesCS7B01G217500;TraesCS2D01G136100;TraesCS7B01G066000;TraesCS3A01G288200;TraesCS2B01G325100;TraesCS4A01G005000;TraesCS4A01G078800;TraesCS3A01G268600;TraesCS3D01G224800;TraesCS5D01G247600;TraesCS7B01G092500;TraesCS2A01G517900;TraesCS1D01G264100;TraesCS7D01G227300;TraesCS5B01G409400;TraesCS5A01G229500;TraesCS4A01G129200;TraesCS1D01G401900;TraesCS5D01G412600;TraesCS5D01G099800;TraesCS7A01G276400;TraesCS1D01G265200;TraesCS3B01G441000;TraesCS5D01G530200;TraesCS5A01G119300;TraesCS4D01G252700;TraesCS1A01G076000;TraesCS3A01G220000;TraesCS3A01G381000;TraesCS1A01G092700;TraesCS7D01G025000;TraesCS2A01G187200;TraesCS2A01G200500;TraesCS3A01G151100;TraesCS7B01G054900;TraesCS3A01G075700;TraesCS4D01G129300;TraesCS7A01G307000;TraesCS1D01G241000;TraesCS4A01G062200;TraesCS1D01G155800;TraesCS3D01G266200;TraesCS7B01G197000;TraesCS6D01G186000;TraesCS3D01G176600;TraesCS6A01G209800;TraesCS1A01G241000;TraesCS5B01G197300;TraesCS1A01G036200;TraesCS6D01G216300;TraesCS7A01G220600;TraesCS3A01G412600;TraesCS2D01G094400;TraesCS7B01G129300;TraesCS3A01G435700;TraesCS4D01G025300;TraesCS5D01G238300;TraesCS6B01G256400;TraesCS3D01G228800;TraesCS7D01G407700;TraesCS1B01G378000;TraesCS3D01G201100;TraesCS4A01G334700;TraesCS1D01G211600;TraesCS7D01G231600;TraesCS2B01G174600;TraesCS6B01G294700;TraesCS7B01G006600;TraesCSU01G019900;TraesCS1B01G253500;TraesCS5D01G237400;TraesCS2B01G250000;TraesCS5B01G132600;TraesCS3B01G299400;TraesCS3B01G268900;TraesCS2A01G123800;TraesCS6D01G094200;TraesCS4B01G129700;TraesCS2A01G092400;TraesCS2D01G194000;TraesCS4B01G068500;TraesCS6A01G308100;TraesCS4A01G262900;TraesCS1D01G003700;TraesCS2B01G150400;TraesCS3A01G427900;TraesCS6A01G336800;TraesCS6B01G134800;TraesCS2A01G338100;TraesCS3D01G271800;TraesCS3D01G288000;TraesCS2A01G342600;TraesCS2A01G585800;TraesCS4B01G245400;TraesCS2B01G602100;TraesCS5B01G563800;TraesCS6B01G176600;TraesCS4D01G003100;TraesCS2B01G222600;TraesCS2B01G079500;TraesCS2D01G279300;TraesCS5A01G132300;TraesCS3B01G370200;TraesCS7D01G386100;TraesCS1D01G383500;TraesCS2D01G327400;TraesCS4A01G227500;TraesCS7D01G032800;TraesCS1B01G019300;TraesCS3D01G423400;TraesCS6A01G146500;TraesCS5D01G424400;TraesCS6A01G188100;TraesCS4D01G306200;TraesCS5A01G015100;TraesCS2B01G185800;TraesCS6D01G283300;TraesCS5A01G416700;TraesCS1B01G182400;TraesCS2B01G267700;TraesCS5B01G256400;TraesCS4A01G247300;TraesCS6B01G331800;TraesCS6A01G231900;TraesCS4B01G138200;TraesCS2D01G214700;TraesCS3D01G412500;TraesCS5D01G329200;TraesCS3A01G271600;TraesCS4B01G131800;TraesCS6D01G051300;TraesCS1A01G281700;TraesCS4A01G353400;TraesCS1D01G198700;TraesCS3B01G221400;TraesCS4D01G110500;TraesCS5D01G178500;TraesCS4A01G093100;TraesCS2A01G277000;TraesCS3D01G165500;TraesCS6D01G121300;TraesCS4B01G252400;TraesCS4A01G125000;TraesCS4A01G257800;TraesCS5D01G388000;TraesCS5A01G468600;TraesCS5D01G219500;TraesCS2D01G362500;TraesCS5D01G162400;TraesCS1D01G101200;TraesCS5B01G407500;TraesCS5D01G148100;TraesCS7D01G276300;TraesCS4B01G152900;TraesCS3D01G150400;TraesCS5A01G181500;TraesCS4B01G117900;TraesCS5A01G467500;TraesCS2B01G457300;TraesCS2A01G206200;TraesCS3D01G356400;TraesCS7A01G294200;TraesCS7B01G350400;TraesCS3B01G362500;TraesCS1A01G350200;TraesCS4B01G172500;TraesCS5B01G415100;TraesCS6A01G201800;TraesCS6A01G119800;TraesCS2D01G248600;TraesCS7A01G525400;TraesCS6B01G174500;TraesCS3A01G192400;TraesCS6A01G289200;TraesCS7D01G265200;TraesCS7A01G448800;TraesCS2B01G330100;TraesCS6A01G105400;TraesCS2B01G263300;TraesCS5D01G230300;TraesCS2B01G070700;TraesCS7A01G417000;TraesCS4A01G298100;TraesCS6A01G221400;TraesCS5A01G030400;TraesCS7B01G247200;TraesCS3B01G221200;TraesCS1D01G020000;TraesCS6A01G230100;TraesCS1B01G462200;TraesCS6B01G239000;TraesCS5B01G270200;TraesCS6A01G312200;TraesCS7B01G352800;TraesCS4A01G494400;TraesCS5B01G300100;TraesCS7D01G439900;TraesCS2D01G561900;TraesCS1D01G092200;TraesCS2D01G546500;TraesCS2D01G389900;TraesCS3B01G105200;TraesCS4B01G263100;TraesCS2D01G118000;TraesCS3D01G256700;TraesCS1B01G352700;TraesCS4D01G339700;TraesCS7D01G083200;TraesCS7D01G196000;TraesCS1D01G242500;TraesCS4B01G083600;TraesCS5D01G312400;TraesCS7A01G192000;TraesCS7D01G224900;TraesCS7D01G117800;TraesCS1B01G270800;TraesCS4D01G327300;TraesCS5A01G411500;TraesCS6B01G393500;TraesCS2D01G202900;TraesCS5A01G101900;TraesCS2B01G079100;TraesCS2A01G095300;TraesCS3A01G264700;TraesCS4B01G193400;TraesCS3D01G268700;TraesCS4A01G408900;TraesCS4A01G290400;TraesCS5A01G395200;TraesCS2D01G467900;TraesCS1A01G313300;TraesCS5B01G409700;TraesCS2B01G248100;TraesCS7A01G182200;TraesCS2D01G238600;TraesCS2A01G480200;TraesCS3D01G397100;TraesCS3A01G417000;TraesCS4B01G180100;TraesCS2D01G398400;TraesCS6D01G204700;TraesCS7D01G409000;TraesCS4D01G086400;TraesCS5B01G534400;TraesCS3D01G309400;TraesCS6B01G342300;TraesCS3B01G477300;TraesCS2D01G200700;TraesCS7A01G466600;TraesCS3D01G426300;TraesCS2A01G286500;TraesCS2B01G271300;TraesCS7D01G338600;TraesCS3A01G036800;TraesCS3D01G436100;TraesCS4A01G226900;TraesCS3D01G359500;TraesCS6B01G371500;TraesCS5A01G106900;TraesCS1B01G377800;TraesCS2B01G528300;TraesCS6D01G357100;TraesCS5A01G192000;TraesCS6D01G122800;TraesCS4B01G056700;TraesCS4D01G013900;TraesCS5B01G378700;TraesCS1A01G376400;TraesCS5B01G102600;TraesCS2B01G186400;TraesCS3A01G134100;TraesCS2B01G004000;TraesCS2A01G149600;TraesCS7D01G327700;TraesCS6B01G315800;TraesCS6D01G301300;TraesCS2B01G340300;TraesCS1A01G180200;TraesCS3B01G362100;TraesCS3D01G495100;TraesCS2D01G380900;TraesCS1D01G241800;TraesCS4B01G204500;TraesCS3D01G275600;TraesCS1A01G206600;TraesCS1A01G313500;TraesCS2D01G310000;TraesCS2A01G203100;TraesCS5B01G476900;TraesCS1A01G145000;TraesCS3A01G443700;TraesCS6A01G237800;TraesCS2D01G519500;TraesCS2B01G227800;TraesCS4A01G197700;TraesCS5A01G173700;TraesCS7B01G242200;TraesCS3A01G530100;TraesCS2B01G404600;TraesCS5A01G157000;TraesCS7A01G560200;TraesCS2A01G273400;TraesCS3A01G398000;TraesCS2D01G065300;TraesCS1B01G110400;TraesCS5A01G212500;TraesCS5B01G182500;TraesCS6B01G242800;TraesCS1B01G200300;TraesCS1B01G317500;TraesCS4A01G232300;TraesCS5D01G258900;TraesCS7A01G143900;TraesCS1B01G383200;TraesCS6B01G450500;TraesCS4B01G242800;TraesCS6A01G290600;TraesCS2B01G107200;TraesCS4D01G115600;TraesCS2A01G557600;TraesCS4A01G268900;TraesCS1D01G086600;TraesCS2B01G133500;TraesCS1B01G422200;TraesCS2A01G289800;TraesCS6B01G348700;TraesCS3A01G232700;TraesCS7B01G100000;TraesCS4A01G315700;TraesCS5A01G056400;TraesCS6B01G192500;TraesCS6D01G186800;TraesCS6D01G104100;TraesCS2A01G523600;TraesCS4A01G324400;TraesCS6B01G344100;TraesCS2D01G057900;TraesCS1D01G134300;TraesCS6D01G299200;TraesCS3B01G306000;TraesCS5B01G155100;TraesCS3D01G304800;TraesCS4A01G276300;TraesCS4D01G194400;TraesCS2B01G145700;TraesCS5D01G164800;TraesCS2B01G294600;TraesCS5A01G324200;TraesCS1B01G293500;TraesCS3B01G398300;TraesCS2D01G300400;TraesCS7B01G097000;TraesCS1A01G158500;TraesCS1A01G284300;TraesCS1D01G353100;TraesCS2A01G545600;TraesCS6B01G171600;TraesCS1B01G434400;TraesCS7D01G280600;TraesCS4D01G348600;TraesCS5A01G222500;TraesCS5B01G320100;TraesCS6D01G213800;TraesCS4B01G380800;TraesCS6A01G163500;TraesCS2A01G487900;TraesCS2D01G324900;TraesCS3B01G014900;TraesCS7A01G036200;TraesCS7D01G292000;TraesCS6D01G165800;TraesCS2A01G246200;TraesCS5B01G175800;TraesCS6B01G191500;TraesCS5A01G165700;TraesCS2A01G400900;TraesCS5A01G378000;TraesCS1D01G210200;TraesCS5B01G531900;TraesCS3B01G398000;TraesCS2D01G014800;TraesCS4D01G153900;TraesCS7B01G240200;TraesCS2A01G262700;TraesCS7D01G293100;TraesCS4A01G065400;TraesCS3A01G301600;TraesCS5D01G532100;TraesCS2B01G234500;TraesCS1D01G376900;TraesCS4D01G135000;TraesCS6A01G133100;TraesCS5B01G171200;TraesCS3A01G205100;TraesCS2B01G220100;TraesCS3D01G428300;TraesCS5B01G142900;TraesCS5A01G128300;TraesCS4D01G292900;TraesCS5A01G149000;TraesCS6A01G354500;TraesCS2B01G233400;TraesCS2A01G193800;TraesCS4D01G184400;TraesCS6B01G262800;TraesCS7B01G114100;TraesCS6D01G390000;TraesCS7D01G454200;TraesCS4D01G151500;TraesCS5A01G014500;TraesCS7B01G464900;TraesCSU01G093800;TraesCS1A01G437500;TraesCS6A01G319700;TraesCS4D01G009100;TraesCS4B01G373400;TraesCS6D01G298300;TraesCS4D01G085900;TraesCS4B01G134600;TraesCS4D01G160200;TraesCS1A01G102300;TraesCS5A01G472100;TraesCS7B01G117600;TraesCS5D01G420300;TraesCS3B01G425900;TraesCS4A01G062100;TraesCS3D01G210300;TraesCS1D01G409700;TraesCS4A01G167000;TraesCS1D01G396300;TraesCS2B01G405600;TraesCS2A01G066800;TraesCS6A01G373200;TraesCS6B01G282200;TraesCS1D01G113900;TraesCS5D01G149900;TraesCS3A01G332300;TraesCS2D01G251000;TraesCS1D01G315700;TraesCS4A01G077600;TraesCS6A01G321600;TraesCS7B01G317000;TraesCS7A01G316700;TraesCS6A01G101700;TraesCS6A01G212200;TraesCS1A01G246800;TraesCS4A01G042500;TraesCS2D01G356700;TraesCS7A01G327600;TraesCS6B01G159800;TraesCS6D01G244900;TraesCS7B01G226100;TraesCS6A01G234000;TraesCS3D01G421500;TraesCS2A01G592600;TraesCS5B01G413400;TraesCS4A01G078900;TraesCS3A01G214000;TraesCS1A01G195500;TraesCS2B01G328500;TraesCS3B01G430000;TraesCS3B01G344200;TraesCS6D01G344100;TraesCS2D01G148200;TraesCS7D01G364400;TraesCS4B01G089500;TraesCS2B01G154700;TraesCS4A01G193700;TraesCS5D01G412700;TraesCS2A01G159900;TraesCS5B01G036800;TraesCS2A01G132200;TraesCS4A01G342800;TraesCS4B01G041900;TraesCS6A01G279100;TraesCS6D01G408000;TraesCS7D01G373100;TraesCS3A01G082700;TraesCS5D01G157300;TraesCS7A01G325400;TraesCS3B01G303000;TraesCS4B01G088400;TraesCS4D01G003600;TraesCS2D01G065100;TraesCS6D01G301400;TraesCS2D01G049500;TraesCS4B01G015600;TraesCS3A01G478100;TraesCS2B01G346500;TraesCS7D01G072100;TraesCS6B01G470700;TraesCS5D01G481500;TraesCS2D01G492600;TraesCS4B01G050600;TraesCSU01G072700;TraesCS2A01G037200;TraesCS4D01G342400;TraesCS6A01G143300;TraesCS4A01G283700;TraesCS7D01G188300;TraesCS5D01G366500;TraesCS4B01G220400;TraesCS4D01G214300;TraesCS3B01G185300;TraesCS5A01G501800;TraesCS7A01G264300;TraesCS7A01G419600;TraesCS5B01G322900;TraesCS2D01G447800;TraesCS6B01G342400;TraesCS2A01G280500;TraesCS6B01G141400;TraesCS3B01G299100;TraesCS1B01G368500;TraesCS1A01G264000;TraesCS3A01G052700;TraesCS5A01G424400;TraesCS2B01G369600;TraesCS2D01G242100;TraesCS5A01G484700;TraesCS3A01G189400;TraesCS6B01G259800;TraesCS3D01G527700;TraesCS7A01G341000;TraesCS7B01G189500;TraesCS2D01G232300;TraesCS3D01G240800;TraesCS7A01G004000;TraesCS5A01G123700;TraesCS2A01G233300;TraesCS4D01G122800;TraesCS5D01G144600;TraesCS2B01G264100;TraesCS6A01G158800;TraesCS2B01G304900;TraesCS5B01G127300;TraesCS1A01G198400;TraesCS3D01G203400;TraesCS3A01G191700;TraesCS3A01G266100;TraesCS6D01G215100;TraesCS4B01G290300;TraesCS2A01G128300;TraesCS5D01G094000;TraesCS2D01G105300;TraesCS5A01G489100;TraesCS2B01G451100;TraesCS6B01G470900;TraesCS2D01G320900;TraesCS7B01G176200;TraesCS1B01G290800;TraesCS3A01G212000;TraesCS4D01G085700;TraesCS5B01G501200;TraesCS2A01G387800;TraesCS1A01G361400;TraesCS2A01G358000;TraesCS2D01G205900;TraesCS5A01G213000;TraesCS5D01G229900;TraesCS5D01G135900;TraesCS1B01G220700;TraesCS6B01G352400;TraesCS4A01G367700;TraesCS1D01G244400;TraesCS5D01G551200;TraesCS4D01G157900;TraesCS3B01G439000;TraesCS5D01G169900;TraesCS7D01G450700;TraesCS3B01G254200;TraesCS7A01G450600;TraesCS4D01G199300;TraesCS3D01G228900;TraesCS3D01G083400;TraesCS5D01G113700;TraesCS2D01G231000;TraesCS4B01G164800;TraesCS4D01G057000;TraesCS1D01G454500;TraesCS1A01G259700;TraesCS4A01G364400;TraesCS2B01G174700;TraesCS2A01G234200;TraesCS3B01G257700;TraesCS6B01G223200;TraesCS7A01G390400;TraesCS4D01G152000;TraesCS2A01G150000;TraesCS4A01G144500;TraesCS7A01G260100;TraesCSU01G131300;TraesCS1D01G258800;TraesCS5D01G189500;TraesCS3D01G514100;TraesCS7D01G343300;TraesCS6D01G147700;TraesCS7A01G335600;TraesCS7B01G269300;TraesCS2D01G096900;TraesCS7A01G062100;TraesCS6A01G319100;TraesCS7A01G226000;TraesCS7A01G452800;TraesCS7A01G568800;TraesCSU01G132400;TraesCS3A01G488100;TraesCS7B01G421100;TraesCS5B01G316400;TraesCS4D01G292300;TraesCS6A01G272300;TraesCS1A01G165700;TraesCS6A01G360600;TraesCS1D01G411300;TraesCS7A01G351100;TraesCS7A01G238400;TraesCS4A01G184100;TraesCS5A01G513500;TraesCS5B01G141000;TraesCS1A01G445800;TraesCS1B01G472100;TraesCS6B01G159200;TraesCS5B01G227900;TraesCS2B01G469400;TraesCS6A01G418800;TraesCS7A01G350000;TraesCS6D01G204800;TraesCS2D01G417300;TraesCS3B01G112900;TraesCS3B01G131400;TraesCS2D01G065600;TraesCS4D01G244000;TraesCS6D01G320800;TraesCS7A01G088100;TraesCS7D01G549100;TraesCS5B01G146700;TraesCS4B01G193100;TraesCS1B01G255100;TraesCS3A01G210000;TraesCS3A01G321900;TraesCS6D01G224200;TraesCS3B01G335000;TraesCS6B01G219700;TraesCS7D01G313600;TraesCS6A01G379000;TraesCS6B01G286300;TraesCS5B01G111800;TraesCS3A01G103900;TraesCS3D01G060600;TraesCS6B01G039900;TraesCS5A01G305400;TraesCS3B01G568500;TraesCS5A01G454300;TraesCS1A01G099400;TraesCS1B01G254000;TraesCS3A01G513500;TraesCS2D01G587100;TraesCS1D01G412600;TraesCS4D01G359000;TraesCS1A01G007500;TraesCS3D01G414600;TraesCS7B01G363600;TraesCS6A01G303800;TraesCS4B01G285000;TraesCS6B01G393600;TraesCS5D01G071300;TraesCS6D01G135800;TraesCS3A01G077600;TraesCS5A01G547300;TraesCS2B01G079400;TraesCS2D01G237600;TraesCS4A01G091100;TraesCS2D01G349600;TraesCS4A01G194100;TraesCS5A01G466100;TraesCS4D01G341900;TraesCS5D01G143800;TraesCS1D01G280900;TraesCS5D01G164500;TraesCS2A01G437700;TraesCS3A01G275700;TraesCS3D01G311800;TraesCS1A01G365600;TraesCS1A01G206900;TraesCS5A01G114600;TraesCS2D01G295500;TraesCS2A01G222600;TraesCS2D01G238700;TraesCS2A01G448600;TraesCS1D01G433300;TraesCS1B01G396800;TraesCS5D01G505700;TraesCS2A01G067200;TraesCS5A01G173800;TraesCS2B01G272300;TraesCS2D01G249600;TraesCS3A01G272200;TraesCS4A01G387000;TraesCS4B01G355100;TraesCS4A01G452700;TraesCS2A01G097600;TraesCS5B01G503800;TraesCS7D01G200800;TraesCS7D01G410100;TraesCS5A01G296200;TraesCS6D01G259500;TraesCS4A01G238100;TraesCS5B01G377700;TraesCS3D01G159100;TraesCS1D01G356900;TraesCS4A01G051900;TraesCS1D01G445300;TraesCS3A01G200400;TraesCS2A01G492300;TraesCS5B01G509100;TraesCS6D01G132500;TraesCS6D01G210000;TraesCS5D01G357600;TraesCS4D01G039100;TraesCS5B01G504900;TraesCS2B01G312600;TraesCS3B01G363500;TraesCS4B01G276500;TraesCS2D01G208300;TraesCS2D01G488700;TraesCS5B01G397300;TraesCS6B01G115200;TraesCS2B01G515500;TraesCS4B01G117800;TraesCS1A01G431600;TraesCS3A01G362600;TraesCS1A01G133500;TraesCS7A01G239700;TraesCS1A01G100600;TraesCS6D01G238800;TraesCS7D01G499800;TraesCS2B01G377300;TraesCS2B01G079200;TraesCS2D01G296800;TraesCS3D01G264800;TraesCS3A01G212600;TraesCS7A01G223300;TraesCS1B01G261600;TraesCS5A01G092400;TraesCS4B01G168300;TraesCS3D01G300300;TraesCS1D01G124600;TraesCS4B01G158500;TraesCS7B01G093800;TraesCS4B01G286700;TraesCS6B01G299800;TraesCS2A01G058700;TraesCS2B01G343900;TraesCS6B01G251600;TraesCS4D01G021400;TraesCS7D01G083900;TraesCS4D01G348500;TraesCS6A01G130900;TraesCS2B01G385300;TraesCS4B01G354600;TraesCS3B01G161900;TraesCS5A01G264400;TraesCS1A01G060100;TraesCS2D01G065200;TraesCS7A01G120300;TraesCS2D01G236100;TraesCS6A01G203700;TraesCS7B01G451500;TraesCS7D01G174700;TraesCS2B01G050600;TraesCS6A01G312100;TraesCS5B01G263800;TraesCS1A01G086500;TraesCS4A01G264400;TraesCS5D01G504600;TraesCS4B01G028100;TraesCS2A01G098500;TraesCS2A01G430500;TraesCS6D01G172500;TraesCS5D01G148400;TraesCS4A01G197600;TraesCS1D01G303800;TraesCS7D01G004500;TraesCS1A01G001800;TraesCS2B01G297800;TraesCS1D01G144000;TraesCS2A01G252600;TraesCS2B01G457600;TraesCS2A01G149500;TraesCS3D01G220400;TraesCS2B01G157600;TraesCS2B01G415600;TraesCS3D01G259000;TraesCS3A01G023800;TraesCS1D01G440900;TraesCS3A01G367000;TraesCS2A01G114400;TraesCS5B01G155200;TraesCS6A01G314100;TraesCS4D01G234800;TraesCS3D01G325800;TraesCS4B01G179400;TraesCS5D01G078500;TraesCS6B01G089500;TraesCS4B01G154100;TraesCS5A01G548800;TraesCS1D01G124400;TraesCS6D01G130500;TraesCS2A01G387000;TraesCS3A01G097200;TraesCS5A01G328900;TraesCS2D01G182700;TraesCS3A01G100000;TraesCS4D01G067600;TraesCS5B01G418700;TraesCS7D01G161000;TraesCS3B01G309400;TraesCS1D01G030500;TraesCS3A01G530000;TraesCS3D01G232600;TraesCS6B01G319000;TraesCS7D01G442100;TraesCS5A01G429300;TraesCS7D01G339600;TraesCS6D01G291600;TraesCS2D01G249200;TraesCS6B01G065300;TraesCS6A01G267300;TraesCS2A01G254600;TraesCS6A01G408400;TraesCS3A01G304900;TraesCS4D01G263300;TraesCS5B01G220900;TraesCS4B01G344600;TraesCS1D01G217600;TraesCS2A01G296400;TraesCS7D01G193000;TraesCS2D01G126600;TraesCSU01G009200;TraesCS3A01G405300;TraesCS6D01G152700;TraesCS1D01G260200;TraesCS7A01G342800;TraesCS5D01G105500;TraesCS1B01G213300;TraesCS1A01G111100;TraesCS4A01G164900;TraesCS5B01G136500;TraesCS5A01G059800;TraesCS2B01G122500;TraesCS4D01G115500;TraesCS7A01G108600;TraesCS2B01G410100;TraesCS5A01G515700;TraesCS7B01G124100;TraesCS1D01G199100;TraesCS5B01G147600;TraesCS2B01G179800;TraesCS1D01G367600;TraesCS2A01G297500;TraesCS6D01G174500;TraesCS5A01G418200;TraesCS6A01G210200;TraesCS6D01G195400;TraesCS3B01G470400;TraesCS2A01G239200;TraesCS2A01G216100;TraesCS5B01G074200;TraesCS5B01G481100;TraesCS4A01G105500;TraesCS6A01G269700;TraesCS1A01G020500;TraesCS3B01G072200;TraesCS7D01G130500;TraesCS6B01G231600;TraesCS7D01G000100;TraesCS5A01G524400;TraesCS4B01G029400;TraesCS4D01G242400;TraesCS7B01G207300</t>
  </si>
  <si>
    <t>TraesCS4B01G252400;TraesCS4A01G125000;TraesCS1D01G411300;TraesCS3B01G014900;TraesCS5B01G484700;TraesCS5B01G249000;TraesCS6B01G454500;TraesCS7A01G351100;TraesCS5D01G388000;TraesCS5D01G219500;TraesCS2A01G249600;TraesCS6D01G344200;TraesCS5A01G513500;TraesCS5A01G378000;TraesCS1D01G210200;TraesCS4B01G213600;TraesCS2D01G014800;TraesCS1B01G472100;TraesCS5B01G227900;TraesCS7B01G240200;TraesCS6A01G418800;TraesCS6B01G249700;TraesCS7D01G293100;TraesCS4A01G065400;TraesCS5D01G532100;TraesCS7A01G190700;TraesCS2B01G234500;TraesCS6A01G000900;TraesCS3B01G112900;TraesCS4D01G135000;TraesCS2B01G457300;TraesCS5B01G324800;TraesCS6A01G133100;TraesCS5B01G171200;TraesCS3B01G219700;TraesCS3A01G205100;TraesCS7A01G294200;TraesCS7D01G549100;TraesCS4B01G193100;TraesCS5B01G381600;TraesCS7B01G350400;TraesCS1B01G255100;TraesCS3A01G210000;TraesCS3B01G362500;TraesCS3D01G428300;TraesCS7B01G186500;TraesCS5A01G128300;TraesCS6B01G286300;TraesCS2B01G233400;TraesCS3D01G060600;TraesCS2A01G193800;TraesCS4D01G184400;TraesCS6A01G289200;TraesCS5D01G026000;TraesCS7B01G114100;TraesCS3D01G296900;TraesCS4D01G220700;TraesCS6D01G390000;TraesCS6A01G105400;TraesCS5A01G454300;TraesCS6D01G287300;TraesCS1B01G254000;TraesCS4A01G101500;TraesCS5A01G251000;TraesCS2B01G257300;TraesCS4D01G204000;TraesCS2B01G070700;TraesCS1A01G437500;TraesCS5A01G093200;TraesCS6A01G319700;TraesCS4D01G009100;TraesCS1A01G007500;TraesCS7D01G224400;TraesCS6A01G303800;TraesCS4B01G285000;TraesCS5A01G030400;TraesCS5B01G171100;TraesCS6B01G393600;TraesCS3B01G240500;TraesCS7B01G247200;TraesCS5D01G178300;TraesCS6D01G135800;TraesCS5A01G547300;TraesCS4D01G181000;TraesCS1B01G462200;TraesCS5A01G229300;TraesCS5B01G270200;TraesCS4A01G091100;TraesCS2D01G349600;TraesCS3B01G425900;TraesCS4A01G194100;TraesCS3D01G210300;TraesCS5A01G466100;TraesCS4A01G167000;TraesCS5B01G300100;TraesCS7D01G439900;TraesCS2B01G405600;TraesCS7B01G142700;TraesCS1D01G092200;TraesCS7D01G283600;TraesCS1D01G280900;TraesCS5D01G164500;TraesCS2A01G437700;TraesCS2D01G251000;TraesCS1A01G206900;TraesCS2D01G118000;TraesCS3D01G256700;TraesCS5A01G114600;TraesCS6B01G238600;TraesCS7A01G222800;TraesCS2A01G222600;TraesCS7A01G316700;TraesCS2D01G238700;TraesCS4D01G339700;TraesCS6A01G212200;TraesCS7D01G196000;TraesCS1D01G242500;TraesCS4B01G083600;TraesCS5D01G505700;TraesCS5A01G173800;TraesCS2B01G272300;TraesCS1B01G270800;TraesCS7A01G190500;TraesCS3A01G272200;TraesCS4D01G081600;TraesCS6A01G158300;TraesCS5D01G117100;TraesCS3A01G224800;TraesCS5D01G321900;TraesCS5A01G101900;TraesCS2B01G520500;TraesCS4B01G193400;TraesCS5A01G315800;TraesCS3B01G276700;TraesCS5A01G357400;TraesCS3D01G268700;TraesCS4A01G051900;TraesCS4A01G290400;TraesCS1D01G445300;TraesCS2A01G492300;TraesCS2B01G328500;TraesCS5A01G395200;TraesCS5B01G509100;TraesCS6D01G132500;TraesCS5B01G409700;TraesCS4B01G089500;TraesCS2B01G248100;TraesCS2A01G467900;TraesCS2D01G238600;TraesCS2B01G154700;TraesCS7B01G217500;TraesCS5B01G036800;TraesCS2A01G132200;TraesCS2A01G480200;TraesCS4A01G342800;TraesCS5B01G504900;TraesCS4B01G041900;TraesCS3D01G397100;TraesCS2D01G136100;TraesCS3A01G288200;TraesCS6B01G115200;TraesCS6D01G408000;TraesCS7D01G373100;TraesCS4D01G086400;TraesCS5B01G534400;TraesCS7A01G239700;TraesCS1A01G100600;TraesCS2B01G325100;TraesCS6B01G342300;TraesCS3A01G082700;TraesCS3B01G477300;TraesCS3A01G268600;TraesCS4D01G003600;TraesCS2A01G517900;TraesCS3D01G426300;TraesCS7D01G227300;TraesCS5A01G229500;TraesCS5A01G092400;TraesCS7D01G072100;TraesCS2B01G271300;TraesCS4B01G168300;TraesCS6B01G470700;TraesCS5D01G412600;TraesCS3D01G436100;TraesCS4B01G158500;TraesCS5D01G481500;TraesCS4B01G286700;TraesCS2D01G492600;TraesCS4A01G226900;TraesCS3D01G359500;TraesCS2A01G037200;TraesCS2A01G058700;TraesCS3B01G441000;TraesCS2B01G528300;TraesCS5D01G530200;TraesCS6A01G143300;TraesCS6D01G122800;TraesCS5D01G366500;TraesCS4D01G021400;TraesCS4B01G220400;TraesCS4D01G348500;TraesCS4D01G214300;TraesCS5B01G322900;TraesCS5B01G102600;TraesCS2A01G280500;TraesCS3A01G381000;TraesCS2B01G004000;TraesCS2A01G187200;TraesCS7D01G327700;TraesCS7A01G120300;TraesCS3A01G151100;TraesCS2D01G236100;TraesCS2B01G340300;TraesCS3A01G075700;TraesCS6A01G203700;TraesCS4D01G129300;TraesCS7A01G307000;TraesCS3A01G052700;TraesCS2D01G380900;TraesCS7B01G197000;TraesCS2B01G050600;TraesCS3D01G176600;TraesCS6A01G209800;TraesCS6A01G312100;TraesCS2B01G369600;TraesCS4B01G204500;TraesCS5A01G484700;TraesCS3D01G275600;TraesCS2D01G310000;TraesCS5B01G263800;TraesCS1A01G036200;TraesCS3A01G443700;TraesCS7B01G189500;TraesCS6A01G237800;TraesCS2D01G519500;TraesCS5D01G504600;TraesCS5A01G173700;TraesCS7B01G129300;TraesCS3A01G435700;TraesCS4D01G025300;TraesCS2B01G297800;TraesCS4D01G122800;TraesCS5D01G238300;TraesCS2A01G252600;TraesCS3D01G228800;TraesCS7A01G560200;TraesCS7D01G407700;TraesCS6A01G158800;TraesCS5B01G127300;TraesCS1A01G198400;TraesCS2B01G457600;TraesCS3D01G201100;TraesCS3A01G191700;TraesCS3D01G220400;TraesCS1B01G110400;TraesCS2B01G157600;TraesCS5A01G212500;TraesCS5B01G182500;TraesCS6B01G242800;TraesCS5D01G094000;TraesCS1B01G317500;TraesCS3A01G023800;TraesCS4A01G232300;TraesCS5D01G258900;TraesCS7B01G006600;TraesCSU01G019900;TraesCS3A01G367000;TraesCS5D01G237400;TraesCS6B01G470900;TraesCS2A01G114400;TraesCS2D01G320900;TraesCS1B01G290800;TraesCS3A01G212000;TraesCS6B01G450500;TraesCS4B01G179400;TraesCS6A01G290600;TraesCS6B01G089500;TraesCS6D01G094200;TraesCS4B01G129700;TraesCS2D01G205900;TraesCS2A01G387000;TraesCS3A01G097200;TraesCS5D01G135900;TraesCS2D01G194000;TraesCS4A01G268900;TraesCS2B01G133500;TraesCS1B01G220700;TraesCS6A01G308100;TraesCS4A01G367700;TraesCS1D01G003700;TraesCS3A01G100000;TraesCS7D01G161000;TraesCS1D01G030500;TraesCS6B01G134800;TraesCS3D01G271800;TraesCS3D01G288000;TraesCS2A01G342600;TraesCS3A01G232700;TraesCS6B01G319000;TraesCS7B01G100000;TraesCS7A01G450600;TraesCS7D01G339600;TraesCS6B01G192500;TraesCS4D01G003100;TraesCS6D01G186800;TraesCS3D01G083400;TraesCS5D01G113700;TraesCS6B01G065300;TraesCS2D01G279300;TraesCS6A01G267300;TraesCS2A01G254600;TraesCS2A01G523600;TraesCS6A01G408400;TraesCS3A01G304900;TraesCS4B01G164800;TraesCS4D01G263300;TraesCS2D01G057900;TraesCS1A01G259700;TraesCS6A01G146500;TraesCS6D01G299200;TraesCS5D01G424400;TraesCS6D01G152700;TraesCS1D01G260200;TraesCS7A01G342800;TraesCS5D01G105500;TraesCS1B01G213300;TraesCS4D01G194400;TraesCS5D01G164800;TraesCSU01G131300;TraesCS5A01G324200;TraesCS7A01G108600;TraesCS5D01G189500;TraesCS6D01G283300;TraesCS3D01G514100;TraesCS5A01G416700;TraesCS1D01G367600;TraesCS5B01G256400;TraesCS3B01G398300;TraesCS6D01G174500;TraesCS6D01G195400;TraesCS7D01G343300;TraesCS6A01G231900;TraesCS7A01G335600;TraesCS2A01G239200;TraesCS2D01G214700;TraesCS5D01G329200;TraesCS5B01G481100;TraesCS6B01G171600;TraesCS3A01G271600;TraesCS7D01G280600;TraesCS6A01G319100;TraesCS6D01G051300;TraesCS7A01G568800;TraesCS1A01G281700;TraesCS1D01G198700;TraesCS5B01G316400;TraesCS4D01G292300;TraesCS4B01G380800;TraesCS4A01G093100;TraesCS7B01G207300;TraesCS1A01G165700</t>
  </si>
  <si>
    <t>chloroplast part</t>
  </si>
  <si>
    <t>TraesCS5B01G117800;TraesCS1D01G107300;TraesCS5B01G484700;TraesCS5B01G249000;TraesCS6B01G454500;TraesCS5B01G228300;TraesCS2A01G249600;TraesCS6D01G344200;TraesCS3D01G273800;TraesCS5D01G303200;TraesCS5B01G239200;TraesCS2D01G427900;TraesCS4B01G238900;TraesCS4B01G213600;TraesCS4D01G147100;TraesCS5A01G014400;TraesCS2B01G364900;TraesCS6B01G249700;TraesCS2D01G220800;TraesCS4D01G174500;TraesCS7B01G104400;TraesCS7A01G190700;TraesCS6A01G000900;TraesCS5B01G094600;TraesCS5B01G324800;TraesCS5D01G429200;TraesCS2D01G233900;TraesCS3B01G219700;TraesCS2A01G171900;TraesCS5B01G255700;TraesCS5A01G390000;TraesCSU01G054300;TraesCS4A01G286700;TraesCS5B01G381600;TraesCS7B01G186500;TraesCS3A01G426600;TraesCS1B01G255900;TraesCS1A01G130700;TraesCS5A01G336500;TraesCS7A01G242000;TraesCS2A01G066700;TraesCS4B01G200300;TraesCS2A01G201200;TraesCS4B01G397700;TraesCS2A01G488400;TraesCS4B01G347000;TraesCS5D01G026000;TraesCS3D01G296900;TraesCS4D01G220700;TraesCS7D01G326000;TraesCS4A01G132200;TraesCS6D01G287300;TraesCS4A01G101500;TraesCS5A01G251000;TraesCS6A01G225200;TraesCS2B01G257300;TraesCS4D01G204000;TraesCS4D01G025700;TraesCS5A01G093200;TraesCS6D01G162200;TraesCS4D01G250100;TraesCS7D01G339300;TraesCS5D01G169600;TraesCS4A01G120000;TraesCS4D01G309500;TraesCS4D01G120900;TraesCS7A01G415500;TraesCS7D01G224400;TraesCS5B01G171100;TraesCS3B01G240500;TraesCS5A01G143800;TraesCS2B01G201700;TraesCS2D01G093700;TraesCS5D01G178300;TraesCS2A01G313000;TraesCS3B01G309700;TraesCS6A01G343500;TraesCS1B01G447500;TraesCS2B01G207000;TraesCS4D01G181000;TraesCS6D01G047400;TraesCS1D01G175000;TraesCS5A01G229300;TraesCS6D01G337700;TraesCS7B01G103100;TraesCS5D01G067600;TraesCS4D01G278500;TraesCS7B01G142700;TraesCS2D01G322800;TraesCS7D01G283600;TraesCS3B01G423600;TraesCS1D01G013100;TraesCS3A01G059600;TraesCS2D01G383800;TraesCS1B01G274600;TraesCS2B01G303300;TraesCS6B01G238600;TraesCS7A01G222800;TraesCS5D01G118200;TraesCS1A01G403800;TraesCS4A01G138800;TraesCS3D01G407300;TraesCS4D01G132900;TraesCS5B01G162800;TraesCS2A01G214300;TraesCS7B01G162300;TraesCS6D01G252400;TraesCS5A01G165400;TraesCS7A01G190500;TraesCS4A01G030400;TraesCS4D01G081600;TraesCS6A01G158300;TraesCS5D01G117100;TraesCS3A01G224800;TraesCS5D01G321900;TraesCS2B01G520500;TraesCS6B01G166400;TraesCS7A01G252000;TraesCS2B01G315300;TraesCS5A01G315800;TraesCS5D01G044700;TraesCS5B01G310600;TraesCS3B01G276700;TraesCS4D01G175600;TraesCS5A01G357400;TraesCS5D01G405400;TraesCS6A01G321700;TraesCS5B01G185700;TraesCS2A01G467900;TraesCS3A01G521600;TraesCS7B01G217500;TraesCS2D01G136100;TraesCS7B01G066000;TraesCS3A01G288200;TraesCS5A01G110700;TraesCS2B01G325100;TraesCS4A01G005000;TraesCS4A01G078800;TraesCS3A01G268600;TraesCS6D01G106900;TraesCS3D01G123500;TraesCS2A01G487500;TraesCS3D01G224800;TraesCS5D01G247600;TraesCS7B01G092500;TraesCS2A01G517900;TraesCS1D01G264100;TraesCS2D01G213200;TraesCS3B01G423800;TraesCS7D01G227300;TraesCS5B01G409400;TraesCS5A01G229500;TraesCS6B01G213100;TraesCS1B01G343100;TraesCS4A01G129200;TraesCS1D01G401900;TraesCS4A01G375000;TraesCS5D01G412600;TraesCS2B01G240000;TraesCS5D01G099800;TraesCS7A01G276400;TraesCS1D01G265200;TraesCS3B01G441000;TraesCS5D01G530200;TraesCS5A01G119300;TraesCS2D01G115200;TraesCS4D01G252700;TraesCS1A01G076000;TraesCS1A01G253000;TraesCS3A01G220000;TraesCS3A01G381000;TraesCS1A01G092700;TraesCS7A01G076600;TraesCS7D01G025000;TraesCS4D01G076900;TraesCS2A01G187200;TraesCS2A01G223600;TraesCS2A01G200500;TraesCS3B01G229100;TraesCS3A01G151100;TraesCS7B01G054900;TraesCS7D01G250100;TraesCS3A01G075700;TraesCS4D01G129300;TraesCS7A01G307000;TraesCS1D01G241000;TraesCS4A01G062200;TraesCS1D01G155800;TraesCS3D01G266200;TraesCS5D01G141200;TraesCS7B01G197000;TraesCS6D01G186000;TraesCS5A01G357600;TraesCS3D01G176600;TraesCS6A01G209800;TraesCS5B01G396700;TraesCS1A01G241000;TraesCS4B01G246900;TraesCS2B01G267500;TraesCS6B01G341400;TraesCS5B01G197300;TraesCS1A01G036200;TraesCS6D01G216300;TraesCS7A01G220600;TraesCS3A01G412600;TraesCS6B01G356900;TraesCS6D01G149800;TraesCS2D01G094400;TraesCS7B01G129300;TraesCS3A01G435700;TraesCS4D01G025300;TraesCS1A01G177600;TraesCS5D01G238300;TraesCS6B01G256400;TraesCS3D01G228800;TraesCS7D01G407700;TraesCS1B01G378000;TraesCS3D01G201100;TraesCS4A01G334700;TraesCS2A01G221200;TraesCS1D01G211600;TraesCS3D01G205700;TraesCS7D01G231600;TraesCS7A01G313900;TraesCS2B01G174600;TraesCS7D01G332300;TraesCS6B01G294700;TraesCS7B01G006600;TraesCSU01G019900;TraesCS1B01G253500;TraesCS5D01G237400;TraesCS2D01G242000;TraesCS2B01G348600;TraesCS2B01G250000;TraesCS5B01G132600;TraesCS3B01G299400;TraesCS3B01G268900;TraesCS2A01G123800;TraesCS6D01G094200;TraesCS4B01G129700;TraesCS4B01G150300;TraesCS1B01G333100;TraesCS2A01G092400;TraesCS2D01G194000;TraesCS4B01G068500;TraesCS6A01G308100;TraesCS2A01G480500;TraesCS4A01G262900;TraesCS1D01G003700;TraesCS2B01G150400;TraesCS3A01G427900;TraesCS6A01G336800;TraesCS6B01G134800;TraesCS2A01G338100;TraesCS3D01G271800;TraesCS3D01G288000;TraesCS2A01G342600;TraesCS2A01G585800;TraesCS4B01G245400;TraesCS6B01G216800;TraesCS2B01G602100;TraesCS5B01G563800;TraesCS6B01G176600;TraesCS4D01G003100;TraesCS2B01G222600;TraesCS2B01G079500;TraesCS2D01G279300;TraesCS4B01G025500;TraesCS5A01G132300;TraesCS3B01G370200;TraesCS6A01G259000;TraesCS7D01G386100;TraesCS1D01G383500;TraesCS2D01G327400;TraesCS4A01G227500;TraesCS7D01G032800;TraesCS1B01G019300;TraesCS3D01G423400;TraesCS6A01G146500;TraesCS5D01G424400;TraesCS4D01G154300;TraesCS1A01G392000;TraesCS2D01G154600;TraesCS6A01G188100;TraesCS4D01G306200;TraesCS5A01G015100;TraesCS7D01G447100;TraesCS2B01G185800;TraesCS6D01G283300;TraesCS5A01G416700;TraesCS1B01G182400;TraesCS2D01G255100;TraesCS2B01G267700;TraesCS5B01G256400;TraesCS4A01G247300;TraesCS6B01G331800;TraesCS6A01G231900;TraesCS7D01G190300;TraesCS4B01G138200;TraesCS2D01G214700;TraesCS6A01G311500;TraesCS3D01G412500;TraesCS5D01G329200;TraesCS3A01G271600;TraesCS4B01G131800;TraesCS6D01G051300;TraesCS1A01G281700;TraesCS4A01G353400;TraesCS2A01G382000;TraesCS1D01G198700;TraesCS5D01G480300;TraesCS3B01G221400;TraesCS7B01G119300;TraesCS7D01G132000;TraesCS1B01G403000;TraesCS4D01G110500;TraesCS5D01G178500;TraesCS4A01G093100;TraesCS2A01G277000;TraesCS3D01G165500;TraesCS6D01G121300;TraesCS1B01G259800;TraesCS4B01G252400;TraesCS4A01G125000;TraesCS2D01G179600;TraesCS4A01G257800;TraesCS5D01G388000;TraesCS5A01G468600;TraesCS1B01G049300;TraesCS6B01G399000;TraesCS5D01G219500;TraesCS2D01G362500;TraesCS5D01G162400;TraesCS6D01G348000;TraesCS1D01G101200;TraesCS7A01G368900;TraesCS4A01G289400;TraesCS5B01G407500;TraesCS5D01G148100;TraesCS7D01G276300;TraesCS4B01G152900;TraesCS4B01G186700;TraesCS3D01G150400;TraesCS5A01G181500;TraesCS4B01G117900;TraesCS5A01G467500;TraesCS4D01G246300;TraesCS2B01G457300;TraesCS2A01G206200;TraesCS3D01G356400;TraesCS4B01G126400;TraesCS7A01G294200;TraesCS7B01G350400;TraesCS3B01G362500;TraesCS1A01G350200;TraesCS7D01G311300;TraesCS4B01G172500;TraesCS1A01G027200;TraesCS5B01G415100;TraesCS6A01G201800;TraesCS6A01G119800;TraesCS2D01G248600;TraesCS7A01G525400;TraesCS6B01G174500;TraesCS6D01G237400;TraesCS3A01G192400;TraesCS6A01G289200;TraesCS7D01G265200;TraesCS7A01G448800;TraesCS1D01G252500;TraesCS2B01G330100;TraesCS3D01G275200;TraesCS6A01G105400;TraesCS2B01G263300;TraesCS4B01G158000;TraesCS6D01G168300;TraesCS5D01G230300;TraesCS2B01G070700;TraesCS7A01G417000;TraesCS4A01G298100;TraesCS6A01G221400;TraesCS5A01G030400;TraesCS2B01G021100;TraesCS7B01G247200;TraesCS3B01G221200;TraesCS3D01G205300;TraesCS1D01G020000;TraesCS6A01G230100;TraesCS1B01G462200;TraesCS3D01G188800;TraesCS6B01G239000;TraesCS5B01G270200;TraesCS6A01G312200;TraesCS7B01G352800;TraesCS4A01G494400;TraesCS5B01G228900;TraesCS6A01G113000;TraesCS5B01G300100;TraesCS7D01G439900;TraesCS2D01G561900;TraesCS1D01G092200;TraesCS2D01G546500;TraesCS1B01G326400;TraesCS2D01G362700;TraesCS2D01G389900;TraesCS3B01G105200;TraesCS4B01G263100;TraesCS2D01G118000;TraesCS3D01G256700;TraesCS2D01G496200;TraesCS6A01G103200;TraesCS1B01G352700;TraesCS4D01G339700;TraesCS7D01G083200;TraesCS7D01G196000;TraesCS1D01G242500;TraesCS4B01G083600;TraesCS5D01G312400;TraesCS7A01G192000;TraesCS7D01G207100;TraesCS7D01G224900;TraesCS1A01G200000;TraesCS7D01G117800;TraesCS1B01G270800;TraesCS4D01G327300;TraesCS4D01G223400;TraesCS5A01G411500;TraesCS7D01G072300;TraesCS6B01G393500;TraesCS2D01G202900;TraesCS5A01G101900;TraesCS5A01G457500;TraesCS2A01G185500;TraesCS2B01G079100;TraesCS5A01G088400;TraesCS2A01G095300;TraesCS3A01G264700;TraesCS4B01G193400;TraesCS7A01G206700;TraesCS6A01G314600;TraesCS4A01G110800;TraesCS7A01G504900;TraesCS3D01G268700;TraesCS2D01G248400;TraesCS4A01G408900;TraesCS4A01G290400;TraesCS5A01G395200;TraesCS2D01G467900;TraesCS1A01G313300;TraesCS5B01G409700;TraesCS3A01G391800;TraesCS2B01G248100;TraesCS7A01G182200;TraesCS3D01G388400;TraesCS2D01G238600;TraesCS2A01G480200;TraesCS6D01G363400;TraesCS3D01G397100;TraesCS3A01G417000;TraesCS5B01G395000;TraesCS4B01G180100;TraesCS2D01G398400;TraesCS6D01G204700;TraesCS7D01G409000;TraesCS4D01G086400;TraesCS5B01G534400;TraesCS3D01G309400;TraesCS6B01G342300;TraesCS7A01G279000;TraesCS3A01G295400;TraesCS3B01G477300;TraesCS2D01G200700;TraesCS7A01G466600;TraesCS3D01G426300;TraesCS4A01G236700;TraesCS2A01G286500;TraesCS3B01G083400;TraesCS3D01G231200;TraesCS4D01G022600;TraesCS7D01G449900;TraesCS4B01G114800;TraesCS2B01G271300;TraesCS7D01G338600;TraesCS6A01G373400;TraesCS3A01G036800;TraesCS3D01G384700;TraesCS3D01G436100;TraesCS7A01G260600;TraesCS4A01G226900;TraesCS3D01G359500;TraesCS6B01G371500;TraesCS2A01G392900;TraesCS5A01G106900;TraesCS6B01G169300;TraesCS1B01G377800;TraesCS4A01G023500;TraesCS2B01G505400;TraesCS2B01G528300;TraesCS4A01G101200;TraesCS6D01G357100;TraesCS5A01G192000;TraesCS6D01G122800;TraesCS7B01G181200;TraesCS2D01G241800;TraesCS4B01G056700;TraesCS6B01G253900;TraesCS4D01G013900;TraesCS5B01G378700;TraesCS1A01G376400;TraesCS3B01G401100;TraesCS5B01G102600;TraesCS2B01G186400;TraesCS3A01G134100;TraesCS2B01G004000;TraesCS2D01G361800;TraesCS7D01G300000;TraesCS2A01G149600;TraesCS7D01G327700;TraesCS6B01G315800;TraesCS4D01G246700;TraesCS6D01G301300;TraesCS2B01G340300;TraesCS1A01G180200;TraesCS3B01G362100;TraesCS3D01G495100;TraesCS5A01G420600;TraesCS2D01G380900;TraesCS2D01G487700;TraesCS3B01G331600;TraesCS1D01G241800;TraesCS6D01G182200;TraesCS4B01G204500;TraesCS3D01G275600;TraesCS1A01G206600;TraesCS1A01G313500;TraesCS2D01G310000;TraesCS2A01G203100;TraesCS5B01G476900;TraesCS1A01G145000;TraesCS3A01G443700;TraesCS6A01G237800;TraesCS2D01G519500;TraesCS2B01G227800;TraesCS3A01G112300;TraesCS4A01G197700;TraesCS4A01G283000;TraesCS3B01G132000;TraesCS5A01G173700;TraesCS7B01G242200;TraesCS2D01G132100;TraesCS5D01G496400;TraesCS3A01G530100;TraesCS2B01G404600;TraesCS7A01G304400;TraesCS6B01G285500;TraesCS1A01G225100;TraesCS1B01G214700;TraesCS5A01G157000;TraesCS7A01G560200;TraesCS2A01G273400;TraesCS3A01G398000;TraesCS2D01G065300;TraesCS1B01G110400;TraesCS5A01G212500;TraesCS5B01G182500;TraesCS6B01G242800;TraesCS1B01G200300;TraesCS1B01G317500;TraesCS4A01G232300;TraesCS5D01G258900;TraesCS1B01G156600;TraesCS3A01G184800;TraesCS7A01G143900;TraesCS1B01G383200;TraesCS5D01G474200;TraesCS6D01G091600;TraesCS5A01G059900;TraesCS6B01G450500;TraesCS2B01G363200;TraesCS4B01G242800;TraesCS6A01G290600;TraesCS1A01G315900;TraesCS1A01G249100;TraesCS2A01G226000;TraesCS2B01G107200;TraesCS4D01G115600;TraesCS2A01G557600;TraesCS4A01G268900;TraesCS1D01G086600;TraesCS2B01G133500;TraesCS1B01G422200;TraesCS2A01G289800;TraesCS1A01G382900;TraesCS6B01G348700;TraesCS3A01G232700;TraesCS3D01G150600;TraesCS7B01G100000;TraesCS6D01G221400;TraesCS3A01G251200;TraesCS4A01G315700;TraesCS5A01G056400;TraesCS1A01G263400;TraesCS6B01G192500;TraesCS2B01G273900;TraesCS6D01G186800;TraesCS6D01G104100;TraesCS2A01G523600;TraesCS4A01G324400;TraesCS6B01G344100;TraesCS2D01G057900;TraesCS7B01G169100;TraesCS1D01G134300;TraesCS6D01G364900;TraesCS5D01G231200;TraesCS6D01G299200;TraesCS5A01G235800;TraesCS3A01G069900;TraesCS2A01G391400;TraesCS3B01G306000;TraesCS5B01G155100;TraesCS3D01G304800;TraesCS4A01G276300;TraesCS5A01G036600;TraesCS4D01G194400;TraesCS2B01G273700;TraesCS2B01G145700;TraesCS5D01G164800;TraesCS2B01G294600;TraesCS6A01G292800;TraesCS5A01G324200;TraesCS1B01G293500;TraesCS3B01G398300;TraesCS2D01G300400;TraesCS7B01G097000;TraesCS1A01G158500;TraesCS4D01G086000;TraesCS3A01G389100;TraesCS1A01G284300;TraesCS1D01G353100;TraesCS2A01G545600;TraesCS6B01G171600;TraesCS1B01G434400;TraesCS4B01G073200;TraesCS5B01G110000;TraesCS7D01G280600;TraesCS3B01G426600;TraesCS4D01G348600;TraesCS1B01G269400;TraesCS1A01G309200;TraesCS5A01G222500;TraesCS5B01G320100;TraesCS6D01G213800;TraesCS4B01G380800;TraesCS6A01G163500;TraesCS2A01G487900;TraesCS2B01G260800;TraesCS2D01G324900;TraesCS3B01G014900;TraesCS7A01G036200;TraesCS7D01G292000;TraesCS6D01G165800;TraesCS2A01G246200;TraesCS5B01G175800;TraesCS6B01G191500;TraesCS1D01G119400;TraesCS2A01G247300;TraesCS5A01G165700;TraesCS2A01G400900;TraesCS2B01G152100;TraesCS5A01G378000;TraesCS1D01G210200;TraesCS4A01G226500;TraesCS5B01G531900;TraesCS1B01G146200;TraesCS3B01G398000;TraesCS2D01G014800;TraesCS1D01G051300;TraesCS4D01G153900;TraesCS7B01G240200;TraesCS2A01G262700;TraesCS7D01G293100;TraesCS4A01G065400;TraesCS3A01G301600;TraesCS2A01G245100;TraesCS5D01G532100;TraesCS6B01G132300;TraesCS2B01G234500;TraesCS1D01G376900;TraesCS4D01G135000;TraesCS6A01G133100;TraesCS5B01G171200;TraesCS7A01G323200;TraesCS5D01G201300;TraesCS3A01G205100;TraesCS2B01G220100;TraesCS3A01G394600;TraesCS3D01G428300;TraesCS5B01G142900;TraesCS5B01G159100;TraesCS6B01G112700;TraesCS1B01G263400;TraesCS3A01G229100;TraesCS5A01G128300;TraesCS4D01G292900;TraesCS5A01G149000;TraesCS6A01G354500;TraesCS2D01G112000;TraesCS2B01G233400;TraesCS2A01G193800;TraesCS4D01G184400;TraesCS6B01G262800;TraesCS7B01G114100;TraesCS6D01G390000;TraesCS5D01G399800;TraesCS7D01G454200;TraesCS4D01G151500;TraesCS7B01G215000;TraesCS5A01G014500;TraesCS7B01G464900;TraesCSU01G093800;TraesCS1A01G437500;TraesCS6A01G319700;TraesCS4D01G009100;TraesCS6D01G357600;TraesCS2A01G027000;TraesCS4B01G373400;TraesCS6D01G298300;TraesCS7A01G151000;TraesCS4D01G085900;TraesCS7D01G153000;TraesCS4B01G134600;TraesCS4D01G160200;TraesCS3B01G140800;TraesCS5B01G484800;TraesCS1A01G102300;TraesCS2B01G130300;TraesCS5A01G472100;TraesCS7B01G117600;TraesCS5D01G396300;TraesCS6A01G364300;TraesCS5D01G420300;TraesCS3B01G425900;TraesCS4A01G062100;TraesCS3D01G210300;TraesCS1D01G409700;TraesCS4A01G167000;TraesCS1D01G396300;TraesCS2B01G405600;TraesCS5B01G562200;TraesCS5B01G171400;TraesCS2A01G066800;TraesCS2B01G382000;TraesCS1B01G196500;TraesCS6A01G373200;TraesCS6B01G282200;TraesCS1D01G113900;TraesCS3D01G065800;TraesCS5D01G149900;TraesCS3A01G332300;TraesCS2D01G251000;TraesCS1D01G315700;TraesCS4A01G077600;TraesCS2A01G387400;TraesCS6A01G321600;TraesCS5A01G416400;TraesCS7B01G317000;TraesCS7A01G316700;TraesCS6A01G101700;TraesCS1D01G325500;TraesCS6A01G212200;TraesCS1A01G246800;TraesCS4A01G042500;TraesCS2A01G157700;TraesCS5D01G444500;TraesCS5D01G100800;TraesCS2D01G356700;TraesCS7A01G327600;TraesCS6B01G159800;TraesCS7A01G490900;TraesCS6D01G244900;TraesCS7B01G226100;TraesCS6A01G234000;TraesCS5B01G479200;TraesCS3D01G421500;TraesCS2B01G375700;TraesCS2A01G592600;TraesCS5B01G413400;TraesCS4A01G078900;TraesCS3A01G214000;TraesCS3D01G327600;TraesCS1A01G195500;TraesCS2B01G328500;TraesCS3B01G430000;TraesCS3B01G344200;TraesCS6D01G344100;TraesCS2D01G148200;TraesCS7D01G364400;TraesCS4B01G089500;TraesCS3B01G061700;TraesCS7B01G242800;TraesCS2B01G154700;TraesCS2D01G253200;TraesCS4A01G193700;TraesCS5D01G412700;TraesCS2A01G159900;TraesCS5B01G036800;TraesCS2A01G132200;TraesCS4A01G342800;TraesCS5A01G230400;TraesCS4B01G041900;TraesCS6A01G279100;TraesCS6D01G408000;TraesCS7D01G373100;TraesCS3D01G379000;TraesCS2D01G202200;TraesCS4D01G160000;TraesCS1D01G314600;TraesCS5B01G094300;TraesCS3A01G082700;TraesCS5A01G545600;TraesCS5D01G157300;TraesCS7A01G325400;TraesCS3B01G303000;TraesCS4B01G088400;TraesCS1A01G299500;TraesCS4D01G003600;TraesCS2D01G065100;TraesCS6D01G301400;TraesCS2D01G049500;TraesCS2D01G477200;TraesCS3B01G442200;TraesCS5B01G205700;TraesCS4B01G015600;TraesCS2B01G514800;TraesCS3A01G478100;TraesCS2B01G346500;TraesCS7B01G363100;TraesCS7D01G072100;TraesCS4A01G310600;TraesCS6B01G470700;TraesCS1D01G203500;TraesCS2B01G246900;TraesCS5D01G481500;TraesCS2D01G492600;TraesCS4B01G050600;TraesCSU01G072700;TraesCS7A01G461700;TraesCS2A01G037200;TraesCS4B01G288200;TraesCS2B01G410600;TraesCS6D01G398100;TraesCS4D01G342400;TraesCS6A01G143300;TraesCS4A01G283700;TraesCS7D01G188300;TraesCS5D01G366500;TraesCS6A01G040400;TraesCS4B01G220400;TraesCS4D01G214300;TraesCS3B01G185300;TraesCS5A01G501800;TraesCS7A01G264300;TraesCS1D01G316200;TraesCS7A01G419600;TraesCS5B01G322900;TraesCS2D01G447800;TraesCS6B01G342400;TraesCS2A01G280500;TraesCS6B01G141400;TraesCS3B01G299100;TraesCS2B01G401900;TraesCS1B01G368500;TraesCS1A01G264000;TraesCS3A01G052700;TraesCS5B01G058200;TraesCS5A01G424400;TraesCS2B01G369600;TraesCS2D01G242100;TraesCS5A01G484700;TraesCS3A01G189400;TraesCS6B01G259800;TraesCS1A01G258800;TraesCS3D01G527700;TraesCS7A01G341000;TraesCS5D01G242900;TraesCS1B01G408600;TraesCS7B01G189500;TraesCS2D01G232300;TraesCS3D01G240800;TraesCS5D01G121100;TraesCS3B01G252200;TraesCS7A01G004000;TraesCS3B01G088300;TraesCS5A01G123700;TraesCS2A01G233300;TraesCS1B01G344300;TraesCS4D01G122800;TraesCS5D01G144600;TraesCS3B01G435900;TraesCS2B01G264100;TraesCS6A01G158800;TraesCS2B01G304900;TraesCS5B01G127300;TraesCS1A01G198400;TraesCS3D01G203400;TraesCS5D01G459800;TraesCS3A01G191700;TraesCS3A01G266100;TraesCS6D01G215100;TraesCS4B01G153500;TraesCS4B01G290300;TraesCS2D01G304000;TraesCS2A01G128300;TraesCS5D01G094000;TraesCS2D01G105300;TraesCS6A01G314900;TraesCS5A01G489100;TraesCS2B01G451100;TraesCS6B01G470900;TraesCS2D01G320900;TraesCS7B01G176200;TraesCS1B01G290800;TraesCS3A01G212000;TraesCS4D01G085700;TraesCS5B01G501200;TraesCS2A01G387800;TraesCS1A01G361400;TraesCS2A01G358000;TraesCS2B01G405200;TraesCS2D01G205900;TraesCS5A01G213000;TraesCS3B01G209400;TraesCS5D01G229900;TraesCS5D01G135900;TraesCS4A01G058000;TraesCS1B01G220700;TraesCS6B01G352400;TraesCS4A01G367700;TraesCS5D01G366700;TraesCS1D01G244400;TraesCS3A01G402500;TraesCS5D01G551200;TraesCS4D01G157900;TraesCS3B01G439000;TraesCS6A01G040200;TraesCS1A01G137000;TraesCS5D01G169900;TraesCS7D01G450700;TraesCS7A01G381900;TraesCS3B01G254200;TraesCS7A01G450600;TraesCS4D01G199300;TraesCS3D01G228900;TraesCS3D01G083400;TraesCS5D01G113700;TraesCS5D01G484800;TraesCS2D01G231000;TraesCS4B01G164800;TraesCS4D01G057000;TraesCS5B01G037500;TraesCS1D01G454500;TraesCS1A01G259700;TraesCS4A01G364400;TraesCS2B01G174700;TraesCS2A01G234200;TraesCS3B01G257700;TraesCS6B01G223200;TraesCS7A01G204000;TraesCS7A01G390400;TraesCS4D01G152000;TraesCS7D01G378400;TraesCS2A01G150000;TraesCS4A01G144500;TraesCS7A01G260100;TraesCS5D01G437600;TraesCSU01G131300;TraesCS1D01G258800;TraesCS2D01G226900;TraesCS5D01G189500;TraesCS3D01G514100;TraesCS5A01G414400;TraesCS7D01G343300;TraesCS6D01G147700;TraesCS7A01G335600;TraesCS3D01G051800;TraesCS5D01G341200;TraesCS5A01G020800;TraesCS7B01G269300;TraesCS2D01G096900;TraesCS7A01G062100;TraesCS3A01G028600;TraesCS4A01G141000;TraesCS6A01G319100;TraesCS7A01G226000;TraesCS7A01G452800;TraesCS7A01G568800;TraesCS6B01G419000;TraesCSU01G132400;TraesCS3A01G488100;TraesCS7B01G421100;TraesCS1A01G314100;TraesCS5B01G316400;TraesCS4D01G292300;TraesCS5B01G360200;TraesCS1A01G129400;TraesCS6A01G272300;TraesCS1A01G165700;TraesCS6A01G360600;TraesCS1D01G411300;TraesCS3B01G224600;TraesCS7A01G351100;TraesCS5A01G032500;TraesCS7A01G238400;TraesCS4A01G184100;TraesCS5A01G513500;TraesCS5D01G359800;TraesCS5B01G141000;TraesCS1A01G445800;TraesCS6A01G380200;TraesCS1B01G472100;TraesCS6B01G159200;TraesCS5B01G227900;TraesCS2B01G469400;TraesCS6A01G311200;TraesCS6A01G418800;TraesCS7A01G350000;TraesCS5B01G156500;TraesCS5B01G431500;TraesCS6D01G204800;TraesCSU01G121900;TraesCS7D01G209600;TraesCS2D01G417300;TraesCS3B01G112900;TraesCS5B01G496000;TraesCS3B01G131400;TraesCS7D01G290500;TraesCS2D01G065600;TraesCS4D01G244000;TraesCS7D01G235900;TraesCS6D01G320800;TraesCS7A01G088100;TraesCS5A01G549700;TraesCS7D01G549100;TraesCS5B01G146700;TraesCS4B01G193100;TraesCS2A01G563500;TraesCS2D01G399800;TraesCS1B01G255100;TraesCS3A01G210000;TraesCS5D01G193000;TraesCS1A01G157500;TraesCS3A01G321900;TraesCS6D01G224200;TraesCS3B01G335000;TraesCS6B01G219700;TraesCS7D01G313600;TraesCS6A01G379000;TraesCS6B01G286300;TraesCS5B01G111800;TraesCS3A01G103900;TraesCS4B01G090000;TraesCS5A01G482800;TraesCS7A01G321900;TraesCS3D01G060600;TraesCS6B01G039900;TraesCS5A01G305400;TraesCS3B01G568500;TraesCS5A01G454300;TraesCS5D01G265500;TraesCS1A01G099400;TraesCS1B01G254000;TraesCS3A01G513500;TraesCS2D01G587100;TraesCS1D01G412600;TraesCS4D01G359000;TraesCS4A01G015800;TraesCSU01G129600;TraesCS1A01G007500;TraesCS3D01G414600;TraesCS7B01G363600;TraesCS1D01G229400;TraesCS6A01G303800;TraesCS4B01G285000;TraesCS6B01G393600;TraesCS3B01G246600;TraesCS5D01G071300;TraesCS6D01G135800;TraesCS3A01G077600;TraesCS5A01G547300;TraesCS2B01G079400;TraesCS2A01G239000;TraesCS2D01G237600;TraesCS2B01G501300;TraesCS4A01G091100;TraesCS2D01G349600;TraesCS4A01G194100;TraesCS5A01G466100;TraesCS4D01G341900;TraesCS2B01G309400;TraesCS5D01G143800;TraesCS1D01G280900;TraesCS5D01G164500;TraesCS2A01G437700;TraesCS3A01G275700;TraesCS3D01G311800;TraesCS1A01G365600;TraesCS1A01G206900;TraesCS3B01G214600;TraesCS2B01G221800;TraesCS5A01G114600;TraesCS2D01G295500;TraesCS3A01G336100;TraesCS2A01G222600;TraesCS2D01G238700;TraesCS2A01G448600;TraesCS1D01G433300;TraesCS1B01G396800;TraesCS5D01G505700;TraesCS7D01G278800;TraesCS2A01G067200;TraesCS5A01G173800;TraesCS2A01G235900;TraesCS2B01G272300;TraesCS7D01G148200;TraesCS2A01G344500;TraesCS2D01G249600;TraesCS3A01G272200;TraesCS4A01G185400;TraesCS6B01G365300;TraesCS4A01G387000;TraesCS4B01G355100;TraesCS4A01G452700;TraesCS2A01G097600;TraesCS5B01G503800;TraesCS7D01G200800;TraesCS7D01G410100;TraesCS5A01G296200;TraesCS6D01G259500;TraesCS4A01G238100;TraesCS1D01G392400;TraesCS5B01G377700;TraesCS3D01G159100;TraesCS1D01G352300;TraesCS1D01G356900;TraesCS4A01G051900;TraesCS1D01G445300;TraesCS3A01G200400;TraesCS3D01G114000;TraesCS2A01G492300;TraesCS5B01G509100;TraesCS6D01G132500;TraesCS6D01G210000;TraesCS5D01G357600;TraesCS5B01G214400;TraesCS2B01G229500;TraesCS4D01G039100;TraesCS1A01G049300;TraesCS5B01G504900;TraesCS2A01G478000;TraesCS2B01G312600;TraesCS3B01G363500;TraesCS4B01G379300;TraesCS4B01G276500;TraesCS2D01G208300;TraesCS7D01G152900;TraesCS2D01G488700;TraesCS5B01G397300;TraesCS6B01G115200;TraesCS1D01G298400;TraesCS2B01G515500;TraesCS4B01G117800;TraesCS6B01G344600;TraesCS1A01G431600;TraesCS3A01G362600;TraesCS1A01G133500;TraesCS7A01G239700;TraesCS1A01G100600;TraesCS6B01G173500;TraesCS1D01G125300;TraesCS6D01G238800;TraesCS7D01G499800;TraesCS3D01G482500;TraesCS2B01G377300;TraesCS2B01G079200;TraesCS2D01G296800;TraesCS3D01G264800;TraesCS1D01G155100;TraesCS3A01G212600;TraesCS7A01G223300;TraesCS1B01G261600;TraesCS1D01G226500;TraesCS5A01G092400;TraesCS4B01G168300;TraesCS3D01G300300;TraesCS1D01G124600;TraesCS2B01G376600;TraesCS4B01G158500;TraesCS7B01G093800;TraesCS4B01G286700;TraesCS4B01G133200;TraesCS6B01G299800;TraesCS2A01G058700;TraesCS5A01G215900;TraesCS2B01G343900;TraesCS6B01G251600;TraesCS4D01G021400;TraesCS4D01G147500;TraesCS7D01G083900;TraesCS4D01G348500;TraesCS6A01G130900;TraesCS2B01G385300;TraesCS4B01G354600;TraesCS5A01G429500;TraesCS3B01G161900;TraesCS5A01G264400;TraesCS1A01G060100;TraesCS2D01G065200;TraesCS7A01G120300;TraesCS2D01G236100;TraesCS6A01G203700;TraesCS5B01G335500;TraesCS7B01G451500;TraesCS7D01G174700;TraesCS2B01G050600;TraesCS6A01G312100;TraesCS5B01G263800;TraesCS1A01G086500;TraesCS4A01G264400;TraesCS2D01G385000;TraesCS5D01G504600;TraesCS4B01G028100;TraesCS4B01G341300;TraesCS5D01G208100;TraesCS7D01G349600;TraesCS2A01G098500;TraesCS2A01G430500;TraesCS6D01G172500;TraesCS5D01G148400;TraesCS4A01G197600;TraesCS1D01G303800;TraesCS7D01G004500;TraesCS1A01G001800;TraesCS1A01G095200;TraesCS2B01G297800;TraesCS1D01G144000;TraesCS2A01G252600;TraesCS7B01G230100;TraesCS2B01G457600;TraesCS4D01G275500;TraesCS2A01G149500;TraesCS3D01G220400;TraesCS2B01G157600;TraesCS2B01G415600;TraesCS3D01G259000;TraesCS3A01G023800;TraesCS1D01G440900;TraesCS3A01G367000;TraesCS7B01G111000;TraesCS2A01G129900;TraesCS2A01G114400;TraesCS5B01G155200;TraesCS6A01G314100;TraesCS4D01G194300;TraesCS4D01G234800;TraesCS3D01G325800;TraesCS4B01G179400;TraesCS5D01G078500;TraesCS6B01G089500;TraesCS4B01G154100;TraesCS3A01G275300;TraesCS5A01G548800;TraesCS1D01G124400;TraesCS6D01G130500;TraesCS3D01G162700;TraesCS2A01G387000;TraesCS3A01G097200;TraesCS5B01G344200;TraesCS5A01G328900;TraesCS2D01G182700;TraesCS3A01G100000;TraesCS4D01G067600;TraesCS5B01G418700;TraesCS7D01G161000;TraesCS3B01G309400;TraesCS1D01G030500;TraesCS3A01G530000;TraesCS1D01G404400;TraesCS3D01G232600;TraesCS4B01G115800;TraesCS6B01G319000;TraesCS7D01G442100;TraesCS5A01G429300;TraesCS7D01G339600;TraesCS3D01G068900;TraesCS3D01G326900;TraesCS6D01G291600;TraesCS2D01G229600;TraesCS2D01G249200;TraesCS6B01G065300;TraesCS6A01G267300;TraesCS2A01G254600;TraesCS6A01G408400;TraesCS2B01G098800;TraesCS3A01G304900;TraesCS4D01G263300;TraesCS5B01G220900;TraesCS4B01G344600;TraesCS1D01G217600;TraesCS2A01G296400;TraesCS7D01G193000;TraesCS2D01G126600;TraesCS5B01G295200;TraesCSU01G009200;TraesCS3A01G405300;TraesCS2A01G215000;TraesCS6A01G117300;TraesCS6D01G152700;TraesCS1D01G260200;TraesCS7A01G342800;TraesCS5D01G105500;TraesCS1B01G213300;TraesCS1A01G111100;TraesCS4A01G164900;TraesCS5A01G223700;TraesCS5B01G136500;TraesCS5A01G059800;TraesCS2B01G122500;TraesCS4D01G115500;TraesCS5B01G510500;TraesCS7A01G108600;TraesCS2B01G410100;TraesCS5A01G515700;TraesCS5D01G223700;TraesCS6B01G151900;TraesCS7A01G314100;TraesCS7B01G124100;TraesCS1D01G199100;TraesCS5B01G147600;TraesCS2B01G179800;TraesCS1D01G367600;TraesCS2A01G297500;TraesCS6D01G174500;TraesCS5A01G418200;TraesCS6A01G210200;TraesCS6D01G195400;TraesCS3B01G470400;TraesCS2A01G239200;TraesCS1B01G155600;TraesCS2A01G216100;TraesCS7A01G329600;TraesCS5B01G074200;TraesCS4B01G203100;TraesCS5B01G481100;TraesCS4A01G105500;TraesCS6A01G269700;TraesCS2B01G270300;TraesCS1A01G020500;TraesCS3B01G072200;TraesCS4A01G057600;TraesCS7D01G130500;TraesCS2B01G293400;TraesCS6B01G231600;TraesCS6B01G189000;TraesCS7D01G000100;TraesCS5A01G524400;TraesCS4B01G029400;TraesCS4D01G242400;TraesCS5B01G121000;TraesCS7B01G207300</t>
  </si>
  <si>
    <t>TraesCS5B01G117800;TraesCS1D01G107300;TraesCS5B01G484700;TraesCS5B01G249000;TraesCS6B01G454500;TraesCS5B01G228300;TraesCS2A01G249600;TraesCS6D01G344200;TraesCS3D01G273800;TraesCS5D01G303200;TraesCS5B01G239200;TraesCS2D01G427900;TraesCS4B01G238900;TraesCS4B01G213600;TraesCS4D01G147100;TraesCS5A01G014400;TraesCS2B01G364900;TraesCS6B01G249700;TraesCS2D01G220800;TraesCS4D01G174500;TraesCS7B01G104400;TraesCS7A01G190700;TraesCS6A01G000900;TraesCS5B01G094600;TraesCS5B01G324800;TraesCS5D01G429200;TraesCS2D01G233900;TraesCS3B01G219700;TraesCS2A01G171900;TraesCS5B01G255700;TraesCS5A01G390000;TraesCSU01G054300;TraesCS4A01G286700;TraesCS5B01G381600;TraesCS7B01G186500;TraesCS3A01G426600;TraesCS1B01G255900;TraesCS1A01G130700;TraesCS5A01G336500;TraesCS7A01G242000;TraesCS2A01G066700;TraesCS4B01G200300;TraesCS2A01G201200;TraesCS4B01G397700;TraesCS2A01G488400;TraesCS4B01G347000;TraesCS5D01G026000;TraesCS3D01G296900;TraesCS4D01G220700;TraesCS7D01G326000;TraesCS4A01G132200;TraesCS6D01G287300;TraesCS4A01G101500;TraesCS5A01G251000;TraesCS6A01G225200;TraesCS2B01G257300;TraesCS4D01G204000;TraesCS4D01G025700;TraesCS5A01G093200;TraesCS6D01G162200;TraesCS4D01G250100;TraesCS7D01G339300;TraesCS5D01G169600;TraesCS4A01G120000;TraesCS4D01G309500;TraesCS4D01G120900;TraesCS7A01G415500;TraesCS7D01G224400;TraesCS5B01G171100;TraesCS3B01G240500;TraesCS5A01G143800;TraesCS2B01G201700;TraesCS2D01G093700;TraesCS5D01G178300;TraesCS2A01G313000;TraesCS3B01G309700;TraesCS6A01G343500;TraesCS1B01G447500;TraesCS2B01G207000;TraesCS4D01G181000;TraesCS6D01G047400;TraesCS1D01G175000;TraesCS5A01G229300;TraesCS6D01G337700;TraesCS7B01G103100;TraesCS5D01G067600;TraesCS4D01G278500;TraesCS7B01G142700;TraesCS7A01G240000;TraesCS2D01G322800;TraesCS7D01G283600;TraesCS3B01G423600;TraesCS1D01G013100;TraesCS3A01G059600;TraesCS2D01G383800;TraesCS1B01G274600;TraesCS2B01G303300;TraesCS6B01G238600;TraesCS7A01G222800;TraesCS5D01G118200;TraesCS1A01G403800;TraesCS4A01G138800;TraesCS3D01G407300;TraesCS4D01G132900;TraesCS5B01G162800;TraesCS2A01G214300;TraesCS7B01G219700;TraesCS7B01G162300;TraesCS6D01G252400;TraesCS5A01G131600;TraesCS5A01G165400;TraesCS7A01G190500;TraesCS4A01G030400;TraesCS4D01G081600;TraesCS6A01G158300;TraesCS5D01G117100;TraesCS3A01G224800;TraesCS5D01G321900;TraesCS2B01G520500;TraesCS6B01G166400;TraesCS7A01G252000;TraesCS2B01G315300;TraesCS5A01G315800;TraesCS5D01G044700;TraesCS5B01G310600;TraesCS3B01G276700;TraesCS4D01G175600;TraesCS5A01G357400;TraesCS5D01G405400;TraesCS6A01G321700;TraesCS5B01G185700;TraesCS2A01G467900;TraesCS3A01G521600;TraesCS7B01G217500;TraesCS2D01G136100;TraesCS7B01G066000;TraesCS3A01G288200;TraesCS5A01G110700;TraesCS2B01G325100;TraesCS4A01G005000;TraesCS4A01G078800;TraesCS3A01G268600;TraesCS6D01G106900;TraesCS3D01G123500;TraesCS2A01G487500;TraesCS3D01G224800;TraesCS5D01G247600;TraesCS7B01G092500;TraesCS2A01G517900;TraesCS1D01G264100;TraesCS2D01G213200;TraesCS3B01G423800;TraesCS7D01G227300;TraesCS5B01G409400;TraesCS5A01G229500;TraesCS6B01G213100;TraesCS1B01G343100;TraesCS4A01G129200;TraesCS1D01G401900;TraesCS4A01G375000;TraesCS5D01G412600;TraesCS2B01G240000;TraesCS3A01G330200;TraesCS7D01G288700;TraesCS5D01G099800;TraesCS7A01G276400;TraesCS1D01G265200;TraesCS3B01G441000;TraesCS5D01G530200;TraesCS4A01G178600;TraesCS5A01G119300;TraesCS2D01G115200;TraesCS4D01G252700;TraesCS1A01G076000;TraesCS1A01G253000;TraesCS3A01G220000;TraesCS3A01G381000;TraesCS1A01G092700;TraesCS7A01G076600;TraesCS7D01G025000;TraesCS4D01G076900;TraesCS2A01G187200;TraesCS2A01G223600;TraesCS2A01G200500;TraesCS3B01G229100;TraesCS3A01G151100;TraesCS7B01G054900;TraesCS7D01G250100;TraesCS3A01G075700;TraesCS4D01G129300;TraesCS7A01G307000;TraesCS1D01G241000;TraesCS4A01G062200;TraesCS1D01G155800;TraesCS3D01G266200;TraesCS5D01G141200;TraesCS7B01G197000;TraesCS6D01G186000;TraesCS5A01G357600;TraesCS3D01G176600;TraesCS6A01G209800;TraesCS5B01G396700;TraesCS1A01G241000;TraesCS4B01G246900;TraesCS2B01G267500;TraesCS6B01G341400;TraesCS5B01G197300;TraesCS1A01G036200;TraesCS6D01G216300;TraesCS7A01G220600;TraesCS3A01G412600;TraesCS6B01G356900;TraesCS6D01G149800;TraesCS2D01G094400;TraesCS7B01G129300;TraesCS3A01G435700;TraesCS4D01G025300;TraesCS1A01G177600;TraesCS5D01G238300;TraesCS6B01G256400;TraesCS3D01G228800;TraesCS7D01G407700;TraesCS1B01G378000;TraesCS3D01G201100;TraesCS4A01G334700;TraesCS2A01G221200;TraesCS1D01G211600;TraesCS3D01G205700;TraesCS7D01G231600;TraesCS7A01G313900;TraesCS2B01G174600;TraesCS7D01G332300;TraesCS6B01G294700;TraesCS7B01G006600;TraesCSU01G019900;TraesCS1B01G253500;TraesCS5D01G237400;TraesCS2D01G242000;TraesCS2B01G348600;TraesCS2B01G250000;TraesCS5B01G132600;TraesCS3B01G299400;TraesCS3B01G268900;TraesCS2A01G123800;TraesCS6D01G094200;TraesCS4B01G129700;TraesCS4B01G150300;TraesCS1B01G333100;TraesCS2A01G092400;TraesCS2D01G194000;TraesCS4B01G068500;TraesCS6A01G308100;TraesCS2A01G480500;TraesCS4A01G262900;TraesCS1D01G003700;TraesCS2B01G150400;TraesCS3A01G427900;TraesCS6A01G336800;TraesCS6B01G134800;TraesCS2A01G338100;TraesCS3D01G271800;TraesCS3D01G288000;TraesCS2A01G342600;TraesCS2A01G585800;TraesCS4B01G245400;TraesCS6B01G216800;TraesCS2B01G602100;TraesCS5B01G563800;TraesCS6B01G176600;TraesCS4D01G003100;TraesCS2B01G222600;TraesCS2B01G079500;TraesCS2D01G279300;TraesCS4B01G025500;TraesCS5A01G132300;TraesCS3B01G370200;TraesCS6A01G259000;TraesCS7D01G386100;TraesCS1D01G383500;TraesCS2D01G327400;TraesCS4A01G227500;TraesCS7D01G032800;TraesCS1B01G019300;TraesCS3D01G423400;TraesCS6A01G146500;TraesCS5D01G424400;TraesCS4D01G154300;TraesCS1A01G392000;TraesCS2D01G154600;TraesCS6A01G188100;TraesCS4D01G306200;TraesCS5A01G015100;TraesCS7D01G447100;TraesCS2B01G185800;TraesCS6D01G283300;TraesCS5A01G416700;TraesCS1B01G182400;TraesCS2D01G255100;TraesCS2B01G267700;TraesCS5B01G256400;TraesCS4A01G247300;TraesCS6B01G331800;TraesCS6A01G231900;TraesCS7D01G190300;TraesCS4B01G138200;TraesCS2D01G214700;TraesCS6A01G311500;TraesCS3D01G412500;TraesCS5D01G329200;TraesCS3A01G271600;TraesCS4B01G131800;TraesCS6D01G051300;TraesCS1A01G281700;TraesCS4A01G353400;TraesCS2A01G382000;TraesCS1D01G198700;TraesCS5D01G480300;TraesCS3B01G221400;TraesCS7B01G119300;TraesCS7D01G132000;TraesCS1B01G403000;TraesCS4D01G110500;TraesCS5D01G178500;TraesCS4A01G093100;TraesCS2A01G277000;TraesCS3D01G165500;TraesCS6D01G121300;TraesCS1B01G259800;TraesCS4B01G252400;TraesCS4A01G125000;TraesCS2D01G179600;TraesCS4A01G257800;TraesCS5D01G388000;TraesCS5A01G468600;TraesCS1B01G049300;TraesCS6B01G399000;TraesCS3D01G323700;TraesCS5D01G219500;TraesCS2D01G362500;TraesCS5D01G162400;TraesCS6D01G348000;TraesCS1D01G101200;TraesCS7A01G368900;TraesCS4A01G289400;TraesCS5B01G407500;TraesCS5D01G148100;TraesCS7D01G276300;TraesCS4B01G152900;TraesCS4B01G186700;TraesCS3D01G150400;TraesCS5A01G181500;TraesCS4B01G117900;TraesCS5A01G467500;TraesCS4D01G246300;TraesCS2B01G457300;TraesCS2A01G206200;TraesCS3D01G356400;TraesCS4B01G126400;TraesCS7A01G294200;TraesCS7B01G350400;TraesCS3B01G362500;TraesCS1A01G350200;TraesCS7D01G311300;TraesCS4B01G172500;TraesCS1A01G027200;TraesCS5B01G415100;TraesCS6A01G201800;TraesCS6A01G119800;TraesCS2D01G248600;TraesCS7A01G525400;TraesCS6B01G174500;TraesCS6D01G237400;TraesCS3A01G192400;TraesCS6A01G289200;TraesCS7D01G265200;TraesCS7A01G448800;TraesCS1D01G252500;TraesCS2B01G330100;TraesCS3D01G275200;TraesCS6A01G105400;TraesCS2B01G263300;TraesCS4B01G158000;TraesCS6D01G168300;TraesCS5D01G230300;TraesCS2B01G070700;TraesCS7A01G417000;TraesCS4A01G298100;TraesCS6A01G221400;TraesCS2D01G363800;TraesCS5A01G030400;TraesCS2B01G021100;TraesCS7B01G247200;TraesCS3B01G221200;TraesCS3D01G205300;TraesCS1D01G020000;TraesCS6A01G230100;TraesCS1B01G462200;TraesCS3D01G188800;TraesCS6B01G239000;TraesCS5B01G270200;TraesCS6A01G312200;TraesCS7B01G352800;TraesCS4A01G494400;TraesCS5B01G228900;TraesCS6A01G113000;TraesCS5B01G300100;TraesCS7D01G439900;TraesCS2D01G561900;TraesCS1D01G092200;TraesCS2D01G546500;TraesCS1B01G326400;TraesCS2D01G362700;TraesCS2D01G389900;TraesCS3B01G105200;TraesCS4B01G263100;TraesCS2D01G118000;TraesCS3D01G256700;TraesCS2D01G496200;TraesCS6A01G103200;TraesCS1B01G352700;TraesCS4D01G339700;TraesCS4A01G268500;TraesCS7D01G083200;TraesCS7D01G196000;TraesCS1D01G242500;TraesCS4B01G083600;TraesCS5D01G312400;TraesCS7A01G192000;TraesCS7D01G207100;TraesCS7D01G224900;TraesCS1A01G200000;TraesCS7D01G117800;TraesCS1B01G270800;TraesCS1B01G212500;TraesCS4D01G327300;TraesCS4D01G223400;TraesCS5A01G411500;TraesCS7D01G072300;TraesCS6B01G393500;TraesCS2D01G202900;TraesCS5A01G101900;TraesCS5A01G457500;TraesCS2A01G185500;TraesCS2B01G079100;TraesCS5A01G088400;TraesCS2A01G095300;TraesCS3A01G264700;TraesCS4B01G193400;TraesCS7A01G206700;TraesCS2D01G303500;TraesCS6A01G314600;TraesCS4A01G110800;TraesCS7A01G504900;TraesCS3D01G268700;TraesCS2D01G248400;TraesCS4A01G408900;TraesCS4A01G290400;TraesCS5A01G395200;TraesCS2D01G467900;TraesCS1A01G313300;TraesCS5B01G409700;TraesCS3A01G391800;TraesCS2B01G248100;TraesCS7A01G182200;TraesCS3D01G388400;TraesCS2D01G238600;TraesCS2A01G480200;TraesCS6D01G363400;TraesCS3D01G397100;TraesCS3A01G417000;TraesCS5D01G140200;TraesCS5B01G395000;TraesCS4B01G180100;TraesCS2D01G398400;TraesCS6D01G204700;TraesCS7D01G409000;TraesCS4D01G086400;TraesCS5B01G534400;TraesCS3D01G309400;TraesCS6B01G342300;TraesCS7A01G279000;TraesCS3A01G295400;TraesCS3B01G477300;TraesCS4A01G059500;TraesCS2D01G200700;TraesCS7A01G466600;TraesCS3D01G426300;TraesCS4A01G236700;TraesCS2A01G286500;TraesCS3B01G083400;TraesCS3D01G231200;TraesCS4D01G022600;TraesCS7D01G449900;TraesCS4B01G114800;TraesCS2B01G271300;TraesCS7D01G338600;TraesCS6A01G373400;TraesCS3A01G036800;TraesCS3D01G384700;TraesCS3D01G436100;TraesCS7A01G260600;TraesCS4A01G226900;TraesCS3D01G359500;TraesCS6B01G371500;TraesCS2A01G392900;TraesCS5A01G106900;TraesCS6B01G169300;TraesCS1B01G377800;TraesCS4A01G023500;TraesCS2B01G505400;TraesCS2B01G528300;TraesCS4A01G101200;TraesCS6D01G357100;TraesCS5A01G192000;TraesCS6D01G122800;TraesCS7B01G181200;TraesCS2D01G241800;TraesCS4B01G056700;TraesCS6B01G253900;TraesCS4D01G013900;TraesCS5B01G378700;TraesCS1A01G376400;TraesCS3B01G401100;TraesCS5B01G102600;TraesCS2B01G186400;TraesCS3A01G134100;TraesCS2B01G004000;TraesCS2D01G361800;TraesCS7D01G300000;TraesCS2A01G149600;TraesCS7D01G327700;TraesCS6B01G315800;TraesCS4D01G246700;TraesCS6D01G301300;TraesCS2B01G340300;TraesCS1A01G180200;TraesCS3B01G362100;TraesCS3D01G495100;TraesCS5A01G420600;TraesCS2D01G380900;TraesCS2D01G487700;TraesCS3B01G331600;TraesCS1D01G241800;TraesCS6D01G182200;TraesCS4B01G204500;TraesCS3D01G275600;TraesCS1A01G206600;TraesCS1A01G313500;TraesCS2D01G310000;TraesCS2A01G203100;TraesCS5B01G476900;TraesCS1A01G145000;TraesCS3A01G443700;TraesCS6A01G237800;TraesCS2D01G519500;TraesCS2B01G227800;TraesCS3A01G112300;TraesCS4A01G197700;TraesCS4A01G283000;TraesCS3B01G132000;TraesCS5A01G173700;TraesCS7B01G242200;TraesCS2D01G132100;TraesCS5D01G496400;TraesCS3A01G530100;TraesCS4B01G138800;TraesCS2B01G404600;TraesCS7A01G304400;TraesCS6B01G285500;TraesCS1A01G225100;TraesCS1B01G214700;TraesCS5A01G157000;TraesCS7A01G560200;TraesCS2A01G273400;TraesCS3A01G398000;TraesCS2D01G065300;TraesCS1B01G110400;TraesCS5A01G212500;TraesCS5B01G182500;TraesCS6B01G242800;TraesCS1B01G200300;TraesCS1B01G317500;TraesCS4A01G232300;TraesCS5D01G258900;TraesCS1B01G156600;TraesCS3A01G184800;TraesCS7A01G143900;TraesCS1B01G383200;TraesCS5D01G474200;TraesCS6D01G091600;TraesCS5A01G059900;TraesCS6B01G450500;TraesCS2B01G363200;TraesCS4B01G242800;TraesCS6A01G290600;TraesCS1A01G315900;TraesCS1A01G249100;TraesCS2A01G226000;TraesCS2B01G107200;TraesCS4D01G115600;TraesCS6A01G070700;TraesCS2A01G557600;TraesCS4A01G268900;TraesCS1D01G086600;TraesCS2B01G133500;TraesCS1B01G422200;TraesCS2A01G289800;TraesCS7B01G020100;TraesCS1A01G382900;TraesCS6B01G348700;TraesCS3A01G232700;TraesCS3D01G150600;TraesCS7B01G100000;TraesCS6D01G221400;TraesCS3A01G251200;TraesCS4A01G315700;TraesCS5A01G056400;TraesCS1A01G263400;TraesCS6B01G192500;TraesCS2B01G273900;TraesCS6D01G186800;TraesCS6D01G104100;TraesCS2A01G523600;TraesCS4A01G324400;TraesCS6B01G344100;TraesCS2D01G057900;TraesCS7B01G169100;TraesCS1D01G134300;TraesCS6D01G364900;TraesCS5D01G231200;TraesCS6D01G299200;TraesCS5A01G235800;TraesCS7B01G218300;TraesCS3A01G069900;TraesCS2A01G391400;TraesCS3B01G306000;TraesCS5B01G155100;TraesCS3D01G304800;TraesCS4A01G276300;TraesCS5A01G036600;TraesCS4D01G194400;TraesCS2B01G273700;TraesCS2B01G145700;TraesCS5D01G164800;TraesCS2B01G294600;TraesCS6A01G292800;TraesCS5A01G324200;TraesCS1B01G293500;TraesCS3B01G398300;TraesCS2D01G300400;TraesCS7B01G097000;TraesCS1A01G158500;TraesCS4D01G086000;TraesCS3A01G389100;TraesCS1A01G284300;TraesCS1D01G353100;TraesCS2A01G545600;TraesCS6B01G171600;TraesCS1B01G434400;TraesCS4B01G073200;TraesCS5B01G110000;TraesCS7D01G280600;TraesCS3B01G426600;TraesCS4D01G348600;TraesCS1B01G269400;TraesCS1A01G309200;TraesCS5A01G222500;TraesCS5B01G320100;TraesCS6D01G213800;TraesCS4B01G380800;TraesCS6A01G163500;TraesCS2A01G487900;TraesCS5D01G336000;TraesCS2B01G260800;TraesCS2D01G324900;TraesCS3B01G014900;TraesCS7A01G036200;TraesCS7D01G292000;TraesCS6D01G165800;TraesCS2A01G246200;TraesCS2A01G366900;TraesCS5B01G175800;TraesCS6B01G191500;TraesCS1D01G119400;TraesCS2A01G247300;TraesCS5A01G165700;TraesCS2A01G400900;TraesCS2B01G152100;TraesCS5A01G378000;TraesCS1D01G210200;TraesCS4A01G226500;TraesCS5B01G531900;TraesCS1B01G146200;TraesCS3B01G398000;TraesCS2D01G014800;TraesCS1D01G051300;TraesCS4D01G153900;TraesCS7B01G240200;TraesCS2A01G262700;TraesCS7D01G293100;TraesCS3A01G228000;TraesCS4A01G065400;TraesCS3A01G301600;TraesCS2A01G245100;TraesCS5D01G532100;TraesCS6B01G132300;TraesCS2B01G234500;TraesCS1D01G376900;TraesCS4D01G135000;TraesCS6A01G133100;TraesCS5B01G171200;TraesCS7A01G323200;TraesCS5D01G201300;TraesCS3A01G205100;TraesCS2B01G220100;TraesCS3A01G394600;TraesCS3D01G428300;TraesCS5B01G142900;TraesCS5B01G159100;TraesCS6B01G112700;TraesCS1B01G263400;TraesCS3A01G229100;TraesCS5A01G128300;TraesCS4D01G292900;TraesCS5A01G149000;TraesCS6A01G354500;TraesCS2D01G112000;TraesCS2B01G233400;TraesCS2A01G193800;TraesCS4D01G184400;TraesCS6B01G262800;TraesCS7B01G114100;TraesCS6D01G390000;TraesCS5D01G399800;TraesCS7D01G454200;TraesCS4D01G151500;TraesCS7B01G215000;TraesCS5A01G014500;TraesCS7B01G464900;TraesCSU01G093800;TraesCS1A01G437500;TraesCS6A01G319700;TraesCS4D01G009100;TraesCS6D01G357600;TraesCS2A01G027000;TraesCS4B01G373400;TraesCS6D01G298300;TraesCS7A01G151000;TraesCS4D01G085900;TraesCS7D01G153000;TraesCS4B01G134600;TraesCS4D01G160200;TraesCS3B01G140800;TraesCS5B01G484800;TraesCS1A01G102300;TraesCS2B01G130300;TraesCS5A01G472100;TraesCS7B01G117600;TraesCS5D01G396300;TraesCS6A01G364300;TraesCS5D01G420300;TraesCS3B01G425900;TraesCS4A01G062100;TraesCS3D01G210300;TraesCS1D01G409700;TraesCS4A01G167000;TraesCS1D01G396300;TraesCS2B01G405600;TraesCS5B01G562200;TraesCS5B01G171400;TraesCS2A01G066800;TraesCS2B01G382000;TraesCS1B01G196500;TraesCS6A01G373200;TraesCS6B01G282200;TraesCS1D01G113900;TraesCS3D01G065800;TraesCS5D01G149900;TraesCS3A01G332300;TraesCS2D01G251000;TraesCS1D01G315700;TraesCS4A01G077600;TraesCS2A01G387400;TraesCS6A01G321600;TraesCS5A01G416400;TraesCS7B01G317000;TraesCS7A01G316700;TraesCS6A01G101700;TraesCS1D01G325500;TraesCS6A01G212200;TraesCS1A01G246800;TraesCS4A01G042500;TraesCS2A01G157700;TraesCS5D01G444500;TraesCS5D01G100800;TraesCS2D01G356700;TraesCS7A01G327600;TraesCS6B01G159800;TraesCS7A01G490900;TraesCS6D01G244900;TraesCS7B01G226100;TraesCS6A01G234000;TraesCS5B01G479200;TraesCS3D01G421500;TraesCS2B01G375700;TraesCS2A01G592600;TraesCS5B01G413400;TraesCS4A01G078900;TraesCS3A01G214000;TraesCS3D01G327600;TraesCS1A01G195500;TraesCS2B01G328500;TraesCS3B01G430000;TraesCS3B01G344200;TraesCS6D01G344100;TraesCS2D01G148200;TraesCS7D01G364400;TraesCS4B01G089500;TraesCS3B01G061700;TraesCS7B01G242800;TraesCS2B01G154700;TraesCS2D01G253200;TraesCS4A01G193700;TraesCS5D01G412700;TraesCS2A01G159900;TraesCS5B01G036800;TraesCS2A01G132200;TraesCS4A01G342800;TraesCS5A01G230400;TraesCS4B01G041900;TraesCS6A01G279100;TraesCS6D01G408000;TraesCS7D01G373100;TraesCS3D01G379000;TraesCS2D01G202200;TraesCS4D01G160000;TraesCS1D01G314600;TraesCS5B01G094300;TraesCS3A01G082700;TraesCS5A01G545600;TraesCS5D01G157300;TraesCS7A01G325400;TraesCS3B01G303000;TraesCS4B01G088400;TraesCS1A01G299500;TraesCS4D01G003600;TraesCS2D01G065100;TraesCS6D01G301400;TraesCS2D01G049500;TraesCS2D01G477200;TraesCS3B01G442200;TraesCS5B01G205700;TraesCS4B01G015600;TraesCS2B01G514800;TraesCS3A01G478100;TraesCS2B01G346500;TraesCS7B01G363100;TraesCS7D01G072100;TraesCS4A01G310600;TraesCS6B01G470700;TraesCS1D01G203500;TraesCS2B01G246900;TraesCS5D01G481500;TraesCS2D01G492600;TraesCS4B01G050600;TraesCSU01G072700;TraesCS7A01G461700;TraesCS2A01G037200;TraesCS4B01G288200;TraesCS2B01G410600;TraesCS6D01G398100;TraesCS4D01G342400;TraesCS6A01G143300;TraesCS4A01G283700;TraesCS7D01G188300;TraesCS5D01G366500;TraesCS6A01G040400;TraesCS4B01G220400;TraesCS4D01G214300;TraesCS3B01G185300;TraesCS5A01G501800;TraesCS7A01G264300;TraesCS1D01G316200;TraesCS7A01G419600;TraesCS5B01G322900;TraesCS2D01G447800;TraesCS5B01G132900;TraesCS6B01G342400;TraesCS2A01G280500;TraesCS6B01G141400;TraesCS3B01G299100;TraesCS2B01G401900;TraesCS1B01G368500;TraesCS1A01G264000;TraesCS3A01G052700;TraesCS5B01G058200;TraesCS5A01G424400;TraesCS2B01G369600;TraesCS2D01G242100;TraesCS5A01G484700;TraesCS3A01G189400;TraesCS6B01G259800;TraesCS1A01G258800;TraesCS3D01G527700;TraesCS7A01G341000;TraesCS5D01G242900;TraesCS1B01G408600;TraesCS7B01G189500;TraesCS2D01G232300;TraesCS3D01G240800;TraesCS5D01G121100;TraesCS3B01G252200;TraesCS7A01G004000;TraesCS3B01G088300;TraesCS5A01G123700;TraesCS2A01G233300;TraesCS1B01G344300;TraesCS4D01G122800;TraesCS5D01G144600;TraesCS3B01G435900;TraesCS2B01G264100;TraesCS6A01G158800;TraesCS2B01G304900;TraesCS5B01G127300;TraesCS1A01G198400;TraesCS3D01G203400;TraesCS5D01G459800;TraesCS3A01G191700;TraesCS3A01G266100;TraesCS6D01G215100;TraesCS4B01G153500;TraesCS4B01G290300;TraesCS2D01G304000;TraesCS2A01G128300;TraesCS5D01G094000;TraesCS2D01G105300;TraesCS2B01G153800;TraesCS6A01G314900;TraesCS5A01G489100;TraesCS2B01G451100;TraesCS6B01G470900;TraesCS2D01G320900;TraesCS7B01G176200;TraesCS1B01G290800;TraesCS3A01G212000;TraesCS4D01G085700;TraesCS5B01G501200;TraesCS2A01G387800;TraesCS1A01G361400;TraesCS2A01G358000;TraesCS2B01G405200;TraesCS2D01G205900;TraesCS5A01G213000;TraesCS2A01G278000;TraesCS3B01G209400;TraesCS5D01G229900;TraesCS5D01G135900;TraesCS4A01G058000;TraesCS1B01G220700;TraesCS6B01G352400;TraesCS4A01G367700;TraesCS5D01G366700;TraesCS1D01G244400;TraesCS3A01G402500;TraesCS5D01G551200;TraesCS4D01G157900;TraesCS3B01G439000;TraesCS6A01G040200;TraesCS1A01G137000;TraesCS5D01G169900;TraesCS7D01G450700;TraesCS7A01G381900;TraesCS3B01G254200;TraesCS7A01G450600;TraesCS4D01G199300;TraesCS3D01G228900;TraesCS3D01G083400;TraesCS5D01G113700;TraesCS5D01G484800;TraesCS2D01G231000;TraesCS4B01G164800;TraesCS4D01G057000;TraesCS5B01G037500;TraesCS1D01G454500;TraesCS1A01G259700;TraesCS4A01G364400;TraesCS2B01G174700;TraesCS2A01G234200;TraesCS3B01G257700;TraesCS6B01G223200;TraesCS7A01G204000;TraesCS7A01G390400;TraesCS4D01G152000;TraesCS7D01G378400;TraesCS2A01G150000;TraesCS4A01G144500;TraesCS7A01G260100;TraesCS5D01G437600;TraesCSU01G131300;TraesCS1D01G258800;TraesCS2D01G226900;TraesCS5D01G189500;TraesCS3D01G514100;TraesCS5A01G414400;TraesCS7D01G343300;TraesCS6D01G147700;TraesCS7A01G335600;TraesCS3D01G051800;TraesCS5D01G341200;TraesCS5A01G020800;TraesCS7B01G269300;TraesCS2D01G096900;TraesCS7A01G062100;TraesCS3A01G028600;TraesCS4A01G141000;TraesCS6A01G319100;TraesCS7A01G226000;TraesCS7A01G452800;TraesCS7A01G568800;TraesCS6B01G419000;TraesCSU01G132400;TraesCS3A01G488100;TraesCS7B01G421100;TraesCS1A01G314100;TraesCS5B01G316400;TraesCS4D01G292300;TraesCS5B01G360200;TraesCS1A01G129400;TraesCS6A01G272300;TraesCS1A01G165700;TraesCS6A01G360600;TraesCS1D01G411300;TraesCS3B01G224600;TraesCS7A01G351100;TraesCS5A01G032500;TraesCS4A01G163400;TraesCS7A01G238400;TraesCS4A01G184100;TraesCS5A01G513500;TraesCS5D01G359800;TraesCS5B01G141000;TraesCS1A01G445800;TraesCS6A01G380200;TraesCS1B01G472100;TraesCS6B01G159200;TraesCS5B01G227900;TraesCS2B01G469400;TraesCS6A01G311200;TraesCS6A01G418800;TraesCS7A01G350000;TraesCS5B01G156500;TraesCS5B01G431500;TraesCS6D01G204800;TraesCSU01G121900;TraesCS7D01G209600;TraesCS2D01G417300;TraesCS3B01G112900;TraesCS5B01G496000;TraesCS3B01G131400;TraesCS7D01G290500;TraesCS2D01G065600;TraesCS4D01G244000;TraesCS4D01G133500;TraesCS7D01G235900;TraesCS6D01G320800;TraesCS7A01G088100;TraesCS5A01G549700;TraesCS7D01G549100;TraesCS5B01G146700;TraesCS4B01G193100;TraesCS2A01G563500;TraesCS2D01G399800;TraesCS1B01G255100;TraesCS3A01G210000;TraesCS5D01G193000;TraesCS1A01G157500;TraesCS3A01G321900;TraesCS6D01G224200;TraesCS3B01G335000;TraesCS6B01G219700;TraesCS7D01G313600;TraesCS6A01G379000;TraesCS6B01G286300;TraesCS5B01G111800;TraesCS3A01G103900;TraesCS4B01G090000;TraesCS5A01G482800;TraesCS7A01G321900;TraesCS3D01G060600;TraesCS6B01G039900;TraesCS5A01G305400;TraesCS3B01G568500;TraesCS5A01G454300;TraesCS5D01G265500;TraesCS1A01G099400;TraesCS1B01G254000;TraesCS3A01G513500;TraesCS2D01G587100;TraesCS2A01G103300;TraesCS1D01G412600;TraesCS4D01G359000;TraesCS4A01G015800;TraesCSU01G129600;TraesCS1A01G007500;TraesCS3D01G414600;TraesCS7B01G363600;TraesCS1D01G229400;TraesCS6A01G303800;TraesCS4B01G285000;TraesCS6B01G393600;TraesCS3B01G246600;TraesCS5D01G071300;TraesCS6D01G135800;TraesCS3A01G077600;TraesCS5A01G547300;TraesCS2B01G079400;TraesCS2A01G239000;TraesCS2D01G237600;TraesCS2B01G501300;TraesCS4A01G091100;TraesCS2D01G349600;TraesCS4A01G194100;TraesCS5A01G466100;TraesCS4D01G341900;TraesCS2B01G309400;TraesCS5D01G143800;TraesCS1D01G280900;TraesCS5D01G164500;TraesCS2A01G437700;TraesCS3A01G275700;TraesCS3D01G311800;TraesCS1A01G365600;TraesCS1A01G206900;TraesCS3B01G214600;TraesCS2B01G221800;TraesCS5A01G114600;TraesCS2D01G295500;TraesCS3A01G336100;TraesCS2A01G222600;TraesCS2D01G238700;TraesCS2A01G448600;TraesCS1D01G433300;TraesCS7B01G135600;TraesCS1B01G396800;TraesCS5D01G505700;TraesCS7D01G278800;TraesCS2A01G067200;TraesCS5A01G173800;TraesCS2A01G235900;TraesCS2B01G272300;TraesCS7D01G148200;TraesCS2A01G344500;TraesCS5B01G099300;TraesCS2D01G249600;TraesCS3A01G272200;TraesCS4A01G185400;TraesCS6B01G365300;TraesCS2D01G133500;TraesCS4A01G387000;TraesCS4B01G355100;TraesCS4A01G452700;TraesCS2A01G097600;TraesCS5B01G503800;TraesCS7D01G200800;TraesCS7D01G410100;TraesCS5A01G296200;TraesCS6D01G259500;TraesCS4A01G238100;TraesCS1D01G392400;TraesCS5B01G377700;TraesCS3D01G159100;TraesCS1D01G352300;TraesCS1D01G356900;TraesCS4A01G051900;TraesCS1D01G445300;TraesCS3A01G200400;TraesCS3D01G114000;TraesCS2A01G492300;TraesCS5B01G509100;TraesCS6D01G132500;TraesCS6D01G210000;TraesCS5D01G357600;TraesCS5B01G214400;TraesCS2B01G229500;TraesCS4D01G039100;TraesCS1A01G049300;TraesCS5B01G504900;TraesCS2A01G478000;TraesCS2B01G312600;TraesCS3B01G363500;TraesCS4B01G379300;TraesCS4B01G276500;TraesCS2D01G208300;TraesCS7D01G152900;TraesCS2D01G488700;TraesCS5B01G397300;TraesCS6B01G115200;TraesCS1D01G298400;TraesCS2B01G515500;TraesCS4B01G117800;TraesCS6B01G344600;TraesCS1A01G431600;TraesCS3A01G362600;TraesCS1A01G133500;TraesCS7A01G239700;TraesCS1A01G100600;TraesCS6B01G173500;TraesCS1D01G125300;TraesCS6D01G238800;TraesCS7D01G499800;TraesCS3D01G482500;TraesCS2B01G377300;TraesCS2B01G079200;TraesCS2D01G296800;TraesCS3D01G264800;TraesCS1D01G155100;TraesCS3A01G212600;TraesCS7A01G223300;TraesCS1B01G261600;TraesCS1D01G226500;TraesCS5A01G092400;TraesCS4B01G168300;TraesCS3D01G300300;TraesCS1D01G124600;TraesCS2B01G376600;TraesCS4B01G158500;TraesCS7B01G093800;TraesCS4B01G045700;TraesCS4B01G286700;TraesCS4B01G133200;TraesCS6B01G299800;TraesCS2A01G058700;TraesCS5A01G215900;TraesCS2B01G343900;TraesCS6B01G251600;TraesCS4D01G021400;TraesCS4D01G147500;TraesCS7D01G083900;TraesCS4D01G348500;TraesCS6A01G130900;TraesCS2D01G079600;TraesCS2B01G385300;TraesCS4B01G354600;TraesCS5A01G429500;TraesCS3B01G161900;TraesCS2B01G295400;TraesCS5A01G264400;TraesCS1A01G060100;TraesCS2D01G065200;TraesCS7A01G120300;TraesCS2D01G236100;TraesCS6A01G203700;TraesCS5B01G335500;TraesCS7B01G451500;TraesCS7D01G174700;TraesCS2B01G050600;TraesCS6A01G312100;TraesCS5B01G263800;TraesCS1A01G086500;TraesCS4A01G264400;TraesCS2D01G385000;TraesCS5D01G504600;TraesCS4B01G028100;TraesCS4B01G341300;TraesCS5D01G208100;TraesCS7D01G349600;TraesCS2A01G098500;TraesCS2A01G430500;TraesCS6D01G172500;TraesCS5D01G148400;TraesCS4A01G197600;TraesCS1D01G303800;TraesCS7D01G004500;TraesCS1A01G001800;TraesCS1A01G095200;TraesCS2B01G297800;TraesCS1D01G144000;TraesCS2A01G252600;TraesCS7B01G230100;TraesCS2B01G457600;TraesCS4D01G275500;TraesCS2A01G149500;TraesCS3D01G220400;TraesCS2B01G157600;TraesCS2B01G415600;TraesCS3D01G259000;TraesCS3A01G023800;TraesCS1D01G440900;TraesCS3A01G367000;TraesCS7B01G111000;TraesCS2A01G129900;TraesCS2A01G114400;TraesCS5B01G155200;TraesCS6A01G314100;TraesCS4D01G194300;TraesCS4D01G234800;TraesCS3D01G325800;TraesCS4B01G179400;TraesCS5D01G078500;TraesCS6B01G089500;TraesCS4B01G154100;TraesCS3A01G275300;TraesCS5A01G548800;TraesCS1D01G124400;TraesCS6D01G130500;TraesCS3D01G162700;TraesCS2A01G387000;TraesCS3A01G097200;TraesCS5B01G344200;TraesCS5A01G328900;TraesCS2D01G182700;TraesCS3A01G100000;TraesCS4D01G067600;TraesCS5B01G418700;TraesCS7D01G119700;TraesCS7D01G161000;TraesCS3B01G309400;TraesCS1D01G030500;TraesCS3A01G530000;TraesCS1D01G404400;TraesCS3D01G232600;TraesCS4B01G115800;TraesCS6B01G319000;TraesCS7D01G442100;TraesCS3B01G180600;TraesCS5A01G429300;TraesCS7D01G339600;TraesCS3D01G068900;TraesCS3D01G326900;TraesCS6D01G291600;TraesCS2D01G229600;TraesCS2D01G249200;TraesCS6B01G065300;TraesCS6A01G267300;TraesCS2A01G254600;TraesCS6A01G408400;TraesCS2B01G098800;TraesCS3A01G304900;TraesCS4D01G263300;TraesCS5B01G220900;TraesCS4B01G344600;TraesCS1D01G217600;TraesCS2A01G296400;TraesCS7D01G193000;TraesCS2D01G126600;TraesCS5B01G295200;TraesCSU01G009200;TraesCS3A01G405300;TraesCS2A01G215000;TraesCS2B01G321700;TraesCS6A01G117300;TraesCS6D01G152700;TraesCS1D01G260200;TraesCS7A01G342800;TraesCS5D01G105500;TraesCS1B01G213300;TraesCS1A01G111100;TraesCS4A01G164900;TraesCS5A01G223700;TraesCS5B01G136500;TraesCS5A01G059800;TraesCS2B01G122500;TraesCS4D01G115500;TraesCS5B01G510500;TraesCS7A01G108600;TraesCS2B01G410100;TraesCS5A01G515700;TraesCS5D01G223700;TraesCS6B01G151900;TraesCS7A01G314100;TraesCS7B01G124100;TraesCS1D01G199100;TraesCS5B01G147600;TraesCS2B01G179800;TraesCS1D01G367600;TraesCS2A01G297500;TraesCS6D01G174500;TraesCS5A01G418200;TraesCS6A01G210200;TraesCS6D01G195400;TraesCS3B01G470400;TraesCS2A01G239200;TraesCS6D01G193000;TraesCS1B01G155600;TraesCS2A01G216100;TraesCS7A01G329600;TraesCS5B01G074200;TraesCS4B01G203100;TraesCS5B01G481100;TraesCS4A01G105500;TraesCS6A01G269700;TraesCS2B01G270300;TraesCS1A01G020500;TraesCS3B01G072200;TraesCS4A01G057600;TraesCS7D01G130500;TraesCS2B01G293400;TraesCS6B01G231600;TraesCS6B01G189000;TraesCS7D01G000100;TraesCS5A01G524400;TraesCS4B01G029400;TraesCS4D01G242400;TraesCS5B01G121000;TraesCS7B01G207300</t>
  </si>
  <si>
    <t>TraesCS4B01G252400;TraesCS4A01G125000;TraesCS1D01G411300;TraesCS3B01G014900;TraesCS5B01G484700;TraesCS5B01G249000;TraesCS6B01G454500;TraesCS7A01G351100;TraesCS5D01G388000;TraesCS5D01G219500;TraesCS2A01G249600;TraesCS6D01G344200;TraesCS5A01G513500;TraesCS5A01G378000;TraesCS1D01G210200;TraesCS4B01G213600;TraesCS2D01G014800;TraesCS1B01G472100;TraesCS5B01G227900;TraesCS7B01G240200;TraesCS6A01G418800;TraesCS6B01G249700;TraesCS7D01G293100;TraesCS4A01G065400;TraesCS5D01G532100;TraesCS7A01G190700;TraesCS2B01G234500;TraesCS6A01G000900;TraesCS3B01G112900;TraesCS4D01G135000;TraesCS2B01G457300;TraesCS5B01G324800;TraesCS6A01G133100;TraesCS5B01G171200;TraesCS3B01G219700;TraesCS3A01G205100;TraesCS7A01G294200;TraesCS7D01G549100;TraesCS4B01G193100;TraesCS5B01G381600;TraesCS7B01G350400;TraesCS1B01G255100;TraesCS3A01G210000;TraesCS3B01G362500;TraesCS3D01G428300;TraesCS7B01G186500;TraesCS5A01G128300;TraesCS6B01G286300;TraesCS5A01G149000;TraesCS2B01G233400;TraesCS3D01G060600;TraesCS2A01G193800;TraesCS4D01G184400;TraesCS6A01G289200;TraesCS5D01G026000;TraesCS7B01G114100;TraesCS3D01G296900;TraesCS4D01G220700;TraesCS6D01G390000;TraesCS6A01G105400;TraesCS5A01G454300;TraesCS6D01G287300;TraesCS1B01G254000;TraesCS4A01G101500;TraesCS5A01G251000;TraesCS2B01G257300;TraesCS4D01G204000;TraesCS2B01G070700;TraesCS1A01G437500;TraesCS5A01G093200;TraesCS6A01G319700;TraesCS4D01G009100;TraesCS1A01G007500;TraesCS7D01G224400;TraesCS6A01G303800;TraesCS4B01G285000;TraesCS5A01G030400;TraesCS5B01G171100;TraesCS6B01G393600;TraesCS3B01G240500;TraesCS7B01G247200;TraesCS5D01G178300;TraesCS6D01G135800;TraesCS5A01G547300;TraesCS4D01G181000;TraesCS1B01G462200;TraesCS5A01G229300;TraesCS5B01G270200;TraesCS4A01G091100;TraesCS2D01G349600;TraesCS3B01G425900;TraesCS4A01G194100;TraesCS3D01G210300;TraesCS5A01G466100;TraesCS4A01G167000;TraesCS5B01G300100;TraesCS7D01G439900;TraesCS2B01G405600;TraesCS7B01G142700;TraesCS1D01G092200;TraesCS5D01G143800;TraesCS7D01G283600;TraesCS1D01G280900;TraesCS5D01G164500;TraesCS2A01G437700;TraesCS2D01G251000;TraesCS1A01G206900;TraesCS2D01G118000;TraesCS3D01G256700;TraesCS5A01G114600;TraesCS6B01G238600;TraesCS7A01G222800;TraesCS2A01G222600;TraesCS7A01G316700;TraesCS2D01G238700;TraesCS4D01G339700;TraesCS6A01G212200;TraesCS7D01G196000;TraesCS1D01G242500;TraesCS4B01G083600;TraesCS5D01G505700;TraesCS5A01G173800;TraesCS2B01G272300;TraesCS1B01G270800;TraesCS7A01G190500;TraesCS3A01G272200;TraesCS4D01G081600;TraesCS6A01G158300;TraesCS5D01G117100;TraesCS3A01G224800;TraesCS5D01G321900;TraesCS5A01G101900;TraesCS2B01G520500;TraesCS4B01G193400;TraesCS5A01G315800;TraesCS3B01G276700;TraesCS5A01G357400;TraesCS3D01G268700;TraesCS4A01G051900;TraesCS4A01G290400;TraesCS1D01G445300;TraesCS2A01G492300;TraesCS2B01G328500;TraesCS5A01G395200;TraesCS5B01G509100;TraesCS6D01G132500;TraesCS5B01G409700;TraesCS4B01G089500;TraesCS2B01G248100;TraesCS2A01G467900;TraesCS2D01G238600;TraesCS2B01G154700;TraesCS7B01G217500;TraesCS5B01G036800;TraesCS2A01G132200;TraesCS2A01G480200;TraesCS4A01G342800;TraesCS5B01G504900;TraesCS4B01G041900;TraesCS3D01G397100;TraesCS2D01G136100;TraesCS3A01G288200;TraesCS6B01G115200;TraesCS6D01G408000;TraesCS7D01G373100;TraesCS4D01G086400;TraesCS5B01G534400;TraesCS7A01G239700;TraesCS1A01G100600;TraesCS2B01G325100;TraesCS6B01G342300;TraesCS3A01G082700;TraesCS3B01G477300;TraesCS3A01G268600;TraesCS4D01G003600;TraesCS2A01G517900;TraesCS3D01G426300;TraesCS7D01G227300;TraesCS5A01G229500;TraesCS5A01G092400;TraesCS7D01G072100;TraesCS2B01G271300;TraesCS4B01G168300;TraesCS6B01G470700;TraesCS5D01G412600;TraesCS3D01G436100;TraesCS4B01G158500;TraesCS5D01G481500;TraesCS4B01G286700;TraesCS2D01G492600;TraesCS4A01G226900;TraesCS3D01G359500;TraesCS2A01G037200;TraesCS2A01G058700;TraesCS3B01G441000;TraesCS2B01G528300;TraesCS5D01G530200;TraesCS6A01G143300;TraesCS6D01G122800;TraesCS5D01G366500;TraesCS4D01G021400;TraesCS4B01G220400;TraesCS4D01G348500;TraesCS4D01G214300;TraesCS5B01G322900;TraesCS5B01G102600;TraesCS2A01G280500;TraesCS3A01G381000;TraesCS2B01G004000;TraesCS2A01G187200;TraesCS7D01G327700;TraesCS7A01G120300;TraesCS3A01G151100;TraesCS2D01G236100;TraesCS2B01G340300;TraesCS3A01G075700;TraesCS6A01G203700;TraesCS4D01G129300;TraesCS7A01G307000;TraesCS3A01G052700;TraesCS2D01G380900;TraesCS7B01G197000;TraesCS2B01G050600;TraesCS3D01G176600;TraesCS6A01G209800;TraesCS6A01G312100;TraesCS2B01G369600;TraesCS4B01G204500;TraesCS5A01G484700;TraesCS3D01G275600;TraesCS2D01G310000;TraesCS5B01G263800;TraesCS1A01G036200;TraesCS3A01G443700;TraesCS7B01G189500;TraesCS6A01G237800;TraesCS2D01G519500;TraesCS5D01G504600;TraesCS5A01G173700;TraesCS7B01G129300;TraesCS3A01G435700;TraesCS4D01G025300;TraesCS2B01G297800;TraesCS4D01G122800;TraesCS5D01G238300;TraesCS2A01G252600;TraesCS3D01G228800;TraesCS7A01G560200;TraesCS7D01G407700;TraesCS6A01G158800;TraesCS5B01G127300;TraesCS1A01G198400;TraesCS2B01G457600;TraesCS3D01G201100;TraesCS3A01G191700;TraesCS3D01G220400;TraesCS1B01G110400;TraesCS2B01G157600;TraesCS5A01G212500;TraesCS5B01G182500;TraesCS6B01G242800;TraesCS5D01G094000;TraesCS1B01G317500;TraesCS3A01G023800;TraesCS4A01G232300;TraesCS5D01G258900;TraesCS7B01G006600;TraesCSU01G019900;TraesCS3A01G367000;TraesCS5D01G237400;TraesCS6B01G470900;TraesCS2A01G114400;TraesCS2D01G320900;TraesCS1B01G290800;TraesCS3A01G212000;TraesCS6B01G450500;TraesCS4B01G179400;TraesCS6A01G290600;TraesCS6B01G089500;TraesCS6D01G094200;TraesCS4B01G129700;TraesCS2D01G205900;TraesCS2A01G387000;TraesCS3A01G097200;TraesCS5D01G135900;TraesCS2D01G194000;TraesCS4A01G268900;TraesCS2B01G133500;TraesCS1B01G220700;TraesCS6A01G308100;TraesCS4A01G367700;TraesCS1D01G003700;TraesCS3A01G100000;TraesCS7D01G161000;TraesCS1D01G030500;TraesCS6B01G134800;TraesCS3D01G271800;TraesCS3D01G288000;TraesCS2A01G342600;TraesCS3A01G232700;TraesCS6B01G319000;TraesCS7B01G100000;TraesCS7A01G450600;TraesCS7D01G339600;TraesCS6B01G192500;TraesCS4D01G003100;TraesCS6D01G186800;TraesCS3D01G083400;TraesCS5D01G113700;TraesCS6B01G065300;TraesCS2D01G279300;TraesCS6A01G267300;TraesCS2A01G254600;TraesCS2A01G523600;TraesCS6A01G408400;TraesCS3A01G304900;TraesCS4B01G164800;TraesCS4D01G263300;TraesCS2D01G057900;TraesCS1A01G259700;TraesCS6A01G146500;TraesCS6D01G299200;TraesCS5D01G424400;TraesCS6D01G152700;TraesCS1D01G260200;TraesCS7A01G342800;TraesCS3D01G304800;TraesCS5D01G105500;TraesCS1B01G213300;TraesCS4D01G194400;TraesCS5D01G164800;TraesCSU01G131300;TraesCS5A01G324200;TraesCS7A01G108600;TraesCS5D01G189500;TraesCS5B01G147600;TraesCS6D01G283300;TraesCS3D01G514100;TraesCS5A01G416700;TraesCS1D01G367600;TraesCS5B01G256400;TraesCS3B01G398300;TraesCS6D01G174500;TraesCS6D01G195400;TraesCS7D01G343300;TraesCS6A01G231900;TraesCS7A01G335600;TraesCS2A01G239200;TraesCS2D01G214700;TraesCS5D01G329200;TraesCS5B01G481100;TraesCS6B01G171600;TraesCS3A01G271600;TraesCS7D01G280600;TraesCS6A01G319100;TraesCS6D01G051300;TraesCS7A01G568800;TraesCS1A01G281700;TraesCS1D01G198700;TraesCS5B01G316400;TraesCS4D01G292300;TraesCS4B01G380800;TraesCS4A01G093100;TraesCS7B01G207300;TraesCS1A01G165700</t>
  </si>
  <si>
    <t>plastid part</t>
  </si>
  <si>
    <t>TraesCS5B01G117800;TraesCS1D01G107300;TraesCS5B01G484700;TraesCS5A01G103100;TraesCS5B01G249000;TraesCS6B01G454500;TraesCS6A01G379900;TraesCS5B01G228300;TraesCS2A01G249600;TraesCS6D01G344200;TraesCS3D01G273800;TraesCS5D01G303200;TraesCS5B01G239200;TraesCS2D01G427900;TraesCS4B01G238900;TraesCS4B01G213600;TraesCS4D01G147100;TraesCS5A01G014400;TraesCS2B01G364900;TraesCS6B01G249700;TraesCS2D01G220800;TraesCS4D01G174500;TraesCS7B01G104400;TraesCS7A01G190700;TraesCS6A01G000900;TraesCS5B01G094600;TraesCS5B01G324800;TraesCS5D01G429200;TraesCS2D01G233900;TraesCS3B01G219700;TraesCS2A01G171900;TraesCS5B01G255700;TraesCS5A01G390000;TraesCSU01G054300;TraesCS4A01G286700;TraesCS5B01G381600;TraesCS7B01G186500;TraesCS3A01G426600;TraesCS1B01G255900;TraesCS1A01G130700;TraesCS5A01G336500;TraesCS7A01G242000;TraesCS2A01G066700;TraesCS4B01G200300;TraesCS2A01G201200;TraesCS4B01G397700;TraesCS2A01G488400;TraesCS4B01G347000;TraesCS5D01G026000;TraesCS3D01G296900;TraesCS4D01G220700;TraesCS7D01G326000;TraesCS3A01G091100;TraesCS4A01G132200;TraesCS6D01G287300;TraesCS4A01G101500;TraesCS5A01G251000;TraesCS6A01G225200;TraesCS2B01G257300;TraesCS4D01G204000;TraesCS4D01G025700;TraesCS5A01G093200;TraesCS6D01G162200;TraesCS4D01G250100;TraesCS7D01G339300;TraesCS5D01G169600;TraesCS4A01G120000;TraesCS4D01G309500;TraesCS4D01G120900;TraesCS7A01G415500;TraesCS7D01G224400;TraesCS5B01G171100;TraesCS3B01G240500;TraesCS5A01G143800;TraesCS2B01G201700;TraesCS2D01G093700;TraesCS5D01G178300;TraesCS2A01G313000;TraesCS3B01G309700;TraesCS6A01G343500;TraesCS1B01G447500;TraesCS2B01G207000;TraesCS4D01G181000;TraesCS6D01G047400;TraesCS1D01G175000;TraesCS5A01G229300;TraesCS6D01G337700;TraesCS7B01G103100;TraesCS5D01G067600;TraesCS4D01G278500;TraesCS7B01G142700;TraesCS7A01G240000;TraesCS2D01G322800;TraesCS7D01G283600;TraesCS3B01G423600;TraesCS2B01G348200;TraesCS1D01G013100;TraesCS3A01G059600;TraesCS2D01G383800;TraesCS1B01G274600;TraesCS2B01G303300;TraesCS6B01G238600;TraesCS7A01G222800;TraesCS5D01G118200;TraesCS1A01G403800;TraesCS4A01G138800;TraesCS3D01G407300;TraesCS4D01G132900;TraesCS5B01G162800;TraesCS2A01G214300;TraesCS7B01G219700;TraesCS7B01G162300;TraesCS6D01G252400;TraesCS5A01G131600;TraesCS5A01G165400;TraesCS3A01G292700;TraesCS7A01G190500;TraesCS4A01G030400;TraesCS4D01G081600;TraesCS6A01G158300;TraesCS5D01G117100;TraesCS3A01G224800;TraesCS5D01G321900;TraesCS2B01G520500;TraesCS6B01G166400;TraesCS7A01G252000;TraesCS2B01G315300;TraesCS5A01G315800;TraesCS5D01G044700;TraesCS5B01G310600;TraesCS3B01G276700;TraesCS4D01G175600;TraesCS5A01G357400;TraesCS5D01G405400;TraesCS6A01G321700;TraesCS5B01G185700;TraesCS2A01G467900;TraesCS3A01G521600;TraesCS7B01G217500;TraesCS2B01G477400;TraesCS2D01G136100;TraesCS7B01G066000;TraesCS3A01G288200;TraesCS5A01G110700;TraesCS2B01G325100;TraesCS4A01G005000;TraesCS4A01G078800;TraesCS3A01G268600;TraesCS6D01G106900;TraesCS3D01G123500;TraesCS2A01G487500;TraesCS3D01G224800;TraesCS5D01G247600;TraesCS7B01G092500;TraesCS2A01G517900;TraesCS1D01G264100;TraesCS2D01G213200;TraesCS3B01G423800;TraesCS7D01G227300;TraesCS5B01G409400;TraesCS5A01G229500;TraesCS6B01G213100;TraesCS1B01G343100;TraesCS4A01G129200;TraesCS5B01G339200;TraesCS1D01G401900;TraesCS4A01G375000;TraesCS5D01G412600;TraesCS2B01G240000;TraesCS3A01G330200;TraesCS7D01G288700;TraesCS5D01G099800;TraesCS5D01G095200;TraesCS7A01G276400;TraesCS1D01G265200;TraesCS3B01G441000;TraesCS5D01G530200;TraesCS4A01G178600;TraesCS5A01G119300;TraesCS2D01G115200;TraesCS4D01G252700;TraesCS1A01G076000;TraesCS1A01G253000;TraesCS3A01G220000;TraesCS3B01G324500;TraesCS3A01G381000;TraesCS1A01G092700;TraesCS7A01G076600;TraesCS7D01G025000;TraesCS4D01G076900;TraesCS2A01G187200;TraesCS2A01G223600;TraesCS2A01G200500;TraesCS3B01G229100;TraesCS3A01G151100;TraesCS7B01G054900;TraesCS7D01G250100;TraesCS3A01G075700;TraesCS4D01G129300;TraesCS7A01G307000;TraesCS1D01G241000;TraesCS4A01G062200;TraesCS1D01G155800;TraesCS3D01G266200;TraesCS5D01G141200;TraesCS7B01G197000;TraesCS6D01G186000;TraesCS5A01G357600;TraesCS3D01G176600;TraesCS6A01G209800;TraesCS5B01G396700;TraesCS1A01G241000;TraesCS4B01G246900;TraesCS2B01G267500;TraesCS6B01G341400;TraesCS5B01G197300;TraesCS1A01G036200;TraesCS6D01G216300;TraesCS7A01G220600;TraesCS3A01G412600;TraesCS3D01G298000;TraesCS6B01G356900;TraesCS6D01G149800;TraesCS2D01G094400;TraesCS7B01G129300;TraesCS3A01G435700;TraesCS4D01G025300;TraesCS1A01G177600;TraesCS5D01G238300;TraesCS6B01G256400;TraesCS3D01G228800;TraesCS7D01G407700;TraesCS1B01G378000;TraesCS3D01G201100;TraesCS4A01G334700;TraesCS2A01G221200;TraesCS1D01G211600;TraesCS3D01G205700;TraesCS7D01G231600;TraesCS7A01G313900;TraesCS2B01G174600;TraesCS7D01G332300;TraesCS6B01G294700;TraesCS7B01G006600;TraesCSU01G019900;TraesCS1B01G253500;TraesCS5D01G237400;TraesCS2D01G242000;TraesCS2B01G348600;TraesCS2B01G250000;TraesCS5B01G132600;TraesCS3B01G299400;TraesCS3B01G268900;TraesCS2A01G123800;TraesCS6D01G094200;TraesCS4B01G129700;TraesCS4B01G150300;TraesCS1B01G333100;TraesCS2A01G092400;TraesCS2D01G194000;TraesCS4B01G068500;TraesCS5B01G107400;TraesCS6A01G308100;TraesCS2A01G480500;TraesCS4A01G262900;TraesCS3B01G418400;TraesCS1D01G003700;TraesCS2B01G150400;TraesCS3A01G427900;TraesCS6A01G336800;TraesCS6B01G134800;TraesCS2A01G338100;TraesCS3D01G271800;TraesCS3D01G288000;TraesCS2A01G342600;TraesCS2A01G585800;TraesCS4B01G245400;TraesCS6B01G216800;TraesCS2B01G602100;TraesCS5B01G563800;TraesCS6B01G176600;TraesCS4D01G003100;TraesCS2B01G222600;TraesCS2B01G079500;TraesCS2D01G279300;TraesCS4B01G025500;TraesCS5A01G132300;TraesCS3B01G370200;TraesCS6A01G259000;TraesCS7D01G386100;TraesCS1D01G383500;TraesCS2D01G327400;TraesCS4A01G227500;TraesCS7D01G032800;TraesCS1B01G019300;TraesCS3D01G423400;TraesCS6A01G146500;TraesCS5D01G424400;TraesCS4D01G154300;TraesCS1A01G392000;TraesCS2D01G154600;TraesCS6A01G188100;TraesCS4D01G306200;TraesCS5A01G015100;TraesCS7D01G447100;TraesCS2B01G185800;TraesCS6D01G283300;TraesCS5A01G416700;TraesCS1B01G182400;TraesCS2D01G255100;TraesCS2B01G267700;TraesCS5B01G256400;TraesCS4A01G247300;TraesCS6B01G331800;TraesCS6A01G231900;TraesCS7D01G190300;TraesCS2A01G455300;TraesCS4B01G138200;TraesCS2D01G214700;TraesCS6A01G311500;TraesCS3D01G412500;TraesCS5D01G329200;TraesCS3A01G271600;TraesCS4B01G131800;TraesCS6D01G051300;TraesCS1A01G281700;TraesCS4A01G353400;TraesCS6A01G077800;TraesCS2A01G382000;TraesCS1D01G198700;TraesCS5D01G480300;TraesCS3B01G221400;TraesCS7B01G119300;TraesCS7D01G132000;TraesCS1B01G403000;TraesCS4D01G110500;TraesCS5D01G178500;TraesCS4A01G093100;TraesCS2A01G277000;TraesCS3D01G165500;TraesCS6D01G121300;TraesCS1B01G259800;TraesCS4B01G252400;TraesCS4A01G125000;TraesCS2D01G179600;TraesCS2A01G404700;TraesCS4A01G257800;TraesCS5D01G388000;TraesCS5A01G468600;TraesCS1B01G049300;TraesCS6B01G399000;TraesCS3D01G323700;TraesCS5D01G219500;TraesCS2D01G362500;TraesCS5D01G162400;TraesCS6D01G348000;TraesCS1D01G101200;TraesCS7A01G368900;TraesCS4A01G289400;TraesCS5B01G407500;TraesCS5D01G148100;TraesCS7D01G276300;TraesCS4B01G152900;TraesCS4B01G186700;TraesCSU01G142500;TraesCS3D01G150400;TraesCS5A01G181500;TraesCS4B01G117900;TraesCS5A01G467500;TraesCS6D01G057900;TraesCS4D01G246300;TraesCS2B01G457300;TraesCS2A01G206200;TraesCS3D01G356400;TraesCS4B01G126400;TraesCS7A01G294200;TraesCS7B01G350400;TraesCS3B01G362500;TraesCS1A01G350200;TraesCS7D01G336600;TraesCS7D01G311300;TraesCS4B01G172500;TraesCS1A01G027200;TraesCS5B01G415100;TraesCS6A01G201800;TraesCS3D01G289600;TraesCS6A01G119800;TraesCS2D01G248600;TraesCS7A01G525400;TraesCS6B01G174500;TraesCS6D01G237400;TraesCS3A01G192400;TraesCS6A01G289200;TraesCS7D01G265200;TraesCS7A01G448800;TraesCS1D01G252500;TraesCS2B01G330100;TraesCS3D01G275200;TraesCS6A01G105400;TraesCS2B01G263300;TraesCS4B01G158000;TraesCS6D01G168300;TraesCS5D01G230300;TraesCS2B01G070700;TraesCS7A01G417000;TraesCS4A01G298100;TraesCS6A01G221400;TraesCS2D01G363800;TraesCS5A01G030400;TraesCS2B01G021100;TraesCS7B01G247200;TraesCS3B01G221200;TraesCS3D01G205300;TraesCS1D01G020000;TraesCS6A01G230100;TraesCS1B01G462200;TraesCS3D01G188800;TraesCS6B01G239000;TraesCS5B01G270200;TraesCS6A01G312200;TraesCS7B01G352800;TraesCS4A01G494400;TraesCS5B01G228900;TraesCS6A01G113000;TraesCS5B01G300100;TraesCS7D01G439900;TraesCS2D01G561900;TraesCS1D01G092200;TraesCS2D01G546500;TraesCS1B01G326400;TraesCS5D01G166800;TraesCS2D01G362700;TraesCS2D01G389900;TraesCS3B01G105200;TraesCS4B01G263100;TraesCS2D01G118000;TraesCS3D01G256700;TraesCS2D01G496200;TraesCS6A01G103200;TraesCS6B01G182300;TraesCS1B01G352700;TraesCS4D01G339700;TraesCS4A01G268500;TraesCS7D01G083200;TraesCS7D01G196000;TraesCS1D01G242500;TraesCS4B01G083600;TraesCS5D01G312400;TraesCS7A01G192000;TraesCS7D01G207100;TraesCS7D01G224900;TraesCS1A01G200000;TraesCS7D01G117800;TraesCS1B01G270800;TraesCS1B01G212500;TraesCS4D01G327300;TraesCS4D01G223400;TraesCS5A01G411500;TraesCS7D01G072300;TraesCS6B01G393500;TraesCS2D01G202900;TraesCS5A01G101900;TraesCS5A01G457500;TraesCS2A01G185500;TraesCS2B01G079100;TraesCS5A01G088400;TraesCS2A01G095300;TraesCS3A01G264700;TraesCS4B01G193400;TraesCS7A01G206700;TraesCS2D01G303500;TraesCS6A01G314600;TraesCS4A01G110800;TraesCS7A01G504900;TraesCS3D01G268700;TraesCS2D01G248400;TraesCS5B01G375400;TraesCS4A01G408900;TraesCS4A01G290400;TraesCS5A01G395200;TraesCS2D01G467900;TraesCS1A01G313300;TraesCS5B01G409700;TraesCS3A01G391800;TraesCS2B01G248100;TraesCS7A01G182200;TraesCS3D01G388400;TraesCS2D01G238600;TraesCS2A01G480200;TraesCS6D01G363400;TraesCS3D01G397100;TraesCS3A01G417000;TraesCS5D01G140200;TraesCS5B01G395000;TraesCS4B01G180100;TraesCS2D01G398400;TraesCS6D01G204700;TraesCS7D01G409000;TraesCS4D01G086400;TraesCS5B01G534400;TraesCS3D01G309400;TraesCS6A01G154400;TraesCS6B01G342300;TraesCS7A01G279000;TraesCS3A01G295400;TraesCS3B01G477300;TraesCS4A01G059500;TraesCS2D01G200700;TraesCS7A01G466600;TraesCS3D01G426300;TraesCS4A01G236700;TraesCS2A01G286500;TraesCS3B01G083400;TraesCS3D01G231200;TraesCS4D01G022600;TraesCS7D01G449900;TraesCS4B01G114800;TraesCS2B01G271300;TraesCS7D01G338600;TraesCS6A01G373400;TraesCS3A01G036800;TraesCS3D01G384700;TraesCS3D01G436100;TraesCS7A01G260600;TraesCS4A01G226900;TraesCS3D01G359500;TraesCS6B01G371500;TraesCS2A01G392900;TraesCS5D01G372500;TraesCS5A01G106900;TraesCS6B01G169300;TraesCS1B01G377800;TraesCS4A01G023500;TraesCS2B01G505400;TraesCS2B01G528300;TraesCS4A01G101200;TraesCS6D01G357100;TraesCS4D01G088200;TraesCS5A01G192000;TraesCS6D01G122800;TraesCS7B01G181200;TraesCS2D01G241800;TraesCS4B01G056700;TraesCS6B01G253900;TraesCS4D01G013900;TraesCS5B01G378700;TraesCS1A01G376400;TraesCS3B01G401100;TraesCS5B01G102600;TraesCS2B01G186400;TraesCS3A01G134100;TraesCS2B01G004000;TraesCS2D01G361800;TraesCS7D01G300000;TraesCS2A01G149600;TraesCS7D01G327700;TraesCS6B01G315800;TraesCS4D01G246700;TraesCS6D01G301300;TraesCS2B01G340300;TraesCS1A01G180200;TraesCS3B01G362100;TraesCS3D01G495100;TraesCS5A01G420600;TraesCS2D01G380900;TraesCS2D01G487700;TraesCS3B01G331600;TraesCS1D01G241800;TraesCS6D01G182200;TraesCS4B01G204500;TraesCS3D01G275600;TraesCS1A01G206600;TraesCS1A01G313500;TraesCS2D01G310000;TraesCS2A01G203100;TraesCS5B01G476900;TraesCS1A01G145000;TraesCS3A01G443700;TraesCS6A01G237800;TraesCS2D01G519500;TraesCS2B01G227800;TraesCS3A01G112300;TraesCS4A01G197700;TraesCS4A01G283000;TraesCS3B01G132000;TraesCS5A01G173700;TraesCS7B01G242200;TraesCS2D01G132100;TraesCS5D01G496400;TraesCS3A01G530100;TraesCS7D01G413700;TraesCS4B01G138800;TraesCS2B01G404600;TraesCS7A01G304400;TraesCS6B01G285500;TraesCS1A01G225100;TraesCS1B01G214700;TraesCS5A01G157000;TraesCS7A01G560200;TraesCS2A01G273400;TraesCS3A01G398000;TraesCS2D01G065300;TraesCS1B01G110400;TraesCS5A01G212500;TraesCS5B01G182500;TraesCS6B01G242800;TraesCS1B01G200300;TraesCS1B01G317500;TraesCS4A01G232300;TraesCS5D01G258900;TraesCS1B01G156600;TraesCS3A01G184800;TraesCS7A01G143900;TraesCS1B01G383200;TraesCS2A01G521400;TraesCS5D01G474200;TraesCS6D01G091600;TraesCS5A01G059900;TraesCS6B01G450500;TraesCS2B01G363200;TraesCS4B01G242800;TraesCS6A01G290600;TraesCS1A01G315900;TraesCS1A01G249100;TraesCS2A01G226000;TraesCS2B01G107200;TraesCS4D01G115600;TraesCS6A01G070700;TraesCS2A01G557600;TraesCS4A01G268900;TraesCS1D01G086600;TraesCS2B01G133500;TraesCS1B01G422200;TraesCS2A01G289800;TraesCS4D01G317900;TraesCS7B01G020100;TraesCS1A01G382900;TraesCS6B01G348700;TraesCS3A01G232700;TraesCS3D01G150600;TraesCS7B01G100000;TraesCS6D01G221400;TraesCS3A01G251200;TraesCS4A01G315700;TraesCS5A01G056400;TraesCS1A01G263400;TraesCS6B01G192500;TraesCS6A01G026600;TraesCS2B01G273900;TraesCS6D01G186800;TraesCS6D01G104100;TraesCS2A01G523600;TraesCS4A01G324400;TraesCS6B01G344100;TraesCS2D01G057900;TraesCS7B01G169100;TraesCS1D01G134300;TraesCS6D01G364900;TraesCS5D01G231200;TraesCS6D01G299200;TraesCS5A01G235800;TraesCS7B01G218300;TraesCS3A01G069900;TraesCS2A01G391400;TraesCS3B01G306000;TraesCS5B01G155100;TraesCS3D01G304800;TraesCS4A01G276300;TraesCS5A01G036600;TraesCS4D01G194400;TraesCS4D01G301300;TraesCS2B01G273700;TraesCS2B01G145700;TraesCS5D01G164800;TraesCS2B01G294600;TraesCS6A01G292800;TraesCS5A01G324200;TraesCS1B01G293500;TraesCS6B01G104600;TraesCS3B01G398300;TraesCS2D01G300400;TraesCS7B01G097000;TraesCS1A01G158500;TraesCS4D01G086000;TraesCS3A01G389100;TraesCS1A01G284300;TraesCS1D01G353100;TraesCS2A01G545600;TraesCS6B01G171600;TraesCS1B01G434400;TraesCS4B01G073200;TraesCS5B01G110000;TraesCS7D01G280600;TraesCS3B01G426600;TraesCS4D01G348600;TraesCS1B01G269400;TraesCS1A01G309200;TraesCS5A01G222500;TraesCS5B01G320100;TraesCS6D01G213800;TraesCS4B01G380800;TraesCS6A01G163500;TraesCS2A01G487900;TraesCS5D01G336000;TraesCS2B01G260800;TraesCS2D01G324900;TraesCS3B01G014900;TraesCS7A01G036200;TraesCS7D01G292000;TraesCS6D01G165800;TraesCS2A01G246200;TraesCS2A01G366900;TraesCS5B01G175800;TraesCS6B01G191500;TraesCS1D01G119400;TraesCS2A01G247300;TraesCS5A01G165700;TraesCS2A01G400900;TraesCS2B01G152100;TraesCS5A01G378000;TraesCS1D01G210200;TraesCS4A01G226500;TraesCS5B01G531900;TraesCS1B01G146200;TraesCS3B01G398000;TraesCS2D01G014800;TraesCS1D01G051300;TraesCS4D01G153900;TraesCS7B01G240200;TraesCS2A01G262700;TraesCS7D01G293100;TraesCS3A01G228000;TraesCS4A01G065400;TraesCS3A01G301600;TraesCS2A01G245100;TraesCS5D01G532100;TraesCS6B01G132300;TraesCS2B01G234500;TraesCS1D01G376900;TraesCS4D01G135000;TraesCS6A01G133100;TraesCS5B01G171200;TraesCS7A01G323200;TraesCS5D01G201300;TraesCS3A01G205100;TraesCS2B01G220100;TraesCS3A01G103100;TraesCS3A01G394600;TraesCS3D01G428300;TraesCS5B01G142900;TraesCS5B01G159100;TraesCS6B01G112700;TraesCS1B01G263400;TraesCS3A01G229100;TraesCS5A01G128300;TraesCS4D01G292900;TraesCS5A01G149000;TraesCS6A01G354500;TraesCS2D01G112000;TraesCS2B01G233400;TraesCS6B01G418500;TraesCS2A01G193800;TraesCS4D01G184400;TraesCS6B01G262800;TraesCS7B01G114100;TraesCS6D01G390000;TraesCS5D01G399800;TraesCS7D01G454200;TraesCS7A01G555700;TraesCS4D01G151500;TraesCS7B01G215000;TraesCS5A01G014500;TraesCS6A01G420100;TraesCS7B01G464900;TraesCSU01G093800;TraesCS1A01G437500;TraesCS3A01G303800;TraesCS6A01G319700;TraesCS4D01G009100;TraesCS6D01G357600;TraesCS2A01G027000;TraesCS4B01G373400;TraesCS6D01G298300;TraesCS7A01G151000;TraesCS4D01G085900;TraesCS7D01G153000;TraesCS4B01G134600;TraesCS4D01G160200;TraesCS3B01G140800;TraesCS5B01G484800;TraesCS1A01G102300;TraesCS2B01G130300;TraesCS5A01G472100;TraesCS7B01G117600;TraesCS5D01G396300;TraesCS6A01G364300;TraesCS5D01G420300;TraesCS3B01G425900;TraesCS4A01G062100;TraesCS3D01G210300;TraesCS1D01G409700;TraesCS4A01G167000;TraesCS1D01G396300;TraesCS2B01G405600;TraesCS5B01G562200;TraesCS5B01G171400;TraesCS2A01G066800;TraesCS2B01G382000;TraesCS1B01G196500;TraesCS6A01G373200;TraesCS6B01G282200;TraesCS1D01G113900;TraesCS3D01G065800;TraesCS5D01G149900;TraesCS3A01G332300;TraesCS2D01G251000;TraesCS1D01G315700;TraesCS4A01G077600;TraesCS2A01G387400;TraesCS6A01G321600;TraesCS5A01G416400;TraesCS7B01G317000;TraesCS7A01G316700;TraesCS6A01G101700;TraesCS1D01G325500;TraesCS6A01G212200;TraesCS1A01G246800;TraesCS4A01G042500;TraesCS2A01G157700;TraesCS5D01G444500;TraesCS5D01G100800;TraesCS2D01G356700;TraesCS7A01G327600;TraesCS6B01G159800;TraesCS7A01G490900;TraesCS6D01G244900;TraesCS7B01G226100;TraesCS6A01G234000;TraesCS5B01G479200;TraesCS3D01G421500;TraesCS2B01G375700;TraesCS2A01G592600;TraesCS5B01G413400;TraesCS4A01G078900;TraesCS3A01G214000;TraesCS3D01G327600;TraesCS5D01G161800;TraesCS1A01G195500;TraesCS2B01G328500;TraesCS3B01G430000;TraesCS3B01G344200;TraesCS6D01G344100;TraesCS2D01G148200;TraesCS7D01G364400;TraesCS4B01G089500;TraesCS3B01G061700;TraesCS7B01G242800;TraesCS2B01G154700;TraesCS2D01G253200;TraesCS4A01G193700;TraesCS5D01G412700;TraesCS2A01G159900;TraesCS5B01G036800;TraesCS2A01G132200;TraesCS4A01G342800;TraesCS5A01G230400;TraesCS4B01G041900;TraesCS4B01G383000;TraesCS6A01G279100;TraesCS6D01G408000;TraesCS7D01G373100;TraesCS3D01G379000;TraesCS2D01G202200;TraesCS4D01G160000;TraesCS1D01G314600;TraesCS5B01G094300;TraesCS3A01G082700;TraesCS5A01G545600;TraesCS5D01G157300;TraesCS7A01G325400;TraesCS3B01G303000;TraesCS4B01G088400;TraesCS1A01G299500;TraesCS4D01G003600;TraesCS2D01G065100;TraesCS6D01G301400;TraesCS2D01G049500;TraesCS2D01G477200;TraesCS3B01G442200;TraesCS5B01G205700;TraesCS4B01G015600;TraesCS7B01G321700;TraesCS2B01G514800;TraesCS3A01G478100;TraesCS2B01G346500;TraesCS7B01G363100;TraesCS7D01G072100;TraesCS4A01G310600;TraesCS6B01G470700;TraesCS1D01G203500;TraesCS5D01G124400;TraesCS2B01G246900;TraesCS5D01G481500;TraesCS2D01G492600;TraesCS4B01G050600;TraesCSU01G072700;TraesCS3A01G202000;TraesCS7A01G461700;TraesCS2A01G037200;TraesCS4B01G288200;TraesCS2B01G410600;TraesCS6D01G398100;TraesCS4D01G342400;TraesCS6A01G143300;TraesCS4A01G283700;TraesCS7D01G188300;TraesCS5D01G366500;TraesCS6A01G040400;TraesCS4B01G220400;TraesCS4D01G214300;TraesCS3B01G185300;TraesCS5A01G501800;TraesCS7A01G264300;TraesCS1D01G316200;TraesCS7A01G419600;TraesCS5B01G322900;TraesCS2D01G447800;TraesCS5B01G132900;TraesCS6B01G342400;TraesCS2A01G280500;TraesCS6B01G141400;TraesCS3B01G299100;TraesCS2B01G401900;TraesCS1B01G368500;TraesCS1A01G264000;TraesCS3A01G052700;TraesCS5B01G058200;TraesCS7D01G483600;TraesCS5A01G424400;TraesCS2B01G369600;TraesCS2D01G242100;TraesCS5A01G484700;TraesCS3A01G189400;TraesCS6B01G259800;TraesCS1A01G258800;TraesCS3D01G527700;TraesCS7A01G341000;TraesCS2B01G286100;TraesCS5D01G242900;TraesCS1B01G408600;TraesCS7B01G189500;TraesCS2D01G232300;TraesCS3D01G240800;TraesCS5D01G121100;TraesCS3B01G252200;TraesCS7A01G004000;TraesCS3B01G088300;TraesCS5A01G123700;TraesCS2A01G233300;TraesCS1B01G344300;TraesCS4D01G122800;TraesCS5D01G144600;TraesCS3B01G435900;TraesCS2B01G264100;TraesCS6A01G158800;TraesCS2B01G304900;TraesCS5B01G127300;TraesCS1A01G198400;TraesCS3D01G203400;TraesCS5D01G459800;TraesCS3A01G191700;TraesCS3A01G266100;TraesCS6D01G215100;TraesCS4B01G153500;TraesCS4B01G290300;TraesCS2D01G304000;TraesCS2A01G128300;TraesCS5D01G094000;TraesCS2D01G105300;TraesCS2B01G153800;TraesCS6A01G314900;TraesCS5A01G489100;TraesCS5D01G470400;TraesCS2B01G451100;TraesCS6B01G470900;TraesCS2D01G320900;TraesCS7B01G176200;TraesCS1B01G290800;TraesCS3A01G212000;TraesCS4D01G085700;TraesCS5B01G501200;TraesCS2A01G387800;TraesCS1A01G361400;TraesCS2A01G358000;TraesCS2B01G405200;TraesCS2D01G205900;TraesCS5A01G213000;TraesCS2A01G278000;TraesCS3B01G209400;TraesCS5D01G229900;TraesCS5D01G135900;TraesCS4A01G058000;TraesCS1B01G220700;TraesCS6B01G352400;TraesCS4A01G367700;TraesCS5D01G366700;TraesCS1D01G244400;TraesCS3A01G402500;TraesCS5D01G551200;TraesCS4D01G157900;TraesCS3B01G439000;TraesCS6A01G040200;TraesCS1A01G137000;TraesCS5D01G169900;TraesCS7D01G450700;TraesCS6A01G110000;TraesCS7A01G381900;TraesCS6D01G405600;TraesCS3B01G254200;TraesCS7A01G450600;TraesCS4D01G199300;TraesCS3D01G228900;TraesCS3D01G083400;TraesCS5D01G113700;TraesCS5D01G484800;TraesCS2D01G231000;TraesCS4B01G164800;TraesCS4D01G057000;TraesCS5B01G037500;TraesCS1D01G454500;TraesCS1A01G259700;TraesCS4A01G364400;TraesCS2B01G174700;TraesCS2A01G234200;TraesCS3B01G257700;TraesCS6B01G223200;TraesCS4B01G244400;TraesCS7A01G204000;TraesCS7A01G390400;TraesCS4D01G152000;TraesCS7D01G378400;TraesCS2A01G150000;TraesCS4A01G144500;TraesCS7A01G260100;TraesCS5D01G437600;TraesCSU01G131300;TraesCS1D01G258800;TraesCS2D01G226900;TraesCS5D01G189500;TraesCS1D01G117400;TraesCS3D01G514100;TraesCS5A01G414400;TraesCS7D01G343300;TraesCS6D01G147700;TraesCS7A01G335600;TraesCS3D01G051800;TraesCS5D01G341200;TraesCS5A01G020800;TraesCS7B01G269300;TraesCS2D01G096900;TraesCS3D01G091000;TraesCS7A01G062100;TraesCS3A01G028600;TraesCS4A01G141000;TraesCS6A01G319100;TraesCS7A01G226000;TraesCS7A01G452800;TraesCS7A01G568800;TraesCS6B01G419000;TraesCSU01G132400;TraesCS3A01G488100;TraesCS7B01G421100;TraesCS1A01G314100;TraesCS5B01G316400;TraesCS4D01G292300;TraesCS5B01G360200;TraesCS1A01G129400;TraesCS6A01G272300;TraesCS1A01G165700;TraesCS6A01G360600;TraesCS1D01G411300;TraesCS3B01G224600;TraesCS7A01G351100;TraesCS5A01G032500;TraesCS4A01G163400;TraesCS7A01G238400;TraesCS4A01G184100;TraesCS5A01G513500;TraesCS5D01G359800;TraesCS5B01G141000;TraesCS1A01G445800;TraesCS6A01G380200;TraesCS1B01G472100;TraesCS6B01G159200;TraesCS5B01G227900;TraesCS2B01G469400;TraesCS6A01G311200;TraesCS6A01G418800;TraesCS7A01G350000;TraesCS5B01G156500;TraesCS5B01G431500;TraesCS6D01G204800;TraesCSU01G121900;TraesCS7D01G209600;TraesCS2D01G417300;TraesCS3B01G112900;TraesCS5B01G496000;TraesCS3B01G131400;TraesCS7D01G290500;TraesCS2D01G065600;TraesCS4D01G244000;TraesCS4D01G133500;TraesCS7D01G235900;TraesCS6D01G320800;TraesCS7A01G088100;TraesCS5A01G549700;TraesCS7D01G549100;TraesCS5B01G146700;TraesCS4B01G193100;TraesCS2A01G563500;TraesCS2D01G399800;TraesCS1B01G255100;TraesCS3A01G210000;TraesCS5D01G193000;TraesCS1A01G157500;TraesCS3A01G321900;TraesCS6D01G224200;TraesCS3B01G335000;TraesCS6B01G219700;TraesCS7D01G313600;TraesCS6A01G379000;TraesCS6B01G286300;TraesCS5B01G111800;TraesCS3A01G103900;TraesCS5A01G189100;TraesCS4B01G090000;TraesCS5A01G482800;TraesCS7A01G321900;TraesCS3D01G060600;TraesCS6B01G039900;TraesCS5A01G305400;TraesCS3B01G568500;TraesCS5A01G454300;TraesCS5D01G265500;TraesCS6A01G382400;TraesCS1A01G099400;TraesCS1B01G254000;TraesCS3A01G513500;TraesCS2D01G587100;TraesCS2A01G103300;TraesCS1D01G412600;TraesCS4D01G359000;TraesCS4A01G015800;TraesCSU01G129600;TraesCS1A01G007500;TraesCS3D01G414600;TraesCS7B01G363600;TraesCS1D01G229400;TraesCS6A01G303800;TraesCS4B01G285000;TraesCS6B01G393600;TraesCS3B01G246600;TraesCS5D01G071300;TraesCS6D01G135800;TraesCS3A01G077600;TraesCS5A01G547300;TraesCS2B01G079400;TraesCS2A01G239000;TraesCS2D01G237600;TraesCS2B01G501300;TraesCS4A01G091100;TraesCS7D01G554900;TraesCS2D01G349600;TraesCS4A01G194100;TraesCS5A01G466100;TraesCS4D01G341900;TraesCS2B01G309400;TraesCS5D01G143800;TraesCS1D01G280900;TraesCS5D01G164500;TraesCS2A01G437700;TraesCS3A01G275700;TraesCS3D01G311800;TraesCS1A01G365600;TraesCS1A01G206900;TraesCS3B01G214600;TraesCS2B01G221800;TraesCS5A01G114600;TraesCS2D01G295500;TraesCS3A01G336100;TraesCS2A01G222600;TraesCS2D01G238700;TraesCS2A01G448600;TraesCS1D01G433300;TraesCS7B01G135600;TraesCS1B01G396800;TraesCS5D01G505700;TraesCS7D01G278800;TraesCS2A01G067200;TraesCS5A01G173800;TraesCS2A01G235900;TraesCS2B01G272300;TraesCS7D01G148200;TraesCS2A01G344500;TraesCS4B01G091100;TraesCS5B01G099300;TraesCS2D01G249600;TraesCS3A01G272200;TraesCS4A01G185400;TraesCS6B01G365300;TraesCS2D01G133500;TraesCS4A01G387000;TraesCS4B01G355100;TraesCS4A01G452700;TraesCS2A01G097600;TraesCS5B01G503800;TraesCS7D01G200800;TraesCS7D01G410100;TraesCS5A01G296200;TraesCS6D01G259500;TraesCS4A01G238100;TraesCS1D01G392400;TraesCS5B01G377700;TraesCS3D01G159100;TraesCS1D01G352300;TraesCS1D01G356900;TraesCS4A01G051900;TraesCS1D01G445300;TraesCS3A01G200400;TraesCS3D01G114000;TraesCS2A01G492300;TraesCS5B01G509100;TraesCS6D01G132500;TraesCS6D01G210000;TraesCS5D01G357600;TraesCS5B01G214400;TraesCS2B01G229500;TraesCS4D01G039100;TraesCS1A01G049300;TraesCS5B01G504900;TraesCS2A01G478000;TraesCS2B01G312600;TraesCS3B01G363500;TraesCS4B01G379300;TraesCS4B01G276500;TraesCS2D01G208300;TraesCS7D01G152900;TraesCS2D01G488700;TraesCS5B01G397300;TraesCS6B01G115200;TraesCS1D01G298400;TraesCS2B01G515500;TraesCS4B01G117800;TraesCS6B01G344600;TraesCS1A01G431600;TraesCS3A01G362600;TraesCS1A01G133500;TraesCS4B01G220500;TraesCS7A01G239700;TraesCS1A01G100600;TraesCS6B01G173500;TraesCS1D01G125300;TraesCS6D01G238800;TraesCS7D01G499800;TraesCS3D01G482500;TraesCS2B01G377300;TraesCS2B01G079200;TraesCS2D01G296800;TraesCS3D01G264800;TraesCS1D01G155100;TraesCS3A01G212600;TraesCS7A01G223300;TraesCS1B01G261600;TraesCS5B01G159600;TraesCS1D01G226500;TraesCS5B01G194600;TraesCS5A01G092400;TraesCS4B01G168300;TraesCS3D01G300300;TraesCS1D01G124600;TraesCS2B01G376600;TraesCS4B01G158500;TraesCS7B01G093800;TraesCS4B01G045700;TraesCS4B01G286700;TraesCS4B01G133200;TraesCS6B01G299800;TraesCS5A01G490800;TraesCS2A01G058700;TraesCS5A01G215900;TraesCS2B01G343900;TraesCS6B01G251600;TraesCS4D01G021400;TraesCS4D01G147500;TraesCS7D01G083900;TraesCS4D01G348500;TraesCS6A01G130900;TraesCS2D01G079600;TraesCS2B01G385300;TraesCS4B01G354600;TraesCS5A01G429500;TraesCS3B01G161900;TraesCS2B01G295400;TraesCS5A01G264400;TraesCS1A01G060100;TraesCS2D01G065200;TraesCS7A01G120300;TraesCS2D01G236100;TraesCS6A01G203700;TraesCS5B01G335500;TraesCS2A01G102600;TraesCS7B01G451500;TraesCS7D01G174700;TraesCS2B01G050600;TraesCS6A01G312100;TraesCS5B01G263800;TraesCS1A01G086500;TraesCS4A01G264400;TraesCS2D01G385000;TraesCS3D01G124400;TraesCS5D01G504600;TraesCS4B01G028100;TraesCS4B01G341300;TraesCS5D01G208100;TraesCS7D01G349600;TraesCS2A01G098500;TraesCS2A01G430500;TraesCS6D01G172500;TraesCS5D01G148400;TraesCS4A01G197600;TraesCS1D01G303800;TraesCS7D01G004500;TraesCS1A01G001800;TraesCS1A01G095200;TraesCS2B01G297800;TraesCS1D01G144000;TraesCS2A01G252600;TraesCS7B01G230100;TraesCS2B01G457600;TraesCS4D01G275500;TraesCS2A01G149500;TraesCS3D01G220400;TraesCS2B01G157600;TraesCS2B01G415600;TraesCS3D01G259000;TraesCS3A01G023800;TraesCS1D01G440900;TraesCS3A01G367000;TraesCS7B01G111000;TraesCS2A01G129900;TraesCS2A01G114400;TraesCS5B01G155200;TraesCS6A01G314100;TraesCS4D01G194300;TraesCS4D01G234800;TraesCS3D01G325800;TraesCS4B01G179400;TraesCS5D01G078500;TraesCS6B01G089500;TraesCS4B01G154100;TraesCS3A01G275300;TraesCS5A01G548800;TraesCS1D01G124400;TraesCS6D01G130500;TraesCS3D01G162700;TraesCS2A01G387000;TraesCS3A01G097200;TraesCS5B01G344200;TraesCS5A01G328900;TraesCS2D01G182700;TraesCS3A01G100000;TraesCS4D01G067600;TraesCS5B01G418700;TraesCS6D01G174700;TraesCS7D01G119700;TraesCS7D01G161000;TraesCS3B01G309400;TraesCS1D01G030500;TraesCS3A01G530000;TraesCS3B01G229700;TraesCS1D01G404400;TraesCS3D01G232600;TraesCS4B01G115800;TraesCS6B01G319000;TraesCS7D01G442100;TraesCS3B01G180600;TraesCS5A01G429300;TraesCS7D01G339600;TraesCS3D01G068900;TraesCS3D01G326900;TraesCS6D01G291600;TraesCS2D01G229600;TraesCS4B01G321300;TraesCS2D01G249200;TraesCS5D01G201900;TraesCS6B01G065300;TraesCS6A01G267300;TraesCS2A01G254600;TraesCS6A01G408400;TraesCS2B01G098800;TraesCS3A01G304900;TraesCS4D01G263300;TraesCS5B01G220900;TraesCS4B01G344600;TraesCS1D01G217600;TraesCS2A01G296400;TraesCS7D01G193000;TraesCS2D01G126600;TraesCS5B01G295200;TraesCSU01G009200;TraesCS3A01G405300;TraesCS2A01G215000;TraesCS2B01G321700;TraesCS6A01G117300;TraesCS6D01G152700;TraesCS1D01G260200;TraesCS7A01G342800;TraesCS5D01G105500;TraesCS1B01G213300;TraesCS1A01G111100;TraesCS4A01G164900;TraesCS5A01G223700;TraesCS5B01G136500;TraesCS5A01G059800;TraesCS2B01G122500;TraesCS4D01G115500;TraesCS5B01G510500;TraesCS7A01G108600;TraesCS2B01G410100;TraesCS5A01G515700;TraesCS5D01G223700;TraesCS6B01G151900;TraesCS7A01G314100;TraesCS7B01G124100;TraesCS1D01G199100;TraesCS5B01G147600;TraesCS2B01G179800;TraesCS1D01G367600;TraesCS2A01G297500;TraesCS6D01G174500;TraesCS5A01G418200;TraesCS6A01G210200;TraesCS6D01G195400;TraesCS7A01G421400;TraesCS3B01G470400;TraesCS2A01G239200;TraesCS6D01G193000;TraesCS1B01G155600;TraesCS2A01G216100;TraesCS7A01G329600;TraesCS5B01G074200;TraesCS4B01G203100;TraesCS5B01G481100;TraesCS4A01G105500;TraesCS6A01G269700;TraesCS2B01G270300;TraesCS1A01G020500;TraesCS3B01G072200;TraesCS4A01G057600;TraesCS7D01G130500;TraesCS2B01G293400;TraesCS6B01G231600;TraesCS6B01G189000;TraesCS7D01G000100;TraesCS5A01G524400;TraesCS4B01G029400;TraesCS4D01G242400;TraesCS5B01G121000;TraesCS7B01G207300</t>
  </si>
  <si>
    <t>TraesCS3B01G014900;TraesCS7D01G292000;TraesCS5B01G484700;TraesCS5B01G249000;TraesCS6B01G454500;TraesCS5B01G175800;TraesCS6B01G191500;TraesCS5B01G228300;TraesCS2A01G249600;TraesCS5A01G165700;TraesCS6D01G344200;TraesCS5A01G378000;TraesCS1D01G210200;TraesCS4B01G238900;TraesCS3B01G398000;TraesCS4B01G213600;TraesCS2D01G014800;TraesCS4D01G147100;TraesCS7B01G240200;TraesCS6B01G249700;TraesCS2A01G262700;TraesCS7D01G293100;TraesCS4A01G065400;TraesCS4D01G174500;TraesCS3A01G301600;TraesCS5D01G532100;TraesCS7A01G190700;TraesCS2B01G234500;TraesCS6A01G000900;TraesCS4D01G135000;TraesCS5B01G324800;TraesCS6A01G133100;TraesCS5B01G171200;TraesCS3B01G219700;TraesCS3A01G205100;TraesCS2B01G220100;TraesCS4A01G286700;TraesCS5B01G381600;TraesCS3D01G428300;TraesCS7B01G186500;TraesCS3A01G426600;TraesCS5A01G128300;TraesCS4D01G292900;TraesCS5A01G149000;TraesCS2B01G233400;TraesCS2A01G066700;TraesCS2A01G193800;TraesCS4D01G184400;TraesCS5D01G026000;TraesCS7B01G114100;TraesCS3D01G296900;TraesCS4D01G220700;TraesCS6D01G390000;TraesCS4A01G132200;TraesCS6D01G287300;TraesCS4A01G101500;TraesCS5A01G251000;TraesCS6A01G225200;TraesCS2B01G257300;TraesCS4D01G204000;TraesCSU01G093800;TraesCS1A01G437500;TraesCS4D01G025700;TraesCS5A01G093200;TraesCS6A01G319700;TraesCS4D01G009100;TraesCS5D01G169600;TraesCS7D01G224400;TraesCS4D01G085900;TraesCS5B01G171100;TraesCS4B01G134600;TraesCS3B01G240500;TraesCS5D01G178300;TraesCS2A01G313000;TraesCS4D01G181000;TraesCS6D01G047400;TraesCS1D01G175000;TraesCS5A01G229300;TraesCS3B01G425900;TraesCS3D01G210300;TraesCS1D01G409700;TraesCS4A01G167000;TraesCS2B01G405600;TraesCS7B01G142700;TraesCS7D01G283600;TraesCS2A01G066800;TraesCS3A01G332300;TraesCS2D01G251000;TraesCS1D01G013100;TraesCS2D01G383800;TraesCS6B01G238600;TraesCS6A01G321600;TraesCS7A01G222800;TraesCS7A01G316700;TraesCS1A01G403800;TraesCS4D01G132900;TraesCS5B01G162800;TraesCS6A01G212200;TraesCS2A01G214300;TraesCS1A01G246800;TraesCS5A01G165400;TraesCS7A01G190500;TraesCS6D01G244900;TraesCS7B01G226100;TraesCS4D01G081600;TraesCS6A01G158300;TraesCS3D01G421500;TraesCS5D01G117100;TraesCS3A01G224800;TraesCS5D01G321900;TraesCS2B01G520500;TraesCS5A01G315800;TraesCS3B01G276700;TraesCS5A01G357400;TraesCS3A01G214000;TraesCS1A01G195500;TraesCS2B01G328500;TraesCS3B01G344200;TraesCS2D01G148200;TraesCS4B01G089500;TraesCS2A01G467900;TraesCS2B01G154700;TraesCS7B01G217500;TraesCS5B01G036800;TraesCS2A01G132200;TraesCS4A01G342800;TraesCS4B01G041900;TraesCS2D01G136100;TraesCS3A01G288200;TraesCS6D01G408000;TraesCS7D01G373100;TraesCS2B01G325100;TraesCS3A01G082700;TraesCS4A01G005000;TraesCS7A01G325400;TraesCS3A01G268600;TraesCS4B01G088400;TraesCS4D01G003600;TraesCS2D01G065100;TraesCS2A01G517900;TraesCS7D01G227300;TraesCS5A01G229500;TraesCS4B01G015600;TraesCS2B01G346500;TraesCS7D01G072100;TraesCS6B01G470700;TraesCS5D01G412600;TraesCS5D01G481500;TraesCS2D01G492600;TraesCSU01G072700;TraesCS2A01G037200;TraesCS7A01G276400;TraesCS3B01G441000;TraesCS5D01G530200;TraesCS6A01G143300;TraesCS5A01G119300;TraesCS5D01G366500;TraesCS4B01G220400;TraesCS4D01G214300;TraesCS1A01G076000;TraesCS7A01G419600;TraesCS5B01G322900;TraesCS3A01G220000;TraesCS2A01G280500;TraesCS3A01G381000;TraesCS1A01G092700;TraesCS2A01G187200;TraesCS3A01G151100;TraesCS1B01G368500;TraesCS3A01G075700;TraesCS4D01G129300;TraesCS7A01G307000;TraesCS1D01G241000;TraesCS3A01G052700;TraesCS4A01G062200;TraesCS7B01G197000;TraesCS3D01G176600;TraesCS6A01G209800;TraesCS1A01G241000;TraesCS2B01G369600;TraesCS5A01G484700;TraesCS7A01G341000;TraesCS5B01G197300;TraesCS1A01G036200;TraesCS7B01G189500;TraesCS7B01G129300;TraesCS3A01G435700;TraesCS4D01G025300;TraesCS4D01G122800;TraesCS5D01G144600;TraesCS5D01G238300;TraesCS6B01G256400;TraesCS3D01G228800;TraesCS7D01G407700;TraesCS6A01G158800;TraesCS5B01G127300;TraesCS1A01G198400;TraesCS3D01G201100;TraesCS3A01G191700;TraesCS1D01G211600;TraesCS5D01G094000;TraesCS7D01G231600;TraesCS6B01G294700;TraesCS7B01G006600;TraesCSU01G019900;TraesCS1B01G253500;TraesCS5D01G237400;TraesCS6B01G470900;TraesCS2D01G320900;TraesCS1B01G290800;TraesCS3A01G212000;TraesCS4D01G085700;TraesCS5B01G132600;TraesCS2A01G387800;TraesCS6D01G094200;TraesCS4B01G129700;TraesCS2D01G205900;TraesCS5A01G213000;TraesCS5D01G229900;TraesCS5D01G135900;TraesCS2D01G194000;TraesCS1B01G220700;TraesCS6A01G308100;TraesCS6B01G352400;TraesCS4A01G367700;TraesCS1D01G003700;TraesCS5D01G551200;TraesCS3A01G427900;TraesCS3B01G439000;TraesCS6B01G134800;TraesCS3D01G271800;TraesCS3D01G288000;TraesCS5D01G169900;TraesCS2A01G342600;TraesCS2B01G602100;TraesCS5B01G563800;TraesCS7A01G450600;TraesCS4D01G199300;TraesCS4D01G003100;TraesCS2B01G079500;TraesCS3D01G083400;TraesCS5D01G113700;TraesCS2D01G279300;TraesCS5A01G132300;TraesCS3B01G370200;TraesCS2D01G231000;TraesCS4B01G164800;TraesCS1D01G383500;TraesCS2D01G327400;TraesCS4A01G227500;TraesCS1A01G259700;TraesCS1B01G019300;TraesCS3D01G423400;TraesCS6A01G146500;TraesCS5D01G424400;TraesCS6A01G188100;TraesCSU01G131300;TraesCS5D01G189500;TraesCS6D01G283300;TraesCS3D01G514100;TraesCS5A01G416700;TraesCS1B01G182400;TraesCS5B01G256400;TraesCS7D01G343300;TraesCS6A01G231900;TraesCS7A01G335600;TraesCS4B01G138200;TraesCS2D01G214700;TraesCS2D01G096900;TraesCS5D01G329200;TraesCS3A01G271600;TraesCS4B01G131800;TraesCS6A01G319100;TraesCS6D01G051300;TraesCS7A01G568800;TraesCS1A01G281700;TraesCS1D01G198700;TraesCS7B01G421100;TraesCS5B01G316400;TraesCS4D01G292300;TraesCS4A01G093100;TraesCS1A01G165700;TraesCS2A01G277000;TraesCS4B01G252400;TraesCS4A01G125000;TraesCS1D01G411300;TraesCS7A01G351100;TraesCS5D01G388000;TraesCS5D01G219500;TraesCS2D01G362500;TraesCS7A01G238400;TraesCS1D01G101200;TraesCS4A01G184100;TraesCS5A01G513500;TraesCS1B01G472100;TraesCS6B01G159200;TraesCS5B01G227900;TraesCS6A01G418800;TraesCS7D01G276300;TraesCS5A01G467500;TraesCS2D01G417300;TraesCS3B01G112900;TraesCS2B01G457300;TraesCS3B01G131400;TraesCS2D01G065600;TraesCS2A01G206200;TraesCS7A01G294200;TraesCS7D01G549100;TraesCS5B01G146700;TraesCS4B01G193100;TraesCS7B01G350400;TraesCS1B01G255100;TraesCS3A01G210000;TraesCS3B01G362500;TraesCS3A01G321900;TraesCS3B01G335000;TraesCS4B01G172500;TraesCS6B01G286300;TraesCS5B01G111800;TraesCS7A01G525400;TraesCS3D01G060600;TraesCS6A01G289200;TraesCS2B01G330100;TraesCS6A01G105400;TraesCS3B01G568500;TraesCS5A01G454300;TraesCS1B01G254000;TraesCS3A01G513500;TraesCS5D01G230300;TraesCS2B01G070700;TraesCS1D01G412600;TraesCS4D01G359000;TraesCS4A01G298100;TraesCS1A01G007500;TraesCS6A01G303800;TraesCS4B01G285000;TraesCS5A01G030400;TraesCS6B01G393600;TraesCS7B01G247200;TraesCS5D01G071300;TraesCS6D01G135800;TraesCS5A01G547300;TraesCS2B01G079400;TraesCS1B01G462200;TraesCS6B01G239000;TraesCS5B01G270200;TraesCS4A01G091100;TraesCS2D01G349600;TraesCS4A01G194100;TraesCS5A01G466100;TraesCS5B01G300100;TraesCS7D01G439900;TraesCS1D01G092200;TraesCS5D01G143800;TraesCS1D01G280900;TraesCS5D01G164500;TraesCS2A01G437700;TraesCS2D01G389900;TraesCS1A01G206900;TraesCS2D01G118000;TraesCS3D01G256700;TraesCS5A01G114600;TraesCS2D01G295500;TraesCS2A01G222600;TraesCS2D01G238700;TraesCS4D01G339700;TraesCS7D01G196000;TraesCS1D01G242500;TraesCS4B01G083600;TraesCS1B01G396800;TraesCS5D01G505700;TraesCS2A01G067200;TraesCS5A01G173800;TraesCS2B01G272300;TraesCS7D01G224900;TraesCS7D01G117800;TraesCS1B01G270800;TraesCS3A01G272200;TraesCS5A01G101900;TraesCS2B01G079100;TraesCS4B01G193400;TraesCS2A01G097600;TraesCS3D01G268700;TraesCS1D01G356900;TraesCS4A01G051900;TraesCS4A01G290400;TraesCS1D01G445300;TraesCS2A01G492300;TraesCS5A01G395200;TraesCS5B01G509100;TraesCS6D01G132500;TraesCS1A01G313300;TraesCS6D01G210000;TraesCS5B01G409700;TraesCS2B01G248100;TraesCS5D01G357600;TraesCS2D01G238600;TraesCS2A01G480200;TraesCS5B01G504900;TraesCS2B01G312600;TraesCS3D01G397100;TraesCS6B01G115200;TraesCS2B01G515500;TraesCS1A01G431600;TraesCS1A01G133500;TraesCS4D01G086400;TraesCS5B01G534400;TraesCS7A01G239700;TraesCS1A01G100600;TraesCS3D01G309400;TraesCS6B01G342300;TraesCS3B01G477300;TraesCS2D01G200700;TraesCS2B01G079200;TraesCS3D01G426300;TraesCS7A01G223300;TraesCS1B01G261600;TraesCS5A01G092400;TraesCS2B01G271300;TraesCS4B01G168300;TraesCS7D01G338600;TraesCS3D01G300300;TraesCS3A01G036800;TraesCS3D01G436100;TraesCS4B01G158500;TraesCS7B01G093800;TraesCS4B01G286700;TraesCS4A01G226900;TraesCS3D01G359500;TraesCS2A01G058700;TraesCS2B01G528300;TraesCS6D01G122800;TraesCS4D01G021400;TraesCS4D01G348500;TraesCS6A01G130900;TraesCS4D01G013900;TraesCS5B01G378700;TraesCS1A01G376400;TraesCS4B01G354600;TraesCS3B01G161900;TraesCS5B01G102600;TraesCS2B01G186400;TraesCS2B01G004000;TraesCS2D01G065200;TraesCS7D01G327700;TraesCS6B01G315800;TraesCS7A01G120300;TraesCS6D01G301300;TraesCS2D01G236100;TraesCS2B01G340300;TraesCS6A01G203700;TraesCS2D01G380900;TraesCS7B01G451500;TraesCS7D01G174700;TraesCS2B01G050600;TraesCS6A01G312100;TraesCS1D01G241800;TraesCS4B01G204500;TraesCS3D01G275600;TraesCS2D01G310000;TraesCS5B01G263800;TraesCS3A01G443700;TraesCS6A01G237800;TraesCS2D01G519500;TraesCS5D01G504600;TraesCS4B01G028100;TraesCS5A01G173700;TraesCS7B01G242200;TraesCS2B01G404600;TraesCS2B01G297800;TraesCS2A01G252600;TraesCS7A01G560200;TraesCS2B01G457600;TraesCS2D01G065300;TraesCS3D01G220400;TraesCS1B01G110400;TraesCS2B01G157600;TraesCS5A01G212500;TraesCS5B01G182500;TraesCS6B01G242800;TraesCS1B01G317500;TraesCS3A01G023800;TraesCS4A01G232300;TraesCS5D01G258900;TraesCS1D01G440900;TraesCS3A01G367000;TraesCS2A01G114400;TraesCS6B01G450500;TraesCS3D01G325800;TraesCS4B01G179400;TraesCS6A01G290600;TraesCS6B01G089500;TraesCS2B01G107200;TraesCS5A01G548800;TraesCS1D01G124400;TraesCS2A01G387000;TraesCS3A01G097200;TraesCS4A01G268900;TraesCS1D01G086600;TraesCS2B01G133500;TraesCS3A01G100000;TraesCS7D01G161000;TraesCS1D01G030500;TraesCS3A01G232700;TraesCS3D01G232600;TraesCS6B01G319000;TraesCS7B01G100000;TraesCS4A01G315700;TraesCS5A01G429300;TraesCS7D01G339600;TraesCS6B01G192500;TraesCS6D01G186800;TraesCS6B01G065300;TraesCS6A01G267300;TraesCS2A01G254600;TraesCS2A01G523600;TraesCS6A01G408400;TraesCS3A01G304900;TraesCS4D01G263300;TraesCS5B01G220900;TraesCS2D01G057900;TraesCS2A01G296400;TraesCS6D01G299200;TraesCSU01G009200;TraesCS3A01G405300;TraesCS6D01G152700;TraesCS1D01G260200;TraesCS5B01G155100;TraesCS7A01G342800;TraesCS3D01G304800;TraesCS4A01G276300;TraesCS5D01G105500;TraesCS1B01G213300;TraesCS4D01G194400;TraesCS5A01G059800;TraesCS5D01G164800;TraesCS2B01G294600;TraesCS5A01G324200;TraesCS7A01G108600;TraesCS1B01G293500;TraesCS2B01G410100;TraesCS1D01G199100;TraesCS5B01G147600;TraesCS1D01G367600;TraesCS2A01G297500;TraesCS3B01G398300;TraesCS6D01G174500;TraesCS6A01G210200;TraesCS6D01G195400;TraesCS2A01G239200;TraesCS1A01G284300;TraesCS5B01G481100;TraesCS6B01G171600;TraesCS1B01G434400;TraesCS4A01G105500;TraesCS6A01G269700;TraesCS7D01G280600;TraesCS5A01G222500;TraesCS6B01G231600;TraesCS4B01G380800;TraesCS7B01G207300;TraesCS2A01G487900</t>
  </si>
  <si>
    <t>TraesCS3B01G014900;TraesCS7D01G292000;TraesCS5B01G484700;TraesCS5B01G249000;TraesCS6B01G454500;TraesCS5B01G175800;TraesCS6B01G191500;TraesCS5B01G228300;TraesCS2A01G249600;TraesCS5A01G165700;TraesCS6D01G344200;TraesCS5A01G378000;TraesCS1D01G210200;TraesCS4B01G238900;TraesCS3B01G398000;TraesCS4B01G213600;TraesCS2D01G014800;TraesCS4D01G147100;TraesCS7B01G240200;TraesCS6B01G249700;TraesCS2A01G262700;TraesCS7D01G293100;TraesCS4A01G065400;TraesCS4D01G174500;TraesCS3A01G301600;TraesCS5D01G532100;TraesCS7A01G190700;TraesCS2B01G234500;TraesCS6A01G000900;TraesCS4D01G135000;TraesCS5B01G324800;TraesCS6A01G133100;TraesCS5B01G171200;TraesCS3B01G219700;TraesCS3A01G205100;TraesCS2B01G220100;TraesCS4A01G286700;TraesCS5B01G381600;TraesCS3D01G428300;TraesCS7B01G186500;TraesCS3A01G426600;TraesCS5A01G128300;TraesCS4D01G292900;TraesCS5A01G149000;TraesCS2B01G233400;TraesCS2A01G066700;TraesCS2A01G193800;TraesCS4D01G184400;TraesCS5D01G026000;TraesCS7B01G114100;TraesCS3D01G296900;TraesCS4D01G220700;TraesCS6D01G390000;TraesCS4A01G132200;TraesCS6D01G287300;TraesCS4A01G101500;TraesCS5A01G251000;TraesCS6A01G225200;TraesCS2B01G257300;TraesCS4D01G204000;TraesCSU01G093800;TraesCS1A01G437500;TraesCS4D01G025700;TraesCS5A01G093200;TraesCS6A01G319700;TraesCS4D01G009100;TraesCS5D01G169600;TraesCS7D01G224400;TraesCS4D01G085900;TraesCS5B01G171100;TraesCS4B01G134600;TraesCS3B01G240500;TraesCS5D01G178300;TraesCS2A01G313000;TraesCS4D01G181000;TraesCS6D01G047400;TraesCS1D01G175000;TraesCS5A01G229300;TraesCS3B01G425900;TraesCS3D01G210300;TraesCS1D01G409700;TraesCS4A01G167000;TraesCS2B01G405600;TraesCS7B01G142700;TraesCS7D01G283600;TraesCS2A01G066800;TraesCS3A01G332300;TraesCS2D01G251000;TraesCS1D01G013100;TraesCS2D01G383800;TraesCS6B01G238600;TraesCS6A01G321600;TraesCS7A01G222800;TraesCS7A01G316700;TraesCS1A01G403800;TraesCS4D01G132900;TraesCS5B01G162800;TraesCS6A01G212200;TraesCS2A01G214300;TraesCS1A01G246800;TraesCS5A01G165400;TraesCS7A01G190500;TraesCS6D01G244900;TraesCS7B01G226100;TraesCS4D01G081600;TraesCS6A01G158300;TraesCS3D01G421500;TraesCS5D01G117100;TraesCS3A01G224800;TraesCS5D01G321900;TraesCS2B01G520500;TraesCS5A01G315800;TraesCS3B01G276700;TraesCS5A01G357400;TraesCS3A01G214000;TraesCS1A01G195500;TraesCS2B01G328500;TraesCS3B01G344200;TraesCS2D01G148200;TraesCS4B01G089500;TraesCS2A01G467900;TraesCS2B01G154700;TraesCS7B01G217500;TraesCS5B01G036800;TraesCS2A01G132200;TraesCS4A01G342800;TraesCS4B01G041900;TraesCS2D01G136100;TraesCS3A01G288200;TraesCS6D01G408000;TraesCS7D01G373100;TraesCS2B01G325100;TraesCS3A01G082700;TraesCS4A01G005000;TraesCS7A01G325400;TraesCS3A01G268600;TraesCS4B01G088400;TraesCS4D01G003600;TraesCS2D01G065100;TraesCS2A01G517900;TraesCS7D01G227300;TraesCS5A01G229500;TraesCS4B01G015600;TraesCS2B01G346500;TraesCS7D01G072100;TraesCS6B01G470700;TraesCS5D01G412600;TraesCS5D01G481500;TraesCS2D01G492600;TraesCSU01G072700;TraesCS2A01G037200;TraesCS7A01G276400;TraesCS3B01G441000;TraesCS5D01G530200;TraesCS6A01G143300;TraesCS5A01G119300;TraesCS5D01G366500;TraesCS4B01G220400;TraesCS4D01G214300;TraesCS1A01G076000;TraesCS7A01G419600;TraesCS5B01G322900;TraesCS3A01G220000;TraesCS2A01G280500;TraesCS3A01G381000;TraesCS1A01G092700;TraesCS2A01G187200;TraesCS3A01G151100;TraesCS1B01G368500;TraesCS3A01G075700;TraesCS4D01G129300;TraesCS7A01G307000;TraesCS1D01G241000;TraesCS3A01G052700;TraesCS4A01G062200;TraesCS7B01G197000;TraesCS3D01G176600;TraesCS6A01G209800;TraesCS1A01G241000;TraesCS2B01G369600;TraesCS5A01G484700;TraesCS7A01G341000;TraesCS5B01G197300;TraesCS1A01G036200;TraesCS7B01G189500;TraesCS7B01G129300;TraesCS3A01G435700;TraesCS4D01G025300;TraesCS4D01G122800;TraesCS5D01G144600;TraesCS5D01G238300;TraesCS6B01G256400;TraesCS3D01G228800;TraesCS7D01G407700;TraesCS6A01G158800;TraesCS5B01G127300;TraesCS1A01G198400;TraesCS3D01G201100;TraesCS3A01G191700;TraesCS1D01G211600;TraesCS5D01G094000;TraesCS7D01G231600;TraesCS6B01G294700;TraesCS7B01G006600;TraesCSU01G019900;TraesCS1B01G253500;TraesCS5D01G237400;TraesCS6B01G470900;TraesCS2D01G320900;TraesCS1B01G290800;TraesCS3A01G212000;TraesCS4D01G085700;TraesCS2A01G387800;TraesCS6D01G094200;TraesCS4B01G129700;TraesCS2D01G205900;TraesCS5A01G213000;TraesCS5D01G229900;TraesCS5D01G135900;TraesCS2D01G194000;TraesCS1B01G220700;TraesCS6A01G308100;TraesCS6B01G352400;TraesCS4A01G367700;TraesCS1D01G003700;TraesCS5D01G551200;TraesCS3A01G427900;TraesCS3B01G439000;TraesCS6B01G134800;TraesCS3D01G271800;TraesCS3D01G288000;TraesCS5D01G169900;TraesCS2A01G342600;TraesCS2B01G602100;TraesCS5B01G563800;TraesCS7A01G450600;TraesCS4D01G199300;TraesCS4D01G003100;TraesCS2B01G079500;TraesCS3D01G083400;TraesCS5D01G113700;TraesCS2D01G279300;TraesCS3B01G370200;TraesCS2D01G231000;TraesCS4B01G164800;TraesCS1D01G383500;TraesCS2D01G327400;TraesCS4A01G227500;TraesCS1A01G259700;TraesCS1B01G019300;TraesCS3D01G423400;TraesCS6A01G146500;TraesCS5D01G424400;TraesCS6A01G188100;TraesCSU01G131300;TraesCS5D01G189500;TraesCS6D01G283300;TraesCS3D01G514100;TraesCS5A01G416700;TraesCS1B01G182400;TraesCS5B01G256400;TraesCS7D01G343300;TraesCS6A01G231900;TraesCS7A01G335600;TraesCS4B01G138200;TraesCS2D01G214700;TraesCS2D01G096900;TraesCS5D01G329200;TraesCS3A01G271600;TraesCS4B01G131800;TraesCS6A01G319100;TraesCS6D01G051300;TraesCS7A01G568800;TraesCS1A01G281700;TraesCS1D01G198700;TraesCS7B01G421100;TraesCS5B01G316400;TraesCS4D01G292300;TraesCS4A01G093100;TraesCS1A01G165700;TraesCS2A01G277000;TraesCS4B01G252400;TraesCS4A01G125000;TraesCS1D01G411300;TraesCS7A01G351100;TraesCS5D01G388000;TraesCS5D01G219500;TraesCS2D01G362500;TraesCS7A01G238400;TraesCS1D01G101200;TraesCS4A01G184100;TraesCS5A01G513500;TraesCS1B01G472100;TraesCS6B01G159200;TraesCS5B01G227900;TraesCS6A01G418800;TraesCS7D01G276300;TraesCS5A01G467500;TraesCS2D01G417300;TraesCS3B01G112900;TraesCS2B01G457300;TraesCS3B01G131400;TraesCS2D01G065600;TraesCS2A01G206200;TraesCS7A01G294200;TraesCS7D01G549100;TraesCS5B01G146700;TraesCS4B01G193100;TraesCS7B01G350400;TraesCS1B01G255100;TraesCS3A01G210000;TraesCS3B01G362500;TraesCS3A01G321900;TraesCS3B01G335000;TraesCS4B01G172500;TraesCS6B01G286300;TraesCS5B01G111800;TraesCS7A01G525400;TraesCS3D01G060600;TraesCS6A01G289200;TraesCS2B01G330100;TraesCS6A01G105400;TraesCS3B01G568500;TraesCS5A01G454300;TraesCS1B01G254000;TraesCS3A01G513500;TraesCS5D01G230300;TraesCS2B01G070700;TraesCS1D01G412600;TraesCS4D01G359000;TraesCS4A01G298100;TraesCS1A01G007500;TraesCS6A01G303800;TraesCS4B01G285000;TraesCS5A01G030400;TraesCS6B01G393600;TraesCS7B01G247200;TraesCS5D01G071300;TraesCS6D01G135800;TraesCS5A01G547300;TraesCS2B01G079400;TraesCS1B01G462200;TraesCS6B01G239000;TraesCS5B01G270200;TraesCS4A01G091100;TraesCS2D01G349600;TraesCS4A01G194100;TraesCS5A01G466100;TraesCS5B01G300100;TraesCS7D01G439900;TraesCS1D01G092200;TraesCS5D01G143800;TraesCS1D01G280900;TraesCS5D01G164500;TraesCS2A01G437700;TraesCS2D01G389900;TraesCS1A01G206900;TraesCS2D01G118000;TraesCS3D01G256700;TraesCS5A01G114600;TraesCS2D01G295500;TraesCS2A01G222600;TraesCS2D01G238700;TraesCS4D01G339700;TraesCS7D01G196000;TraesCS1D01G242500;TraesCS4B01G083600;TraesCS1B01G396800;TraesCS5D01G505700;TraesCS2A01G067200;TraesCS5A01G173800;TraesCS2B01G272300;TraesCS7D01G224900;TraesCS7D01G117800;TraesCS1B01G270800;TraesCS3A01G272200;TraesCS5A01G101900;TraesCS4B01G193400;TraesCS2A01G097600;TraesCS3D01G268700;TraesCS1D01G356900;TraesCS4A01G051900;TraesCS4A01G290400;TraesCS1D01G445300;TraesCS2A01G492300;TraesCS5A01G395200;TraesCS5B01G509100;TraesCS6D01G132500;TraesCS1A01G313300;TraesCS6D01G210000;TraesCS5B01G409700;TraesCS2B01G248100;TraesCS5D01G357600;TraesCS2D01G238600;TraesCS2A01G480200;TraesCS5B01G504900;TraesCS2B01G312600;TraesCS3D01G397100;TraesCS6B01G115200;TraesCS2B01G515500;TraesCS1A01G431600;TraesCS1A01G133500;TraesCS4D01G086400;TraesCS5B01G534400;TraesCS7A01G239700;TraesCS1A01G100600;TraesCS3D01G309400;TraesCS6B01G342300;TraesCS3B01G477300;TraesCS2D01G200700;TraesCS2B01G079200;TraesCS3D01G426300;TraesCS7A01G223300;TraesCS1B01G261600;TraesCS5A01G092400;TraesCS2B01G271300;TraesCS4B01G168300;TraesCS7D01G338600;TraesCS3D01G300300;TraesCS3D01G436100;TraesCS4B01G158500;TraesCS7B01G093800;TraesCS4B01G286700;TraesCS4A01G226900;TraesCS3D01G359500;TraesCS2A01G058700;TraesCS2B01G528300;TraesCS6D01G122800;TraesCS4D01G021400;TraesCS4D01G348500;TraesCS6A01G130900;TraesCS4D01G013900;TraesCS5B01G378700;TraesCS1A01G376400;TraesCS4B01G354600;TraesCS3B01G161900;TraesCS5B01G102600;TraesCS2B01G186400;TraesCS2B01G004000;TraesCS2D01G065200;TraesCS7D01G327700;TraesCS6B01G315800;TraesCS7A01G120300;TraesCS6D01G301300;TraesCS2D01G236100;TraesCS2B01G340300;TraesCS6A01G203700;TraesCS2D01G380900;TraesCS7B01G451500;TraesCS7D01G174700;TraesCS2B01G050600;TraesCS6A01G312100;TraesCS1D01G241800;TraesCS4B01G204500;TraesCS3D01G275600;TraesCS2D01G310000;TraesCS5B01G263800;TraesCS3A01G443700;TraesCS6A01G237800;TraesCS2D01G519500;TraesCS5D01G504600;TraesCS4B01G028100;TraesCS5A01G173700;TraesCS7B01G242200;TraesCS2B01G404600;TraesCS2B01G297800;TraesCS2A01G252600;TraesCS7A01G560200;TraesCS2B01G457600;TraesCS2D01G065300;TraesCS3D01G220400;TraesCS1B01G110400;TraesCS2B01G157600;TraesCS5A01G212500;TraesCS5B01G182500;TraesCS6B01G242800;TraesCS1B01G317500;TraesCS3A01G023800;TraesCS4A01G232300;TraesCS5D01G258900;TraesCS1D01G440900;TraesCS3A01G367000;TraesCS2A01G114400;TraesCS6B01G450500;TraesCS3D01G325800;TraesCS4B01G179400;TraesCS6A01G290600;TraesCS6B01G089500;TraesCS2B01G107200;TraesCS5A01G548800;TraesCS1D01G124400;TraesCS2A01G387000;TraesCS3A01G097200;TraesCS4A01G268900;TraesCS1D01G086600;TraesCS2B01G133500;TraesCS3A01G100000;TraesCS7D01G161000;TraesCS1D01G030500;TraesCS3A01G232700;TraesCS3D01G232600;TraesCS6B01G319000;TraesCS7B01G100000;TraesCS4A01G315700;TraesCS5A01G429300;TraesCS7D01G339600;TraesCS6B01G192500;TraesCS6D01G186800;TraesCS6B01G065300;TraesCS6A01G267300;TraesCS2A01G254600;TraesCS2A01G523600;TraesCS6A01G408400;TraesCS3A01G304900;TraesCS4D01G263300;TraesCS5B01G220900;TraesCS2D01G057900;TraesCS2A01G296400;TraesCS6D01G299200;TraesCSU01G009200;TraesCS3A01G405300;TraesCS6D01G152700;TraesCS1D01G260200;TraesCS5B01G155100;TraesCS7A01G342800;TraesCS3D01G304800;TraesCS4A01G276300;TraesCS5D01G105500;TraesCS1B01G213300;TraesCS4D01G194400;TraesCS5A01G059800;TraesCS5D01G164800;TraesCS2B01G294600;TraesCS5A01G324200;TraesCS7A01G108600;TraesCS1B01G293500;TraesCS2B01G410100;TraesCS1D01G199100;TraesCS5B01G147600;TraesCS1D01G367600;TraesCS2A01G297500;TraesCS3B01G398300;TraesCS6D01G174500;TraesCS6A01G210200;TraesCS6D01G195400;TraesCS2A01G239200;TraesCS1A01G284300;TraesCS5B01G481100;TraesCS6B01G171600;TraesCS1B01G434400;TraesCS4A01G105500;TraesCS6A01G269700;TraesCS7D01G280600;TraesCS5A01G222500;TraesCS6B01G231600;TraesCS4B01G380800;TraesCS7B01G207300;TraesCS2A01G487900</t>
  </si>
  <si>
    <t>GO-Fg-Positive</t>
  </si>
  <si>
    <t>GO-Fg-Negtive</t>
  </si>
  <si>
    <t>TraesCS7B01G415400;TraesCS2B01G533400;TraesCS1B01G045400;TraesCS3D01G172200;TraesCS2A01G068800;TraesCS2D01G572000;TraesCS6D01G375600;TraesCS5B01G454700;TraesCS6D01G072300;TraesCS2D01G419800;TraesCS2B01G080400;TraesCS7D01G053900;TraesCS1A01G006000;TraesCS5D01G158000;TraesCS6D01G114600;TraesCS7D01G125100;TraesCS3B01G077000;TraesCS2D01G017400;TraesCS1A01G422700;TraesCS2A01G299400</t>
  </si>
  <si>
    <t>TraesCS7B01G415400;TraesCS2B01G533400;TraesCS1B01G045400;TraesCS3D01G172200;TraesCS2A01G068800;TraesCS2D01G572000;TraesCS6D01G375600;TraesCS5B01G454700;TraesCS6D01G072300;TraesCS2D01G419800;TraesCS2B01G080400;TraesCS7D01G053900;TraesCS1A01G006000;TraesCS5D01G158000;TraesCS1B01G134500;TraesCS6D01G114600;TraesCS7D01G125100;TraesCS3B01G077000;TraesCS2D01G017400;TraesCS1A01G422700;TraesCS2A01G299400</t>
  </si>
  <si>
    <t>TraesCS7B01G415400;TraesCS7D01G169300;TraesCS2B01G533400;TraesCS1B01G045400;TraesCS3D01G172200;TraesCS2A01G068800;TraesCS2D01G572000;TraesCS6D01G375600;TraesCS5B01G454700;TraesCS6D01G072300;TraesCS2D01G419800;TraesCS2B01G080400;TraesCS6B01G260400;TraesCS7D01G053900;TraesCS1A01G006000;TraesCS5D01G158000;TraesCS6D01G114600;TraesCS7D01G125100;TraesCS3B01G077000;TraesCS2D01G017400;TraesCS1A01G422700;TraesCS2A01G299400</t>
  </si>
  <si>
    <t>TraesCS2B01G533400;TraesCS1B01G045400;TraesCS2D01G572000;TraesCS6D01G375600;TraesCS6D01G072300;TraesCS2D01G419800;TraesCS2B01G080400;TraesCS7D01G053900;TraesCS6D01G114600;TraesCS7D01G125100;TraesCS2D01G017400;TraesCS1A01G422700;TraesCS2A01G299400</t>
  </si>
  <si>
    <t>TraesCS7B01G415400;TraesCS7D01G169300;TraesCS2B01G533400;TraesCS1B01G045400;TraesCS3A01G517800;TraesCS3D01G172200;TraesCS2A01G068800;TraesCS2D01G572000;TraesCS6D01G375600;TraesCS5B01G454700;TraesCS6D01G072300;TraesCS2D01G419800;TraesCS2B01G080400;TraesCS7D01G053900;TraesCS1A01G006000;TraesCS5D01G158000;TraesCS6D01G114600;TraesCS7D01G125100;TraesCS3B01G077000;TraesCS2D01G017400;TraesCS1A01G422700;TraesCS2A01G299400</t>
  </si>
  <si>
    <t>TraesCS7B01G415400;TraesCS2B01G128400;TraesCS2B01G533400;TraesCS1B01G045400;TraesCS3D01G172200;TraesCS2A01G068800;TraesCS2D01G572000;TraesCS5A01G003500;TraesCS6D01G375600;TraesCS5B01G454700;TraesCS6D01G072300;TraesCS2D01G419800;TraesCS2B01G080400;TraesCS7D01G053900;TraesCS1A01G006000;TraesCS5D01G158000;TraesCS6D01G114600;TraesCS7D01G125100;TraesCS3B01G077000;TraesCS2D01G017400;TraesCS1A01G422700;TraesCS2A01G299400</t>
  </si>
  <si>
    <t>TraesCS6B01G456100;TraesCS7B01G415400;TraesCS7D01G169300;TraesCS2B01G533400;TraesCS1B01G045400;TraesCS3D01G172200;TraesCS2A01G068800;TraesCS2D01G572000;TraesCS6D01G375600;TraesCS5B01G454700;TraesCS6D01G072300;TraesCS2D01G419800;TraesCS2B01G080400;TraesCS7D01G053900;TraesCS1A01G006000;TraesCS5D01G158000;TraesCS6D01G114600;TraesCS7D01G125100;TraesCS3B01G077000;TraesCS2D01G017400;TraesCS1A01G422700;TraesCS2A01G299400</t>
  </si>
  <si>
    <t>TraesCS7B01G415400;TraesCS2B01G533400;TraesCS1B01G045400;TraesCS3D01G172200;TraesCS2A01G068800;TraesCS2D01G572000;TraesCS6D01G375600;TraesCS6B01G260400;TraesCS1A01G006000;TraesCS2D01G035400;TraesCS5D01G158000;TraesCS1B01G134500;TraesCS7D01G125100;TraesCS3B01G077000;TraesCS2B01G485300;TraesCS1A01G422700;TraesCS2A01G299400;TraesCS5B01G454700;TraesCS6D01G072300;TraesCS2D01G419800;TraesCS4A01G003100;TraesCS2B01G080400;TraesCS7D01G053900;TraesCS6D01G114600;TraesCS2D01G017400</t>
  </si>
  <si>
    <t>TraesCS7B01G415400;TraesCS2B01G128400;TraesCS2B01G533400;TraesCS1B01G045400;TraesCS3D01G172200;TraesCS2A01G068800;TraesCS2D01G572000;TraesCS5A01G003500;TraesCS6D01G375600;TraesCS5B01G454700;TraesCS6D01G072300;TraesCS2D01G419800;TraesCS2B01G080400;TraesCS7D01G053900;TraesCS1A01G006000;TraesCS5D01G158000;TraesCS6D01G114600;TraesCS7D01G125100;TraesCS3B01G077000;TraesCS2D01G017400;TraesCS1A01G422700;TraesCS7D01G105600;TraesCS2A01G299400</t>
  </si>
  <si>
    <t>TraesCS7B01G415400;TraesCS2B01G128400;TraesCS2B01G533400;TraesCS1B01G045400;TraesCS3D01G172200;TraesCS2A01G068800;TraesCS2D01G572000;TraesCS5A01G003500;TraesCS6D01G375600;TraesCS5B01G454700;TraesCS6D01G072300;TraesCS2D01G419800;TraesCS2B01G080400;TraesCS7D01G053900;TraesCS1A01G006000;TraesCS5D01G158000;TraesCS1B01G134500;TraesCS6D01G114600;TraesCS7D01G125100;TraesCS3B01G077000;TraesCS2D01G017400;TraesCS1A01G422700;TraesCS7D01G105600;TraesCS2A01G299400</t>
  </si>
  <si>
    <t>TraesCS6D01G375600;TraesCS6D01G072300;TraesCS7D01G125100;TraesCS2D01G017400;TraesCS2B01G533400;TraesCS2A01G299400</t>
  </si>
  <si>
    <t>TraesCS6B01G456100;TraesCS7B01G415400;TraesCS7D01G169300;TraesCS2B01G533400;TraesCS1B01G045400;TraesCS3D01G172200;TraesCS2A01G068800;TraesCS2D01G572000;TraesCS6D01G375600;TraesCS5B01G454700;TraesCS6D01G072300;TraesCS2D01G419800;TraesCS2B01G080400;TraesCS6B01G260400;TraesCS7D01G053900;TraesCS1A01G006000;TraesCS5D01G158000;TraesCS6D01G114600;TraesCS7D01G125100;TraesCS3B01G077000;TraesCS2D01G017400;TraesCS1A01G422700;TraesCS2A01G299400</t>
  </si>
  <si>
    <t>heterocyclic compound binding</t>
  </si>
  <si>
    <t>TraesCS2D01G108500;TraesCS3B01G578600;TraesCS2D01G446000;TraesCS7B01G415400;TraesCSU01G084800;TraesCS2B01G128400;TraesCS2B01G533400;TraesCS1B01G045400;TraesCS3D01G172200;TraesCS2A01G068800;TraesCS2B01G124600;TraesCS2D01G572000;TraesCS5A01G003500;TraesCS6D01G375600;TraesCS2D01G446400;TraesCS1A01G006000;TraesCS5D01G158000;TraesCS1B01G134500;TraesCS7D01G125100;TraesCS3B01G077000;TraesCS7A01G557400;TraesCS1A01G422700;TraesCS2A01G299400;TraesCS2A01G529900;TraesCS3B01G003500;TraesCS5B01G454700;TraesCS6D01G072300;TraesCS2D01G419800;TraesCS2B01G080400;TraesCS7A01G455300;TraesCS7D01G053900;TraesCS6D01G114600;TraesCS2D01G017400;TraesCS7D01G105600</t>
  </si>
  <si>
    <t>organic cyclic compound binding</t>
  </si>
  <si>
    <t>TraesCS7B01G415400;TraesCS7D01G169300;TraesCS2B01G533400;TraesCS1B01G045400;TraesCS3D01G172200;TraesCS2A01G068800;TraesCS2D01G572000;TraesCS6D01G375600;TraesCS5B01G454700;TraesCS6D01G072300;TraesCS2D01G419800;TraesCS2B01G080400;TraesCS6B01G260400;TraesCS7D01G053900;TraesCS1A01G006000;TraesCS5D01G158000;TraesCS1B01G134500;TraesCS6D01G114600;TraesCS7D01G125100;TraesCS3B01G077000;TraesCS2D01G017400;TraesCS1A01G422700;TraesCS2A01G299400</t>
  </si>
  <si>
    <t>TraesCS6B01G456100;TraesCS7B01G415400;TraesCS7D01G169300;TraesCS2B01G533400;TraesCS1B01G045400;TraesCS3D01G172200;TraesCS2A01G068800;TraesCS2D01G572000;TraesCS6D01G375600;TraesCS5B01G454700;TraesCS6D01G072300;TraesCS2D01G419800;TraesCS2B01G080400;TraesCS6B01G260400;TraesCS7D01G053900;TraesCS1A01G006000;TraesCS5D01G158000;TraesCS1B01G134500;TraesCS6D01G114600;TraesCS7D01G125100;TraesCS3B01G077000;TraesCS2D01G017400;TraesCS1A01G422700;TraesCS2A01G299400</t>
  </si>
  <si>
    <t>TraesCS2D01G108500;TraesCS7B01G415400;TraesCSU01G084800;TraesCS2B01G128400;TraesCS2B01G533400;TraesCS1B01G045400;TraesCS3D01G172200;TraesCS2A01G068800;TraesCS2B01G124600;TraesCS2D01G572000;TraesCS5A01G003500;TraesCS6D01G375600;TraesCS1A01G006000;TraesCS5D01G158000;TraesCS1B01G134500;TraesCS7D01G125100;TraesCS3B01G077000;TraesCS1A01G422700;TraesCS2A01G299400;TraesCS2A01G529900;TraesCS5B01G454700;TraesCS6D01G072300;TraesCS2D01G419800;TraesCS2B01G080400;TraesCS7A01G455300;TraesCS7D01G053900;TraesCS6D01G114600;TraesCS2D01G017400;TraesCS7D01G105600</t>
  </si>
  <si>
    <t>TraesCS5B01G454700;TraesCS6B01G260400;TraesCS7D01G053900;TraesCS7B01G415400;TraesCS3D01G172200</t>
  </si>
  <si>
    <t>TraesCS6B01G456100;TraesCS7B01G415400;TraesCS2B01G533400;TraesCS1B01G045400;TraesCS3D01G172200;TraesCS2A01G068800;TraesCS2D01G572000;TraesCS6D01G375600;TraesCS6B01G260400;TraesCS1A01G006000;TraesCS5D01G158000;TraesCS1B01G134500;TraesCS7D01G125100;TraesCS3B01G077000;TraesCS1A01G422700;TraesCS2A01G299400;TraesCS7D01G169300;TraesCS2D01G545900;TraesCS3A01G517800;TraesCS5B01G454700;TraesCS6D01G072300;TraesCS2D01G419800;TraesCS2B01G080400;TraesCS7D01G053900;TraesCS6D01G114600;TraesCS2D01G017400</t>
  </si>
  <si>
    <t>diphosphomevalonate decarboxylase activity</t>
  </si>
  <si>
    <t>TraesCS3A01G517800</t>
  </si>
  <si>
    <t>isopentenyl diphosphate biosynthetic process, mevalonate pathway</t>
  </si>
  <si>
    <t>TraesCS7B01G415400;TraesCS7D01G169300;TraesCS2B01G533400;TraesCS1B01G045400;TraesCS3A01G517800;TraesCS3D01G172200;TraesCS2A01G068800;TraesCS2D01G572000;TraesCS6D01G375600;TraesCS5B01G454700;TraesCS6D01G072300;TraesCS2D01G419800;TraesCS2B01G080400;TraesCS6B01G260400;TraesCS7D01G053900;TraesCS1A01G006000;TraesCS5D01G158000;TraesCS1B01G134500;TraesCS6D01G114600;TraesCS7D01G125100;TraesCS3B01G077000;TraesCS2D01G017400;TraesCS1A01G422700;TraesCS2A01G299400</t>
  </si>
  <si>
    <t>heme binding</t>
  </si>
  <si>
    <t>TraesCS2A01G529900;TraesCS2D01G108500;TraesCS3B01G578600;TraesCS7A01G455300;TraesCSU01G084800;TraesCS2B01G124600</t>
  </si>
  <si>
    <t>mitochondrial pyruvate transmembrane transport</t>
  </si>
  <si>
    <t>TraesCS1B01G089800</t>
  </si>
  <si>
    <t>tetrapyrrole binding</t>
  </si>
  <si>
    <t>pyruvate transport</t>
  </si>
  <si>
    <t>pyruvate transmembrane transport</t>
  </si>
  <si>
    <t>TraesCS1A01G425400;TraesCS1B01G089800</t>
  </si>
  <si>
    <t>peroxidase activity</t>
  </si>
  <si>
    <t>TraesCS2D01G108500;TraesCS3B01G578600;TraesCS2B01G124600</t>
  </si>
  <si>
    <t>oxidoreductase activity, acting on peroxide as acceptor</t>
  </si>
  <si>
    <t>mitochondrial transmembrane transport</t>
  </si>
  <si>
    <t>response to oxidative stress</t>
  </si>
  <si>
    <t>peptidyl-tyrosine dephosphorylation</t>
  </si>
  <si>
    <t>TraesCS7D01G169300</t>
  </si>
  <si>
    <t>monocarboxylic acid transport</t>
  </si>
  <si>
    <t>protein tyrosine phosphatase activity</t>
  </si>
  <si>
    <t>TraesCS2D01G538400;TraesCS5D01G359000;TraesCS2A01G217600;TraesCS5A01G388800;TraesCSU01G172900;TraesCS2D01G380800;TraesCS1B01G454000;TraesCS7D01G449500;TraesCS6B01G001300;TraesCS2D01G582800;TraesCS2B01G537800;TraesCS3B01G289400;TraesCS1A01G149700;TraesCS6A01G078700;TraesCS1B01G167700;TraesCS5D01G158100;TraesCS7D01G041400;TraesCS2D01G572600;TraesCS5D01G003500;TraesCS6B01G052400;TraesCS2B01G617400;TraesCS7D01G356200;TraesCSU01G198700;TraesCS7D01G444400;TraesCS2A01G214100;TraesCS2D01G537100;TraesCS7D01G136700;TraesCS7A01G507400;TraesCS5B01G151600;TraesCS1D01G037200;TraesCS3A01G224400;TraesCS5B01G366400;TraesCS6B01G152600;TraesCS5B01G146500;TraesCS5D01G358600;TraesCS7B01G356500;TraesCS4B01G132000;TraesCS6D01G047500;TraesCS7D01G495700;TraesCS3B01G196900;TraesCS7B01G222500;TraesCS7D01G357100;TraesCS2A01G217500;TraesCS5B01G056700;TraesCS5B01G188700;TraesCS5D01G061400;TraesCS2D01G509500;TraesCS2D01G509300;TraesCS1B01G270300;TraesCS2D01G574000;TraesCS5A01G351300;TraesCS5A01G433600;TraesCS2A01G532600;TraesCS6B01G385500;TraesCS2B01G539200;TraesCS4D01G352700;TraesCS5D01G152300;TraesCS6D01G115200;TraesCS2B01G001400;TraesCS3A01G261700;TraesCS6B01G358800;TraesCS2A01G537900;TraesCS2B01G511300;TraesCS6A01G352800;TraesCS2D01G419700;TraesCS2B01G008300;TraesCS7B01G356400;TraesCS2A01G053100;TraesCS2B01G004900;TraesCS5B01G538600;TraesCS5B01G538800</t>
  </si>
  <si>
    <t>TraesCS2D01G538400;TraesCS5D01G359000;TraesCS2A01G217600;TraesCS5A01G388800;TraesCSU01G172900;TraesCS2D01G380800;TraesCS1B01G454000;TraesCS7D01G449500;TraesCS6B01G001300;TraesCS2D01G582800;TraesCS2B01G537800;TraesCS3B01G289400;TraesCS1A01G149700;TraesCS6A01G078700;TraesCS1B01G167700;TraesCS5D01G158100;TraesCS7D01G041400;TraesCS2D01G572600;TraesCS5D01G003500;TraesCS6B01G052400;TraesCS2B01G617400;TraesCS7D01G356200;TraesCSU01G198700;TraesCS7D01G444400;TraesCS2A01G214100;TraesCS2D01G537100;TraesCS7D01G136700;TraesCS7A01G507400;TraesCS5B01G151600;TraesCS1D01G037200;TraesCS3A01G224400;TraesCS5B01G366400;TraesCS6B01G152600;TraesCS5B01G146500;TraesCS5D01G358600;TraesCS7B01G356500;TraesCS4B01G132000;TraesCS6D01G047500;TraesCS7D01G495700;TraesCS3B01G196900;TraesCS7B01G222500;TraesCS7D01G357100;TraesCS2A01G217500;TraesCS5B01G056700;TraesCS5B01G188700;TraesCS5D01G061400;TraesCS2D01G509500;TraesCS2D01G509300;TraesCS1B01G270300;TraesCS2D01G574000;TraesCS5A01G351300;TraesCS5A01G433600;TraesCS2A01G532600;TraesCS6B01G385500;TraesCS2B01G539200;TraesCS4D01G352700;TraesCS5D01G152300;TraesCS6D01G115200;TraesCS2B01G001400;TraesCS6D01G136300;TraesCS3A01G261700;TraesCS6B01G358800;TraesCS2A01G537900;TraesCS2B01G511300;TraesCS6A01G352800;TraesCS2D01G419700;TraesCS5B01G098700;TraesCS2B01G008300;TraesCS7B01G356400;TraesCS2A01G053100;TraesCS2B01G004900;TraesCS5B01G538600;TraesCS5B01G538800</t>
  </si>
  <si>
    <t>TraesCS2D01G538400;TraesCS5D01G359000;TraesCS2A01G217600;TraesCS5A01G388800;TraesCSU01G172900;TraesCS2D01G380800;TraesCS1B01G454000;TraesCS7D01G449500;TraesCS6B01G001300;TraesCS2D01G582800;TraesCS2B01G537800;TraesCS3B01G289400;TraesCS1A01G149700;TraesCS6A01G078700;TraesCS1B01G167700;TraesCS5D01G158100;TraesCS7D01G041400;TraesCS2D01G572600;TraesCS5D01G003500;TraesCS6B01G052400;TraesCS2B01G617400;TraesCS7D01G356200;TraesCSU01G198700;TraesCS7D01G444400;TraesCS2A01G214100;TraesCS2D01G537100;TraesCS7D01G136700;TraesCS7A01G507400;TraesCS5B01G151600;TraesCS1D01G037200;TraesCS3A01G224400;TraesCS5B01G366400;TraesCS6B01G152600;TraesCS7B01G123300;TraesCS5B01G146500;TraesCS5D01G358600;TraesCS7B01G356500;TraesCS4B01G132000;TraesCS6D01G047500;TraesCS7D01G495700;TraesCS3B01G196900;TraesCS7B01G222500;TraesCS7D01G357100;TraesCS2A01G217500;TraesCS5B01G056700;TraesCS5B01G188700;TraesCS5D01G061400;TraesCS2D01G509500;TraesCS2D01G509300;TraesCS1B01G270300;TraesCS2D01G574000;TraesCS5A01G351300;TraesCS5A01G433600;TraesCS2A01G532600;TraesCS6B01G385500;TraesCS2B01G539200;TraesCS4D01G352700;TraesCS5D01G152300;TraesCS6D01G115200;TraesCS2B01G001400;TraesCS6D01G136300;TraesCS3A01G261700;TraesCS6B01G358800;TraesCS2A01G537900;TraesCS2B01G511300;TraesCS6A01G352800;TraesCS2D01G419700;TraesCS5B01G098700;TraesCS2B01G008300;TraesCS7B01G356400;TraesCS2A01G053100;TraesCS2B01G004900;TraesCS5B01G538600;TraesCS5B01G538800</t>
  </si>
  <si>
    <t>TraesCS2D01G538400;TraesCS5D01G359000;TraesCS2A01G217600;TraesCS5A01G388800;TraesCSU01G172900;TraesCS2D01G380800;TraesCS1B01G454000;TraesCS7D01G449500;TraesCS6B01G001300;TraesCS2D01G582800;TraesCS2B01G537800;TraesCS3B01G289400;TraesCS1A01G149700;TraesCS6A01G078700;TraesCS1B01G167700;TraesCS5D01G158100;TraesCS7D01G041400;TraesCS2D01G572600;TraesCS5D01G003500;TraesCS6B01G052400;TraesCS2B01G617400;TraesCS7D01G356200;TraesCSU01G198700;TraesCS7D01G444400;TraesCS2A01G214100;TraesCS2D01G537100;TraesCS7D01G136700;TraesCS7A01G507400;TraesCS5B01G151600;TraesCS1D01G037200;TraesCS3A01G224400;TraesCS5B01G366400;TraesCS6B01G152600;TraesCS7B01G123300;TraesCS5B01G146500;TraesCS5D01G358600;TraesCS7B01G356500;TraesCS4B01G132000;TraesCS6D01G047500;TraesCS7D01G495700;TraesCS3B01G196900;TraesCS7B01G222500;TraesCS7D01G357100;TraesCS2A01G217500;TraesCS5B01G056700;TraesCS5B01G188700;TraesCS5D01G061400;TraesCS2D01G509500;TraesCS2D01G509300;TraesCS3A01G124800;TraesCS1B01G270300;TraesCS2D01G574000;TraesCS5A01G351300;TraesCS5A01G433600;TraesCS2A01G532600;TraesCS6B01G385500;TraesCS2B01G539200;TraesCS4D01G352700;TraesCS5D01G152300;TraesCS6D01G115200;TraesCS2B01G001400;TraesCS6D01G136300;TraesCS3A01G261700;TraesCS6B01G358800;TraesCS2A01G537900;TraesCS2B01G511300;TraesCS6A01G352800;TraesCS2D01G419700;TraesCS5B01G098700;TraesCS2B01G008300;TraesCS7B01G356400;TraesCS2A01G053100;TraesCS2B01G004900;TraesCS5B01G538600;TraesCS5B01G538800</t>
  </si>
  <si>
    <t>TraesCS4A01G279100;TraesCS4B01G378000;TraesCSU01G145500;TraesCS4B01G033400;TraesCS4B01G033600;TraesCS4B01G378100;TraesCS4B01G377100;TraesCS4A01G181800;TraesCS4D01G032200;TraesCS5A01G544400;TraesCS4D01G031800;TraesCS4D01G031700;TraesCS5A01G543900;TraesCS4D01G031600;TraesCS5A01G543700;TraesCSU01G152800</t>
  </si>
  <si>
    <t>TraesCS2D01G538400;TraesCS5D01G359000;TraesCS2A01G217600;TraesCS2B01G428800;TraesCS5B01G291100;TraesCS1B01G454000;TraesCS3D01G434200;TraesCS7D01G449500;TraesCS2D01G582800;TraesCS2B01G537800;TraesCS3B01G289400;TraesCS1A01G149700;TraesCS3B01G025000;TraesCS1B01G167700;TraesCS2D01G572600;TraesCS6B01G052400;TraesCS2B01G617400;TraesCS4A01G413600;TraesCS7D01G356200;TraesCSU01G198700;TraesCS2A01G214100;TraesCS7D01G136700;TraesCS7A01G507400;TraesCS5B01G151600;TraesCS7B01G123300;TraesCS2D01G296100;TraesCS5D01G358600;TraesCS4B01G132000;TraesCS5D01G488400;TraesCS7D01G495700;TraesCSU01G201400;TraesCS7B01G222500;TraesCS7D01G357100;TraesCS2A01G217500;TraesCS5B01G056700;TraesCS5D01G061400;TraesCSU01G237600;TraesCS6B01G022500;TraesCS2D01G509300;TraesCS2A01G158200;TraesCS3A01G124800;TraesCS1B01G270300;TraesCS2A01G056100;TraesCS5A01G433600;TraesCS2A01G532600;TraesCS2B01G539200;TraesCS6B01G469900;TraesCS2B01G001400;TraesCS1A01G347200;TraesCS6B01G358800;TraesCS6A01G015500;TraesCS2A01G537900;TraesCS5A01G461100;TraesCS6D01G180400;TraesCS2D01G275400;TraesCS2D01G419700;TraesCS5B01G098700;TraesCS2B01G008300;TraesCS3A01G411500;TraesCS7B01G356400;TraesCS2A01G053100;TraesCS2B01G004900;TraesCS5B01G538800;TraesCS1D01G073000;TraesCS5A01G388800;TraesCSU01G172900;TraesCS2D01G380800;TraesCS6B01G001300;TraesCS6A01G078700;TraesCS5D01G158100;TraesCS7D01G041400;TraesCS5D01G003500;TraesCS7D01G444400;TraesCS2D01G537100;TraesCS1D01G037200;TraesCS3A01G224400;TraesCS5B01G366400;TraesCS6B01G152600;TraesCS3A01G411600;TraesCS5B01G146500;TraesCS7B01G356500;TraesCS3D01G408100;TraesCS5A01G304000;TraesCS6D01G047500;TraesCS3B01G196900;TraesCS2B01G428700;TraesCS5B01G188700;TraesCS5A01G394500;TraesCS2D01G509500;TraesCS5D01G476200;TraesCS6B01G347700;TraesCS2B01G290000;TraesCS2D01G574000;TraesCS5A01G351300;TraesCS6B01G385500;TraesCS2D01G339900;TraesCS4D01G352700;TraesCS5D01G152300;TraesCS6D01G115200;TraesCS1D01G199500;TraesCS2A01G463300;TraesCS6D01G136300;TraesCS3A01G261700;TraesCS2B01G068600;TraesCS2B01G511300;TraesCS1B01G210700;TraesCS7A01G370400;TraesCS6A01G352800;TraesCS2D01G464500;TraesCS2B01G318300;TraesCS5B01G538600;TraesCS2D01G164900</t>
  </si>
  <si>
    <t>TraesCS2D01G538400;TraesCS5D01G359000;TraesCS2A01G217600;TraesCS7D01G357100;TraesCS5B01G056700;TraesCS5B01G188700;TraesCS5D01G061400;TraesCS2D01G509500;TraesCS7D01G449500;TraesCS2D01G582800;TraesCS2B01G537800;TraesCS1B01G270300;TraesCS5A01G433600;TraesCS6B01G385500;TraesCS2B01G539200;TraesCS2D01G572600;TraesCS4D01G352700;TraesCS5D01G152300;TraesCS6D01G115200;TraesCS5D01G003500;TraesCS6B01G052400;TraesCS2B01G617400;TraesCS7D01G356200;TraesCS6B01G358800;TraesCS7D01G444400;TraesCS2A01G214100;TraesCS2A01G537900;TraesCS2D01G537100;TraesCS2B01G511300;TraesCS5B01G366400;TraesCS6A01G352800;TraesCS2B01G008300;TraesCS5B01G146500;TraesCS5D01G358600;TraesCS7B01G356500;TraesCS7B01G356400;TraesCS4B01G132000;TraesCS6D01G047500;TraesCS7D01G495700</t>
  </si>
  <si>
    <t>TraesCS2D01G538400;TraesCS5D01G359000;TraesCS7D01G444400;TraesCS2A01G537900;TraesCS2D01G537100;TraesCS2B01G511300;TraesCS5A01G351700;TraesCS1B01G270300;TraesCS4A01G353100;TraesCS6A01G078700;TraesCS2A01G532600;TraesCS2B01G008300;TraesCS5D01G358600;TraesCS7B01G356500;TraesCS7B01G356400;TraesCS4B01G132000;TraesCS5D01G152300</t>
  </si>
  <si>
    <t>TraesCS2D01G538400;TraesCS5D01G359000;TraesCS2A01G217600;TraesCS5A01G388800;TraesCSU01G172900;TraesCS2D01G380800;TraesCS7B01G107300;TraesCS1B01G454000;TraesCS7D01G449500;TraesCS6B01G001300;TraesCS2D01G582800;TraesCS2B01G537800;TraesCS3A01G369700;TraesCS3B01G289400;TraesCS1A01G149700;TraesCS6A01G078700;TraesCS1B01G167700;TraesCS5D01G158100;TraesCS7D01G041400;TraesCS2D01G572600;TraesCS5D01G003500;TraesCS6B01G052400;TraesCS2B01G617400;TraesCS7D01G356200;TraesCSU01G198700;TraesCS7D01G444400;TraesCS2A01G214100;TraesCS2D01G537100;TraesCS7D01G136700;TraesCS1B01G254900;TraesCS4D01G176200;TraesCS7A01G507400;TraesCS5B01G151600;TraesCS1D01G037200;TraesCS3A01G224400;TraesCS5B01G366400;TraesCS6B01G152600;TraesCS5A01G249900;TraesCS5B01G146500;TraesCS5D01G358600;TraesCS7B01G356500;TraesCS4B01G132000;TraesCS6D01G047500;TraesCS7D01G495700;TraesCS3B01G196900;TraesCS3D01G169600;TraesCS7B01G222500;TraesCS7D01G357100;TraesCS2A01G217500;TraesCS5B01G056700;TraesCS5B01G188700;TraesCS5D01G061400;TraesCS2D01G509500;TraesCS2D01G509300;TraesCS1B01G270300;TraesCS2D01G574000;TraesCS5A01G351300;TraesCS5A01G433600;TraesCS1D01G101300;TraesCS2A01G532600;TraesCS6B01G385500;TraesCS2B01G539200;TraesCS4D01G352700;TraesCS5D01G152300;TraesCS6D01G115200;TraesCS2B01G001400;TraesCS3B01G585400;TraesCS6D01G136300;TraesCS3A01G261700;TraesCS6B01G358800;TraesCS2A01G537900;TraesCS2B01G511300;TraesCS4B01G054700;TraesCS3B01G401600;TraesCS1B01G081600;TraesCS6A01G352800;TraesCS2D01G419700;TraesCS2B01G008300;TraesCS7B01G356400;TraesCS2A01G053100;TraesCS2B01G004900;TraesCS5B01G538600;TraesCS5B01G538800</t>
  </si>
  <si>
    <t>TraesCS2D01G538400;TraesCS5D01G359000;TraesCS2A01G217600;TraesCS5A01G388800;TraesCSU01G172900;TraesCS2D01G380800;TraesCS1B01G454000;TraesCS7D01G449500;TraesCS6B01G001300;TraesCS2D01G582800;TraesCS2B01G537800;TraesCS3B01G289400;TraesCS1A01G149700;TraesCS6A01G078700;TraesCS1B01G167700;TraesCS5D01G158100;TraesCS7D01G041400;TraesCS2D01G572600;TraesCS7A01G012000;TraesCS5D01G003500;TraesCS6B01G052400;TraesCS2B01G617400;TraesCS7D01G356200;TraesCSU01G198700;TraesCS7D01G444400;TraesCS2A01G214100;TraesCS2D01G537100;TraesCS7D01G136700;TraesCS7A01G507400;TraesCS5B01G151600;TraesCS1D01G037200;TraesCS3A01G224400;TraesCS5B01G366400;TraesCS6B01G152600;TraesCS7B01G123300;TraesCS5B01G146500;TraesCS5D01G358600;TraesCS7B01G356500;TraesCS4B01G132000;TraesCS6D01G047500;TraesCS7D01G495700;TraesCS3B01G196900;TraesCS7B01G222500;TraesCS7D01G357100;TraesCS2A01G217500;TraesCS5B01G056700;TraesCS5B01G188700;TraesCS5D01G061400;TraesCS2D01G509500;TraesCS2D01G509300;TraesCS3A01G124800;TraesCS1B01G270300;TraesCS2D01G574000;TraesCS5A01G351300;TraesCS5A01G433600;TraesCS2A01G532600;TraesCS6B01G385500;TraesCS2B01G539200;TraesCS4D01G352700;TraesCS5D01G152300;TraesCS6D01G115200;TraesCS2B01G001400;TraesCS3B01G585400;TraesCS6D01G136300;TraesCS3A01G261700;TraesCS1A01G305800;TraesCS6B01G358800;TraesCS2A01G537900;TraesCS2B01G511300;TraesCS6A01G352800;TraesCS2D01G419700;TraesCS5B01G098700;TraesCS2B01G008300;TraesCS7B01G356400;TraesCS2B01G318300;TraesCS2A01G053100;TraesCS2B01G004900;TraesCS5B01G538600;TraesCS5B01G538800</t>
  </si>
  <si>
    <t>TraesCS1D01G073000;TraesCS2D01G538400;TraesCS5D01G359000;TraesCS2A01G217600;TraesCS5A01G388800;TraesCSU01G172900;TraesCS2D01G380800;TraesCS7B01G107300;TraesCS1B01G454000;TraesCS7D01G449500;TraesCS6B01G001300;TraesCS2D01G582800;TraesCS2B01G537800;TraesCS3A01G369700;TraesCS3B01G289400;TraesCS1A01G149700;TraesCS6A01G078700;TraesCS1B01G167700;TraesCS5D01G158100;TraesCS7D01G041400;TraesCS2D01G572600;TraesCS5D01G003500;TraesCS6B01G052400;TraesCS2B01G617400;TraesCS7D01G356200;TraesCSU01G198700;TraesCS7D01G444400;TraesCS2A01G214100;TraesCS2D01G537100;TraesCS7D01G136700;TraesCS1B01G254900;TraesCS4D01G176200;TraesCS7A01G507400;TraesCS5B01G151600;TraesCS1D01G037200;TraesCS3A01G224400;TraesCS5B01G366400;TraesCS6B01G152600;TraesCS5A01G249900;TraesCS5B01G146500;TraesCS5D01G358600;TraesCS7B01G356500;TraesCS4B01G132000;TraesCS6D01G047500;TraesCS7D01G495700;TraesCS3B01G196900;TraesCS3D01G169600;TraesCS7B01G222500;TraesCS6B01G246800;TraesCS7D01G357100;TraesCS2A01G217500;TraesCS5B01G056700;TraesCS5B01G188700;TraesCS5D01G061400;TraesCS2D01G509500;TraesCS2D01G509300;TraesCS1B01G270300;TraesCS2D01G574000;TraesCS5A01G351300;TraesCS5A01G433600;TraesCS1D01G101300;TraesCS2A01G532600;TraesCS6B01G385500;TraesCS2B01G539200;TraesCS4D01G352700;TraesCS5D01G152300;TraesCS6D01G115200;TraesCS2B01G001400;TraesCS3B01G585400;TraesCS6D01G136300;TraesCS3A01G261700;TraesCS6B01G358800;TraesCS2A01G537900;TraesCS2B01G511300;TraesCS4B01G054700;TraesCS3B01G401600;TraesCS1B01G081600;TraesCS6A01G352800;TraesCS2D01G419700;TraesCS2B01G008300;TraesCS7B01G356400;TraesCS2A01G053100;TraesCS2B01G004900;TraesCS5B01G538600;TraesCS5B01G538800</t>
  </si>
  <si>
    <t>TraesCS2D01G538400;TraesCS5D01G359000;TraesCS2A01G217600;TraesCS5A01G388800;TraesCSU01G172900;TraesCS2D01G380800;TraesCS1B01G454000;TraesCS7D01G449500;TraesCS6B01G001300;TraesCS2D01G582800;TraesCS2B01G537800;TraesCS3B01G289400;TraesCS1A01G149700;TraesCS6A01G078700;TraesCS1B01G167700;TraesCS5D01G158100;TraesCS7D01G041400;TraesCS2D01G572600;TraesCS5D01G003500;TraesCS6B01G052400;TraesCS2B01G617400;TraesCS7D01G356200;TraesCSU01G198700;TraesCS7D01G444400;TraesCS2A01G214100;TraesCS2D01G537100;TraesCS7D01G136700;TraesCS7A01G507400;TraesCS5B01G151600;TraesCS1D01G037200;TraesCS3A01G224400;TraesCS5B01G366400;TraesCS6B01G152600;TraesCS2D01G296100;TraesCS5B01G146500;TraesCS5D01G358600;TraesCS7B01G356500;TraesCS4B01G132000;TraesCS6D01G047500;TraesCS7D01G495700;TraesCS3B01G196900;TraesCS7B01G222500;TraesCS7D01G357100;TraesCS2A01G217500;TraesCS5B01G056700;TraesCS5B01G188700;TraesCS5D01G061400;TraesCS2D01G509500;TraesCS2D01G509300;TraesCS1B01G270300;TraesCS2D01G574000;TraesCS5A01G351300;TraesCS5A01G433600;TraesCS2A01G532600;TraesCS6B01G385500;TraesCS2B01G539200;TraesCS6B01G469900;TraesCS4D01G352700;TraesCS5D01G152300;TraesCS6D01G115200;TraesCS2B01G001400;TraesCS3A01G261700;TraesCS6B01G358800;TraesCS2A01G537900;TraesCS2B01G511300;TraesCS6D01G180400;TraesCS6A01G352800;TraesCS2D01G275400;TraesCS2D01G419700;TraesCS2B01G008300;TraesCS7B01G356400;TraesCS2A01G053100;TraesCS2B01G004900;TraesCS5B01G538600;TraesCS5B01G538800</t>
  </si>
  <si>
    <t>TraesCS2D01G538400;TraesCS5D01G359000;TraesCS2A01G217600;TraesCS5A01G388800;TraesCSU01G172900;TraesCS2D01G380800;TraesCS1B01G454000;TraesCS7D01G449500;TraesCS6B01G001300;TraesCS2D01G582800;TraesCS2B01G537800;TraesCS3B01G289400;TraesCS1A01G149700;TraesCS6A01G078700;TraesCS1B01G167700;TraesCS5D01G158100;TraesCS7D01G041400;TraesCS2D01G572600;TraesCS5D01G003500;TraesCS6B01G052400;TraesCS2B01G617400;TraesCS7D01G356200;TraesCSU01G198700;TraesCS7D01G444400;TraesCS2A01G214100;TraesCS2D01G537100;TraesCS7D01G136700;TraesCS7A01G507400;TraesCS5B01G151600;TraesCS1D01G037200;TraesCS3A01G224400;TraesCS5B01G366400;TraesCS6B01G152600;TraesCS2D01G296100;TraesCS5B01G146500;TraesCS5D01G358600;TraesCS7B01G356500;TraesCS4B01G132000;TraesCS6D01G047500;TraesCS7D01G495700;TraesCS3B01G196900;TraesCS7B01G222500;TraesCS7D01G357100;TraesCS2A01G217500;TraesCS5B01G056700;TraesCS5B01G188700;TraesCS5D01G061400;TraesCS2D01G509500;TraesCS2D01G509300;TraesCS1B01G270300;TraesCS2D01G574000;TraesCS5A01G351300;TraesCS5A01G433600;TraesCS2B01G326600;TraesCS2A01G532600;TraesCS6B01G385500;TraesCS2B01G539200;TraesCS6B01G469900;TraesCS4D01G352700;TraesCS5D01G152300;TraesCS6D01G115200;TraesCS2B01G001400;TraesCS3A01G261700;TraesCS6B01G358800;TraesCS2A01G537900;TraesCS2B01G511300;TraesCS6D01G180400;TraesCS6A01G352800;TraesCS2D01G275400;TraesCS2D01G419700;TraesCS2B01G008300;TraesCS7B01G356400;TraesCS2A01G053100;TraesCS2B01G004900;TraesCS5B01G538600;TraesCS5B01G538800</t>
  </si>
  <si>
    <t>TraesCS2D01G538400;TraesCS5D01G359000;TraesCS2A01G217600;TraesCS5A01G388800;TraesCSU01G172900;TraesCS2D01G380800;TraesCS7B01G107300;TraesCS1B01G454000;TraesCS7D01G449500;TraesCS6B01G001300;TraesCS2D01G582800;TraesCS2B01G537800;TraesCS3A01G369700;TraesCS2B01G101300;TraesCS3B01G289400;TraesCS1A01G149700;TraesCS6A01G078700;TraesCS1B01G167700;TraesCS5D01G158100;TraesCS7D01G041400;TraesCS2D01G572600;TraesCS5D01G003500;TraesCS6B01G052400;TraesCS2B01G617400;TraesCS7D01G356200;TraesCSU01G198700;TraesCS7D01G444400;TraesCS1D01G005400;TraesCS2A01G214100;TraesCS2D01G537100;TraesCS5D01G312800;TraesCS7D01G136700;TraesCS1B01G254900;TraesCS4D01G176200;TraesCS7A01G507400;TraesCS5B01G151600;TraesCS1D01G037200;TraesCS3A01G224400;TraesCS5B01G366400;TraesCS6B01G152600;TraesCS5A01G249900;TraesCS2B01G203900;TraesCS5B01G146500;TraesCS5D01G358600;TraesCS7B01G356500;TraesCS4B01G132000;TraesCS6D01G047500;TraesCS7D01G495700;TraesCS3B01G196900;TraesCS3D01G169600;TraesCS7B01G222500;TraesCS7D01G357100;TraesCS2A01G217500;TraesCS5B01G056700;TraesCS5B01G188700;TraesCS5D01G061400;TraesCS2D01G509500;TraesCS2D01G509300;TraesCS1B01G270300;TraesCS2D01G574000;TraesCS5A01G351300;TraesCS5A01G433600;TraesCS1D01G101300;TraesCS2A01G532600;TraesCS6B01G385500;TraesCS2B01G539200;TraesCS4D01G352700;TraesCS5D01G152300;TraesCS6D01G115200;TraesCS2B01G001400;TraesCS3B01G585400;TraesCS6D01G136300;TraesCS3A01G261700;TraesCS7A01G333500;TraesCS6B01G358800;TraesCS2A01G537900;TraesCS2B01G511300;TraesCS4B01G054700;TraesCS3B01G401600;TraesCS2B01G100200;TraesCS1B01G081600;TraesCS6A01G352800;TraesCS2D01G419700;TraesCS2B01G008300;TraesCS7B01G356400;TraesCS6D01G110000;TraesCS2A01G053100;TraesCS2B01G004900;TraesCS5B01G538600;TraesCS5B01G538800</t>
  </si>
  <si>
    <t>TraesCS2D01G538400;TraesCS5D01G359000;TraesCS2A01G217600;TraesCS5A01G388800;TraesCSU01G172900;TraesCS2D01G380800;TraesCS7B01G107300;TraesCS1B01G454000;TraesCS7D01G449500;TraesCS6B01G001300;TraesCS2D01G582800;TraesCS2B01G537800;TraesCS3A01G369700;TraesCS2B01G101300;TraesCS3B01G289400;TraesCS1A01G149700;TraesCS6A01G078700;TraesCS1B01G167700;TraesCS5D01G158100;TraesCS7D01G041400;TraesCS2D01G572600;TraesCS5D01G003500;TraesCS6B01G052400;TraesCS2B01G617400;TraesCS7D01G356200;TraesCSU01G198700;TraesCS7D01G444400;TraesCS1D01G005400;TraesCS2A01G214100;TraesCS2D01G537100;TraesCS5D01G312800;TraesCS7D01G136700;TraesCS1B01G254900;TraesCS4D01G176200;TraesCS7A01G507400;TraesCS5B01G151600;TraesCS1D01G037200;TraesCS3A01G224400;TraesCS5B01G366400;TraesCS6B01G152600;TraesCS5A01G249900;TraesCS5B01G146500;TraesCS5D01G358600;TraesCS7B01G356500;TraesCS4B01G132000;TraesCS6D01G047500;TraesCS7D01G495700;TraesCS3B01G196900;TraesCS3D01G169600;TraesCS7B01G222500;TraesCS7D01G357100;TraesCS2A01G217500;TraesCS5B01G056700;TraesCS5B01G188700;TraesCS5D01G061400;TraesCS2D01G509500;TraesCS2D01G509300;TraesCS1B01G270300;TraesCS2D01G574000;TraesCS5A01G351300;TraesCS5A01G433600;TraesCS1D01G101300;TraesCS2A01G532600;TraesCS6B01G385500;TraesCS2B01G539200;TraesCS4D01G352700;TraesCS5D01G152300;TraesCS6D01G115200;TraesCS2B01G001400;TraesCS3B01G585400;TraesCS6D01G136300;TraesCS3A01G261700;TraesCS7A01G333500;TraesCS6B01G358800;TraesCS2A01G537900;TraesCS2B01G511300;TraesCS4B01G054700;TraesCS3B01G401600;TraesCS2B01G100200;TraesCS1B01G081600;TraesCS6A01G352800;TraesCS2D01G419700;TraesCS2B01G008300;TraesCS7B01G356400;TraesCS6D01G110000;TraesCS2A01G053100;TraesCS2B01G004900;TraesCS5B01G538600;TraesCS5B01G538800</t>
  </si>
  <si>
    <t>TraesCS2D01G538400;TraesCS5D01G359000;TraesCS2A01G217600;TraesCS5A01G388800;TraesCSU01G172900;TraesCS2D01G380800;TraesCS1B01G454000;TraesCS7D01G449500;TraesCS6B01G001300;TraesCS2D01G582800;TraesCS2B01G537800;TraesCS3B01G289400;TraesCS1A01G149700;TraesCS6A01G078700;TraesCS1B01G167700;TraesCS5D01G158100;TraesCS7D01G041400;TraesCS3B01G004100;TraesCS2D01G572600;TraesCS5D01G003500;TraesCS6B01G052400;TraesCS2B01G617400;TraesCS7D01G356200;TraesCSU01G198700;TraesCS7D01G444400;TraesCS2A01G214100;TraesCS2D01G537100;TraesCS7D01G136700;TraesCS7A01G507400;TraesCS5B01G151600;TraesCS1D01G037200;TraesCS3A01G224400;TraesCS5B01G366400;TraesCS6B01G152600;TraesCS2D01G296100;TraesCS5B01G146500;TraesCS5D01G358600;TraesCS7B01G356500;TraesCS4B01G132000;TraesCS6D01G047500;TraesCS7D01G495700;TraesCS3B01G196900;TraesCS7B01G222500;TraesCS7D01G357100;TraesCS2A01G217500;TraesCS5B01G056700;TraesCS5B01G188700;TraesCS5D01G061400;TraesCS2D01G509500;TraesCS2D01G509300;TraesCS1B01G270300;TraesCS2D01G574000;TraesCS5A01G351300;TraesCS5A01G433600;TraesCS2A01G532600;TraesCS6B01G385500;TraesCS2B01G539200;TraesCS6B01G469900;TraesCS4D01G352700;TraesCS5D01G152300;TraesCS6D01G115200;TraesCS2B01G001400;TraesCS3A01G261700;TraesCS6B01G358800;TraesCS2A01G537900;TraesCS2B01G511300;TraesCS6D01G180400;TraesCS3A01G138200;TraesCS6A01G352800;TraesCS2D01G275400;TraesCS2D01G419700;TraesCS2B01G008300;TraesCS7B01G356400;TraesCS2A01G053100;TraesCS2B01G004900;TraesCS5B01G538600;TraesCS5B01G538800</t>
  </si>
  <si>
    <t>TraesCS2D01G538400;TraesCS5D01G359000;TraesCS2A01G217600;TraesCS5A01G388800;TraesCSU01G172900;TraesCS2D01G380800;TraesCS7B01G107300;TraesCS1B01G454000;TraesCS7D01G449500;TraesCS6B01G001300;TraesCS2D01G582800;TraesCS2B01G537800;TraesCS3A01G369700;TraesCS2B01G101300;TraesCS3B01G289400;TraesCS1A01G149700;TraesCS6A01G078700;TraesCS1B01G167700;TraesCS5D01G158100;TraesCS7D01G041400;TraesCS2D01G572600;TraesCS5D01G003500;TraesCS6B01G052400;TraesCS2B01G617400;TraesCS7D01G356200;TraesCSU01G198700;TraesCS7D01G444400;TraesCS1D01G005400;TraesCS2A01G214100;TraesCS2D01G537100;TraesCS5D01G312800;TraesCS7D01G136700;TraesCS1B01G254900;TraesCS4D01G176200;TraesCS7A01G507400;TraesCS5B01G151600;TraesCS1D01G037200;TraesCS3A01G224400;TraesCS5B01G366400;TraesCS6B01G152600;TraesCS5A01G249900;TraesCS5B01G146500;TraesCS5D01G358600;TraesCS7B01G356500;TraesCS4B01G132000;TraesCS6D01G047500;TraesCS7D01G495700;TraesCS3B01G196900;TraesCS3D01G169600;TraesCS7B01G222500;TraesCS6B01G246800;TraesCS7D01G357100;TraesCS2A01G217500;TraesCS5B01G056700;TraesCS5B01G188700;TraesCS5D01G061400;TraesCS2D01G509500;TraesCS2D01G509300;TraesCS1B01G270300;TraesCS2D01G574000;TraesCS5A01G351300;TraesCS5A01G433600;TraesCS1D01G101300;TraesCS2A01G532600;TraesCS6B01G385500;TraesCS2B01G539200;TraesCS4D01G352700;TraesCS5D01G152300;TraesCS6D01G115200;TraesCS2B01G001400;TraesCS3B01G585400;TraesCS6D01G136300;TraesCS3A01G261700;TraesCS7A01G333500;TraesCS6B01G358800;TraesCS2A01G537900;TraesCS2B01G511300;TraesCS4B01G054700;TraesCS3B01G401600;TraesCS2B01G100200;TraesCS1B01G081600;TraesCS6A01G352800;TraesCS2D01G419700;TraesCS2B01G008300;TraesCS7B01G356400;TraesCS6D01G110000;TraesCS2A01G053100;TraesCS2B01G004900;TraesCS5B01G538600;TraesCS5B01G538800</t>
  </si>
  <si>
    <t>TraesCS2D01G538400;TraesCS5D01G359000;TraesCS2A01G217600;TraesCS5A01G388800;TraesCSU01G172900;TraesCS2D01G380800;TraesCS2D01G458600;TraesCS7B01G107300;TraesCS1B01G454000;TraesCS7D01G449500;TraesCS6B01G001300;TraesCS2D01G582800;TraesCS2B01G537800;TraesCS3B01G289400;TraesCS1A01G149700;TraesCS6A01G078700;TraesCS1B01G167700;TraesCS5D01G158100;TraesCS7D01G041400;TraesCS2D01G572600;TraesCS5D01G003500;TraesCS6B01G052400;TraesCS2B01G617400;TraesCS7D01G356200;TraesCSU01G198700;TraesCS7D01G444400;TraesCS2A01G214100;TraesCS2D01G537100;TraesCS7D01G136700;TraesCS7A01G507400;TraesCS5B01G151600;TraesCS1D01G037200;TraesCS3A01G224400;TraesCS5B01G366400;TraesCS6B01G152600;TraesCS2D01G296100;TraesCS5B01G146500;TraesCS5D01G358600;TraesCS7B01G356500;TraesCS4B01G132000;TraesCS6D01G047500;TraesCS7D01G495700;TraesCS3B01G196900;TraesCS3D01G169600;TraesCS7B01G222500;TraesCS7D01G357100;TraesCS2A01G217500;TraesCS5B01G056700;TraesCS5B01G188700;TraesCS5D01G061400;TraesCS2D01G509500;TraesCS2D01G509300;TraesCS1B01G270300;TraesCS2D01G574000;TraesCS5A01G351300;TraesCS5A01G433600;TraesCS1D01G101300;TraesCS2A01G532600;TraesCS6B01G385500;TraesCS2B01G539200;TraesCS6B01G469900;TraesCS4D01G352700;TraesCS5D01G152300;TraesCS6D01G115200;TraesCS2B01G001400;TraesCS3A01G261700;TraesCS6B01G358800;TraesCS2A01G537900;TraesCS2B01G511300;TraesCS6D01G180400;TraesCS6A01G352800;TraesCS2D01G275400;TraesCS2D01G419700;TraesCS2B01G008300;TraesCS7B01G356400;TraesCS2A01G053100;TraesCS2B01G004900;TraesCS5B01G538600;TraesCS5B01G538800</t>
  </si>
  <si>
    <t>TraesCS1D01G073000;TraesCS2D01G538400;TraesCS5D01G359000;TraesCS2A01G217600;TraesCS5A01G388800;TraesCSU01G172900;TraesCS2D01G380800;TraesCS7B01G107300;TraesCS1B01G454000;TraesCS7D01G449500;TraesCS6B01G001300;TraesCS7B01G476100;TraesCS2D01G582800;TraesCS2B01G537800;TraesCS3A01G369700;TraesCS2B01G101300;TraesCS3B01G289400;TraesCS1A01G149700;TraesCS6A01G078700;TraesCS1B01G167700;TraesCS5D01G158100;TraesCS7D01G041400;TraesCS2D01G572600;TraesCS3B01G486100;TraesCS5D01G003500;TraesCS6B01G052400;TraesCS2B01G617400;TraesCS7D01G356200;TraesCSU01G198700;TraesCS7D01G444400;TraesCS1D01G005400;TraesCS2A01G214100;TraesCS2D01G537100;TraesCS5D01G312800;TraesCS7D01G136700;TraesCS1B01G254900;TraesCS4D01G176200;TraesCS7A01G507400;TraesCS5B01G151600;TraesCS1D01G037200;TraesCS3A01G224400;TraesCS5B01G366400;TraesCS6B01G152600;TraesCS5A01G249900;TraesCS5B01G146500;TraesCS5D01G358600;TraesCS7B01G356500;TraesCS4B01G132000;TraesCS6D01G047500;TraesCS7D01G495700;TraesCS3B01G196900;TraesCS3D01G169600;TraesCS7B01G222500;TraesCS7D01G357100;TraesCS2A01G217500;TraesCS5B01G056700;TraesCS5B01G188700;TraesCS5D01G061400;TraesCS2D01G509500;TraesCS2D01G509300;TraesCS1B01G270300;TraesCS2D01G574000;TraesCS5A01G351300;TraesCS5A01G433600;TraesCS1D01G101300;TraesCS2A01G532600;TraesCS6B01G385500;TraesCS2B01G539200;TraesCS4D01G352700;TraesCS5D01G152300;TraesCS6D01G115200;TraesCS2B01G001400;TraesCS3B01G585400;TraesCS6D01G136300;TraesCS3A01G261700;TraesCS4B01G366800;TraesCS7A01G333500;TraesCS6B01G358800;TraesCS2A01G537900;TraesCS2B01G511300;TraesCS4B01G054700;TraesCS3B01G401600;TraesCS2B01G100200;TraesCS1B01G081600;TraesCS6A01G352800;TraesCS2D01G419700;TraesCS2B01G008300;TraesCS7B01G356400;TraesCS6D01G110000;TraesCS2A01G053100;TraesCS2B01G004900;TraesCS5B01G538600;TraesCS5B01G538800</t>
  </si>
  <si>
    <t>TraesCS2D01G538400;TraesCS5D01G359000;TraesCS7B01G272900;TraesCS1B01G270300;TraesCS6A01G078700;TraesCS2A01G532600;TraesCS5D01G152300;TraesCS7D01G444400;TraesCS1D01G156600;TraesCS2A01G537900;TraesCS2D01G537100;TraesCS2B01G511300;TraesCS5A01G351700;TraesCS5D01G218400;TraesCS4A01G353100;TraesCS5A01G218000;TraesCS4D01G001200;TraesCS2B01G008300;TraesCS5B01G146500;TraesCS5D01G358600;TraesCS7B01G356500;TraesCS7B01G356400;TraesCS4B01G132000;TraesCS5B01G217100;TraesCS5B01G217000</t>
  </si>
  <si>
    <t>TraesCSU01G172900;TraesCSU01G198700;TraesCS2A01G214100;TraesCS2D01G509500;TraesCS2D01G509300;TraesCS7D01G136700;TraesCS2D01G582800;TraesCS2B01G537800;TraesCS7A01G507400;TraesCS1D01G037200;TraesCS5B01G366400;TraesCS6A01G352800;TraesCS5A01G433600;TraesCS6B01G385500;TraesCS7D01G041400;TraesCS7D01G495700;TraesCS3B01G196900;TraesCS2B01G617400</t>
  </si>
  <si>
    <t>TraesCS2D01G538400;TraesCS5D01G359000;TraesCS2A01G217600;TraesCS5A01G388800;TraesCSU01G172900;TraesCS2D01G380800;TraesCS7B01G107300;TraesCS1B01G454000;TraesCS7D01G449500;TraesCS6B01G001300;TraesCS7B01G476100;TraesCS2D01G582800;TraesCS2B01G537800;TraesCS3A01G369700;TraesCS2B01G101300;TraesCS3B01G289400;TraesCS1A01G149700;TraesCS6A01G078700;TraesCS1B01G167700;TraesCS5D01G158100;TraesCS7D01G041400;TraesCS2D01G572600;TraesCS7A01G012000;TraesCS5D01G003500;TraesCS6B01G052400;TraesCS2B01G617400;TraesCS7D01G356200;TraesCSU01G198700;TraesCS7D01G444400;TraesCS1D01G005400;TraesCS2A01G214100;TraesCS2D01G537100;TraesCS5D01G312800;TraesCS7D01G136700;TraesCS1B01G254900;TraesCS4D01G176200;TraesCS7A01G507400;TraesCS5B01G151600;TraesCS1D01G037200;TraesCS3A01G224400;TraesCS5B01G366400;TraesCS6B01G152600;TraesCS5A01G249900;TraesCS2B01G203900;TraesCS5B01G146500;TraesCS5D01G358600;TraesCS7B01G356500;TraesCS4B01G132000;TraesCS6D01G047500;TraesCS7D01G495700;TraesCS3B01G196900;TraesCS3D01G169600;TraesCS7B01G222500;TraesCS7D01G357100;TraesCS2A01G217500;TraesCS5B01G056700;TraesCS5B01G188700;TraesCS5D01G061400;TraesCS2D01G509500;TraesCS2D01G509300;TraesCS1B01G270300;TraesCS2D01G574000;TraesCS5A01G351300;TraesCS5A01G433600;TraesCS1D01G101300;TraesCS2A01G532600;TraesCS6B01G385500;TraesCS2B01G539200;TraesCS4D01G352700;TraesCS5D01G152300;TraesCS6D01G115200;TraesCS2B01G001400;TraesCS3B01G585400;TraesCS6D01G136300;TraesCS3A01G261700;TraesCS4B01G366800;TraesCS7A01G333500;TraesCS6B01G358800;TraesCS2A01G537900;TraesCS2B01G511300;TraesCS4B01G054700;TraesCS3B01G401600;TraesCS2B01G100200;TraesCS1B01G081600;TraesCS6A01G352800;TraesCS2D01G419700;TraesCS2B01G008300;TraesCS7B01G356400;TraesCS6D01G110000;TraesCS2A01G053100;TraesCS2B01G004900;TraesCS5B01G538600;TraesCS5B01G538800</t>
  </si>
  <si>
    <t>TraesCS2D01G538400;TraesCS4B01G378000;TraesCS5D01G359000;TraesCS2A01G217600;TraesCS3D01G105300;TraesCS3D01G293800;TraesCS1B01G454000;TraesCS6D01G310700;TraesCS7D01G449500;TraesCS1D01G035200;TraesCS2D01G582800;TraesCS2B01G537800;TraesCS2B01G101300;TraesCS3B01G289400;TraesCS1A01G149700;TraesCS5A01G544400;TraesCS1B01G167700;TraesCS4A01G406100;TraesCS4D01G031600;TraesCS2D01G572600;TraesCS3A01G410600;TraesCS3D01G405200;TraesCS6B01G052400;TraesCS2B01G617400;TraesCS7D01G356200;TraesCSU01G198700;TraesCS4B01G033600;TraesCS1D01G005400;TraesCS2A01G214100;TraesCS7D01G136700;TraesCS1B01G254900;TraesCS7A01G507400;TraesCS5B01G151600;TraesCS5A01G249900;TraesCS5D01G358600;TraesCS4B01G132000;TraesCS3D01G350700;TraesCS7D01G495700;TraesCS7B01G222500;TraesCSU01G145500;TraesCS7D01G357100;TraesCS6B01G118800;TraesCS2A01G217500;TraesCS5B01G056700;TraesCS5B01G490400;TraesCS5D01G061400;TraesCS7B01G440600;TraesCS4A01G181400;TraesCS2D01G509300;TraesCS4A01G181800;TraesCS2A01G322500;TraesCS1B01G270300;TraesCS5A01G433600;TraesCS1D01G101300;TraesCS5A01G477100;TraesCS4D01G031700;TraesCS2A01G532600;TraesCS2B01G539200;TraesCS2B01G001400;TraesCS7A01G333500;TraesCS6B01G358800;TraesCS2A01G537900;TraesCS2D01G419700;TraesCS5A01G543900;TraesCS2B01G008300;TraesCS5B01G490000;TraesCS7B01G356400;TraesCS6D01G110000;TraesCS2A01G053100;TraesCS2B01G004900;TraesCS5B01G538800;TraesCS1D01G073000;TraesCS7A01G523400;TraesCS5A01G388800;TraesCSU01G172900;TraesCS2D01G380800;TraesCS7B01G107300;TraesCS5D01G491500;TraesCS6B01G001300;TraesCS7B01G476100;TraesCS3A01G369700;TraesCS4D01G031800;TraesCS6A01G078700;TraesCS3A01G414600;TraesCS5D01G158100;TraesCS3D01G447600;TraesCS4B01G003300;TraesCS7D01G041400;TraesCS3B01G486100;TraesCS5D01G003500;TraesCS4A01G279100;TraesCS4B01G033400;TraesCS7D01G444400;TraesCS7B01G458900;TraesCS2D01G537100;TraesCS4B01G377100;TraesCS5D01G312800;TraesCS4D01G176200;TraesCS1D01G037200;TraesCS3A01G224400;TraesCS5B01G366400;TraesCS6B01G152600;TraesCS4D01G032200;TraesCS5B01G146500;TraesCS7A01G086000;TraesCS7B01G356500;TraesCS3B01G139600;TraesCS3D01G408100;TraesCS6D01G047500;TraesCSU01G002900;TraesCS3B01G196900;TraesCS3D01G169600;TraesCS5B01G188700;TraesCS3A01G044800;TraesCS4B01G378100;TraesCS5A01G233100;TraesCS2D01G509500;TraesCS2D01G574000;TraesCS5A01G351300;TraesCS6B01G385500;TraesCS2D01G339900;TraesCS1B01G096400;TraesCS4D01G352700;TraesCS5A01G477300;TraesCS5D01G152300;TraesCS4B01G305600;TraesCS6D01G115200;TraesCS3B01G585400;TraesCSU01G152800;TraesCS6D01G136300;TraesCS3A01G261700;TraesCS4B01G366800;TraesCS1A01G078400;TraesCS4D01G176700;TraesCS2B01G511300;TraesCS4B01G054700;TraesCS3B01G401600;TraesCS2B01G606600;TraesCS2B01G100200;TraesCS1B01G081600;TraesCS6A01G352800;TraesCS5A01G543700;TraesCS5B01G538600</t>
  </si>
  <si>
    <t>TraesCS1D01G073000;TraesCS2D01G538400;TraesCS5D01G359000;TraesCS2A01G217600;TraesCS5A01G388800;TraesCSU01G172900;TraesCS2D01G380800;TraesCS7B01G107300;TraesCS1B01G454000;TraesCS7D01G449500;TraesCS6B01G001300;TraesCS7B01G476100;TraesCS2D01G582800;TraesCS2B01G537800;TraesCS3A01G369700;TraesCS2B01G101300;TraesCS3B01G289400;TraesCS1A01G149700;TraesCS6A01G078700;TraesCS1B01G167700;TraesCS5D01G158100;TraesCS7D01G041400;TraesCS2D01G572600;TraesCS3B01G486100;TraesCS7A01G012000;TraesCS5D01G003500;TraesCS6B01G052400;TraesCS2B01G617400;TraesCS7D01G356200;TraesCSU01G198700;TraesCS7D01G444400;TraesCS1D01G005400;TraesCS2A01G214100;TraesCS2D01G537100;TraesCS5D01G312800;TraesCS7D01G136700;TraesCS1B01G254900;TraesCS4D01G176200;TraesCS7A01G507400;TraesCS5B01G151600;TraesCS1D01G037200;TraesCS3A01G224400;TraesCS5B01G366400;TraesCS6B01G152600;TraesCS5A01G249900;TraesCS2B01G203900;TraesCS5B01G146500;TraesCS5D01G358600;TraesCS7B01G356500;TraesCS4B01G132000;TraesCS6D01G047500;TraesCS7D01G495700;TraesCS3B01G196900;TraesCS3D01G169600;TraesCS7B01G222500;TraesCS7D01G357100;TraesCS2A01G217500;TraesCS5B01G056700;TraesCS5B01G188700;TraesCS5D01G061400;TraesCS2D01G509500;TraesCS2D01G509300;TraesCS1B01G270300;TraesCS2D01G574000;TraesCS5A01G351300;TraesCS5A01G433600;TraesCS1D01G101300;TraesCS2A01G532600;TraesCS6B01G385500;TraesCS2B01G539200;TraesCS4D01G352700;TraesCS5D01G152300;TraesCS6D01G115200;TraesCS2B01G001400;TraesCS3B01G585400;TraesCS6D01G136300;TraesCS3A01G261700;TraesCS4B01G366800;TraesCS7A01G333500;TraesCS6B01G358800;TraesCS2A01G537900;TraesCS2B01G511300;TraesCS4B01G054700;TraesCS3B01G401600;TraesCS2B01G100200;TraesCS1B01G081600;TraesCS6A01G352800;TraesCS2D01G419700;TraesCS2B01G008300;TraesCS7B01G356400;TraesCS6D01G110000;TraesCS2A01G053100;TraesCS2B01G004900;TraesCS5B01G538600;TraesCS5B01G538800</t>
  </si>
  <si>
    <t>TraesCS4B01G033400;TraesCS4D01G031600</t>
  </si>
  <si>
    <t>TraesCS2D01G538400;TraesCS5D01G359000;TraesCS2A01G217600;TraesCS5A01G388800;TraesCSU01G172900;TraesCS2D01G380800;TraesCS2D01G458600;TraesCS7B01G107300;TraesCS1B01G454000;TraesCS7D01G449500;TraesCS6B01G001300;TraesCS2D01G582800;TraesCS2B01G537800;TraesCS3B01G289400;TraesCS1A01G149700;TraesCS6A01G078700;TraesCS1B01G167700;TraesCS5D01G158100;TraesCS7D01G041400;TraesCS3B01G004100;TraesCS2D01G572600;TraesCS5D01G003500;TraesCS6B01G052400;TraesCS2B01G617400;TraesCS7D01G356200;TraesCSU01G198700;TraesCS7D01G444400;TraesCS2A01G214100;TraesCS2D01G537100;TraesCS7D01G136700;TraesCS7A01G507400;TraesCS5B01G151600;TraesCS1D01G037200;TraesCS3A01G224400;TraesCS5B01G366400;TraesCS6B01G152600;TraesCS2D01G296100;TraesCS5B01G146500;TraesCS5D01G358600;TraesCS7B01G356500;TraesCS4B01G132000;TraesCS6D01G047500;TraesCS7D01G495700;TraesCS3B01G196900;TraesCS3D01G169600;TraesCS7B01G222500;TraesCS7D01G357100;TraesCS2A01G217500;TraesCS5B01G056700;TraesCS5B01G188700;TraesCS5D01G061400;TraesCS2D01G509500;TraesCS2D01G509300;TraesCS1B01G270300;TraesCS2D01G574000;TraesCS5A01G351300;TraesCS5A01G433600;TraesCS1D01G101300;TraesCS2A01G532600;TraesCS6B01G385500;TraesCS2B01G539200;TraesCS6B01G469900;TraesCS4D01G352700;TraesCS5D01G152300;TraesCS6D01G115200;TraesCS2B01G001400;TraesCS3A01G261700;TraesCS6B01G358800;TraesCS2A01G537900;TraesCS2B01G511300;TraesCS6D01G180400;TraesCS3A01G138200;TraesCS6A01G352800;TraesCS2D01G275400;TraesCS2D01G419700;TraesCS2B01G008300;TraesCS7B01G356400;TraesCS2A01G053100;TraesCS2B01G004900;TraesCS5B01G538600;TraesCS5B01G538800</t>
  </si>
  <si>
    <t>TraesCS1A01G347200;TraesCS2B01G428800;TraesCS2B01G068600;TraesCS2B01G428700;TraesCS5A01G394500;TraesCS5A01G461100;TraesCS5D01G476200;TraesCS6B01G347700;TraesCS1B01G210700;TraesCS2A01G158200;TraesCS3A01G124800;TraesCS2B01G290000;TraesCS7A01G370400;TraesCS2A01G056100;TraesCS2D01G464500;TraesCS1D01G199500;TraesCS2A01G463300;TraesCS2D01G164900;TraesCS4A01G413600</t>
  </si>
  <si>
    <t>TraesCS2D01G538400;TraesCS5D01G359000;TraesCS2D01G154300;TraesCS7D01G444400;TraesCS2A01G537900;TraesCS2D01G537100;TraesCS2B01G511300;TraesCS5A01G351700;TraesCS1B01G270300;TraesCS4A01G353100;TraesCS1D01G101300;TraesCS6A01G078700;TraesCS2A01G532600;TraesCS2B01G008300;TraesCS5D01G358600;TraesCS7B01G356500;TraesCS7B01G356400;TraesCS4B01G132000;TraesCS5D01G152300</t>
  </si>
  <si>
    <t>TraesCS2D01G538400;TraesCS5D01G359000;TraesCS2A01G217600;TraesCS5A01G388800;TraesCSU01G172900;TraesCS2D01G380800;TraesCS2D01G458600;TraesCS7B01G107300;TraesCS1B01G454000;TraesCS7D01G449500;TraesCS6B01G001300;TraesCS2D01G582800;TraesCS2B01G537800;TraesCS3B01G289400;TraesCS1A01G149700;TraesCS7A01G264800;TraesCS6A01G078700;TraesCS1B01G167700;TraesCS5D01G158100;TraesCS7D01G041400;TraesCS2D01G567000;TraesCS2D01G572600;TraesCS3B01G176200;TraesCS5D01G003500;TraesCS6B01G052400;TraesCS2B01G617400;TraesCS7D01G356200;TraesCSU01G198700;TraesCS7D01G444400;TraesCS2A01G214100;TraesCS2D01G537100;TraesCS7D01G136700;TraesCS1B01G088500;TraesCS7A01G507400;TraesCS5B01G151600;TraesCS1D01G037200;TraesCS3A01G224400;TraesCS5B01G366400;TraesCS6B01G152600;TraesCS2D01G464400;TraesCS2D01G296100;TraesCS4D01G001200;TraesCS5B01G146500;TraesCS5D01G358600;TraesCS7B01G356500;TraesCS4B01G132000;TraesCS6D01G047500;TraesCS7D01G495700;TraesCS3B01G196900;TraesCS3D01G169600;TraesCS7B01G222500;TraesCS4B01G143500;TraesCS6B01G246800;TraesCS7D01G357100;TraesCS2A01G217500;TraesCS5B01G056700;TraesCS5B01G188700;TraesCS5D01G061400;TraesCS2D01G509500;TraesCS5B01G203100;TraesCSU01G137200;TraesCS2D01G509300;TraesCS7B01G272900;TraesCS1B01G270300;TraesCS2D01G574000;TraesCS5A01G351300;TraesCS5A01G433600;TraesCS5B01G313000;TraesCS1D01G101300;TraesCS2B01G326600;TraesCS2A01G532600;TraesCS6B01G385500;TraesCS2B01G539200;TraesCS6B01G469900;TraesCS4D01G352700;TraesCS5D01G152300;TraesCS6D01G115200;TraesCS1D01G199500;TraesCS2B01G001400;TraesCS2A01G201800;TraesCS3A01G261700;TraesCS6B01G358800;TraesCS2A01G537900;TraesCS2B01G511300;TraesCS1B01G210700;TraesCS6D01G180400;TraesCS6A01G352800;TraesCS2D01G275400;TraesCS2D01G419700;TraesCS2B01G008300;TraesCS7B01G356400;TraesCS2A01G053100;TraesCS2B01G004900;TraesCS5B01G538600;TraesCS5B01G538800</t>
  </si>
  <si>
    <t>glutamate receptor signaling pathway</t>
  </si>
  <si>
    <t>TraesCS5A01G218000;TraesCS5B01G217100;TraesCS5B01G217000</t>
  </si>
  <si>
    <t>ionotropic glutamate receptor signaling pathway</t>
  </si>
  <si>
    <t>TraesCS5A01G218000;TraesCS5B01G217700;TraesCS5B01G217100;TraesCS5B01G217000</t>
  </si>
  <si>
    <t>excitatory extracellular ligand-gated ion channel activity</t>
  </si>
  <si>
    <t>extracellularly glutamate-gated ion channel activity</t>
  </si>
  <si>
    <t>TraesCS1A01G347200;TraesCS2B01G428800;TraesCS2B01G068600;TraesCS2B01G428700;TraesCS5A01G394500;TraesCS5A01G461100;TraesCS5D01G476200;TraesCS6B01G347700;TraesCS1B01G210700;TraesCS2A01G158200;TraesCS3A01G124800;TraesCS2B01G290000;TraesCS7A01G370400;TraesCS2A01G056100;TraesCS2D01G464500;TraesCS2B01G318300;TraesCS1D01G199500;TraesCS2A01G463300;TraesCS2D01G164900;TraesCS4A01G413600</t>
  </si>
  <si>
    <t>TraesCS1D01G073000;TraesCS2D01G538400;TraesCS5D01G359000;TraesCS2A01G217600;TraesCS5A01G388800;TraesCSU01G172900;TraesCS2D01G380800;TraesCS2D01G458600;TraesCS7B01G107300;TraesCS1B01G454000;TraesCS7D01G449500;TraesCS6B01G001300;TraesCS2D01G582800;TraesCS2B01G537800;TraesCS3B01G289400;TraesCS1A01G149700;TraesCS6A01G078700;TraesCS1B01G167700;TraesCS5D01G158100;TraesCS7D01G041400;TraesCS3B01G004100;TraesCS2D01G572600;TraesCS7A01G012000;TraesCS5D01G003500;TraesCS6B01G052400;TraesCS2B01G617400;TraesCS7D01G356200;TraesCSU01G198700;TraesCS7D01G444400;TraesCS2A01G214100;TraesCS2D01G537100;TraesCS7D01G136700;TraesCS7A01G507400;TraesCS5B01G151600;TraesCS1D01G037200;TraesCS3A01G224400;TraesCS5B01G366400;TraesCS5D01G218400;TraesCS6B01G152600;TraesCS2D01G296100;TraesCS5B01G146500;TraesCS5D01G358600;TraesCS7B01G356500;TraesCS4B01G132000;TraesCS6D01G047500;TraesCS7D01G495700;TraesCS3B01G196900;TraesCS3D01G169600;TraesCS7B01G222500;TraesCS6B01G246800;TraesCS7D01G357100;TraesCS2A01G217500;TraesCS5B01G056700;TraesCS5B01G188700;TraesCS5D01G061400;TraesCS2D01G509500;TraesCS2D01G509300;TraesCS3A01G124800;TraesCS1B01G270300;TraesCS2D01G574000;TraesCS5A01G351300;TraesCS5A01G433600;TraesCS1D01G101300;TraesCS5B01G445200;TraesCS2A01G532600;TraesCS6B01G385500;TraesCS2B01G539200;TraesCS6B01G469900;TraesCS4D01G352700;TraesCS5D01G152300;TraesCS6D01G115200;TraesCS2B01G001400;TraesCS6D01G136300;TraesCS3A01G261700;TraesCS6B01G358800;TraesCS2A01G537900;TraesCS1B01G048300;TraesCS2B01G511300;TraesCS6D01G180400;TraesCS3A01G138200;TraesCS6A01G352800;TraesCS2D01G275400;TraesCS2D01G419700;TraesCS5B01G098700;TraesCS2B01G008300;TraesCS7B01G356400;TraesCS2B01G318300;TraesCS2A01G053100;TraesCS2B01G004900;TraesCS5B01G538600;TraesCS5B01G538800</t>
  </si>
  <si>
    <t>cell surface receptor signaling pathway</t>
  </si>
  <si>
    <t>TraesCS1D01G037200;TraesCS5B01G366400;TraesCSU01G172900;TraesCSU01G198700;TraesCS2D01G509500;TraesCS2D01G509300;TraesCS7D01G136700;TraesCS2B01G537800;TraesCS2B01G617400</t>
  </si>
  <si>
    <t>L-tyrosine aminotransferase activity</t>
  </si>
  <si>
    <t>L-tyrosine:2-oxoglutarate aminotransferase activity</t>
  </si>
  <si>
    <t>TraesCS2A01G158700;TraesCS1A01G021000;TraesCS5B01G478100;TraesCS5B01G478200;TraesCS2D01G165600;TraesCS3B01G038700</t>
  </si>
  <si>
    <t>TraesCS5A01G368800;TraesCS6D01G237600;TraesCS3A01G265100;TraesCS3B01G298700;TraesCS6A01G256400</t>
  </si>
  <si>
    <t>TraesCS7A01G085900;TraesCS5A01G368800;TraesCS2A01G373200;TraesCS3A01G183800;TraesCS6A01G032400;TraesCS2B01G451400;TraesCS3B01G298700;TraesCS3B01G532300;TraesCS3B01G401600;TraesCS3A01G369700;TraesCS4B01G076400;TraesCS5A01G218000;TraesCS4A01G113800;TraesCS2A01G284900;TraesCS6D01G237600;TraesCS3A01G265100;TraesCS7B01G149100;TraesCS6A01G032500;TraesCS7B01G201500;TraesCS6A01G256400;TraesCS5B01G217100;TraesCS5B01G217000</t>
  </si>
  <si>
    <t>TraesCS5A01G368800;TraesCS6D01G237600;TraesCS3A01G265100;TraesCS7B01G149100;TraesCS3B01G298700;TraesCS6A01G256400</t>
  </si>
  <si>
    <t>TraesCS1D01G253200;TraesCS5A01G368800;TraesCS2A01G373200;TraesCS6D01G237600;TraesCS3A01G265100;TraesCS7B01G149100;TraesCS3B01G298700;TraesCS3B01G401600;TraesCS6A01G256400;TraesCS4D01G176200;TraesCS3A01G369700</t>
  </si>
  <si>
    <t>TraesCS2D01G596000;TraesCS2B01G571300;TraesCS2A01G583700;TraesCS2A01G583800</t>
  </si>
  <si>
    <t>thioredoxin peroxidase activity</t>
  </si>
  <si>
    <t>hydroxymethylpyrimidine kinase activity</t>
  </si>
  <si>
    <t>TraesCS6D01G136300</t>
  </si>
  <si>
    <t>TraesCS5D01G218400;TraesCS4B01G033400;TraesCS4D01G031600;TraesCSU01G100500</t>
  </si>
  <si>
    <t>TraesCS5A01G368800;TraesCS2A01G373200;TraesCS6D01G237600;TraesCS3A01G265100;TraesCS7B01G149100;TraesCS3B01G298700;TraesCS6A01G256400</t>
  </si>
  <si>
    <t>TraesCS2D01G339900;TraesCS3D01G408100</t>
  </si>
  <si>
    <t>phosphomethylpyrimidine kinase activity</t>
  </si>
  <si>
    <t>signaling receptor activity</t>
  </si>
  <si>
    <t>peptidase regulator activity</t>
  </si>
  <si>
    <t>peptidase inhibitor activity</t>
  </si>
  <si>
    <t>endopeptidase regulator activity</t>
  </si>
  <si>
    <t>endopeptidase inhibitor activity</t>
  </si>
  <si>
    <t>receptor activity</t>
  </si>
  <si>
    <t>ion gated channel activity</t>
  </si>
  <si>
    <t>TraesCS7A01G085900;TraesCS5A01G368800;TraesCS2A01G373200;TraesCS2B01G451400;TraesCS3B01G298700;TraesCS3B01G532300;TraesCS3B01G401600;TraesCS4D01G176200;TraesCS3A01G369700;TraesCS1D01G253200;TraesCS5A01G218000;TraesCS6D01G237600;TraesCS3A01G265100;TraesCS7B01G149100;TraesCS5B01G217700;TraesCS6A01G256400;TraesCS5B01G217100;TraesCS5B01G217000;TraesCS6D01G138000</t>
  </si>
  <si>
    <t>gated channel activity</t>
  </si>
  <si>
    <t>mechanosensitive ion channel activity</t>
  </si>
  <si>
    <t>aldonic acid metabolic process</t>
  </si>
  <si>
    <t>D-gluconate metabolic process</t>
  </si>
  <si>
    <t>TraesCS2D01G538400;TraesCS5D01G359000;TraesCS2A01G217600;TraesCS1B01G454000;TraesCS7D01G449500;TraesCS2D01G582800;TraesCS2B01G537800;TraesCS3B01G289400;TraesCS1A01G149700;TraesCS7A01G264800;TraesCS1B01G167700;TraesCS2D01G567000;TraesCS2D01G572600;TraesCS3B01G176200;TraesCS6B01G052400;TraesCS2B01G617400;TraesCS7D01G356200;TraesCSU01G198700;TraesCS2A01G214100;TraesCS7D01G136700;TraesCS1B01G088500;TraesCS7A01G507400;TraesCS5B01G151600;TraesCS2D01G464400;TraesCS2D01G296100;TraesCS5D01G358600;TraesCS4B01G132000;TraesCS7D01G495700;TraesCS7B01G222500;TraesCS7D01G357100;TraesCS2A01G217500;TraesCS5B01G056700;TraesCS5D01G061400;TraesCS5B01G203100;TraesCSU01G137200;TraesCS2D01G509300;TraesCS7B01G272900;TraesCS1B01G270300;TraesCS5A01G433600;TraesCS1D01G101300;TraesCS2A01G532600;TraesCS2B01G539200;TraesCS6B01G469900;TraesCS2B01G001400;TraesCS6B01G358800;TraesCS2A01G537900;TraesCS6D01G180400;TraesCS2D01G275400;TraesCS2D01G419700;TraesCS2B01G008300;TraesCS7B01G356400;TraesCS2A01G053100;TraesCS2B01G004900;TraesCS5B01G538800;TraesCS5A01G388800;TraesCSU01G172900;TraesCS2D01G380800;TraesCS2D01G458600;TraesCS7B01G107300;TraesCS6B01G001300;TraesCS6A01G078700;TraesCS5D01G158100;TraesCS7D01G041400;TraesCS3B01G004100;TraesCS5D01G003500;TraesCS7D01G444400;TraesCS2D01G537100;TraesCS1D01G037200;TraesCS3A01G224400;TraesCS5B01G366400;TraesCS6B01G152600;TraesCS4D01G001200;TraesCS5B01G146500;TraesCS7B01G356500;TraesCS6D01G047500;TraesCS3B01G196900;TraesCS3D01G169600;TraesCS4B01G143500;TraesCS6B01G246800;TraesCS5B01G188700;TraesCS2D01G509500;TraesCS2D01G574000;TraesCS5A01G351300;TraesCS5B01G313000;TraesCS2B01G326600;TraesCS6B01G385500;TraesCS4D01G352700;TraesCS5D01G152300;TraesCS6D01G115200;TraesCS1D01G199500;TraesCS2A01G201800;TraesCS3A01G261700;TraesCS2B01G511300;TraesCS1B01G210700;TraesCS3A01G138200;TraesCS6A01G352800;TraesCS5B01G538600</t>
  </si>
  <si>
    <t>TraesCS5D01G218400;TraesCS4D01G001200</t>
  </si>
  <si>
    <t>thiamine-phosphate diphosphorylase activity</t>
  </si>
  <si>
    <t>TraesCS3D01G293800;TraesCS2B01G038500;TraesCS4B01G003300;TraesCS6D01G310700</t>
  </si>
  <si>
    <t>TraesCS2D01G538400;TraesCS5D01G359000;TraesCS2A01G217600;TraesCS1B01G454000;TraesCS7D01G449500;TraesCS2D01G582800;TraesCS2B01G537800;TraesCS3B01G289400;TraesCS1A01G149700;TraesCS7A01G264800;TraesCS1B01G167700;TraesCS2D01G567000;TraesCS2D01G572600;TraesCS3B01G176200;TraesCS7A01G012000;TraesCS6B01G052400;TraesCS2B01G617400;TraesCS7D01G356200;TraesCSU01G198700;TraesCS2A01G214100;TraesCS1B01G197900;TraesCS7D01G136700;TraesCS1B01G088500;TraesCS7A01G507400;TraesCS5B01G151600;TraesCS5D01G218400;TraesCS2D01G464400;TraesCS7B01G123300;TraesCS2D01G296100;TraesCS5D01G358600;TraesCS4B01G132000;TraesCS7D01G495700;TraesCS7B01G222500;TraesCS7D01G357100;TraesCS2A01G217500;TraesCS5B01G056700;TraesCS5D01G061400;TraesCS5B01G203100;TraesCSU01G137200;TraesCS2D01G509300;TraesCS3A01G124800;TraesCS7B01G272900;TraesCS1B01G270300;TraesCS5A01G433600;TraesCS1D01G101300;TraesCS2A01G532600;TraesCS2B01G539200;TraesCS6B01G469900;TraesCS2B01G001400;TraesCS6B01G358800;TraesCS2A01G537900;TraesCS6D01G180400;TraesCS2D01G275400;TraesCS2D01G419700;TraesCS5B01G098700;TraesCS2B01G008300;TraesCS7B01G356400;TraesCS2A01G053100;TraesCS2B01G004900;TraesCS5B01G538800;TraesCS1D01G073000;TraesCS5A01G388800;TraesCSU01G172900;TraesCS2D01G380800;TraesCS2D01G458600;TraesCS7B01G107300;TraesCS6B01G001300;TraesCS6A01G078700;TraesCS5D01G158100;TraesCS3D01G447600;TraesCS7D01G041400;TraesCS5D01G003500;TraesCS7D01G444400;TraesCS7B01G458900;TraesCS2D01G537100;TraesCS1D01G037200;TraesCS3A01G224400;TraesCS5B01G366400;TraesCS6B01G152600;TraesCS4D01G001200;TraesCS5B01G146500;TraesCS7B01G356500;TraesCS6D01G047500;TraesCS3B01G196900;TraesCS3D01G169600;TraesCS4B01G143500;TraesCS6B01G246800;TraesCS5B01G188700;TraesCS3A01G044800;TraesCS2D01G509500;TraesCS2D01G574000;TraesCS5A01G351300;TraesCS5B01G313000;TraesCS2B01G303200;TraesCS2B01G326600;TraesCS5B01G445200;TraesCS6B01G385500;TraesCS4D01G352700;TraesCS5D01G152300;TraesCS6D01G115200;TraesCS1D01G199500;TraesCS3B01G585400;TraesCS6D01G136300;TraesCS2A01G201800;TraesCS3A01G261700;TraesCS1A01G305800;TraesCS1A01G078400;TraesCS1A01G259000;TraesCS1B01G048300;TraesCS2B01G511300;TraesCS1B01G210700;TraesCS6A01G352800;TraesCS2B01G318300;TraesCS5B01G538600</t>
  </si>
  <si>
    <t>TraesCS2A01G158700;TraesCS1A01G021000;TraesCS3A01G098600</t>
  </si>
  <si>
    <t>aldehyde dehydrogenase (NAD) activity</t>
  </si>
  <si>
    <t>TraesCS2A01G537900;TraesCS5D01G158100;TraesCS2B01G537800</t>
  </si>
  <si>
    <t>histidine-tRNA ligase activity</t>
  </si>
  <si>
    <t>histidyl-tRNA aminoacylation</t>
  </si>
  <si>
    <t>maintenance of dormancy</t>
  </si>
  <si>
    <t>maintenance of seed dormancy</t>
  </si>
  <si>
    <t>TraesCS3A01G183800;TraesCS7B01G149100</t>
  </si>
  <si>
    <t>ammonia-lyase activity</t>
  </si>
  <si>
    <t>TraesCS1D01G101300;TraesCS1B01G048300</t>
  </si>
  <si>
    <t>ion channel activity</t>
  </si>
  <si>
    <t>substrate-specific channel activity</t>
  </si>
  <si>
    <t>passive transmembrane transporter activity</t>
  </si>
  <si>
    <t>channel activity</t>
  </si>
  <si>
    <t>TraesCS2D01G538400;TraesCS5D01G359000;TraesCS2A01G217600;TraesCS1B01G454000;TraesCS2A01G135300;TraesCS7D01G449500;TraesCS2D01G582800;TraesCS2B01G537800;TraesCS3B01G289400;TraesCS1A01G149700;TraesCS7A01G264800;TraesCS1B01G167700;TraesCS2D01G567000;TraesCS2D01G572600;TraesCS3B01G176200;TraesCS7A01G012000;TraesCS6B01G052400;TraesCS2B01G617400;TraesCS7D01G356200;TraesCSU01G198700;TraesCS2A01G214100;TraesCS1B01G197900;TraesCS7D01G136700;TraesCS1B01G088500;TraesCS7A01G507400;TraesCS5B01G151600;TraesCS2D01G464400;TraesCS2B01G203900;TraesCS2D01G296100;TraesCS5D01G358600;TraesCS4B01G132000;TraesCS7D01G495700;TraesCS7B01G222500;TraesCS7D01G357100;TraesCS2A01G217500;TraesCS5B01G056700;TraesCS5D01G061400;TraesCS5B01G203100;TraesCSU01G137200;TraesCS2D01G137500;TraesCS2D01G509300;TraesCS3A01G124800;TraesCS7B01G272900;TraesCS1B01G270300;TraesCSU01G026500;TraesCS3B01G406000;TraesCS5A01G433600;TraesCS1D01G101300;TraesCS2A01G532600;TraesCS2B01G539200;TraesCS6B01G469900;TraesCS2B01G001400;TraesCS6B01G358800;TraesCS2A01G537900;TraesCS6D01G180400;TraesCS6A01G332100;TraesCS2D01G275400;TraesCS2D01G419700;TraesCS1A01G276200;TraesCS5B01G098700;TraesCS2B01G008300;TraesCS7B01G356400;TraesCS2A01G053100;TraesCS2B01G004900;TraesCS5B01G538800;TraesCS1D01G073000;TraesCS5A01G388800;TraesCSU01G172900;TraesCS2D01G380800;TraesCS2D01G458600;TraesCS7B01G107300;TraesCS3A01G170000;TraesCS6B01G001300;TraesCSU01G216800;TraesCS6A01G078700;TraesCS5D01G158100;TraesCS7D01G041400;TraesCS3B01G004100;TraesCS5D01G003500;TraesCS7D01G444400;TraesCS2D01G537100;TraesCS1D01G037200;TraesCS3A01G224400;TraesCS5B01G366400;TraesCS6B01G152600;TraesCS4D01G001200;TraesCS5B01G146500;TraesCS7B01G356500;TraesCS3B01G529300;TraesCS6D01G047500;TraesCS3B01G196900;TraesCS3D01G169600;TraesCS4B01G143500;TraesCS6B01G246800;TraesCS5B01G188700;TraesCS3A01G044800;TraesCS2D01G509500;TraesCS2D01G574000;TraesCS5A01G351300;TraesCS5B01G313000;TraesCS2B01G303200;TraesCS2B01G326600;TraesCS5B01G445200;TraesCS6B01G385500;TraesCS4D01G352700;TraesCS5D01G152300;TraesCS6D01G115200;TraesCS1D01G199500;TraesCS3B01G585400;TraesCS2A01G201800;TraesCS3A01G261700;TraesCS1A01G305800;TraesCS1A01G259000;TraesCS3D01G366500;TraesCS1B01G048300;TraesCS2B01G511300;TraesCS1B01G210700;TraesCS3A01G138200;TraesCS6A01G352800;TraesCS2B01G318300;TraesCS5B01G538600</t>
  </si>
  <si>
    <t>TraesCS2D01G538400;TraesCS5D01G359000;TraesCS2A01G217600;TraesCS1B01G454000;TraesCS7D01G449500;TraesCS2D01G582800;TraesCS4D01G068200;TraesCS2B01G537800;TraesCS2B01G101300;TraesCS3B01G289400;TraesCS1A01G149700;TraesCS1B01G167700;TraesCS2D01G567000;TraesCS2D01G572600;TraesCS3B01G176200;TraesCS7A01G012000;TraesCS6B01G052400;TraesCS2B01G617400;TraesCS7D01G356200;TraesCSU01G198700;TraesCS1D01G005400;TraesCS2A01G214100;TraesCS7D01G136700;TraesCS1B01G254900;TraesCS4A01G122400;TraesCS7A01G507400;TraesCS5B01G151600;TraesCS1D01G387100;TraesCS2D01G464400;TraesCS5A01G249900;TraesCS2B01G203900;TraesCS2B01G073600;TraesCS2B01G438600;TraesCS5D01G358600;TraesCS4B01G132000;TraesCS4B01G002000;TraesCS3D01G350700;TraesCS7D01G495700;TraesCS7B01G222500;TraesCS7D01G357100;TraesCS6B01G118800;TraesCS2A01G217500;TraesCS5B01G056700;TraesCS5B01G490400;TraesCS5D01G061400;TraesCS7B01G440600;TraesCS5B01G203100;TraesCSU01G137200;TraesCS2D01G509300;TraesCS2A01G322500;TraesCS1B01G270300;TraesCS5A01G433600;TraesCS1D01G101300;TraesCS5A01G477100;TraesCS2A01G532600;TraesCS2B01G539200;TraesCS2B01G001400;TraesCS7A01G333500;TraesCS6B01G358800;TraesCS2A01G537900;TraesCS5A01G087100;TraesCS2D01G419700;TraesCS6A01G261100;TraesCS2B01G008300;TraesCS5B01G490000;TraesCS7B01G356400;TraesCS6D01G110000;TraesCS2A01G053100;TraesCS2B01G004900;TraesCS5B01G538800;TraesCS1D01G073000;TraesCS7A01G523400;TraesCS5A01G388800;TraesCSU01G172900;TraesCS2D01G380800;TraesCS7B01G107300;TraesCS5D01G491500;TraesCS6B01G001300;TraesCS7B01G476100;TraesCS3A01G369700;TraesCS3B01G130000;TraesCS6A01G078700;TraesCS3A01G414600;TraesCS5D01G158100;TraesCS7D01G041400;TraesCS3B01G486100;TraesCS5D01G003500;TraesCS5A01G205200;TraesCS1A01G076200;TraesCS7D01G444400;TraesCS2D01G537100;TraesCS7A01G488600;TraesCS5D01G312800;TraesCS4D01G176200;TraesCS1D01G037200;TraesCS3A01G224400;TraesCS5B01G366400;TraesCS6B01G152600;TraesCS4D01G001200;TraesCS5A01G478100;TraesCS5B01G146500;TraesCS7A01G086000;TraesCS7B01G356500;TraesCS6D01G047500;TraesCSU01G002900;TraesCS3B01G196900;TraesCS3D01G169600;TraesCS3B01G339800;TraesCS5D01G210900;TraesCS5B01G188700;TraesCS5A01G233100;TraesCS2D01G509500;TraesCS7D01G336400;TraesCS2D01G574000;TraesCS5A01G351300;TraesCS5B01G313000;TraesCS6B01G385500;TraesCS1B01G096400;TraesCS4D01G352700;TraesCS5A01G477300;TraesCS5D01G152300;TraesCS6D01G115200;TraesCS3B01G585400;TraesCS6D01G136300;TraesCS2A01G201800;TraesCS3A01G261700;TraesCS4B01G366800;TraesCS6A01G120300;TraesCS3B01G298200;TraesCS1A01G078400;TraesCS2B01G511300;TraesCS4B01G054700;TraesCS3B01G401600;TraesCS2B01G606600;TraesCS2B01G100200;TraesCS1B01G081600;TraesCS6A01G352800;TraesCS7A01G509000;TraesCS5A01G411800;TraesCS5B01G538600</t>
  </si>
  <si>
    <t>TraesCS2A01G158700;TraesCS1A01G021000</t>
  </si>
  <si>
    <t>TraesCS3A01G149000;TraesCS3B01G314600;TraesCS5B01G564100;TraesCS2D01G414500;TraesCS6B01G193200;TraesCS7A01G116000;TraesCS3B01G375800;TraesCS5B01G091000;TraesCS7A01G343000;TraesCS2A01G142800;TraesCS5B01G315600;TraesCS1A01G370700;TraesCS1B01G243100;TraesCS7D01G052600;TraesCS5B01G193200;TraesCS7A01G423800;TraesCS1D01G376500;TraesCS5D01G232900;TraesCS7D01G501000;TraesCS5D01G232700;TraesCS7D01G171300;TraesCS3A01G404400;TraesCS4D01G105100;TraesCS1D01G429800;TraesCS7D01G052400;TraesCS5D01G473000;TraesCS6A01G319600;TraesCS2B01G232000;TraesCS2A01G204500;TraesCS2D01G332300;TraesCS4D01G267500;TraesCS6D01G154400;TraesCS3A01G281900;TraesCS7B01G432300;TraesCS2D01G515900;TraesCS3B01G255400;TraesCS6D01G299000;TraesCS5D01G315400;TraesCS7D01G092400;TraesCS5A01G112600;TraesCS3D01G227400;TraesCS2A01G255700;TraesCS5A01G238400;TraesCS7D01G052500;TraesCS3A01G229300;TraesCS4A01G396400;TraesCS2D01G211400;TraesCS3B01G568300;TraesCS5B01G275200;TraesCS5D01G097400;TraesCS2D01G234000;TraesCS2D01G387300;TraesCS4A01G396200;TraesCS5A01G312000;TraesCS6B01G350400;TraesCS4A01G036000;TraesCS3A01G343900;TraesCS5B01G410000;TraesCS1A01G370400;TraesCS3D01G399600;TraesCS1D01G072600;TraesCS5A01G460800;TraesCS6D01G217800;TraesCS1B01G439800;TraesCS2B01G436200;TraesCS5D01G321000;TraesCS3D01G281900;TraesCS5B01G236900;TraesCS6D01G110400;TraesCS5D01G132900;TraesCS3D01G337600;TraesCS7A01G057800;TraesCS5D01G205000;TraesCS4A01G001400;TraesCS5D01G245300</t>
  </si>
  <si>
    <t>TraesCS3B01G314600;TraesCS3B01G255400;TraesCS1D01G287500;TraesCS5D01G315400;TraesCS6B01G193200;TraesCS1D01G310200;TraesCS7A01G116000;TraesCS7D01G092400;TraesCS3B01G375800;TraesCS5B01G091000;TraesCS7A01G343000;TraesCS3D01G227400;TraesCS1B01G297900;TraesCS2A01G142800;TraesCS5B01G315600;TraesCS1B01G243100;TraesCS3A01G229300;TraesCS4A01G396400;TraesCS2D01G211400;TraesCS3B01G568300;TraesCS5D01G097400;TraesCS2D01G387300;TraesCS7A01G423800;TraesCS4A01G396200;TraesCS5D01G232900;TraesCS7D01G501000;TraesCS3A01G343900;TraesCS5B01G410000;TraesCS5D01G232700;TraesCS7D01G171300;TraesCS4D01G105100;TraesCS1D01G429800;TraesCS5D01G473000;TraesCS1D01G072600;TraesCS2B01G232000;TraesCS5A01G460800;TraesCS1B01G439800;TraesCS2A01G204500;TraesCS5D01G321000;TraesCS2D01G332300;TraesCS3D01G281900;TraesCS6D01G110400;TraesCS3D01G337600;TraesCS6D01G154400;TraesCS5D01G205000;TraesCS3A01G281900</t>
  </si>
  <si>
    <t>TraesCS6D01G193100;TraesCS6A01G209900;TraesCS6B01G238800;TraesCS1D01G144600;TraesCS5A01G357300;TraesCS6B01G238700;TraesCS5D01G366400;TraesCS6A01G210000;TraesCS1B01G164200</t>
  </si>
  <si>
    <t>TraesCS6D01G193100;TraesCS6A01G209900;TraesCS6B01G238800;TraesCS1D01G144600;TraesCS6B01G238700;TraesCS2D01G113300;TraesCS6A01G210000;TraesCS1B01G164200</t>
  </si>
  <si>
    <t>TraesCS1B01G370900;TraesCS4D01G127600;TraesCS3D01G130900;TraesCS6D01G276600;TraesCS2A01G368600;TraesCS3A01G130000;TraesCS1A01G308700;TraesCS6A01G377700;TraesCS7A01G133200;TraesCS7B01G306100;TraesCS3B01G538300;TraesCS5D01G183300;TraesCS7B01G034000;TraesCS4A01G245500;TraesCS3D01G483200;TraesCS4A01G186100;TraesCS5A01G343000;TraesCS7D01G280000;TraesCS7A01G406100;TraesCS1B01G446400;TraesCS5A01G118200;TraesCS1A01G051700;TraesCS7D01G087400;TraesCS7D01G085600;TraesCS5D01G119100;TraesCS5D01G341800;TraesCS3B01G338200;TraesCS5B01G135100;TraesCS7B01G433000;TraesCS3D01G041400;TraesCS5B01G152400;TraesCS7A01G516900;TraesCS3B01G351500;TraesCS6B01G256200;TraesCS7A01G516800;TraesCS7D01G507000;TraesCS7B01G387100;TraesCS7D01G507100;TraesCS5D01G348900;TraesCS5A01G153400;TraesCS5D01G524800;TraesCS5A01G155300;TraesCS5D01G281200;TraesCS3D01G484900</t>
  </si>
  <si>
    <t>S-adenosylmethioninamine metabolic process</t>
  </si>
  <si>
    <t>TraesCS6B01G248900;TraesCS6D01G202400;TraesCS6A01G219500;TraesCS6D01G202500</t>
  </si>
  <si>
    <t>S-adenosylmethioninamine biosynthetic process</t>
  </si>
  <si>
    <t>adenosylmethionine decarboxylase activity</t>
  </si>
  <si>
    <t>spermine metabolic process</t>
  </si>
  <si>
    <t>spermine biosynthetic process</t>
  </si>
  <si>
    <t>TraesCS5B01G029100;TraesCS1D01G287500;TraesCS2A01G303200;TraesCS7A01G328600;TraesCS7B01G178700;TraesCS2A01G397000;TraesCS5D01G518700;TraesCS3B01G375800;TraesCS1A01G275200;TraesCS3A01G527600;TraesCS5B01G533000;TraesCS2A01G142800;TraesCS1A01G370700;TraesCS1B01G243100;TraesCS7D01G052600;TraesCS1B01G098600;TraesCS3A01G269900;TraesCS5A01G118200;TraesCS2B01G135600;TraesCS3D01G370800;TraesCS3B01G361500;TraesCS1D01G376500;TraesCS5D01G232700;TraesCS7D01G171300;TraesCS2D01G113300;TraesCS1D01G429800;TraesCS5A01G093100;TraesCS6A01G319600;TraesCS1B01G084700;TraesCS3A01G271700;TraesCS5D01G304700;TraesCS2D01G332300;TraesCS7B01G423100;TraesCS6D01G154400;TraesCS1B01G164200;TraesCS7A01G464800;TraesCS3A01G281900;TraesCS6A01G108800;TraesCS1B01G129800;TraesCS7B01G432300;TraesCS6D01G299000;TraesCS5D01G315400;TraesCS3D01G367900;TraesCS3B01G572200;TraesCS4A01G148500;TraesCS7D01G374400;TraesCS2A01G303500;TraesCS7D01G372500;TraesCS4B01G045400;TraesCS1B01G297900;TraesCS2A01G255700;TraesCS3B01G448000;TraesCS7D01G052500;TraesCS7A01G312000;TraesCS4A01G396400;TraesCS2D01G211400;TraesCS3A01G135700;TraesCS5D01G097400;TraesCS2D01G387300;TraesCS3D01G078900;TraesCS4A01G071800;TraesCS2A01G155500;TraesCS6B01G350400;TraesCS3A01G343900;TraesCS5D01G097900;TraesCS5D01G421900;TraesCS3D01G399600;TraesCS1D01G072600;TraesCS2D01G394800;TraesCS5A01G460800;TraesCS6D01G217800;TraesCS6D01G246900;TraesCS2B01G350600;TraesCS5D01G321000;TraesCS5B01G236900;TraesCS6D01G110400;TraesCS6D01G244200;TraesCS5D01G132900;TraesCS1D01G274800;TraesCS3D01G337600;TraesCS5B01G530800;TraesCS5D01G321800;TraesCS7A01G057800;TraesCS5D01G205000;TraesCS6D01G211700;TraesCS4A01G001400;TraesCS3A01G149000;TraesCS3B01G314600;TraesCS1A01G302700;TraesCS5B01G564100;TraesCS2D01G414500;TraesCS6B01G193200;TraesCS7A01G116000;TraesCS5B01G091000;TraesCS7A01G343000;TraesCS5B01G315600;TraesCS5B01G193200;TraesCS1D01G011600;TraesCS3A01G242100;TraesCS3B01G153800;TraesCS7A01G423800;TraesCS2A01G331600;TraesCS2B01G339600;TraesCS5D01G232900;TraesCS7D01G501000;TraesCS3A01G404400;TraesCS4D01G105100;TraesCS4A01G422800;TraesCS7D01G052400;TraesCS5D01G473000;TraesCS2B01G232000;TraesCS3A01G306000;TraesCS5B01G316300;TraesCS2A01G204500;TraesCS4D01G267500;TraesCS4B01G080900;TraesCS3B01G114200;TraesCS1D01G405200;TraesCS2D01G515900;TraesCS3B01G255400;TraesCS5B01G163400;TraesCS3D01G136700;TraesCS7B01G365300;TraesCS2B01G180500;TraesCS7A01G376100;TraesCS7D01G092400;TraesCS5A01G112600;TraesCS2D01G167600;TraesCS3D01G227400;TraesCS1B01G304800;TraesCS5A01G097200;TraesCS5A01G238400;TraesCS3A01G229300;TraesCS2B01G359600;TraesCS3B01G568300;TraesCS5B01G275200;TraesCS2D01G234000;TraesCS4A01G396200;TraesCS6B01G136400;TraesCS4B01G247000;TraesCS5A01G312000;TraesCS7D01G308500;TraesCS4A01G036000;TraesCS4A01G176200;TraesCS2A01G323000;TraesCS2A01G161800;TraesCS2A01G340000;TraesCS5B01G410000;TraesCS6B01G381300;TraesCS1A01G370400;TraesCS5B01G099200;TraesCS3B01G303800;TraesCS1B01G439800;TraesCS2B01G436200;TraesCS3A01G413600;TraesCS3D01G281900;TraesCS1D01G144600;TraesCS5B01G102900;TraesCS2B01G186500;TraesCS3D01G295900;TraesCS2D01G250600;TraesCS5A01G155300;TraesCS5D01G245300</t>
  </si>
  <si>
    <t>TraesCS1D01G287500;TraesCS7A01G328600;TraesCS5D01G518700;TraesCS3B01G375800;TraesCS3A01G527600;TraesCS2A01G142800;TraesCS1A01G370700;TraesCS1B01G243100;TraesCS7D01G052600;TraesCS3A01G269900;TraesCS2B01G135600;TraesCS3D01G370800;TraesCS1D01G376500;TraesCS5D01G232700;TraesCS7D01G171300;TraesCS1D01G429800;TraesCS6A01G319600;TraesCS3A01G271700;TraesCS2D01G332300;TraesCS7B01G423100;TraesCS6D01G154400;TraesCS7A01G464800;TraesCS3A01G281900;TraesCS6A01G108800;TraesCS1B01G129800;TraesCS7B01G432300;TraesCS6D01G299000;TraesCS5D01G315400;TraesCS3D01G367900;TraesCS7D01G372500;TraesCS1B01G297900;TraesCS2A01G255700;TraesCS3B01G448000;TraesCS7D01G052500;TraesCS7A01G312000;TraesCS4A01G396400;TraesCS2D01G211400;TraesCS5D01G097400;TraesCS2D01G387300;TraesCS3D01G078900;TraesCS4A01G071800;TraesCS6B01G350400;TraesCS3A01G343900;TraesCS5D01G097900;TraesCS5D01G421900;TraesCS3D01G399600;TraesCS1D01G072600;TraesCS5A01G460800;TraesCS6D01G217800;TraesCS5D01G321000;TraesCS5B01G236900;TraesCS6D01G110400;TraesCS5D01G132900;TraesCS3D01G337600;TraesCS7A01G057800;TraesCS5D01G205000;TraesCS4A01G001400;TraesCS3A01G149000;TraesCS3B01G314600;TraesCS1A01G302700;TraesCS5B01G564100;TraesCS2D01G414500;TraesCS6B01G193200;TraesCS7A01G116000;TraesCS5B01G091000;TraesCS7A01G343000;TraesCS5B01G315600;TraesCS5B01G193200;TraesCS7A01G423800;TraesCS2B01G339600;TraesCS5D01G232900;TraesCS7D01G501000;TraesCS3A01G404400;TraesCS4D01G105100;TraesCS7D01G052400;TraesCS5D01G473000;TraesCS2B01G232000;TraesCS2A01G204500;TraesCS4D01G267500;TraesCS4B01G080900;TraesCS2D01G515900;TraesCS3B01G255400;TraesCS7B01G365300;TraesCS7A01G376100;TraesCS7D01G092400;TraesCS5A01G112600;TraesCS3D01G227400;TraesCS1B01G304800;TraesCS5A01G238400;TraesCS3A01G229300;TraesCS2B01G359600;TraesCS3B01G568300;TraesCS5B01G275200;TraesCS2D01G234000;TraesCS4A01G396200;TraesCS5A01G312000;TraesCS7D01G308500;TraesCS4A01G036000;TraesCS4A01G176200;TraesCS2A01G323000;TraesCS2A01G161800;TraesCS5B01G410000;TraesCS1A01G370400;TraesCS3B01G303800;TraesCS1B01G439800;TraesCS2B01G436200;TraesCS3A01G413600;TraesCS3D01G281900;TraesCS5D01G245300</t>
  </si>
  <si>
    <t>UMP kinase activity</t>
  </si>
  <si>
    <t>TraesCS2D01G289700;TraesCS2A01G291700;TraesCS2B01G308200</t>
  </si>
  <si>
    <t>TraesCS4D01G054300;TraesCS5A01G111500;TraesCS1D01G414700;TraesCS5D01G279000;TraesCS5D01G128400;TraesCS5B01G180400;TraesCS3A01G349800;TraesCS5B01G119500;TraesCS3D01G343800;TraesCS3A01G240500</t>
  </si>
  <si>
    <t>TraesCS5B01G029100;TraesCS1D01G287500;TraesCS2A01G303200;TraesCS7A01G328600;TraesCS7B01G178700;TraesCS2A01G397000;TraesCS5D01G518700;TraesCS3B01G375800;TraesCS1A01G275200;TraesCS3A01G527600;TraesCS5B01G533000;TraesCS2A01G142800;TraesCS1A01G370700;TraesCS1B01G243100;TraesCS7A01G322100;TraesCS7D01G052600;TraesCS1B01G098600;TraesCS3A01G269900;TraesCS5A01G118200;TraesCS2B01G135600;TraesCS3D01G370800;TraesCS3B01G361500;TraesCS1D01G376500;TraesCS5D01G232700;TraesCS7D01G171300;TraesCS2D01G113300;TraesCS1D01G429800;TraesCS5A01G093100;TraesCS6A01G319600;TraesCS1B01G084700;TraesCS3D01G322900;TraesCS3A01G271700;TraesCS5D01G304700;TraesCS2D01G332300;TraesCS7B01G423100;TraesCS6D01G154400;TraesCS1B01G164200;TraesCS7A01G464800;TraesCS3A01G281900;TraesCS6A01G108800;TraesCS1B01G129800;TraesCS7B01G432300;TraesCS6D01G299000;TraesCS5D01G315400;TraesCS3D01G367900;TraesCS3B01G572200;TraesCS4A01G148500;TraesCS7D01G374400;TraesCS2A01G303500;TraesCS7D01G372500;TraesCS4B01G045400;TraesCS1B01G297900;TraesCS2A01G255700;TraesCS3B01G448000;TraesCS7D01G052500;TraesCS7A01G312000;TraesCS4A01G396400;TraesCS2D01G211400;TraesCS3A01G135700;TraesCS5D01G097400;TraesCS1B01G245700;TraesCS2D01G387300;TraesCS3D01G078900;TraesCS4A01G071800;TraesCS2A01G155500;TraesCS6B01G350400;TraesCS3A01G343900;TraesCS5D01G097900;TraesCS5D01G421900;TraesCS3D01G399600;TraesCS1D01G072600;TraesCS2D01G394800;TraesCS2D01G443500;TraesCS5A01G460800;TraesCS6D01G217800;TraesCS6D01G246900;TraesCS2B01G350600;TraesCS5D01G321000;TraesCS5B01G236900;TraesCS6D01G110400;TraesCS6D01G244200;TraesCS5D01G132900;TraesCS1D01G274800;TraesCS3D01G337600;TraesCS5B01G530800;TraesCS5D01G321800;TraesCS7A01G057800;TraesCS5D01G205000;TraesCS6D01G211700;TraesCS4A01G001400;TraesCS3A01G149000;TraesCS3B01G314600;TraesCS1A01G302700;TraesCS5B01G564100;TraesCS2D01G043600;TraesCS2D01G414500;TraesCS6B01G193200;TraesCS7A01G116000;TraesCS1D01G233800;TraesCS5B01G091000;TraesCS7A01G343000;TraesCS5B01G315600;TraesCS5B01G193200;TraesCS1D01G011600;TraesCS3A01G242100;TraesCS3B01G153800;TraesCS7A01G423800;TraesCS2A01G331600;TraesCS2B01G339600;TraesCS5D01G232900;TraesCS7D01G501000;TraesCS3A01G404400;TraesCS4D01G105100;TraesCS4A01G422800;TraesCS7D01G052400;TraesCS2B01G308200;TraesCS5D01G473000;TraesCS2B01G232000;TraesCS3A01G306000;TraesCS5B01G316300;TraesCS2A01G204500;TraesCS4D01G267500;TraesCS4B01G080900;TraesCS3B01G114200;TraesCS2A01G045000;TraesCS1D01G405200;TraesCS2D01G515900;TraesCS3B01G255400;TraesCS5B01G163400;TraesCS3D01G136700;TraesCS7B01G365300;TraesCS2B01G180500;TraesCS7A01G376100;TraesCS7D01G092400;TraesCS5A01G112600;TraesCS2D01G167600;TraesCS3D01G227400;TraesCS1B01G304800;TraesCS5A01G097200;TraesCS5A01G238400;TraesCS3A01G229300;TraesCS2B01G359600;TraesCS3B01G568300;TraesCS5B01G275200;TraesCS2D01G234000;TraesCS4A01G396200;TraesCS6B01G136400;TraesCS4B01G247000;TraesCS5A01G312000;TraesCS7D01G308500;TraesCS4A01G036000;TraesCS4A01G176200;TraesCS2A01G323000;TraesCS2A01G161800;TraesCS2A01G340000;TraesCS5B01G410000;TraesCS6B01G381300;TraesCS1A01G370400;TraesCS5B01G099200;TraesCS3B01G303800;TraesCS1B01G439800;TraesCS2B01G436200;TraesCS3A01G413600;TraesCS3D01G281900;TraesCS1D01G144600;TraesCS5B01G102900;TraesCS2B01G186500;TraesCS3D01G295900;TraesCS2D01G250600;TraesCS5A01G155300;TraesCS5D01G245300</t>
  </si>
  <si>
    <t>TraesCS5A01G424800;TraesCS2A01G155500;TraesCS6D01G193100;TraesCS6A01G209900;TraesCS6D01G234700;TraesCS7B01G102000;TraesCS2D01G113300;TraesCS6D01G332500;TraesCS2B01G180500;TraesCS3D01G412600;TraesCS6D01G332900;TraesCS4A01G250900;TraesCS6B01G238800;TraesCS4D01G267500;TraesCS1D01G144600;TraesCS6B01G238700;TraesCS1D01G011600;TraesCS6A01G210000;TraesCS1B01G164200;TraesCS6D01G211700</t>
  </si>
  <si>
    <t>TraesCS1D01G287500;TraesCS7A01G328600;TraesCS7B01G178700;TraesCS5D01G518700;TraesCS3B01G375800;TraesCS3A01G527600;TraesCS2A01G142800;TraesCS1A01G370700;TraesCS1B01G243100;TraesCS7D01G052600;TraesCS3A01G269900;TraesCS2B01G135600;TraesCS3D01G370800;TraesCS1D01G376500;TraesCS5D01G232700;TraesCS7D01G171300;TraesCS1D01G429800;TraesCS6A01G319600;TraesCS3A01G271700;TraesCS2D01G332300;TraesCS7B01G423100;TraesCS6D01G154400;TraesCS7A01G464800;TraesCS3A01G281900;TraesCS6A01G108800;TraesCS1B01G129800;TraesCS7B01G432300;TraesCS6D01G299000;TraesCS5D01G315400;TraesCS3D01G367900;TraesCS3B01G572200;TraesCS2A01G303500;TraesCS7D01G372500;TraesCS1B01G297900;TraesCS2A01G255700;TraesCS3B01G448000;TraesCS7D01G052500;TraesCS7A01G312000;TraesCS4A01G396400;TraesCS2D01G211400;TraesCS5D01G097400;TraesCS2D01G387300;TraesCS3D01G078900;TraesCS4A01G071800;TraesCS6B01G350400;TraesCS3A01G343900;TraesCS5D01G097900;TraesCS5D01G421900;TraesCS3D01G399600;TraesCS1D01G072600;TraesCS5A01G460800;TraesCS6D01G217800;TraesCS5D01G321000;TraesCS5B01G236900;TraesCS6D01G110400;TraesCS5D01G132900;TraesCS3D01G337600;TraesCS7A01G057800;TraesCS5D01G205000;TraesCS4A01G001400;TraesCS3A01G149000;TraesCS3B01G314600;TraesCS1A01G302700;TraesCS5B01G564100;TraesCS2D01G414500;TraesCS6B01G193200;TraesCS7A01G116000;TraesCS5B01G091000;TraesCS7A01G343000;TraesCS5B01G315600;TraesCS5B01G193200;TraesCS7A01G423800;TraesCS2B01G339600;TraesCS5D01G232900;TraesCS7D01G501000;TraesCS3A01G404400;TraesCS4D01G105100;TraesCS7D01G052400;TraesCS5D01G473000;TraesCS2B01G232000;TraesCS2A01G204500;TraesCS4D01G267500;TraesCS4B01G080900;TraesCS2D01G515900;TraesCS3B01G255400;TraesCS5B01G163400;TraesCS7B01G365300;TraesCS7A01G376100;TraesCS7D01G092400;TraesCS5A01G112600;TraesCS3D01G227400;TraesCS1B01G304800;TraesCS5A01G238400;TraesCS3A01G229300;TraesCS2B01G359600;TraesCS3B01G568300;TraesCS5B01G275200;TraesCS2D01G234000;TraesCS4A01G396200;TraesCS5A01G312000;TraesCS7D01G308500;TraesCS4A01G036000;TraesCS4A01G176200;TraesCS2A01G323000;TraesCS2A01G161800;TraesCS5B01G410000;TraesCS1A01G370400;TraesCS3B01G303800;TraesCS1B01G439800;TraesCS2B01G436200;TraesCS3A01G413600;TraesCS3D01G281900;TraesCS5D01G245300</t>
  </si>
  <si>
    <t>TraesCS1D01G287500;TraesCS7A01G328600;TraesCS5D01G518700;TraesCS3B01G375800;TraesCS3A01G527600;TraesCS2A01G142800;TraesCS1A01G370700;TraesCS1B01G243100;TraesCS7D01G052600;TraesCS3A01G269900;TraesCS2B01G135600;TraesCS3D01G370800;TraesCS1D01G376500;TraesCS5D01G232700;TraesCS7D01G171300;TraesCS1D01G429800;TraesCS6A01G319600;TraesCS3A01G271700;TraesCS2D01G332300;TraesCS7B01G423100;TraesCS6D01G154400;TraesCS7A01G464800;TraesCS3A01G281900;TraesCS6A01G108800;TraesCS1B01G129800;TraesCS7B01G432300;TraesCS6D01G299000;TraesCS5D01G315400;TraesCS3D01G367900;TraesCS3B01G572200;TraesCS2A01G303500;TraesCS7D01G372500;TraesCS1B01G297900;TraesCS2A01G255700;TraesCS3B01G448000;TraesCS7D01G052500;TraesCS7A01G312000;TraesCS4A01G396400;TraesCS2D01G211400;TraesCS5D01G097400;TraesCS2D01G387300;TraesCS3D01G078900;TraesCS4A01G071800;TraesCS6B01G350400;TraesCS3A01G343900;TraesCS5D01G097900;TraesCS5D01G421900;TraesCS3D01G399600;TraesCS1D01G072600;TraesCS5A01G460800;TraesCS6D01G217800;TraesCS5D01G321000;TraesCS5B01G236900;TraesCS6D01G110400;TraesCS5D01G132900;TraesCS3D01G337600;TraesCS7A01G057800;TraesCS5D01G205000;TraesCS4A01G001400;TraesCS3A01G149000;TraesCS3B01G314600;TraesCS1A01G302700;TraesCS5B01G564100;TraesCS2D01G414500;TraesCS6B01G193200;TraesCS7A01G116000;TraesCS5B01G091000;TraesCS7A01G343000;TraesCS5B01G315600;TraesCS5B01G193200;TraesCS7A01G423800;TraesCS2B01G339600;TraesCS5D01G232900;TraesCS7D01G501000;TraesCS3A01G404400;TraesCS4D01G105100;TraesCS7D01G052400;TraesCS5D01G473000;TraesCS2B01G232000;TraesCS2A01G204500;TraesCS4D01G267500;TraesCS4B01G080900;TraesCS2D01G515900;TraesCS3B01G255400;TraesCS5B01G163400;TraesCS7B01G365300;TraesCS7A01G376100;TraesCS7D01G092400;TraesCS5A01G112600;TraesCS3D01G227400;TraesCS1B01G304800;TraesCS5A01G238400;TraesCS3A01G229300;TraesCS2B01G359600;TraesCS3B01G568300;TraesCS5B01G275200;TraesCS2D01G234000;TraesCS4A01G396200;TraesCS5A01G312000;TraesCS7D01G308500;TraesCS4A01G036000;TraesCS4A01G176200;TraesCS2A01G323000;TraesCS2A01G161800;TraesCS5B01G410000;TraesCS1A01G370400;TraesCS3B01G303800;TraesCS1B01G439800;TraesCS2B01G436200;TraesCS3A01G413600;TraesCS3D01G281900;TraesCS5D01G245300</t>
  </si>
  <si>
    <t>TraesCS2D01G117100;TraesCS3A01G463500;TraesCS5D01G341800;TraesCS3D01G130900;TraesCS1D01G420400;TraesCS3A01G130000;TraesCS1A01G236500;TraesCS3A01G170100;TraesCS5A01G465200;TraesCS5A01G155300;TraesCS3A01G290900;TraesCS5B01G477000</t>
  </si>
  <si>
    <t>TraesCS1D01G287500;TraesCS7A01G328600;TraesCS7B01G178700;TraesCS5D01G518700;TraesCS3B01G375800;TraesCS3A01G527600;TraesCS2A01G142800;TraesCS1A01G370700;TraesCS1B01G243100;TraesCS7D01G052600;TraesCS3A01G269900;TraesCS2B01G135600;TraesCS3D01G370800;TraesCS1D01G376500;TraesCS5D01G232700;TraesCS7D01G171300;TraesCS2D01G113300;TraesCS1D01G429800;TraesCS6A01G319600;TraesCS3A01G271700;TraesCS2D01G332300;TraesCS7B01G423100;TraesCS6D01G154400;TraesCS7A01G464800;TraesCS3A01G281900;TraesCS6A01G108800;TraesCS1B01G129800;TraesCS7B01G432300;TraesCS6D01G299000;TraesCS5D01G315400;TraesCS3D01G367900;TraesCS3B01G572200;TraesCS2A01G303500;TraesCS7D01G372500;TraesCS1B01G297900;TraesCS2A01G255700;TraesCS3B01G448000;TraesCS7D01G052500;TraesCS7A01G312000;TraesCS4A01G396400;TraesCS2D01G211400;TraesCS5D01G097400;TraesCS2D01G387300;TraesCS3D01G078900;TraesCS4A01G071800;TraesCS6B01G350400;TraesCS3A01G343900;TraesCS5D01G097900;TraesCS5D01G421900;TraesCS3D01G399600;TraesCS1D01G072600;TraesCS5A01G460800;TraesCS6D01G217800;TraesCS5D01G321000;TraesCS5B01G236900;TraesCS6D01G110400;TraesCS5D01G132900;TraesCS3D01G337600;TraesCS7A01G057800;TraesCS5D01G205000;TraesCS4A01G001400;TraesCS3A01G149000;TraesCS3B01G314600;TraesCS1A01G302700;TraesCS5B01G564100;TraesCS2D01G414500;TraesCS6B01G193200;TraesCS7A01G116000;TraesCS5B01G091000;TraesCS7A01G343000;TraesCS5B01G315600;TraesCS5B01G193200;TraesCS7A01G423800;TraesCS2B01G339600;TraesCS5D01G232900;TraesCS7D01G501000;TraesCS3A01G404400;TraesCS4D01G105100;TraesCS4A01G422800;TraesCS7D01G052400;TraesCS5D01G473000;TraesCS2B01G232000;TraesCS2A01G204500;TraesCS4D01G267500;TraesCS4B01G080900;TraesCS2D01G515900;TraesCS3B01G255400;TraesCS5B01G163400;TraesCS7B01G365300;TraesCS7A01G376100;TraesCS7D01G092400;TraesCS5A01G112600;TraesCS2D01G167600;TraesCS3D01G227400;TraesCS1B01G304800;TraesCS5A01G238400;TraesCS3A01G229300;TraesCS2B01G359600;TraesCS3B01G568300;TraesCS5B01G275200;TraesCS2D01G234000;TraesCS4A01G396200;TraesCS5A01G312000;TraesCS7D01G308500;TraesCS4A01G036000;TraesCS4A01G176200;TraesCS2A01G323000;TraesCS2A01G161800;TraesCS5B01G410000;TraesCS1A01G370400;TraesCS3B01G303800;TraesCS1B01G439800;TraesCS2B01G436200;TraesCS3A01G413600;TraesCS3D01G281900;TraesCS2B01G186500;TraesCS5D01G245300</t>
  </si>
  <si>
    <t>plasmalogen synthase activity</t>
  </si>
  <si>
    <t>TraesCS7A01G406100;TraesCS7B01G306100</t>
  </si>
  <si>
    <t>TraesCS2D01G117100;TraesCS3A01G463500;TraesCS1A01G236500;TraesCS3A01G170100;TraesCS5A01G465200;TraesCS3A01G290900;TraesCS5B01G477000</t>
  </si>
  <si>
    <t>TraesCS1D01G287500;TraesCS7A01G328600;TraesCS7B01G178700;TraesCS5D01G518700;TraesCS3B01G375800;TraesCS3A01G527600;TraesCS2A01G142800;TraesCS1A01G370700;TraesCS1B01G243100;TraesCS7D01G052600;TraesCS3A01G269900;TraesCS2B01G135600;TraesCS3D01G370800;TraesCS1D01G376500;TraesCS5D01G232700;TraesCS7D01G171300;TraesCS1D01G429800;TraesCS6A01G319600;TraesCS3A01G271700;TraesCS2D01G332300;TraesCS7B01G423100;TraesCS6D01G154400;TraesCS7A01G464800;TraesCS3A01G281900;TraesCS6A01G108800;TraesCS1B01G129800;TraesCS7B01G432300;TraesCS6D01G299000;TraesCS5D01G315400;TraesCS3D01G367900;TraesCS3B01G572200;TraesCS2A01G303500;TraesCS7D01G372500;TraesCS1B01G297900;TraesCS2A01G255700;TraesCS3B01G448000;TraesCS7D01G052500;TraesCS7A01G312000;TraesCS4A01G396400;TraesCS2D01G211400;TraesCS5D01G097400;TraesCS2D01G387300;TraesCS3D01G078900;TraesCS4A01G071800;TraesCS6B01G350400;TraesCS3A01G343900;TraesCS5D01G097900;TraesCS5D01G421900;TraesCS3D01G399600;TraesCS1D01G072600;TraesCS5A01G460800;TraesCS6D01G217800;TraesCS5D01G321000;TraesCS5B01G236900;TraesCS6D01G110400;TraesCS5D01G132900;TraesCS3D01G337600;TraesCS7A01G057800;TraesCS5D01G205000;TraesCS4A01G001400;TraesCS3A01G149000;TraesCS3B01G314600;TraesCS1A01G302700;TraesCS5B01G564100;TraesCS2D01G414500;TraesCS6B01G193200;TraesCS7A01G116000;TraesCS5B01G091000;TraesCS7A01G343000;TraesCS5B01G315600;TraesCS5B01G193200;TraesCS7A01G423800;TraesCS2B01G339600;TraesCS5D01G232900;TraesCS7D01G501000;TraesCS3A01G404400;TraesCS4D01G105100;TraesCS4A01G422800;TraesCS7D01G052400;TraesCS5D01G473000;TraesCS2B01G232000;TraesCS2A01G204500;TraesCS4D01G267500;TraesCS4B01G080900;TraesCS2D01G515900;TraesCS3B01G255400;TraesCS5B01G163400;TraesCS7B01G365300;TraesCS7A01G376100;TraesCS7D01G092400;TraesCS5A01G112600;TraesCS3D01G227400;TraesCS1B01G304800;TraesCS5A01G238400;TraesCS3A01G229300;TraesCS2B01G359600;TraesCS3B01G568300;TraesCS5B01G275200;TraesCS2D01G234000;TraesCS4A01G396200;TraesCS5A01G312000;TraesCS7D01G308500;TraesCS4A01G036000;TraesCS4A01G176200;TraesCS2A01G323000;TraesCS2A01G161800;TraesCS5B01G410000;TraesCS1A01G370400;TraesCS3B01G303800;TraesCS1B01G439800;TraesCS2B01G436200;TraesCS3A01G413600;TraesCS3D01G281900;TraesCS5D01G245300</t>
  </si>
  <si>
    <t>TraesCS3D01G266800;TraesCS6B01G177000;TraesCS6D01G138400;TraesCS6A01G149000;TraesCS6A01G353600;TraesCS7A01G384200;TraesCS6D01G335900</t>
  </si>
  <si>
    <t>TraesCS5A01G424800;TraesCS2A01G155500;TraesCS6D01G193100;TraesCS6A01G209900;TraesCS6D01G234700;TraesCS2D01G113300;TraesCS6D01G332500;TraesCS2B01G180500;TraesCS6D01G332900;TraesCS3A01G306000;TraesCS4A01G250900;TraesCS4B01G045400;TraesCS6B01G238800;TraesCS4D01G267500;TraesCS1D01G144600;TraesCS6B01G238700;TraesCS1D01G011600;TraesCS6A01G210000;TraesCS1B01G164200;TraesCS6D01G211700</t>
  </si>
  <si>
    <t>aspartyl esterase activity</t>
  </si>
  <si>
    <t>TraesCS2A01G344200;TraesCS2D01G322500;TraesCS2B01G341700;TraesCS4B01G187700;TraesCS5B01G458900;TraesCS2B01G107500</t>
  </si>
  <si>
    <t>TraesCS5B01G281000;TraesCS5D01G289000;TraesCS3A01G185800;TraesCS2A01G270500;TraesCS2B01G289300;TraesCS2D01G165500;TraesCS3D01G189800</t>
  </si>
  <si>
    <t>negative regulation of catalytic activity</t>
  </si>
  <si>
    <t>TraesCS5B01G281000;TraesCS5D01G289000;TraesCS2A01G344200;TraesCS3A01G185800;TraesCS2A01G270500;TraesCS2B01G289300;TraesCS2B01G341700;TraesCS5B01G458900;TraesCS2D01G165500;TraesCS2B01G107500;TraesCS3D01G189800</t>
  </si>
  <si>
    <t>TraesCS1D01G287500;TraesCS7A01G328600;TraesCS5D01G518700;TraesCS3B01G375800;TraesCS3A01G527600;TraesCS2A01G142800;TraesCS1A01G370700;TraesCS1B01G243100;TraesCS7D01G052600;TraesCS3A01G269900;TraesCS2B01G135600;TraesCS3D01G370800;TraesCS1D01G376500;TraesCS5D01G232700;TraesCS7D01G171300;TraesCS1D01G429800;TraesCS6A01G319600;TraesCS3A01G271700;TraesCS2D01G332300;TraesCS7B01G423100;TraesCS6D01G154400;TraesCS7A01G464800;TraesCS3A01G281900;TraesCS6A01G108800;TraesCS1B01G129800;TraesCS7B01G432300;TraesCS6D01G299000;TraesCS5D01G315400;TraesCS3D01G367900;TraesCS3B01G572200;TraesCS2A01G303500;TraesCS7D01G372500;TraesCS1B01G297900;TraesCS2A01G255700;TraesCS3B01G448000;TraesCS7D01G052500;TraesCS7A01G312000;TraesCS4A01G396400;TraesCS2D01G211400;TraesCS5D01G097400;TraesCS2D01G387300;TraesCS3D01G078900;TraesCS4A01G071800;TraesCS6B01G350400;TraesCS3A01G343900;TraesCS5D01G097900;TraesCS5D01G421900;TraesCS3D01G399600;TraesCS1D01G072600;TraesCS5A01G460800;TraesCS6D01G217800;TraesCS5D01G321000;TraesCS5B01G236900;TraesCS6D01G110400;TraesCS5D01G132900;TraesCS3D01G337600;TraesCS7A01G057800;TraesCS5D01G205000;TraesCS4A01G001400;TraesCS3A01G149000;TraesCS3B01G314600;TraesCS1A01G302700;TraesCS5B01G564100;TraesCS2D01G414500;TraesCS6B01G193200;TraesCS7A01G116000;TraesCS5B01G091000;TraesCS7A01G343000;TraesCS5B01G315600;TraesCS5B01G193200;TraesCS7A01G423800;TraesCS2B01G339600;TraesCS5D01G232900;TraesCS7D01G501000;TraesCS3A01G404400;TraesCS4D01G105100;TraesCS4A01G422800;TraesCS7D01G052400;TraesCS5D01G473000;TraesCS2B01G232000;TraesCS2A01G204500;TraesCS4D01G267500;TraesCS4B01G080900;TraesCS2D01G515900;TraesCS3B01G255400;TraesCS5B01G163400;TraesCS7B01G365300;TraesCS7A01G376100;TraesCS7D01G092400;TraesCS5A01G112600;TraesCS3D01G227400;TraesCS1B01G304800;TraesCS5A01G238400;TraesCS3A01G229300;TraesCS2B01G359600;TraesCS3B01G568300;TraesCS5B01G275200;TraesCS2D01G234000;TraesCS4A01G396200;TraesCS5A01G312000;TraesCS7D01G308500;TraesCS4A01G036000;TraesCS4A01G176200;TraesCS2A01G323000;TraesCS2A01G161800;TraesCS5B01G410000;TraesCS1A01G370400;TraesCS3B01G303800;TraesCS1B01G439800;TraesCS2B01G436200;TraesCS3A01G413600;TraesCS3D01G281900;TraesCS5D01G245300</t>
  </si>
  <si>
    <t>inflammatory response</t>
  </si>
  <si>
    <t>TraesCS4D01G000100;TraesCS6A01G088400</t>
  </si>
  <si>
    <t>inflammatory response to antigenic stimulus</t>
  </si>
  <si>
    <t>acute inflammatory response</t>
  </si>
  <si>
    <t>acute inflammatory response to antigenic stimulus</t>
  </si>
  <si>
    <t>hypersensitivity</t>
  </si>
  <si>
    <t>leukocyte mediated immunity</t>
  </si>
  <si>
    <t>lymphocyte mediated immunity</t>
  </si>
  <si>
    <t>adaptive immune response</t>
  </si>
  <si>
    <t>adaptive immune response based on somatic recombination of immune receptors built from immunoglobulin superfamily domains</t>
  </si>
  <si>
    <t>B cell mediated immunity</t>
  </si>
  <si>
    <t>immunoglobulin mediated immune response</t>
  </si>
  <si>
    <t>type I hypersensitivity</t>
  </si>
  <si>
    <t>TraesCS1D01G287500;TraesCS7A01G328600;TraesCS7B01G178700;TraesCS5D01G518700;TraesCS3B01G375800;TraesCS3A01G527600;TraesCS2A01G142800;TraesCS1A01G370700;TraesCS1B01G243100;TraesCS7D01G052600;TraesCS3A01G269900;TraesCS2B01G135600;TraesCS3D01G370800;TraesCS1D01G376500;TraesCS5D01G232700;TraesCS7D01G171300;TraesCS2D01G113300;TraesCS1D01G429800;TraesCS6A01G319600;TraesCS3D01G322900;TraesCS3A01G271700;TraesCS2D01G332300;TraesCS7B01G423100;TraesCS6D01G154400;TraesCS7A01G464800;TraesCS3A01G281900;TraesCS6A01G108800;TraesCS1B01G129800;TraesCS7B01G432300;TraesCS6D01G299000;TraesCS5D01G315400;TraesCS3D01G367900;TraesCS3B01G572200;TraesCS2A01G303500;TraesCS7D01G372500;TraesCS1B01G297900;TraesCS2A01G255700;TraesCS3B01G448000;TraesCS7D01G052500;TraesCS7A01G312000;TraesCS4A01G396400;TraesCS2D01G211400;TraesCS5D01G097400;TraesCS2D01G387300;TraesCS3D01G078900;TraesCS4A01G071800;TraesCS6B01G350400;TraesCS3A01G343900;TraesCS5D01G097900;TraesCS5D01G421900;TraesCS3D01G399600;TraesCS1D01G072600;TraesCS5A01G460800;TraesCS6D01G217800;TraesCS5D01G321000;TraesCS5B01G236900;TraesCS6D01G110400;TraesCS5D01G132900;TraesCS3D01G337600;TraesCS7A01G057800;TraesCS5D01G205000;TraesCS4A01G001400;TraesCS3A01G149000;TraesCS3B01G314600;TraesCS1A01G302700;TraesCS5B01G564100;TraesCS2D01G414500;TraesCS6B01G193200;TraesCS7A01G116000;TraesCS5B01G091000;TraesCS7A01G343000;TraesCS5B01G315600;TraesCS5B01G193200;TraesCS7A01G423800;TraesCS2B01G339600;TraesCS5D01G232900;TraesCS7D01G501000;TraesCS3A01G404400;TraesCS4D01G105100;TraesCS4A01G422800;TraesCS7D01G052400;TraesCS2B01G308200;TraesCS5D01G473000;TraesCS2B01G232000;TraesCS2A01G204500;TraesCS4D01G267500;TraesCS4B01G080900;TraesCS2D01G515900;TraesCS3B01G255400;TraesCS5B01G163400;TraesCS7B01G365300;TraesCS7A01G376100;TraesCS7D01G092400;TraesCS5A01G112600;TraesCS2D01G167600;TraesCS3D01G227400;TraesCS1B01G304800;TraesCS5A01G238400;TraesCS3A01G229300;TraesCS2B01G359600;TraesCS3B01G568300;TraesCS5B01G275200;TraesCS2D01G234000;TraesCS4A01G396200;TraesCS5A01G312000;TraesCS7D01G308500;TraesCS4A01G036000;TraesCS4A01G176200;TraesCS2A01G323000;TraesCS2A01G161800;TraesCS5B01G410000;TraesCS1A01G370400;TraesCS3B01G303800;TraesCS1B01G439800;TraesCS2B01G436200;TraesCS3A01G413600;TraesCS3D01G281900;TraesCS2B01G186500;TraesCS5D01G245300</t>
  </si>
  <si>
    <t>TraesCS2D01G197600;TraesCS7A01G328600;TraesCS5D01G384500</t>
  </si>
  <si>
    <t>polyamine metabolic process</t>
  </si>
  <si>
    <t>TraesCS2B01G409300;TraesCS6B01G248900;TraesCS6D01G202400;TraesCS7D01G328500;TraesCS6A01G219500;TraesCS6D01G202500</t>
  </si>
  <si>
    <t>TraesCS1D01G287500;TraesCS7A01G328600;TraesCS5D01G518700;TraesCS3B01G375800;TraesCS3A01G527600;TraesCS2A01G142800;TraesCS1A01G370700;TraesCS1B01G243100;TraesCS7D01G052600;TraesCS3A01G269900;TraesCS2B01G135600;TraesCS3D01G370800;TraesCS1D01G376500;TraesCS5D01G232700;TraesCS7D01G171300;TraesCS1D01G429800;TraesCS6A01G319600;TraesCS3D01G322900;TraesCS3A01G271700;TraesCS2D01G332300;TraesCS7B01G423100;TraesCS6D01G154400;TraesCS7A01G464800;TraesCS3A01G281900;TraesCS6A01G108800;TraesCS1B01G129800;TraesCS7B01G432300;TraesCS6D01G299000;TraesCS5D01G315400;TraesCS3D01G367900;TraesCS3B01G572200;TraesCS2A01G303500;TraesCS7D01G372500;TraesCS1B01G297900;TraesCS2A01G255700;TraesCS3B01G448000;TraesCS7D01G052500;TraesCS7A01G312000;TraesCS4A01G396400;TraesCS2D01G211400;TraesCS5D01G097400;TraesCS2D01G387300;TraesCS3D01G078900;TraesCS4A01G071800;TraesCS6B01G350400;TraesCS3A01G343900;TraesCS5D01G097900;TraesCS5D01G421900;TraesCS3D01G399600;TraesCS1D01G072600;TraesCS5A01G460800;TraesCS6D01G217800;TraesCS5D01G321000;TraesCS5B01G236900;TraesCS6D01G110400;TraesCS5D01G132900;TraesCS3D01G337600;TraesCS7A01G057800;TraesCS5D01G205000;TraesCS4A01G001400;TraesCS3A01G149000;TraesCS3B01G314600;TraesCS1A01G302700;TraesCS5B01G564100;TraesCS2D01G414500;TraesCS6B01G193200;TraesCS7A01G116000;TraesCS5B01G091000;TraesCS7A01G343000;TraesCS5B01G315600;TraesCS5B01G193200;TraesCS7A01G423800;TraesCS2B01G339600;TraesCS5D01G232900;TraesCS7D01G501000;TraesCS3A01G404400;TraesCS4D01G105100;TraesCS4A01G422800;TraesCS7D01G052400;TraesCS2B01G308200;TraesCS5D01G473000;TraesCS2B01G232000;TraesCS2A01G204500;TraesCS4D01G267500;TraesCS4B01G080900;TraesCS2D01G515900;TraesCS3B01G255400;TraesCS5B01G163400;TraesCS7B01G365300;TraesCS7A01G376100;TraesCS7D01G092400;TraesCS5A01G112600;TraesCS3D01G227400;TraesCS1B01G304800;TraesCS5A01G238400;TraesCS3A01G229300;TraesCS2B01G359600;TraesCS3B01G568300;TraesCS5B01G275200;TraesCS2D01G234000;TraesCS4A01G396200;TraesCS5A01G312000;TraesCS7D01G308500;TraesCS4A01G036000;TraesCS4A01G176200;TraesCS2A01G323000;TraesCS2A01G161800;TraesCS5B01G410000;TraesCS1A01G370400;TraesCS3B01G303800;TraesCS1B01G439800;TraesCS2B01G436200;TraesCS3A01G413600;TraesCS3D01G281900;TraesCS5D01G245300</t>
  </si>
  <si>
    <t>spermidine metabolic process</t>
  </si>
  <si>
    <t>spermidine biosynthetic process</t>
  </si>
  <si>
    <t>chlorophyll(ide) b reductase activity</t>
  </si>
  <si>
    <t>TraesCS3A01G151900;TraesCS3D01G159800</t>
  </si>
  <si>
    <t>TraesCS6A01G353600;TraesCS6D01G335900</t>
  </si>
  <si>
    <t>TraesCS3D01G130900;TraesCS7D01G359100;TraesCS5D01G279000;TraesCS7B01G044200;TraesCS6A01G240700;TraesCS7B01G306100;TraesCS2D01G446700;TraesCS1A01G275200;TraesCS7A01G322100;TraesCS3A01G244600;TraesCS4A01G195700;TraesCS7A01G406100;TraesCS5B01G382400;TraesCS1D01G235900;TraesCS2B01G137900;TraesCS2A01G302700;TraesCS2B01G339600;TraesCS2B01G318600;TraesCS6D01G258300;TraesCS6A01G359900;TraesCS7D01G077600;TraesCS5A01G465200;TraesCS2D01G117100;TraesCS4D01G221300;TraesCS1A01G385500;TraesCS1A01G081400;TraesCS3A01G130000;TraesCS7D01G143200;TraesCS3A01G170100;TraesCS6A01G280100;TraesCS5D01G384500;TraesCS4D01G196500;TraesCS2D01G137700;TraesCS6D01G146300;TraesCS2D01G284700;TraesCS4B01G059400;TraesCS4D01G117800;TraesCS6B01G207000;TraesCS1A01G191300;TraesCS1D01G420400;TraesCS6D01G342800;TraesCS6A01G277800;TraesCS1B01G316500;TraesCS1D01G361500;TraesCS1B01G206200;TraesCS5D01G341800;TraesCS3A01G097900;TraesCS4B01G119500;TraesCS3A01G234900;TraesCS3A01G290900;TraesCS3D01G033200;TraesCS5B01G236500;TraesCS3A01G463500;TraesCS1D01G389300;TraesCS2B01G302400;TraesCS1A01G236500;TraesCS1D01G274800;TraesCS7A01G258400;TraesCS2A01G447800;TraesCS3D01G033600;TraesCS5A01G155300;TraesCS5B01G477000</t>
  </si>
  <si>
    <t>TraesCS4B01G045400;TraesCS6D01G193100;TraesCS6A01G209900;TraesCS6B01G238800;TraesCS1D01G144600;TraesCS6B01G238700;TraesCS2D01G113300;TraesCS1D01G102400;TraesCS6A01G210000;TraesCS1B01G164200;TraesCS7A01G384200</t>
  </si>
  <si>
    <t>TraesCS2A01G155500;TraesCS4B01G045400;TraesCS1D01G144600;TraesCS2B01G180500;TraesCS1B01G164200</t>
  </si>
  <si>
    <t>carboxylic ester hydrolase activity</t>
  </si>
  <si>
    <t>TraesCS2A01G344200;TraesCS2D01G322500;TraesCS2B01G341700;TraesCS4B01G187700;TraesCS3A01G170100;TraesCS5B01G458900;TraesCS5A01G465200;TraesCS2B01G107500;TraesCS3A01G290900;TraesCS2D01G117100;TraesCS3A01G463500;TraesCS1D01G420400;TraesCS1A01G236500;TraesCS1B01G391800;TraesCS5B01G477000</t>
  </si>
  <si>
    <t>DNA-directed RNA polymerase III complex</t>
  </si>
  <si>
    <t>TraesCS4D01G070300;TraesCS7A01G376100;TraesCS7D01G372500</t>
  </si>
  <si>
    <t>TraesCS4A01G250900;TraesCS5A01G424800;TraesCS2A01G155500;TraesCS6D01G234700;TraesCS4D01G267500;TraesCS1D01G011600;TraesCS6D01G332500;TraesCS2B01G180500;TraesCS6D01G332900;TraesCS6D01G211700</t>
  </si>
  <si>
    <t>phosphoric diester hydrolase activity</t>
  </si>
  <si>
    <t>TraesCS7D01G168600;TraesCS2A01G302700;TraesCS5D01G341800;TraesCS3D01G130900;TraesCS2B01G318600;TraesCS3A01G130000;TraesCS5A01G155300;TraesCS2D01G284700</t>
  </si>
  <si>
    <t>TraesCS5B01G029100;TraesCS5A01G424800;TraesCS6A01G209900;TraesCS6D01G234700;TraesCS2B01G180500;TraesCS4A01G250900;TraesCS4B01G045400;TraesCS6B01G238800;TraesCS6B01G238700;TraesCS1D01G011600;TraesCS6A01G210000;TraesCS2A01G155500;TraesCS6D01G193100;TraesCS4D01G285800;TraesCS2D01G113300;TraesCS6D01G332500;TraesCS3D01G412600;TraesCS6D01G332900;TraesCS3A01G306000;TraesCS4D01G267500;TraesCS1D01G144600;TraesCS1D01G102400;TraesCS4B01G287100;TraesCS1B01G164200;TraesCS7A01G384200;TraesCS6D01G211700</t>
  </si>
  <si>
    <t>response to brassinosteroid</t>
  </si>
  <si>
    <t>TraesCS5B01G029100;TraesCS2A01G155500;TraesCS4D01G285800;TraesCS2B01G180500;TraesCS4B01G287100</t>
  </si>
  <si>
    <t>uridylate kinase activity</t>
  </si>
  <si>
    <t>ammonium ion metabolic process</t>
  </si>
  <si>
    <t>TraesCS6B01G248900;TraesCS5D01G341800;TraesCS6D01G202400;TraesCS3D01G130900;TraesCS3A01G130000;TraesCS6A01G219500;TraesCS6D01G202500</t>
  </si>
  <si>
    <t>tetrapyrrole catabolic process</t>
  </si>
  <si>
    <t>TraesCS7B01G277000;TraesCS3A01G151900;TraesCS5B01G372300;TraesCS3D01G412600;TraesCS3D01G159800;TraesCS4D01G331200</t>
  </si>
  <si>
    <t>porphyrin-containing compound catabolic process</t>
  </si>
  <si>
    <t>TraesCS2A01G323000;TraesCS3A01G413600;TraesCS3B01G448000;TraesCS2B01G359600</t>
  </si>
  <si>
    <t>TraesCS4D01G180800;TraesCS5B01G510900;TraesCS4A01G361900;TraesCS2D01G093000</t>
  </si>
  <si>
    <t>TraesCS3B01G039000;TraesCS3D01G036100</t>
  </si>
  <si>
    <t>TraesCS5B01G510900;TraesCS4A01G361900</t>
  </si>
  <si>
    <t>TraesCS2A01G155500;TraesCS4B01G045400;TraesCS5B01G236900;TraesCS1D01G011600;TraesCS2B01G180500;TraesCS4A01G001400</t>
  </si>
  <si>
    <t>TraesCS5B01G029100;TraesCS3D01G136700;TraesCS2B01G180500;TraesCS7D01G374400;TraesCS2A01G397000;TraesCS4B01G045400;TraesCS1A01G275200;TraesCS5B01G533000;TraesCS5A01G097200;TraesCS1B01G098600;TraesCS1D01G011600;TraesCS3A01G135700;TraesCS3A01G242100;TraesCS3B01G153800;TraesCS2A01G331600;TraesCS6B01G136400;TraesCS3B01G361500;TraesCS4A01G071800;TraesCS4B01G247000;TraesCS2A01G155500;TraesCS2A01G340000;TraesCS5D01G097900;TraesCS6B01G381300;TraesCS2D01G394800;TraesCS3A01G306000;TraesCS5B01G316300;TraesCS6D01G246900;TraesCS2B01G350600;TraesCS5B01G236900;TraesCS1D01G144600;TraesCS5B01G102900;TraesCS3D01G295900;TraesCS1D01G274800;TraesCS5B01G530800;TraesCS5D01G321800;TraesCS1B01G164200;TraesCS5A01G155300;TraesCS6D01G211700;TraesCS4A01G001400</t>
  </si>
  <si>
    <t>TraesCS5B01G236500;TraesCS1A01G275200;TraesCS7D01G143200;TraesCS5D01G384500;TraesCS6A01G359900;TraesCS7B01G044200;TraesCS1D01G274800;TraesCS6D01G342800</t>
  </si>
  <si>
    <t>purine nucleoside biosynthetic process</t>
  </si>
  <si>
    <t>purine ribonucleoside biosynthetic process</t>
  </si>
  <si>
    <t>regulation of phosphoprotein phosphatase activity</t>
  </si>
  <si>
    <t>TraesCS2A01G155500;TraesCS1D01G011600;TraesCS5D01G384500;TraesCS2B01G180500</t>
  </si>
  <si>
    <t>regulation of phosphatase activity</t>
  </si>
  <si>
    <t>animal organ development</t>
  </si>
  <si>
    <t>TraesCS7D01G308500;TraesCS2D01G197600;TraesCS7A01G312000;TraesCS7A01G328600;TraesCS5D01G384500</t>
  </si>
  <si>
    <t>TraesCS1D01G233800;TraesCS2A01G155500;TraesCS4B01G045400;TraesCS1D01G144600;TraesCS2B01G180500;TraesCS1B01G245700;TraesCS1B01G164200</t>
  </si>
  <si>
    <t>TraesCS5B01G281000;TraesCS5D01G289000;TraesCS3A01G185800;TraesCS2D01G165500;TraesCS3D01G189800</t>
  </si>
  <si>
    <t>purine nucleoside metabolic process</t>
  </si>
  <si>
    <t>TraesCS6B01G248900;TraesCS6D01G202400;TraesCS2D01G178600;TraesCS6A01G219500;TraesCS6D01G202500</t>
  </si>
  <si>
    <t>purine ribonucleoside metabolic process</t>
  </si>
  <si>
    <t>pigment catabolic process</t>
  </si>
  <si>
    <t>TraesCS3A01G151900;TraesCS5B01G372300;TraesCS3D01G412600;TraesCS3D01G159800;TraesCS4D01G331200</t>
  </si>
  <si>
    <t>chlorophyll catabolic process</t>
  </si>
  <si>
    <t>TraesCS4A01G071800;TraesCS2A01G155500;TraesCS4B01G045400;TraesCS1D01G144600;TraesCS2B01G180500;TraesCS1B01G164200</t>
  </si>
  <si>
    <t>transcription from RNA polymerase III promoter</t>
  </si>
  <si>
    <t>nucleotide kinase activity</t>
  </si>
  <si>
    <t>TraesCS2D01G289700;TraesCS2A01G291700;TraesCS7A01G322100;TraesCS2B01G308200</t>
  </si>
  <si>
    <t>TraesCS1B01G206200;TraesCS1A01G191300;TraesCS5B01G510900;TraesCS1B01G357000;TraesCS4A01G361900</t>
  </si>
  <si>
    <t>TraesCS6D01G258300;TraesCS6A01G277800</t>
  </si>
  <si>
    <t>TraesCS2B01G339600;TraesCS7D01G308500;TraesCS1D01G414700;TraesCS5A01G058100;TraesCS2D01G301100;TraesCS5D01G279000;TraesCS7B01G133200;TraesCS5D01G128400;TraesCS1D01G165200;TraesCS6A01G245200;TraesCS3A01G349800;TraesCS5B01G119500;TraesCS3D01G343800;TraesCS4D01G054300;TraesCS1A01G173600;TraesCS5A01G111500;TraesCS7A01G312000;TraesCS5B01G180400;TraesCS3A01G240500;TraesCS7A01G235000</t>
  </si>
  <si>
    <t>polyamine biosynthetic process</t>
  </si>
  <si>
    <t>TraesCS5B01G236500;TraesCS1A01G275200;TraesCS3D01G130900;TraesCS3A01G130000;TraesCS7D01G143200;TraesCS5D01G384500;TraesCS6A01G359900;TraesCS7B01G044200;TraesCS1D01G274800;TraesCS5A01G465200;TraesCS6D01G342800</t>
  </si>
  <si>
    <t>TraesCS1A01G275200;TraesCS7D01G143200;TraesCS5D01G384500;TraesCS6A01G359900;TraesCS7B01G044200;TraesCS1D01G274800;TraesCS6D01G342800</t>
  </si>
  <si>
    <t>TraesCS2A01G155500;TraesCS1D01G144600;TraesCS2B01G180500;TraesCS1B01G164200</t>
  </si>
  <si>
    <t>tetrahydrofolylpolyglutamate metabolic process</t>
  </si>
  <si>
    <t>TraesCS1A01G173600;TraesCS1D01G165200</t>
  </si>
  <si>
    <t>tetrahydrofolylpolyglutamate biosynthetic process</t>
  </si>
  <si>
    <t>regulation of autophagy</t>
  </si>
  <si>
    <t>TraesCS2D01G167600;TraesCS2B01G186500</t>
  </si>
  <si>
    <t>positive regulation of autophagy</t>
  </si>
  <si>
    <t>TraesCS4D01G180800;TraesCS2D01G093000</t>
  </si>
  <si>
    <t>TraesCS4D01G054300;TraesCS5B01G180400</t>
  </si>
  <si>
    <t>regulation of pollen tube growth</t>
  </si>
  <si>
    <t>TraesCS6D01G244200;TraesCS5A01G118200</t>
  </si>
  <si>
    <t>TraesCS5D01G341800;TraesCS3D01G130900;TraesCS1A01G081400;TraesCS3A01G130000;TraesCS5D01G279000;TraesCS4D01G196500;TraesCS7B01G306100;TraesCS2D01G446700;TraesCS1D01G389300;TraesCS3A01G244600;TraesCS7A01G406100;TraesCS7A01G258400;TraesCS1A01G385500;TraesCS2A01G447800;TraesCS1B01G316500;TraesCS1D01G361500</t>
  </si>
  <si>
    <t>TraesCS2D01G197600;TraesCS7A01G328600;TraesCS6D01G138400;TraesCS5D01G384500</t>
  </si>
  <si>
    <t>TraesCS5B01G029100;TraesCS5A01G424800;TraesCS6A01G209900;TraesCS3B01G471300;TraesCS6D01G234700;TraesCS4B01G193900;TraesCS2B01G180500;TraesCS3A01G149900;TraesCS7B01G369900;TraesCS4A01G250900;TraesCS4B01G045400;TraesCS1A01G275200;TraesCS3A01G527600;TraesCS6B01G238800;TraesCS1B01G195900;TraesCS6B01G238700;TraesCS1D01G011600;TraesCS6A01G210000;TraesCS2A01G130200;TraesCS2B01G530300;TraesCS3B01G361500;TraesCS5A01G150800;TraesCS2A01G155500;TraesCS6D01G193100;TraesCS2D01G428000;TraesCS4D01G285800;TraesCS3B01G336100;TraesCS7B01G102000;TraesCS1D01G357500;TraesCS2D01G113300;TraesCS7A01G469200;TraesCS6D01G332500;TraesCS3D01G412600;TraesCS6D01G332900;TraesCS3A01G306000;TraesCS2A01G306100;TraesCS4D01G267500;TraesCS5B01G236900;TraesCS1D01G144600;TraesCS1D01G102400;TraesCS1D01G274800;TraesCS4B01G287100;TraesCS1B01G164200;TraesCS5D01G155900;TraesCS7A01G384200;TraesCS6D01G211700;TraesCS4A01G001400</t>
  </si>
  <si>
    <t>tetrahydrofolylpolyglutamate synthase activity</t>
  </si>
  <si>
    <t>TraesCS5A01G190400;TraesCS2D01G396500</t>
  </si>
  <si>
    <t>regulation of cell morphogenesis involved in differentiation</t>
  </si>
  <si>
    <t>TraesCS2D01G446700;TraesCS1A01G081400;TraesCS1D01G389300;TraesCS5D01G279000;TraesCS3A01G244600;TraesCS7A01G406100;TraesCS4D01G196500;TraesCS7A01G258400;TraesCS1A01G385500;TraesCS2A01G447800;TraesCS7B01G306100</t>
  </si>
  <si>
    <t>TraesCS2D01G214200;TraesCS5B01G029100;TraesCS7D01G168600;TraesCS2A01G302700;TraesCS5D01G341800;TraesCS3D01G130900;TraesCS2B01G318600;TraesCS4D01G066800;TraesCS3A01G130000;TraesCS5A01G359900;TraesCS4D01G196500;TraesCS1D01G229700;TraesCS7D01G077100;TraesCS7D01G224700;TraesCS2D01G284700;TraesCS2D01G144500;TraesCS3D01G225700;TraesCS4D01G246600;TraesCS2D01G273100;TraesCS3B01G240000;TraesCS5D01G170400;TraesCS5A01G155300</t>
  </si>
  <si>
    <t>regulation of defense response to oomycetes</t>
  </si>
  <si>
    <t>positive regulation of defense response to oomycetes</t>
  </si>
  <si>
    <t>root radial pattern formation</t>
  </si>
  <si>
    <t>sesquiterpenoid catabolic process</t>
  </si>
  <si>
    <t>apocarotenoid catabolic process</t>
  </si>
  <si>
    <t>abscisic acid catabolic process</t>
  </si>
  <si>
    <t>apical cell fate commitment</t>
  </si>
  <si>
    <t>cotyledon boundary formation</t>
  </si>
  <si>
    <t>organelle disassembly</t>
  </si>
  <si>
    <t>mitochondrion disassembly</t>
  </si>
  <si>
    <t>autophagy of mitochondrion</t>
  </si>
  <si>
    <t>spermidine synthase activity</t>
  </si>
  <si>
    <t>calmodulin binding</t>
  </si>
  <si>
    <t>TraesCS6B01G149500;TraesCS6A01G121200;TraesCS6D01G111300;TraesCS5B01G417300;TraesCS1A01G261400;TraesCS6D01G141400;TraesCS5D01G422700</t>
  </si>
  <si>
    <t>TraesCS4A01G372600;TraesCS6A01G353600;TraesCS6A01G240700;TraesCS7D01G374400;TraesCS6D01G335900;TraesCS6D01G331600;TraesCS2B01G409300;TraesCS1D01G144600;TraesCS6D01G138400;TraesCS7D01G069900;TraesCS7D01G125400;TraesCS1D01G102400;TraesCS2A01G553400;TraesCS1B01G164200;TraesCS6D01G211700;TraesCS2A01G331600</t>
  </si>
  <si>
    <t>positive regulation of cellular catabolic process</t>
  </si>
  <si>
    <t>TraesCS1D01G233800;TraesCS4A01G071800;TraesCS2A01G155500;TraesCS4B01G045400;TraesCS1D01G144600;TraesCS2B01G180500;TraesCS1B01G245700;TraesCS1B01G164200;TraesCS3D01G322900</t>
  </si>
  <si>
    <t>TraesCS1A01G050400;TraesCS2A01G345400;TraesCS5A01G357300;TraesCS7A01G502900;TraesCS4B01G193900;TraesCS1A01G262800;TraesCS1D01G335900;TraesCS6B01G177200;TraesCS6A01G240700;TraesCS4D01G259900;TraesCS3B01G335900;TraesCS4D01G236900;TraesCS6B01G045600;TraesCS2D01G446700;TraesCS3B01G352800;TraesCS6A01G212000;TraesCS5B01G342100;TraesCS5D01G078300;TraesCS3B01G132900;TraesCS3B01G451200;TraesCS3D01G256100;TraesCS3B01G361500;TraesCS4D01G233000;TraesCS6D01G258300;TraesCS4A01G206900;TraesCS6A01G359900;TraesCS4D01G303300;TraesCS2D01G200400;TraesCS2B01G413200;TraesCS2B01G465600;TraesCS7D01G403400;TraesCS2B01G593500;TraesCS2B01G241900;TraesCS3A01G151900;TraesCS1A01G071500;TraesCS3B01G213600;TraesCS2D01G369400;TraesCS2D01G324400;TraesCS5B01G029000;TraesCS3D01G038000;TraesCS4D01G196500;TraesCS5B01G243600;TraesCS7A01G288200;TraesCS1D01G280800;TraesCS1B01G195900;TraesCS6D01G245700;TraesCS3A01G298600;TraesCS3B01G413100;TraesCS6A01G210000;TraesCS6D01G342800;TraesCS1B01G276000;TraesCS5B01G013900;TraesCS6A01G277800;TraesCS5D01G362200;TraesCS7D01G337800;TraesCS5B01G414000;TraesCS3B01G336100;TraesCS1A01G261400;TraesCS2B01G345300;TraesCS1B01G153100;TraesCS4D01G124700;TraesCS1D01G209400;TraesCS5D01G366400;TraesCS5B01G236500;TraesCS5B01G498400;TraesCS3B01G370500;TraesCS3B01G449100;TraesCS1B01G141400;TraesCS1B01G240400;TraesCS4A01G280700;TraesCS2A01G401000;TraesCS7A01G145400;TraesCS3B01G469600;TraesCS4B01G116500;TraesCS5D01G202300;TraesCS3D01G260400;TraesCS3D01G411800;TraesCS5D01G369400;TraesCS7D01G005700;TraesCS3D01G159800;TraesCS4A01G072700;TraesCS6D01G331600;TraesCS7B01G306100;TraesCS4D01G312900;TraesCS5B01G128100;TraesCS5B01G233700;TraesCS7A01G406100;TraesCS2A01G553400;TraesCS2B01G351100;TraesCS6A01G388700;TraesCS5D01G146400;TraesCS5B01G139500;TraesCS4A01G061000;TraesCS6A01G412100;TraesCS2B01G385900;TraesCS5D01G297200;TraesCS3A01G380900;TraesCS7B01G047600;TraesCS3D01G412600;TraesCS2D01G398500;TraesCS5B01G357100;TraesCS2B01G430000;TraesCS4B01G124300;TraesCS6D01G037300;TraesCS1B01G125400;TraesCS2D01G483700;TraesCS1B01G435900;TraesCS6A01G056500;TraesCS3D01G136700;TraesCS4D01G255600;TraesCS6B01G456500;TraesCS1D01G335400;TraesCS2D01G399600;TraesCS4B01G096700;TraesCS5D01G147900;TraesCS6B01G045700;TraesCS3B01G287200;TraesCS4A01G115700;TraesCS5A01G190400;TraesCS1A01G122200;TraesCS1B01G128800;TraesCS5B01G193700;TraesCS7D01G308500;TraesCS2A01G344200;TraesCS1B01G459800;TraesCS5B01G458900;TraesCS6D01G164700;TraesCS3A01G385300;TraesCS3D01G362700;TraesCS2A01G490500;TraesCS2A01G283000;TraesCS5D01G400500;TraesCS5B01G155900;TraesCS7D01G048600;TraesCS2D01G200300;TraesCS5D01G201400;TraesCS4A01G020100;TraesCS7A01G053400;TraesCS2A01G447800;TraesCS5A01G155300</t>
  </si>
  <si>
    <t>TraesCS7A01G194900;TraesCS7D01G340900;TraesCS1B01G196800;TraesCS2D01G113300;TraesCS1A01G189100;TraesCS5D01G232100;TraesCS2A01G347800;TraesCS3B01G409400;TraesCS1D01G187300;TraesCS7B01G100600;TraesCS7D01G213600;TraesCS2D01G449900;TraesCS1D01G011600;TraesCS2B01G557100;TraesCS7B01G165100;TraesCS3D01G165600;TraesCS2D01G346100;TraesCS7B01G244800</t>
  </si>
  <si>
    <t>TraesCS3D01G270200;TraesCS3B01G114200;TraesCS6D01G244200;TraesCS3A01G270400</t>
  </si>
  <si>
    <t>cytokinin dehydrogenase activity</t>
  </si>
  <si>
    <t>TraesCS2D01G374600;TraesCS3B01G344600;TraesCS3D01G310200</t>
  </si>
  <si>
    <t>phagocytosis</t>
  </si>
  <si>
    <t>TraesCS2A01G045000;TraesCS2D01G043600</t>
  </si>
  <si>
    <t>TraesCS2A01G340000;TraesCS6D01G211700</t>
  </si>
  <si>
    <t>positive regulation of catabolic process</t>
  </si>
  <si>
    <t>TraesCS7A01G376100;TraesCS7D01G372500</t>
  </si>
  <si>
    <t>TraesCS1D01G233800;TraesCS2A01G155500;TraesCS4B01G045400;TraesCS1D01G144600;TraesCS2B01G180500;TraesCS1B01G245700;TraesCS1B01G164200;TraesCS3D01G322900</t>
  </si>
  <si>
    <t>regulation of response to biotic stimulus</t>
  </si>
  <si>
    <t>TraesCS1D01G233800;TraesCS1B01G245700;TraesCS3D01G322900</t>
  </si>
  <si>
    <t>axis specification</t>
  </si>
  <si>
    <t>TraesCS2A01G045000;TraesCS2D01G043600;TraesCS5D01G097400</t>
  </si>
  <si>
    <t>cellular response to brassinosteroid stimulus</t>
  </si>
  <si>
    <t>TraesCS5B01G029100;TraesCS2A01G155500;TraesCS2B01G180500</t>
  </si>
  <si>
    <t>brassinosteroid mediated signaling pathway</t>
  </si>
  <si>
    <t>Ras guanyl-nucleotide exchange factor activity</t>
  </si>
  <si>
    <t>TraesCS3D01G270200;TraesCS6D01G244200;TraesCS3A01G270400</t>
  </si>
  <si>
    <t>Rho guanyl-nucleotide exchange factor activity</t>
  </si>
  <si>
    <t>TraesCS1D01G144600;TraesCS5A01G190400;TraesCS3D01G412600;TraesCS1B01G164200;TraesCS6D01G211700;TraesCS2D01G396500</t>
  </si>
  <si>
    <t>TraesCS2A01G045000;TraesCS3A01G527600;TraesCS6D01G244200;TraesCS2D01G043600;TraesCS5A01G118200;TraesCS6D01G211700</t>
  </si>
  <si>
    <t>TraesCS2D01G178600;TraesCS6D01G258300;TraesCS6A01G277800</t>
  </si>
  <si>
    <t>Rho GTPase binding</t>
  </si>
  <si>
    <t>TraesCS2B01G409300;TraesCS6B01G248900;TraesCS2D01G374600;TraesCS6D01G202400;TraesCS3B01G344600;TraesCS7D01G328500;TraesCS3D01G310200;TraesCS6A01G219500;TraesCS6A01G240700;TraesCS6D01G202500</t>
  </si>
  <si>
    <t>hydrogen-translocating pyrophosphatase activity</t>
  </si>
  <si>
    <t>TraesCS1B01G264600;TraesCS1A01G253600</t>
  </si>
  <si>
    <t>TraesCS7D01G143200;TraesCS7B01G044200</t>
  </si>
  <si>
    <t>TraesCS1A01G342700;TraesCS1B01G264600;TraesCS1A01G253600</t>
  </si>
  <si>
    <t>regulation of response to external stimulus</t>
  </si>
  <si>
    <t>response to symbiotic fungus</t>
  </si>
  <si>
    <t>TraesCS1D01G011600;TraesCS7A01G384200</t>
  </si>
  <si>
    <t>TraesCS5B01G029100;TraesCS2D01G485300;TraesCS3D01G136700;TraesCS2B01G180500;TraesCS7D01G374400;TraesCS2A01G397000;TraesCS4B01G045400;TraesCS1A01G275200;TraesCS5B01G533000;TraesCS5A01G097200;TraesCS1B01G098600;TraesCS1D01G011600;TraesCS2D01G364400;TraesCS3A01G135700;TraesCS3A01G242100;TraesCS3B01G153800;TraesCS1D01G367800;TraesCS2A01G331600;TraesCS5B01G437300;TraesCS6B01G136400;TraesCS3B01G361500;TraesCS4A01G071800;TraesCS4B01G247000;TraesCS2A01G155500;TraesCS2A01G340000;TraesCS5D01G097900;TraesCS6B01G381300;TraesCS2D01G394800;TraesCS4D01G126800;TraesCS3A01G306000;TraesCS6B01G136100;TraesCS5B01G316300;TraesCS6D01G246900;TraesCS2B01G350600;TraesCS5B01G236900;TraesCS1D01G144600;TraesCS5B01G102900;TraesCS4B01G216000;TraesCS3D01G295900;TraesCS1D01G274800;TraesCS5B01G530800;TraesCS5D01G321800;TraesCS1B01G164200;TraesCS5A01G155300;TraesCS6D01G211700;TraesCS4A01G001400</t>
  </si>
  <si>
    <t>TraesCS5A01G190400;TraesCS3D01G412600;TraesCS6D01G211700;TraesCS2D01G396500</t>
  </si>
  <si>
    <t>response to steroid hormone</t>
  </si>
  <si>
    <t>cellular response to steroid hormone stimulus</t>
  </si>
  <si>
    <t>steroid hormone mediated signaling pathway</t>
  </si>
  <si>
    <t>TraesCS6B01G248900;TraesCS2B01G339600;TraesCS6D01G202400;TraesCS1D01G414700;TraesCS3D01G286900;TraesCS5D01G279000;TraesCS5D01G128400;TraesCS6A01G240700;TraesCS6D01G202500;TraesCS3A01G349800;TraesCS5B01G119500;TraesCS3D01G343800;TraesCS4D01G054300;TraesCS5A01G111500;TraesCS6D01G244200;TraesCS2A01G032500;TraesCS5B01G180400;TraesCS6A01G219500;TraesCS3A01G240500</t>
  </si>
  <si>
    <t>TraesCS3D01G130900;TraesCS5D01G036500;TraesCS6A01G240700;TraesCS5D01G518700;TraesCS2D01G144500;TraesCS5B01G231600;TraesCS5B01G491000;TraesCS5A01G326800;TraesCS2D01G198000;TraesCS4A01G063900;TraesCS6B01G406300;TraesCS7B01G244800;TraesCS5B01G135100;TraesCS2D01G113300;TraesCS2B01G251300;TraesCS3D01G041400;TraesCS7A01G516900;TraesCS5A01G478300;TraesCS3D01G350300;TraesCS1B01G001700;TraesCS3D01G520900;TraesCS7B01G165100;TraesCS1B01G370900;TraesCS6B01G187700;TraesCS5B01G490800;TraesCS5D01G491000;TraesCS4B01G174800;TraesCS3A01G130000;TraesCS1D01G165200;TraesCS6B01G209100;TraesCS7A01G133200;TraesCS1A01G342700;TraesCS3B01G448000;TraesCS2B01G596600;TraesCS7D01G280000;TraesCS1B01G446400;TraesCS2B01G221300;TraesCS1A01G330900;TraesCS5D01G341800;TraesCS7B01G102000;TraesCS7B01G433000;TraesCS3D01G419600;TraesCS5B01G236500;TraesCS7A01G516800;TraesCS7D01G507000;TraesCS2A01G401400;TraesCS3A01G262700;TraesCSU01G151900;TraesCS1D01G004500;TraesCS7A01G542600;TraesCS4B01G090700;TraesCS3B01G538300;TraesCS4A01G245500;TraesCS6A01G405400;TraesCS7A01G406100;TraesCS2A01G553400;TraesCS7D01G085600;TraesCS7D01G226400;TraesCS5D01G146400;TraesCS2B01G339600;TraesCSU01G211400;TraesCS7B01G047600;TraesCS5D01G232100;TraesCS3B01G315800;TraesCS3B01G351500;TraesCS1B01G187900;TraesCS7B01G387100;TraesCS5D01G524800;TraesCS3D01G333700;TraesCS3D01G484900;TraesCS6B01G449800;TraesCS3D01G445000;TraesCS6D01G276600;TraesCS2B01G348900;TraesCS1D01G335400;TraesCS6A01G377700;TraesCS2B01G409300;TraesCS5A01G028700;TraesCS5A01G238000;TraesCS5A01G544500;TraesCS5B01G510900;TraesCS5A01G343000;TraesCS6A01G176400;TraesCS3A01G240500;TraesCS1D01G414700;TraesCS2A01G323000;TraesCS3B01G338200;TraesCS1D01G187300;TraesCS1A01G173600;TraesCS4D01G246600;TraesCS6B01G147000;TraesCS6B01G059000;TraesCS6D01G140900;TraesCS5D01G348900;TraesCS2B01G557100;TraesCS5D01G491700;TraesCS5A01G153400;TraesCS5A01G472300;TraesCS3A01G356600;TraesCS5A01G476900;TraesCS5B01G029100;TraesCS5B01G490300;TraesCS1A01G079500;TraesCS5D01G491300;TraesCS3D01G088200;TraesCS4D01G104100;TraesCS3B01G039000;TraesCS4D01G087800;TraesCS5D01G078300;TraesCS5B01G174200;TraesCS7B01G254100;TraesCS5A01G118200;TraesCS5B01G382400;TraesCS7D01G511700;TraesCS1A01G221400;TraesCS6D01G353300;TraesCS5D01G490200;TraesCS7A01G373300;TraesCS3B01G240000;TraesCS7B01G094900;TraesCS2B01G413200;TraesCS1D01G144900;TraesCS6A01G043000;TraesCS3A01G371200;TraesCS3D01G165600;TraesCS1B01G316300;TraesCS1D01G111500;TraesCS7B01G432300;TraesCS4D01G014400;TraesCS5D01G491400;TraesCS7D01G340900;TraesCS4D01G347300;TraesCS1A01G308700;TraesCS5A01G359900;TraesCS2D01G521700;TraesCS5D01G384500;TraesCSU01G128800;TraesCS6D01G146300;TraesCS2D01G337800;TraesCS3D01G036100;TraesCS1A01G051700;TraesCS7D01G528600;TraesCS5D01G421900;TraesCS6D01G353400;TraesCS1D01G209400;TraesCS5D01G331600;TraesCS4D01G303800;TraesCS7B01G272100;TraesCS5D01G333100;TraesCS6B01G091700;TraesCS7A01G145400;TraesCS2A01G368600;TraesCS5B01G490500;TraesCS5D01G128400;TraesCS4A01G076900;TraesCS5B01G119500;TraesCS7B01G306100;TraesCS4A01G352200;TraesCS5D01G183300;TraesCS7B01G034000;TraesCS2B01G518400;TraesCS5D01G490800;TraesCS5B01G128100;TraesCS7D01G387300;TraesCS4A01G203300;TraesCS7D01G087400;TraesCS5B01G519400;TraesCS5D01G297200;TraesCS7D01G077600;TraesCS7A01G308900;TraesCS5A01G111500;TraesCS4D01G030700;TraesCS3A01G165500;TraesCS6B01G091000;TraesCS7D01G507100;TraesCS6B01G051900;TraesCS4D01G240800;TraesCS5A01G044300;TraesCS4D01G127600;TraesCS4D01G240900;TraesCS3B01G595200;TraesCS4B01G162300;TraesCS7B01G132400;TraesCS1B01G196800;TraesCS3A01G388800;TraesCS6B01G158300;TraesCS4D01G222000;TraesCSU01G152000;TraesCS3D01G483200;TraesCS4A01G186100;TraesCS2B01G359600;TraesCS6D01G199200;TraesCS2A01G394900;TraesCS1B01G096800;TraesCS1D01G103800;TraesCS4B01G033100;TraesCS4B01G203900;TraesCS5D01G119100;TraesCS7B01G175200;TraesCS1A01G189100;TraesCS2A01G490500;TraesCS2D01G396500;TraesCS5B01G152400;TraesCS6B01G256200;TraesCS3A01G413600;TraesCS1B01G190800;TraesCS3D01G350200;TraesCS7D01G457000;TraesCS5B01G180400;TraesCSU01G222700;TraesCS3B01G179600;TraesCS5A01G155300;TraesCS5D01G281200;TraesCS7A01G189900</t>
  </si>
  <si>
    <t>TraesCS3D01G130900;TraesCS5D01G036500;TraesCS6A01G240700;TraesCS5D01G518700;TraesCS5B01G231600;TraesCS5B01G491000;TraesCS5A01G326800;TraesCS2D01G198000;TraesCS4A01G063900;TraesCS6B01G406300;TraesCS7B01G244800;TraesCS5B01G135100;TraesCS2D01G113300;TraesCS2B01G251300;TraesCS3D01G041400;TraesCS7A01G516900;TraesCS5A01G478300;TraesCS3D01G350300;TraesCS1B01G001700;TraesCS3D01G520900;TraesCS7B01G165100;TraesCS1B01G370900;TraesCS6B01G187700;TraesCS5B01G490800;TraesCS5D01G491000;TraesCS4B01G174800;TraesCS3A01G130000;TraesCS1D01G165200;TraesCS6B01G209100;TraesCS7A01G133200;TraesCS1A01G342700;TraesCS3B01G448000;TraesCS2B01G596600;TraesCS7D01G280000;TraesCS1B01G446400;TraesCS2B01G221300;TraesCS1A01G330900;TraesCS5D01G341800;TraesCS7B01G102000;TraesCS7B01G433000;TraesCS3D01G419600;TraesCS5B01G236500;TraesCS7A01G516800;TraesCS7D01G507000;TraesCS2A01G401400;TraesCS3A01G262700;TraesCSU01G151900;TraesCS1D01G004500;TraesCS7A01G542600;TraesCS4B01G090700;TraesCS3B01G538300;TraesCS4A01G245500;TraesCS6A01G405400;TraesCS7A01G406100;TraesCS2A01G553400;TraesCS7D01G085600;TraesCS7D01G226400;TraesCS5D01G146400;TraesCS2B01G339600;TraesCSU01G211400;TraesCS7B01G047600;TraesCS5D01G232100;TraesCS3B01G315800;TraesCS3B01G351500;TraesCS1B01G187900;TraesCS7B01G387100;TraesCS5D01G524800;TraesCS3D01G333700;TraesCS3D01G484900;TraesCS6B01G449800;TraesCS3D01G445000;TraesCS6D01G276600;TraesCS2B01G348900;TraesCS1D01G335400;TraesCS6A01G377700;TraesCS2B01G409300;TraesCS5A01G028700;TraesCS5A01G238000;TraesCS5A01G544500;TraesCS5B01G510900;TraesCS5A01G343000;TraesCS6A01G176400;TraesCS3A01G240500;TraesCS1D01G414700;TraesCS2A01G323000;TraesCS3B01G338200;TraesCS1D01G187300;TraesCS1A01G173600;TraesCS4D01G246600;TraesCS6B01G147000;TraesCS6B01G059000;TraesCS6D01G140900;TraesCS5D01G348900;TraesCS2B01G557100;TraesCS5D01G491700;TraesCS5A01G153400;TraesCS5A01G472300;TraesCS3A01G356600;TraesCS5A01G476900;TraesCS5B01G029100;TraesCS5B01G490300;TraesCS1A01G079500;TraesCS5D01G491300;TraesCS3D01G088200;TraesCS4D01G104100;TraesCS3B01G039000;TraesCS4D01G087800;TraesCS5D01G078300;TraesCS5B01G174200;TraesCS7B01G254100;TraesCS5A01G118200;TraesCS5B01G382400;TraesCS7D01G511700;TraesCS1A01G221400;TraesCS6D01G353300;TraesCS5D01G490200;TraesCS7A01G373300;TraesCS3B01G240000;TraesCS7B01G094900;TraesCS2B01G413200;TraesCS1D01G144900;TraesCS6A01G043000;TraesCS3A01G371200;TraesCS3D01G165600;TraesCS1B01G316300;TraesCS1D01G111500;TraesCS7B01G432300;TraesCS4D01G014400;TraesCS5D01G491400;TraesCS7D01G340900;TraesCS4D01G347300;TraesCS1A01G308700;TraesCS2D01G521700;TraesCS5D01G384500;TraesCSU01G128800;TraesCS6D01G146300;TraesCS2D01G337800;TraesCS3D01G036100;TraesCS1A01G051700;TraesCS7D01G528600;TraesCS5D01G421900;TraesCS6D01G353400;TraesCS1D01G209400;TraesCS5D01G331600;TraesCS4D01G303800;TraesCS7B01G272100;TraesCS5D01G333100;TraesCS6B01G091700;TraesCS7A01G145400;TraesCS2A01G368600;TraesCS5B01G490500;TraesCS5D01G128400;TraesCS4A01G076900;TraesCS5B01G119500;TraesCS7B01G306100;TraesCS4A01G352200;TraesCS5D01G183300;TraesCS7B01G034000;TraesCS2B01G518400;TraesCS5D01G490800;TraesCS5B01G128100;TraesCS7D01G387300;TraesCS4A01G203300;TraesCS7D01G087400;TraesCS5B01G519400;TraesCS5D01G297200;TraesCS7D01G077600;TraesCS7A01G308900;TraesCS5A01G111500;TraesCS4D01G030700;TraesCS3A01G165500;TraesCS6B01G091000;TraesCS7D01G507100;TraesCS6B01G051900;TraesCS4D01G240800;TraesCS5A01G044300;TraesCS4D01G127600;TraesCS4D01G240900;TraesCS3B01G595200;TraesCS4B01G162300;TraesCS7B01G132400;TraesCS1B01G196800;TraesCS3A01G388800;TraesCS6B01G158300;TraesCS4D01G222000;TraesCSU01G152000;TraesCS3D01G483200;TraesCS4A01G186100;TraesCS2B01G359600;TraesCS6D01G199200;TraesCS2A01G394900;TraesCS1B01G096800;TraesCS1D01G103800;TraesCS4B01G033100;TraesCS4B01G203900;TraesCS5D01G119100;TraesCS7B01G175200;TraesCS1A01G189100;TraesCS2A01G490500;TraesCS2D01G396500;TraesCS5B01G152400;TraesCS6B01G256200;TraesCS3A01G413600;TraesCS1B01G190800;TraesCS3D01G350200;TraesCS7D01G457000;TraesCS5B01G180400;TraesCSU01G222700;TraesCS3B01G179600;TraesCS5A01G155300;TraesCS5D01G281200;TraesCS7A01G189900</t>
  </si>
  <si>
    <t>TraesCS5A01G190400;TraesCS3D01G412600;TraesCS2D01G396500</t>
  </si>
  <si>
    <t>N-acylphosphatidylethanolamine-specific phospholipase D activity</t>
  </si>
  <si>
    <t>TraesCS3D01G130900;TraesCS3A01G130000</t>
  </si>
  <si>
    <t>TraesCS4B01G045400;TraesCS5B01G236900</t>
  </si>
  <si>
    <t>TraesCS1A01G330900;TraesCS1B01G304800;TraesCS2A01G540200;TraesCS4B01G068300</t>
  </si>
  <si>
    <t>phosphotransferase activity, phosphate group as acceptor</t>
  </si>
  <si>
    <t>DNA binding</t>
  </si>
  <si>
    <t>TraesCS6D01G249200;TraesCS1D01G111400;TraesCS1D01G287500;TraesCS6B01G288500;TraesCS7A01G458700;TraesCS1D01G310200;TraesCS5D01G518700;TraesCS3B01G375800;TraesCS7D01G540700;TraesCS3D01G531900;TraesCS2A01G142800;TraesCS1A01G370700;TraesCS1B01G243100;TraesCS7D01G052600;TraesCS3A01G269900;TraesCS7B01G357900;TraesCS2B01G135600;TraesCS2D01G198000;TraesCS3D01G370800;TraesCS5D01G234600;TraesCS1D01G376500;TraesCS7B01G372100;TraesCS5D01G232700;TraesCS7D01G171300;TraesCS1D01G429800;TraesCS6A01G319600;TraesCS3A01G271700;TraesCS2A01G116100;TraesCS2D01G332300;TraesCS7B01G423100;TraesCS6D01G154400;TraesCS7A01G464800;TraesCS3A01G281900;TraesCS6A01G108800;TraesCS1B01G129800;TraesCS6D01G299000;TraesCS5D01G315400;TraesCS4A01G251200;TraesCS2D01G209600;TraesCS3D01G367900;TraesCS7D01G372500;TraesCS1B01G297900;TraesCS7D01G052500;TraesCS4A01G396400;TraesCS2D01G211400;TraesCS5D01G097400;TraesCS2D01G387300;TraesCS7D01G458000;TraesCS3D01G078900;TraesCS7B01G372200;TraesCS6B01G350400;TraesCS3A01G343900;TraesCS5D01G421900;TraesCS3D01G399600;TraesCS1D01G072600;TraesCS5A01G460800;TraesCS6A01G265300;TraesCS6D01G217800;TraesCS7D01G457600;TraesCS3D01G377300;TraesCS5D01G321000;TraesCS5B01G236900;TraesCS5B01G498800;TraesCS1B01G294500;TraesCS6D01G110400;TraesCS3D01G337600;TraesCS4D01G070300;TraesCS7A01G057800;TraesCS5D01G205000;TraesCS4A01G001400;TraesCS3A01G149000;TraesCS3B01G314600;TraesCS1A01G302700;TraesCS2D01G414500;TraesCS6B01G193200;TraesCS7A01G116000;TraesCS5B01G091000;TraesCS7A01G343000;TraesCS5B01G315600;TraesCS5B01G193200;TraesCS1A01G107700;TraesCS7A01G423800;TraesCS5D01G232900;TraesCS7D01G446700;TraesCS7D01G501000;TraesCS7D01G423600;TraesCS3A01G404400;TraesCS4D01G105100;TraesCS7D01G052400;TraesCS5D01G473000;TraesCS2B01G232000;TraesCS6D01G241900;TraesCS1D01G185100;TraesCS2A01G204500;TraesCS4D01G267500;TraesCS4B01G080900;TraesCS2B01G467700;TraesCS7D01G457500;TraesCS3A01G264900;TraesCS2D01G515900;TraesCS3B01G255400;TraesCS6B01G292500;TraesCS5A01G401600;TraesCS4D01G062600;TraesCS7B01G365300;TraesCS7D01G092400;TraesCS5A01G112600;TraesCS3D01G227400;TraesCS5A01G238400;TraesCS3A01G229300;TraesCS3B01G568300;TraesCS5B01G275200;TraesCS2D01G234000;TraesCS4A01G396200;TraesCS6D01G302500;TraesCS7A01G272100;TraesCS2B01G419200;TraesCS5A01G312000;TraesCS4A01G036000;TraesCS2A01G161800;TraesCS5B01G410000;TraesCS1A01G370400;TraesCS3B01G303800;TraesCS1B01G439800;TraesCS2B01G436200;TraesCS3D01G281900;TraesCS3A01G375500;TraesCS5D01G245300</t>
  </si>
  <si>
    <t>phospholipase activity</t>
  </si>
  <si>
    <t>TraesCS5D01G341800;TraesCS3D01G130900;TraesCS1D01G420400;TraesCS3A01G130000;TraesCS5A01G155300</t>
  </si>
  <si>
    <t>TraesCS3A01G527600;TraesCS6D01G244200;TraesCS5A01G118200</t>
  </si>
  <si>
    <t>response to benzoic acid</t>
  </si>
  <si>
    <t>L-amino acid import</t>
  </si>
  <si>
    <t>arginine import</t>
  </si>
  <si>
    <t>L-arginine transport</t>
  </si>
  <si>
    <t>L-arginine import</t>
  </si>
  <si>
    <t>inositol 3-kinase activity</t>
  </si>
  <si>
    <t>(+)-abscisic acid 8'-hydroxylase activity</t>
  </si>
  <si>
    <t>autophagosome</t>
  </si>
  <si>
    <t>nucleoside transmembrane transporter activity, against a concentration gradient</t>
  </si>
  <si>
    <t>regulation of energy homeostasis</t>
  </si>
  <si>
    <t>protein membrane anchor</t>
  </si>
  <si>
    <t>positive regulation of cofactor metabolic process</t>
  </si>
  <si>
    <t>regulation of heme biosynthetic process</t>
  </si>
  <si>
    <t>positive regulation of tetrapyrrole metabolic process</t>
  </si>
  <si>
    <t>positive regulation of tetrapyrrole biosynthetic process</t>
  </si>
  <si>
    <t>positive regulation of heme biosynthetic process</t>
  </si>
  <si>
    <t>DNA photolyase activity</t>
  </si>
  <si>
    <t>TraesCS2A01G344200;TraesCS3A01G185800;TraesCS2A01G270500;TraesCS2B01G341700;TraesCS2A01G303200;TraesCS4A01G422800;TraesCS5B01G458900;TraesCS2D01G411300;TraesCS2B01G107500;TraesCS5B01G281000;TraesCS5D01G289000;TraesCS3A01G527600;TraesCS5B01G533000;TraesCS2B01G289300;TraesCS2D01G165500;TraesCS5A01G118200;TraesCS3D01G189800</t>
  </si>
  <si>
    <t>TraesCS2D01G301100;TraesCS4D01G104100;TraesCS5D01G279000;TraesCS5D01G128400;TraesCS1D01G165200;TraesCS4A01G076900;TraesCS6A01G245200;TraesCS3D01G159800;TraesCS5B01G119500;TraesCS4D01G054300;TraesCS7B01G277000;TraesCS7A01G312000;TraesCS4A01G203300;TraesCS6A01G277800;TraesCS1B01G096800;TraesCS3A01G240500;TraesCS4D01G331200;TraesCS2B01G339600;TraesCS7D01G308500;TraesCS1D01G414700;TraesCS5A01G058100;TraesCS7B01G133200;TraesCS1B01G357000;TraesCS6D01G258300;TraesCS5B01G372300;TraesCS3D01G412600;TraesCS3A01G349800;TraesCS3D01G343800;TraesCS1A01G173600;TraesCS5A01G111500;TraesCS3A01G151900;TraesCS5B01G180400;TraesCS6D01G211700;TraesCS7A01G235000</t>
  </si>
  <si>
    <t>TraesCS5D01G341800;TraesCS3D01G130900;TraesCS3A01G130000;TraesCS5D01G279000;TraesCS7B01G306100;TraesCS2D01G446700;TraesCS1D01G389300;TraesCS3A01G244600;TraesCS7A01G406100;TraesCS7A01G258400;TraesCS2A01G447800;TraesCS1B01G316500;TraesCS1D01G361500</t>
  </si>
  <si>
    <t>TraesCS1A01G302700;TraesCS7A01G250200;TraesCS7B01G025800;TraesCS2D01G301100;TraesCS3B01G039000;TraesCS5D01G279000;TraesCS7B01G178700;TraesCS2D01G414500;TraesCS6A01G240700;TraesCS6B01G193200;TraesCS7A01G322100;TraesCS7D01G052600;TraesCS5B01G193200;TraesCS2B01G135600;TraesCS3D01G370800;TraesCS7A01G423800;TraesCS5A01G437500;TraesCS2D01G289700;TraesCS2B01G339600;TraesCS5A01G058100;TraesCS7D01G423600;TraesCS2A01G291700;TraesCS2D01G113300;TraesCS7D01G052400;TraesCS2B01G308200;TraesCS7B01G047600;TraesCS6A01G319600;TraesCS6D01G202500;TraesCS2B01G232000;TraesCS3A01G306000;TraesCS2A01G204500;TraesCS6A01G219500;TraesCS6D01G154400;TraesCS7A01G464800;TraesCS6A01G108800;TraesCS1B01G129800;TraesCS6B01G248900;TraesCS6D01G299000;TraesCS6B01G328300;TraesCS1D01G165200;TraesCS7B01G365300;TraesCS7A01G376100;TraesCS7D01G372500;TraesCS4B01G045400;TraesCS1A01G191300;TraesCS3D01G036100;TraesCS5B01G275200;TraesCS5D01G097400;TraesCS3D01G078900;TraesCS1B01G206200;TraesCS5A01G312000;TraesCS6D01G202400;TraesCS4A01G036000;TraesCS4A01G176200;TraesCS1D01G072600;TraesCS1A01G173600;TraesCS6D01G217800;TraesCS1B01G439800;TraesCS5B01G236900;TraesCS5B01G498800;TraesCS6D01G110400;TraesCS4D01G070300;TraesCS7A01G057800;TraesCS7A01G384200;TraesCS4A01G001400;TraesCS7A01G145400</t>
  </si>
  <si>
    <t>TraesCS5B01G533000;TraesCS2A01G270500;TraesCS2B01G289300</t>
  </si>
  <si>
    <t>phospholipase D activity</t>
  </si>
  <si>
    <t>TraesCS5D01G341800;TraesCS3D01G130900;TraesCS3A01G130000</t>
  </si>
  <si>
    <t>mitotic recombination</t>
  </si>
  <si>
    <t>TraesCS5B01G556000;TraesCS4A01G322400;TraesCS5D01G553500</t>
  </si>
  <si>
    <t>amino acid binding</t>
  </si>
  <si>
    <t>TraesCS6D01G070000;TraesCS5B01G284000;TraesCS2A01G271700;TraesCS2B01G302400;TraesCS2D01G270300</t>
  </si>
  <si>
    <t>vacuolar membrane</t>
  </si>
  <si>
    <t>TraesCS2B01G409300;TraesCS1D01G144600;TraesCS4A01G372600;TraesCS7D01G069900;TraesCS6A01G353600;TraesCS2A01G553400;TraesCS6A01G240700;TraesCS1B01G164200;TraesCS7D01G374400;TraesCS6D01G335900;TraesCS6D01G331600</t>
  </si>
  <si>
    <t>neutral lipid biosynthetic process</t>
  </si>
  <si>
    <t>TraesCS1A01G081400;TraesCS4D01G196500</t>
  </si>
  <si>
    <t>acylglycerol biosynthetic process</t>
  </si>
  <si>
    <t>regulation of systemic acquired resistance</t>
  </si>
  <si>
    <t>TraesCS1D01G233800;TraesCS1B01G245700</t>
  </si>
  <si>
    <t>response to symbiont</t>
  </si>
  <si>
    <t>TraesCS1A01G302700;TraesCS7B01G025800;TraesCS2D01G301100;TraesCS3B01G039000;TraesCS2D01G414500;TraesCS6B01G193200;TraesCS7A01G322100;TraesCS7D01G052600;TraesCS5B01G193200;TraesCS2B01G135600;TraesCS3D01G370800;TraesCS7A01G423800;TraesCS5A01G437500;TraesCS2D01G289700;TraesCS7D01G423600;TraesCS2A01G291700;TraesCS7D01G052400;TraesCS2B01G308200;TraesCS7B01G047600;TraesCS6A01G319600;TraesCS6D01G202500;TraesCS2B01G232000;TraesCS3A01G306000;TraesCS2A01G204500;TraesCS6A01G219500;TraesCS6D01G154400;TraesCS7A01G464800;TraesCS6A01G108800;TraesCS1B01G129800;TraesCS6B01G248900;TraesCS6D01G299000;TraesCS6B01G328300;TraesCS7B01G365300;TraesCS7A01G376100;TraesCS7D01G372500;TraesCS1A01G191300;TraesCS3D01G036100;TraesCS5B01G275200;TraesCS5D01G097400;TraesCS3D01G078900;TraesCS1B01G206200;TraesCS5A01G312000;TraesCS6D01G202400;TraesCS4A01G036000;TraesCS4A01G176200;TraesCS1D01G072600;TraesCS6D01G217800;TraesCS1B01G439800;TraesCS5B01G236900;TraesCS5B01G498800;TraesCS6D01G110400;TraesCS4D01G070300;TraesCS7A01G057800;TraesCS4A01G001400;TraesCS7A01G145400</t>
  </si>
  <si>
    <t>TraesCS6D01G193100;TraesCS6A01G209900;TraesCS5A01G357300;TraesCS4B01G193900;TraesCS3A01G149900;TraesCS5D01G366400;TraesCS6B01G238800;TraesCS6D01G245700;TraesCS1D01G144600;TraesCS6B01G238700;TraesCS1A01G071500;TraesCS1D01G102400;TraesCS6A01G210000;TraesCS1B01G164200</t>
  </si>
  <si>
    <t>TraesCS2D01G214200;TraesCS5B01G029100;TraesCS4D01G066800;TraesCS5A01G359900;TraesCS1D01G229700;TraesCS7D01G077100;TraesCS7D01G224700;TraesCS2D01G144500;TraesCS3D01G225700;TraesCS4D01G246600;TraesCS2D01G273100;TraesCS3B01G240000;TraesCS5D01G170400;TraesCS1B01G316500;TraesCS1D01G361500</t>
  </si>
  <si>
    <t>TraesCS2A01G155500;TraesCS4B01G045400;TraesCS1D01G011600;TraesCS2B01G180500</t>
  </si>
  <si>
    <t>TraesCS2A01G155500;TraesCS4B01G045400;TraesCS3A01G527600;TraesCS1D01G144600;TraesCS2B01G180500;TraesCS1B01G164200</t>
  </si>
  <si>
    <t>vacuolar part</t>
  </si>
  <si>
    <t>TraesCS2A01G045000;TraesCS2A01G155500;TraesCS4D01G202000;TraesCS2B01G180500;TraesCS2D01G043600</t>
  </si>
  <si>
    <t>TraesCS2A01G045000;TraesCS2A01G155500;TraesCS4D01G202000;TraesCS2B01G180500;TraesCS2D01G043600;TraesCS5D01G097400</t>
  </si>
  <si>
    <t>regulation of cell growth</t>
  </si>
  <si>
    <t>chromatin binding</t>
  </si>
  <si>
    <t>TraesCS1B01G129800;TraesCS6D01G249200;TraesCS5A01G401600;TraesCS5B01G564100;TraesCS6B01G288500;TraesCS2B01G308200;TraesCS1D01G072600;TraesCS7A01G458700;TraesCS7D01G540700;TraesCS6A01G265300;TraesCS2B01G467700;TraesCS7D01G457500;TraesCS2B01G135600;TraesCS2D01G234000;TraesCS7D01G458000;TraesCS6A01G108800</t>
  </si>
  <si>
    <t>GDP-mannose metabolic process</t>
  </si>
  <si>
    <t>TraesCS1A01G275200;TraesCS7D01G143200;TraesCS5D01G384500;TraesCS7B01G044200;TraesCS1D01G274800</t>
  </si>
  <si>
    <t>nucleoside metabolic process</t>
  </si>
  <si>
    <t>TraesCS6B01G248900;TraesCS6D01G202400;TraesCS2D01G178600;TraesCS6A01G219500;TraesCS6D01G202500;TraesCS4A01G426900</t>
  </si>
  <si>
    <t>TraesCS2A01G344200;TraesCS3A01G185800;TraesCS2A01G270500;TraesCS2B01G341700;TraesCS2A01G303200;TraesCS4A01G422800;TraesCS5B01G458900;TraesCS2D01G411300;TraesCS2B01G107500;TraesCS5B01G281000;TraesCS5D01G289000;TraesCS3A01G527600;TraesCS5B01G533000;TraesCS2B01G289300;TraesCS2D01G165500;TraesCS3D01G189800</t>
  </si>
  <si>
    <t>cellular modified amino acid biosynthetic process</t>
  </si>
  <si>
    <t>TraesCS2B01G409300;TraesCS1A01G173600;TraesCS1D01G389300;TraesCS1D01G165200</t>
  </si>
  <si>
    <t>TraesCS1A01G050400;TraesCS3B01G467500;TraesCS6A01G209900;TraesCS5A01G357300;TraesCS4B01G193900;TraesCS5D01G279000;TraesCS6A01G280200;TraesCS1D01G335900;TraesCS6A01G245200;TraesCS3D01G344800;TraesCS6B01G045600;TraesCS6A01G212000;TraesCS5B01G342100;TraesCS6B01G238800;TraesCS3A01G181100;TraesCS3B01G361500;TraesCS7A01G121500;TraesCS4D01G233000;TraesCS7D01G377000;TraesCS2B01G043100;TraesCS4A01G206900;TraesCS3D01G414300;TraesCS2B01G465600;TraesCS2B01G593500;TraesCS1A01G071500;TraesCS3B01G213600;TraesCS6A01G043000;TraesCS1B01G164200;TraesCS2D01G369400;TraesCS6A01G291900;TraesCS2B01G451800;TraesCS3D01G157800;TraesCS5B01G029000;TraesCS4D01G179600;TraesCS3D01G038000;TraesCS5B01G243600;TraesCS4B01G045400;TraesCS1B01G195900;TraesCS6D01G245700;TraesCS6B01G238700;TraesCS6A01G210000;TraesCS1B01G276000;TraesCS5B01G013900;TraesCS2A01G031200;TraesCS5D01G362200;TraesCS2A01G155500;TraesCS5B01G414000;TraesCS1B01G264600;TraesCS3B01G336100;TraesCS1D01G357500;TraesCS2A01G520400;TraesCS3B01G487700;TraesCS5A01G463000;TraesCS5D01G366400;TraesCS2B01G354800;TraesCS5B01G498400;TraesCS2B01G350600;TraesCS3D01G188000;TraesCS1B01G240400;TraesCS1D01G102400;TraesCS5B01G530800;TraesCS5B01G362700;TraesCS5A01G510300;TraesCS2D01G043600;TraesCS4A01G072700;TraesCS6D01G331600;TraesCS5D01G183300;TraesCS6B01G309200;TraesCS2A01G331600;TraesCS6D01G193100;TraesCS3D01G412600;TraesCS6A01G353600;TraesCS5B01G246600;TraesCS5B01G357100;TraesCS2B01G519600;TraesCS3D01G186000;TraesCS5B01G316300;TraesCS2B01G430000;TraesCS4D01G202000;TraesCS1A01G253600;TraesCS7A01G420300;TraesCS2A01G045000;TraesCS6D01G037300;TraesCS2D01G483700;TraesCS7A01G380600;TraesCS1B01G435900;TraesCS2B01G348900;TraesCS6A01G056500;TraesCS3D01G136700;TraesCS6B01G456500;TraesCS2B01G180500;TraesCS3A01G149900;TraesCS1D01G335400;TraesCS4B01G096700;TraesCS6B01G045700;TraesCS6D01G335900;TraesCS2B01G409300;TraesCS3B01G287200;TraesCS2B01G626700;TraesCS2D01G335700;TraesCS5B01G122500;TraesCS1B01G128800;TraesCS5D01G475800;TraesCS5B01G193700;TraesCS2A01G327200;TraesCS3A01G385300;TraesCS3D01G250900;TraesCS3D01G362700;TraesCS2D01G224100;TraesCS2D01G396500;TraesCS5B01G155900;TraesCS6B01G059000;TraesCS1D01G144600;TraesCSU01G073900;TraesCS5D01G201400;TraesCS1D01G175200;TraesCS5A01G178800;TraesCS5A01G155300;TraesCS3B01G280000</t>
  </si>
  <si>
    <t>glutamate dehydrogenase [NAD(P)+] activity</t>
  </si>
  <si>
    <t>glutamate dehydrogenase (NAD+) activity</t>
  </si>
  <si>
    <t>superoxide dismutase copper chaperone activity</t>
  </si>
  <si>
    <t>L-amino acid transport</t>
  </si>
  <si>
    <t>succinate transmembrane transporter activity</t>
  </si>
  <si>
    <t>succinate transport</t>
  </si>
  <si>
    <t>succinate transmembrane transport</t>
  </si>
  <si>
    <t>phytanoyl-CoA dioxygenase activity</t>
  </si>
  <si>
    <t>squalene monooxygenase activity</t>
  </si>
  <si>
    <t>regulation of potassium ion transmembrane transporter activity</t>
  </si>
  <si>
    <t>TraesCS5A01G118200</t>
  </si>
  <si>
    <t>regulation of cation channel activity</t>
  </si>
  <si>
    <t>regulation of inward rectifier potassium channel activity</t>
  </si>
  <si>
    <t>neutral lipid metabolic process</t>
  </si>
  <si>
    <t>acylglycerol metabolic process</t>
  </si>
  <si>
    <t>TraesCS2A01G292900;TraesCS4D01G181200</t>
  </si>
  <si>
    <t>proline biosynthetic process</t>
  </si>
  <si>
    <t>TraesCS5D01G384500;TraesCS3A01G149900</t>
  </si>
  <si>
    <t>TraesCS2B01G451800;TraesCS5B01G029000;TraesCS6A01G209900;TraesCS3D01G038000;TraesCS5A01G357300;TraesCS5B01G362700;TraesCS4B01G193900;TraesCS2B01G348900;TraesCS1D01G335900;TraesCS3A01G149900;TraesCS1D01G335400;TraesCS3D01G344800;TraesCS5D01G183300;TraesCS6A01G212000;TraesCS6B01G238800;TraesCS6D01G245700;TraesCS6B01G238700;TraesCS6A01G210000;TraesCS1B01G128800;TraesCS6D01G193100;TraesCS1B01G264600;TraesCS4A01G206900;TraesCS3B01G487700;TraesCS3D01G250900;TraesCS5D01G366400;TraesCS5B01G246600;TraesCS2D01G396500;TraesCS6B01G059000;TraesCS1D01G144600;TraesCS2B01G465600;TraesCS3D01G188000;TraesCS1A01G071500;TraesCS3B01G213600;TraesCS1D01G102400;TraesCS5A01G178800;TraesCS1A01G253600;TraesCS6A01G043000;TraesCS1B01G164200;TraesCS3B01G280000;TraesCS6A01G291900</t>
  </si>
  <si>
    <t>ribonucleoside metabolic process</t>
  </si>
  <si>
    <t>TraesCS1A01G050400;TraesCS3B01G467500;TraesCS6A01G209900;TraesCS5A01G357300;TraesCS4B01G193900;TraesCS5D01G279000;TraesCS6A01G280200;TraesCS1D01G335900;TraesCS6A01G245200;TraesCS3D01G344800;TraesCS6B01G045600;TraesCS6A01G212000;TraesCS5B01G342100;TraesCS6B01G238800;TraesCS3A01G181100;TraesCS3B01G361500;TraesCS7A01G121500;TraesCS4D01G233000;TraesCS7D01G377000;TraesCS2B01G043100;TraesCS4A01G206900;TraesCS3D01G414300;TraesCS2B01G465600;TraesCS2B01G593500;TraesCS1A01G071500;TraesCS3B01G213600;TraesCS6A01G043000;TraesCS1B01G164200;TraesCS2D01G369400;TraesCS6A01G291900;TraesCS2B01G451800;TraesCS3D01G157800;TraesCS5B01G029000;TraesCS4D01G179600;TraesCS3D01G038000;TraesCS5B01G243600;TraesCS4B01G045400;TraesCS1B01G195900;TraesCS6D01G245700;TraesCS6B01G238700;TraesCS6A01G210000;TraesCS1B01G276000;TraesCS5B01G013900;TraesCS2A01G031200;TraesCS5D01G362200;TraesCS2A01G155500;TraesCS5B01G414000;TraesCS1B01G264600;TraesCS3B01G336100;TraesCS1D01G357500;TraesCS2A01G520400;TraesCS3B01G487700;TraesCS5A01G463000;TraesCS5D01G366400;TraesCS2B01G354800;TraesCS5B01G498400;TraesCS2B01G350600;TraesCS3D01G188000;TraesCS1B01G240400;TraesCS1D01G102400;TraesCS5B01G530800;TraesCS5B01G362700;TraesCS5A01G510300;TraesCS2D01G043600;TraesCS4A01G072700;TraesCS6D01G331600;TraesCS5D01G183300;TraesCS6B01G309200;TraesCS2A01G331600;TraesCS6D01G193100;TraesCS3D01G412600;TraesCS6A01G353600;TraesCS5B01G246600;TraesCS5B01G357100;TraesCS2B01G519600;TraesCS3D01G186000;TraesCS5B01G316300;TraesCS2B01G430000;TraesCS4D01G202000;TraesCS1A01G253600;TraesCS7A01G420300;TraesCS2A01G045000;TraesCS6D01G037300;TraesCS2D01G483700;TraesCS7A01G380600;TraesCS1B01G435900;TraesCS2B01G348900;TraesCS6A01G056500;TraesCS3D01G136700;TraesCS6B01G456500;TraesCS2B01G180500;TraesCS3A01G149900;TraesCS1D01G335400;TraesCS4B01G096700;TraesCS6B01G045700;TraesCS6D01G335900;TraesCS2B01G409300;TraesCS3B01G287200;TraesCS2B01G626700;TraesCS1A01G191300;TraesCS2D01G335700;TraesCS5B01G122500;TraesCS1B01G128800;TraesCS5D01G475800;TraesCS1B01G206200;TraesCS5B01G193700;TraesCS2A01G327200;TraesCS3A01G385300;TraesCS3D01G250900;TraesCS3D01G362700;TraesCS2D01G224100;TraesCS2D01G396500;TraesCS5B01G155900;TraesCS6B01G059000;TraesCS1D01G144600;TraesCSU01G073900;TraesCS5D01G201400;TraesCS1D01G175200;TraesCS5A01G178800;TraesCS5A01G155300;TraesCS3B01G280000</t>
  </si>
  <si>
    <t>TraesCS3B01G287200;TraesCS1A01G050400;TraesCS6B01G456500;TraesCS1B01G276000;TraesCS2D01G369400</t>
  </si>
  <si>
    <t>GO-susceptible_2d</t>
  </si>
  <si>
    <t>GO-susceptible_4d</t>
  </si>
  <si>
    <t>GO-susceptible-both2&amp;4d</t>
  </si>
  <si>
    <t>TraesCS1B01G230300</t>
  </si>
  <si>
    <t>guanosine-containing compound biosynthetic process</t>
  </si>
  <si>
    <t>TraesCS4D01G006700;TraesCS3D01G226400;TraesCS1A01G116600</t>
  </si>
  <si>
    <t>mitochondrial envelope</t>
  </si>
  <si>
    <t>TraesCS7B01G038100</t>
  </si>
  <si>
    <t>TraesCS5D01G038400;TraesCS4D01G197300;TraesCS4D01G325400</t>
  </si>
  <si>
    <t>TraesCS5B01G095800;TraesCS6D01G080500</t>
  </si>
  <si>
    <t>receptor binding</t>
  </si>
  <si>
    <t>GTP metabolic process</t>
  </si>
  <si>
    <t>TraesCS2A01G536300;TraesCS5A01G384200;TraesCS7A01G084400;TraesCS7B01G415600;TraesCS1B01G022000;TraesCS2B01G512400;TraesCS4B01G092700;TraesCS2B01G623700;TraesCS4B01G092900;TraesCS1B01G230300;TraesCS6A01G417900;TraesCS7D01G542800;TraesCS2B01G081900;TraesCS3D01G013900;TraesCS3D01G011400;TraesCS1B01G119800;TraesCS7A01G356900;TraesCS2A01G184500;TraesCS3D01G011300;TraesCS3B01G596200;TraesCS5B01G544900;TraesCS2B01G568600;TraesCS3D01G522300;TraesCS2A01G580900;TraesCS3D01G014000;TraesCS5B01G270800;TraesCS3B01G043600</t>
  </si>
  <si>
    <t>mitochondrial membrane</t>
  </si>
  <si>
    <t>chlorophyllide a oxygenase [overall] activity</t>
  </si>
  <si>
    <t>protein import into mitochondrial matrix</t>
  </si>
  <si>
    <t>TraesCS3B01G563100;TraesCS2B01G296000;TraesCS3B01G485100</t>
  </si>
  <si>
    <t>TraesCS2A01G536300;TraesCS3B01G530500;TraesCS3B01G421700;TraesCS7B01G128000;TraesCS5A01G384200;TraesCS5D01G038400;TraesCS7A01G084400;TraesCS4B01G244100;TraesCS1B01G230300;TraesCS6A01G417900;TraesCS4B01G332600;TraesCS4D01G251500;TraesCS7D01G542800;TraesCS6A01G023200;TraesCS7A01G356900;TraesCS6B01G444300;TraesCS3D01G011300;TraesCS6B01G031700;TraesCS6B01G031500;TraesCS3B01G596200;TraesCS5B01G544900;TraesCS5A01G503700;TraesCS5B01G523100;TraesCS3A01G303100;TraesCS2A01G176400;TraesCS2B01G568600;TraesCS2A01G580900;TraesCS3D01G014000;TraesCS5B01G270800;TraesCS2A01G187800;TraesCS3B01G043600;TraesCS6D01G026300;TraesCS7B01G415600;TraesCS1B01G022000;TraesCS2B01G512400;TraesCS4B01G092700;TraesCS2B01G623700;TraesCS4B01G092900;TraesCS7D01G489900;TraesCS2B01G081900;TraesCS3D01G013900;TraesCS6A01G023100;TraesCS3D01G011400;TraesCS1B01G119800;TraesCS4D01G006700;TraesCS6A01G023300;TraesCS2A01G184500;TraesCS6A01G325300;TraesCS6B01G031300;TraesCS6B01G031600;TraesCS1B01G048100;TraesCS4D01G197300;TraesCS2D01G338100;TraesCS6D01G026600;TraesCS4D01G329300;TraesCS3D01G522300;TraesCS6B01G261700;TraesCS5D01G228300</t>
  </si>
  <si>
    <t>mitochondrial outer membrane translocase complex</t>
  </si>
  <si>
    <t>outer mitochondrial membrane protein complex</t>
  </si>
  <si>
    <t>TraesCS4D01G006700;TraesCS1A01G116600</t>
  </si>
  <si>
    <t>inner mitochondrial membrane protein complex</t>
  </si>
  <si>
    <t>UTP biosynthetic process</t>
  </si>
  <si>
    <t>UTP metabolic process</t>
  </si>
  <si>
    <t>GTP biosynthetic process</t>
  </si>
  <si>
    <t>nucleoside diphosphate kinase activity</t>
  </si>
  <si>
    <t>receptor ligand activity</t>
  </si>
  <si>
    <t>receptor regulator activity</t>
  </si>
  <si>
    <t>TraesCS2A01G536300;TraesCS5A01G384200;TraesCS7A01G084400;TraesCS7B01G415600;TraesCS1B01G022000;TraesCS2B01G512400;TraesCS4B01G092700;TraesCS2B01G623700;TraesCS4B01G092900;TraesCS1B01G230300;TraesCS6A01G417900;TraesCS7D01G542800;TraesCS2B01G081900;TraesCS3D01G013900;TraesCS3D01G011400;TraesCS1B01G119800;TraesCS7A01G356900;TraesCS2A01G184500;TraesCS3D01G011300;TraesCS3B01G596200;TraesCS5B01G544900;TraesCS2B01G568600;TraesCS3D01G522300;TraesCS2A01G580900;TraesCS3B01G261500;TraesCS3D01G014000;TraesCS5B01G270800;TraesCS3B01G043600</t>
  </si>
  <si>
    <t>TraesCS3B01G037400;TraesCS5D01G004300;TraesCS4B01G328100</t>
  </si>
  <si>
    <t>TraesCS2A01G536300;TraesCS3B01G530500;TraesCS3B01G421700;TraesCS7B01G128000;TraesCS5A01G384200;TraesCS5D01G038400;TraesCS7A01G084400;TraesCS4B01G244100;TraesCS1B01G230300;TraesCS6A01G417900;TraesCS4B01G332600;TraesCS4D01G251500;TraesCS7D01G542800;TraesCS6A01G023200;TraesCS7A01G356900;TraesCS6B01G444300;TraesCS3D01G011300;TraesCS6B01G031700;TraesCS6B01G031500;TraesCS3B01G596200;TraesCS5B01G544900;TraesCS5A01G503700;TraesCS5B01G523100;TraesCS3A01G303100;TraesCS4D01G325400;TraesCS2A01G176400;TraesCS2B01G568600;TraesCS2A01G580900;TraesCS3D01G014000;TraesCS5B01G270800;TraesCS2A01G187800;TraesCS3B01G043600;TraesCS6D01G026300;TraesCS7B01G415600;TraesCS1B01G022000;TraesCS2B01G512400;TraesCS4B01G092700;TraesCS2B01G623700;TraesCS4B01G092900;TraesCS7D01G489900;TraesCS2B01G081900;TraesCS3D01G013900;TraesCS6A01G023100;TraesCS3D01G011400;TraesCS1B01G119800;TraesCS4D01G006700;TraesCS6A01G023300;TraesCS2A01G184500;TraesCS6A01G325300;TraesCS6B01G031300;TraesCS2B01G505100;TraesCS6B01G031600;TraesCS1B01G048100;TraesCS4D01G197300;TraesCS2D01G338100;TraesCS6D01G026600;TraesCS4D01G329300;TraesCS3D01G522300;TraesCS6B01G261700;TraesCS1D01G045200;TraesCS5D01G228300</t>
  </si>
  <si>
    <t>respiratory chain</t>
  </si>
  <si>
    <t>TraesCS2A01G536300;TraesCS5A01G384200;TraesCS7A01G084400;TraesCS7B01G415600;TraesCS1B01G022000;TraesCS2B01G512400;TraesCS4B01G092700;TraesCS2B01G623700;TraesCS4B01G092900;TraesCS6A01G417900;TraesCS2B01G081900;TraesCS3D01G013900;TraesCS3D01G011400;TraesCS1B01G119800;TraesCS7A01G356900;TraesCS2A01G184500;TraesCS3D01G011300;TraesCS3B01G596200;TraesCS5B01G544900;TraesCS3A01G303100;TraesCS2B01G568600;TraesCS3D01G522300;TraesCS2A01G580900;TraesCS3D01G014000;TraesCS5B01G270800;TraesCS3B01G043600</t>
  </si>
  <si>
    <t>TraesCS4D01G329300;TraesCSU01G205900;TraesCS7D01G041500;TraesCSU01G246000;TraesCS5A01G503700;TraesCS4B01G332600</t>
  </si>
  <si>
    <t>growth factor activity</t>
  </si>
  <si>
    <t>TraesCS2A01G536300;TraesCS5A01G384200;TraesCS7A01G084400;TraesCS7B01G415600;TraesCS1B01G022000;TraesCS2B01G512400;TraesCS4B01G092700;TraesCS2B01G623700;TraesCS4B01G092900;TraesCS6A01G417900;TraesCS2B01G081900;TraesCS3D01G013900;TraesCS3D01G011400;TraesCS1B01G119800;TraesCS7A01G356900;TraesCS2A01G184500;TraesCS3D01G011300;TraesCS3B01G596200;TraesCS5B01G544900;TraesCS2B01G568600;TraesCS3D01G522300;TraesCS2A01G580900;TraesCS3D01G014000;TraesCS5B01G270800;TraesCS3B01G043600</t>
  </si>
  <si>
    <t>mitochondrial respiratory chain</t>
  </si>
  <si>
    <t>regulation of secondary metabolite biosynthetic process</t>
  </si>
  <si>
    <t>TraesCS1D01G045200</t>
  </si>
  <si>
    <t>dihydroneopterin aldolase activity</t>
  </si>
  <si>
    <t>TraesCS2B01G568600;TraesCS1B01G119800;TraesCS2A01G580900;TraesCS1B01G022000;TraesCS2B01G512400;TraesCS4B01G092700;TraesCS5B01G544900;TraesCS3D01G014000;TraesCS4B01G092900;TraesCS6A01G417900;TraesCS3B01G043600</t>
  </si>
  <si>
    <t>respiratory chain complex</t>
  </si>
  <si>
    <t>TraesCS4D01G197300</t>
  </si>
  <si>
    <t>xylosyltransferase activity</t>
  </si>
  <si>
    <t>TraesCS4B01G328100</t>
  </si>
  <si>
    <t>alpha-amylase inhibitor activity</t>
  </si>
  <si>
    <t>TraesCSU01G205900;TraesCS7D01G041500;TraesCSU01G246000</t>
  </si>
  <si>
    <t>O-methyltransferase activity</t>
  </si>
  <si>
    <t>TraesCS2A01G536300;TraesCS7B01G128000;TraesCS5A01G384200;TraesCS7A01G084400;TraesCS7B01G415600;TraesCS1B01G022000;TraesCS2B01G512400;TraesCS4B01G092700;TraesCS2B01G623700;TraesCS4B01G092900;TraesCS6A01G417900;TraesCS7D01G489900;TraesCS2B01G081900;TraesCS3D01G013900;TraesCS3D01G011400;TraesCS1B01G119800;TraesCS7A01G356900;TraesCS2A01G184500;TraesCS6B01G444300;TraesCS3D01G011300;TraesCS3B01G596200;TraesCS5B01G544900;TraesCS5B01G523100;TraesCS2B01G568600;TraesCS3D01G522300;TraesCS6B01G261700;TraesCS2A01G580900;TraesCS3D01G014000;TraesCS5B01G270800;TraesCS3B01G043600</t>
  </si>
  <si>
    <t>regulation of phenylpropanoid metabolic process</t>
  </si>
  <si>
    <t>TraesCS6B01G211600;TraesCS6A01G183000;TraesCS6D01G170200</t>
  </si>
  <si>
    <t>carbon-oxygen lyase activity, acting on phosphates</t>
  </si>
  <si>
    <t>mitochondrial membrane part</t>
  </si>
  <si>
    <t>terpene synthase activity</t>
  </si>
  <si>
    <t>TraesCS2B01G568600;TraesCS2A01G536300;TraesCS1B01G022000;TraesCS2B01G512400;TraesCS5B01G270800</t>
  </si>
  <si>
    <t>mitochondrial respiratory chain complex I</t>
  </si>
  <si>
    <t>respiratory chain complex I</t>
  </si>
  <si>
    <t>NADH dehydrogenase complex</t>
  </si>
  <si>
    <t>TraesCS2A01G536300;TraesCS5A01G384200;TraesCS7A01G084400;TraesCS4B01G244100;TraesCS7B01G415600;TraesCS1B01G022000;TraesCS2B01G512400;TraesCS4B01G092700;TraesCS2B01G623700;TraesCS4B01G092900;TraesCS1B01G230300;TraesCS6A01G417900;TraesCS7D01G542800;TraesCS2B01G081900;TraesCS3D01G013900;TraesCS3D01G011400;TraesCS1B01G119800;TraesCS7A01G356900;TraesCS2A01G184500;TraesCS3D01G011300;TraesCS3B01G596200;TraesCS5B01G544900;TraesCS2B01G568600;TraesCS3D01G522300;TraesCS2A01G580900;TraesCS3D01G014000;TraesCS5B01G270800;TraesCS3B01G043600</t>
  </si>
  <si>
    <t>mitochondrial protein complex</t>
  </si>
  <si>
    <t>glucuronoxylan biosynthetic process</t>
  </si>
  <si>
    <t>TraesCS4D01G329300;TraesCS5A01G503700;TraesCS4B01G332600</t>
  </si>
  <si>
    <t>steroid metabolic process</t>
  </si>
  <si>
    <t>steroid biosynthetic process</t>
  </si>
  <si>
    <t>negative regulation of sinapate ester biosynthetic process</t>
  </si>
  <si>
    <t>regulation of sinapate ester biosynthetic process</t>
  </si>
  <si>
    <t>negative regulation of secondary metabolite biosynthetic process</t>
  </si>
  <si>
    <t>TraesCS6B01G031700;TraesCS3B01G530500;TraesCS6B01G031500;TraesCS6B01G031600;TraesCS5D01G038400;TraesCS4D01G197300;TraesCS2A01G176400;TraesCS2D01G338100;TraesCS6A01G023200;TraesCS6D01G026600;TraesCS6A01G023100;TraesCS6A01G023300;TraesCS6A01G325300;TraesCS6B01G031300;TraesCS6D01G026300</t>
  </si>
  <si>
    <t>TraesCS2A01G536300;TraesCS2B01G088400;TraesCS5A01G384200;TraesCS5D01G038400;TraesCS7A01G084400;TraesCS7B01G415600;TraesCSU01G246000;TraesCS1B01G022000;TraesCS2B01G512400;TraesCS4B01G092700;TraesCS2B01G623700;TraesCS4B01G092900;TraesCS1B01G230300;TraesCS6A01G417900;TraesCS4B01G332600;TraesCS7D01G542800;TraesCS2B01G081900;TraesCS3D01G013900;TraesCS3D01G011400;TraesCS1B01G119800;TraesCS2B01G083700;TraesCS7A01G356900;TraesCS2A01G184500;TraesCS3D01G053900;TraesCS7B01G133700;TraesCS3D01G011300;TraesCS5B01G500700;TraesCS3B01G143000;TraesCS3B01G596200;TraesCSU01G205900;TraesCS5D01G230500;TraesCS7D01G041500;TraesCS5B01G544900;TraesCS5A01G503700;TraesCS4D01G197300;TraesCS2B01G568600;TraesCS4D01G329300;TraesCS3D01G522300;TraesCS2A01G580900;TraesCS3D01G014000;TraesCS5B01G270800;TraesCS3B01G043600</t>
  </si>
  <si>
    <t>TraesCS2A01G536300;TraesCS5A01G384200;TraesCS7A01G084400;TraesCS7B01G415600;TraesCS1B01G022000;TraesCS2B01G512400;TraesCS4B01G092700;TraesCS2B01G623700;TraesCS4B01G092900;TraesCS6A01G417900;TraesCS7D01G542800;TraesCS2B01G081900;TraesCS3D01G013900;TraesCS3D01G011400;TraesCS1B01G119800;TraesCS7A01G356900;TraesCS2A01G184500;TraesCS3D01G011300;TraesCS3B01G596200;TraesCS5B01G544900;TraesCS2B01G568600;TraesCS3D01G522300;TraesCS2A01G580900;TraesCS3D01G014000;TraesCS5B01G270800;TraesCS3B01G043600</t>
  </si>
  <si>
    <t>TraesCS2D01G586300;TraesCS2D01G589700;TraesCS3B01G037400;TraesCS5D01G004300;TraesCS4B01G328100;TraesCS7A01G028600;TraesCS2D01G586900;TraesCS5D01G561800;TraesCS5D01G300700;TraesCS3B01G416500</t>
  </si>
  <si>
    <t>enzyme regulator activity</t>
  </si>
  <si>
    <t>TraesCS2D01G586300;TraesCS2D01G589700;TraesCS2D01G586900;TraesCS3B01G416500</t>
  </si>
  <si>
    <t>cysteine-type endopeptidase inhibitor activity</t>
  </si>
  <si>
    <t>TraesCS2D01G586300;TraesCS2D01G589700;TraesCS3B01G037400;TraesCS5D01G004300;TraesCS4B01G328100;TraesCS2D01G586900;TraesCS3B01G416500</t>
  </si>
  <si>
    <t>enzyme inhibitor activity</t>
  </si>
  <si>
    <t>TraesCS6B01G031700;TraesCS3B01G530500;TraesCS6B01G031500;TraesCS6B01G031600;TraesCS5D01G038400;TraesCS4D01G325400;TraesCS2D01G338100;TraesCS6A01G023200;TraesCS6D01G026600;TraesCS6A01G023100;TraesCS6A01G023300;TraesCS6A01G325300;TraesCS6B01G031300;TraesCS6D01G026300</t>
  </si>
  <si>
    <t>TraesCS6A01G023200;TraesCS6B01G031700;TraesCS6D01G026600;TraesCS6A01G023100;TraesCS6B01G031500;TraesCS6B01G031600;TraesCS6A01G023300;TraesCS6B01G031300;TraesCS6D01G026300</t>
  </si>
  <si>
    <t>GO-FHB_resistant</t>
  </si>
  <si>
    <t>GOEA of the 220 genes associated with FHB resistance, genes in Additional File 4-Genes associated with FHB resistant</t>
  </si>
  <si>
    <t>Note</t>
  </si>
  <si>
    <t>endonuclease activity, active with either ribo- or deoxyribonucleic acids and producing 5'-phosphomonoesters</t>
  </si>
  <si>
    <t>protein-DNA complex subunit organization</t>
  </si>
  <si>
    <t>nucleic acid binding</t>
  </si>
  <si>
    <t>chromosomal part</t>
  </si>
  <si>
    <t>FGRAMPH1_01T28143;FGRAMPH1_01T19531</t>
  </si>
  <si>
    <t>cardiolipin biosynthetic process</t>
  </si>
  <si>
    <t>cardiolipin metabolic process</t>
  </si>
  <si>
    <t>FGRAMPH1_01T19021;FGRAMPH1_01T23139</t>
  </si>
  <si>
    <t>FGRAMPH1_01T17387;FGRAMPH1_01T14587</t>
  </si>
  <si>
    <t>checkpoint clamp complex</t>
  </si>
  <si>
    <t>FGRAMPH1_01T19021;FGRAMPH1_01T14235</t>
  </si>
  <si>
    <t>transcription initiation from RNA polymerase III promoter</t>
  </si>
  <si>
    <t>FGRAMPH1_01T14235;FGRAMPH1_01T23139</t>
  </si>
  <si>
    <t>FGRAMPH1_01T19021;FGRAMPH1_01T14235;FGRAMPH1_01T23139</t>
  </si>
  <si>
    <t>FGRAMPH1_01T24187;FGRAMPH1_01T10747;FGRAMPH1_01T24059</t>
  </si>
  <si>
    <t>nuclear chromosome, telomeric region</t>
  </si>
  <si>
    <t>FGRAMPH1_01T10747;FGRAMPH1_01T24059</t>
  </si>
  <si>
    <t>single-stranded telomeric DNA binding</t>
  </si>
  <si>
    <t>sequence-specific single stranded DNA binding</t>
  </si>
  <si>
    <t>ribonuclease P activity</t>
  </si>
  <si>
    <t>pantothenate biosynthetic process</t>
  </si>
  <si>
    <t>pantothenate metabolic process</t>
  </si>
  <si>
    <t>FGRAMPH1_01T07529;FGRAMPH1_01T09993</t>
  </si>
  <si>
    <t>DNA-(apurinic or apyrimidinic site) endonuclease activity</t>
  </si>
  <si>
    <t>amidine-lyase activity</t>
  </si>
  <si>
    <t>FGRAMPH1_01T19243;FGRAMPH1_01T07475</t>
  </si>
  <si>
    <t>allantoin catabolic process</t>
  </si>
  <si>
    <t>allantoin metabolic process</t>
  </si>
  <si>
    <t>FGRAMPH1_01T07317;FGRAMPH1_01T12783</t>
  </si>
  <si>
    <t>hydrolase activity, acting on acid halide bonds, in C-halide compounds</t>
  </si>
  <si>
    <t>hydrolase activity, acting on acid halide bonds</t>
  </si>
  <si>
    <t>extrinsic component of mitochondrial inner membrane</t>
  </si>
  <si>
    <t>FGRAMPH1_01T22923;FGRAMPH1_01T05877</t>
  </si>
  <si>
    <t>protein C-terminal S-isoprenylcysteine carboxyl O-methyltransferase activity</t>
  </si>
  <si>
    <t>protein C-terminal carboxyl O-methyltransferase activity</t>
  </si>
  <si>
    <t>protein carboxyl O-methyltransferase activity</t>
  </si>
  <si>
    <t>carboxyl-O-methyltransferase activity</t>
  </si>
  <si>
    <t>ribonuclease III activity</t>
  </si>
  <si>
    <t>double-stranded RNA-specific ribonuclease activity</t>
  </si>
  <si>
    <t>FGRAMPH1_01T19175;FGRAMPH1_01T03911</t>
  </si>
  <si>
    <t>tRNA (m1A) methyltransferase complex</t>
  </si>
  <si>
    <t>tRNA methyltransferase complex</t>
  </si>
  <si>
    <t>FGRAMPH1_01T11293;FGRAMPH1_01T03687</t>
  </si>
  <si>
    <t>replication fork protection</t>
  </si>
  <si>
    <t>negative regulation of DNA-dependent DNA replication</t>
  </si>
  <si>
    <t>regulation of DNA-dependent DNA replication</t>
  </si>
  <si>
    <t>negative regulation of DNA replication</t>
  </si>
  <si>
    <t>FGRAMPH1_01T17387;FGRAMPH1_01T03687</t>
  </si>
  <si>
    <t>mitotic DNA damage checkpoint</t>
  </si>
  <si>
    <t>FGRAMPH1_01T10309;FGRAMPH1_01T03127</t>
  </si>
  <si>
    <t>origin recognition complex</t>
  </si>
  <si>
    <t>DNA-dependent DNA replication maintenance of fidelity</t>
  </si>
  <si>
    <t>FGRAMPH1_01T02655;FGRAMPH1_01T05299</t>
  </si>
  <si>
    <t>deoxyribonucleoside monophosphate metabolic process</t>
  </si>
  <si>
    <t>FGRAMPH1_01T02591;FGRAMPH1_01T11117</t>
  </si>
  <si>
    <t>translesion synthesis</t>
  </si>
  <si>
    <t>DNA synthesis involved in DNA repair</t>
  </si>
  <si>
    <t>DNA biosynthetic process</t>
  </si>
  <si>
    <t>damaged DNA binding</t>
  </si>
  <si>
    <t>hydrolase activity, hydrolyzing N-glycosyl compounds</t>
  </si>
  <si>
    <t>double-stranded DNA binding</t>
  </si>
  <si>
    <t>endoribonuclease activity, producing 5'-phosphomonoesters</t>
  </si>
  <si>
    <t>telomere maintenance</t>
  </si>
  <si>
    <t>anatomical structure homeostasis</t>
  </si>
  <si>
    <t>telomere organization</t>
  </si>
  <si>
    <t>FGRAMPH1_01T01517;FGRAMPH1_01T08641</t>
  </si>
  <si>
    <t>asparaginase activity</t>
  </si>
  <si>
    <t>asparagine metabolic process</t>
  </si>
  <si>
    <t>endonuclease activity</t>
  </si>
  <si>
    <t>centromere complex assembly</t>
  </si>
  <si>
    <t>FGRAMPH1_01T03527;FGRAMPH1_01T00761</t>
  </si>
  <si>
    <t>anaphase-promoting complex-dependent catabolic process</t>
  </si>
  <si>
    <t>anaphase-promoting complex</t>
  </si>
  <si>
    <t>cullin-RING ubiquitin ligase complex</t>
  </si>
  <si>
    <t>nuclear ubiquitin ligase complex</t>
  </si>
  <si>
    <t>DNA damage checkpoint</t>
  </si>
  <si>
    <t>DNA integrity checkpoint</t>
  </si>
  <si>
    <t>transferase activity, transferring sulfur-containing groups</t>
  </si>
  <si>
    <t>regulation of transcription by RNA polymerase II</t>
  </si>
  <si>
    <t>N-acetyltransferase activity</t>
  </si>
  <si>
    <t>N-acyltransferase activity</t>
  </si>
  <si>
    <t>anion transmembrane transporter activity</t>
  </si>
  <si>
    <t>acetyltransferase activity</t>
  </si>
  <si>
    <t>RNA polymerase II transcription factor activity, sequence-specific DNA binding</t>
  </si>
  <si>
    <t>zinc ion binding</t>
  </si>
  <si>
    <t>condensed chromosome kinetochore</t>
  </si>
  <si>
    <t>condensed chromosome, centromeric region</t>
  </si>
  <si>
    <t>kinetochore</t>
  </si>
  <si>
    <t>FGRAMPH1_01T08815;FGRAMPH1_01T14691;FGRAMPH1_01T18033;FGRAMPH1_01T23497;FGRAMPH1_01T27401;FGRAMPH1_01T08557;FGRAMPH1_01T26457</t>
  </si>
  <si>
    <t>FGRAMPH1_01T07419;FGRAMPH1_01T10865;FGRAMPH1_01T19309;FGRAMPH1_01T17273;FGRAMPH1_01T01005;FGRAMPH1_01T15009;FGRAMPH1_01T04721</t>
  </si>
  <si>
    <t>FGRAMPH1_01T28097;FGRAMPH1_01T15217;FGRAMPH1_01T17349</t>
  </si>
  <si>
    <t>FGRAMPH1_01T14691;FGRAMPH1_01T23497;FGRAMPH1_01T27401</t>
  </si>
  <si>
    <t>FGRAMPH1_01T08815;FGRAMPH1_01T18033;FGRAMPH1_01T07475</t>
  </si>
  <si>
    <t>FGRAMPH1_01T06833;FGRAMPH1_01T11037;FGRAMPH1_01T19531</t>
  </si>
  <si>
    <t>FGRAMPH1_01T07419;FGRAMPH1_01T10001;FGRAMPH1_01T02871</t>
  </si>
  <si>
    <t>FGRAMPH1_01T20019;FGRAMPH1_01T02591;FGRAMPH1_01T11117</t>
  </si>
  <si>
    <t>FGRAMPH1_01T01517;FGRAMPH1_01T08641;FGRAMPH1_01T21961</t>
  </si>
  <si>
    <t>FGRAMPH1_01T12043;FGRAMPH1_01T14133;FGRAMPH1_01T21607;FGRAMPH1_01T16693;FGRAMPH1_01T00327;FGRAMPH1_01T01559;FGRAMPH1_01T14185;FGRAMPH1_01T24953;FGRAMPH1_01T05463;FGRAMPH1_01T07993;FGRAMPH1_01T09401;FGRAMPH1_01T03563;FGRAMPH1_01T25099;FGRAMPH1_01T27333;FGRAMPH1_01T13757;FGRAMPH1_01T18933</t>
  </si>
  <si>
    <t>FGRAMPH1_01T16597;FGRAMPH1_01T20853;FGRAMPH1_01T17563;FGRAMPH1_01T25909;FGRAMPH1_01T00963;FGRAMPH1_01T18095;FGRAMPH1_01T08335;FGRAMPH1_01T24893;FGRAMPH1_01T09789;FGRAMPH1_01T26313;FGRAMPH1_01T25351;FGRAMPH1_01T03165;FGRAMPH1_01T26563;FGRAMPH1_01T08967;FGRAMPH1_01T12829;FGRAMPH1_01T09939;FGRAMPH1_01T10527;FGRAMPH1_01T12303;FGRAMPH1_01T15779;FGRAMPH1_01T14687;FGRAMPH1_01T10243;FGRAMPH1_01T18921;FGRAMPH1_01T00979;FGRAMPH1_01T17693;FGRAMPH1_01T17175;FGRAMPH1_01T05591;FGRAMPH1_01T17051;FGRAMPH1_01T23277;FGRAMPH1_01T02513;FGRAMPH1_01T27117;FGRAMPH1_01T16915;FGRAMPH1_01T03291;FGRAMPH1_01T12677;FGRAMPH1_01T12311;FGRAMPH1_01T21207;FGRAMPH1_01T21603;FGRAMPH1_01T13141;FGRAMPH1_01T23109;FGRAMPH1_01T27309;FGRAMPH1_01T01677;FGRAMPH1_01T02007;FGRAMPH1_01T03337;FGRAMPH1_01T00583;FGRAMPH1_01T28119;FGRAMPH1_01T20597;FGRAMPH1_01T07931;FGRAMPH1_01T19093;FGRAMPH1_01T24165;FGRAMPH1_01T23191;FGRAMPH1_01T13417;FGRAMPH1_01T26581;FGRAMPH1_01T18309;FGRAMPH1_01T13377;FGRAMPH1_01T17735;FGRAMPH1_01T19413;FGRAMPH1_01T17079;FGRAMPH1_01T27819;FGRAMPH1_01T27899;FGRAMPH1_01T13941;FGRAMPH1_01T19487;FGRAMPH1_01T14235;FGRAMPH1_01T16811;FGRAMPH1_01T17349;FGRAMPH1_01T12473;FGRAMPH1_01T13561;FGRAMPH1_01T03911;FGRAMPH1_01T23641;FGRAMPH1_01T20493;FGRAMPH1_01T06079;FGRAMPH1_01T04721;FGRAMPH1_01T04175;FGRAMPH1_01T18849;FGRAMPH1_01T15217;FGRAMPH1_01T18727;FGRAMPH1_01T17997;FGRAMPH1_01T17237;FGRAMPH1_01T17633;FGRAMPH1_01T18447;FGRAMPH1_01T16041;FGRAMPH1_01T04215;FGRAMPH1_01T24443;FGRAMPH1_01T28097;FGRAMPH1_01T19021;FGRAMPH1_01T14653;FGRAMPH1_01T18631;FGRAMPH1_01T05281;FGRAMPH1_01T07185;FGRAMPH1_01T16173;FGRAMPH1_01T08275;FGRAMPH1_01T03811;FGRAMPH1_01T06893;FGRAMPH1_01T23941;FGRAMPH1_01T27349;FGRAMPH1_01T04355;FGRAMPH1_01T07459;FGRAMPH1_01T27353;FGRAMPH1_01T27873;FGRAMPH1_01T04197;FGRAMPH1_01T05837;FGRAMPH1_01T13975;FGRAMPH1_01T12521;FGRAMPH1_01T17399;FGRAMPH1_01T23537;FGRAMPH1_01T03707;FGRAMPH1_01T18761;FGRAMPH1_01T00399;FGRAMPH1_01T01891;FGRAMPH1_01T05689;FGRAMPH1_01T05845;FGRAMPH1_01T12415;FGRAMPH1_01T14313</t>
  </si>
  <si>
    <t>FGRAMPH1_01T10309;FGRAMPH1_01T16915;FGRAMPH1_01T03127;FGRAMPH1_01T02761</t>
  </si>
  <si>
    <t>FGRAMPH1_01T17555;FGRAMPH1_01T16123;FGRAMPH1_01T18025;FGRAMPH1_01T03417;FGRAMPH1_01T03833;FGRAMPH1_01T15091;FGRAMPH1_01T02941;FGRAMPH1_01T09365;FGRAMPH1_01T25109;FGRAMPH1_01T22117;FGRAMPH1_01T02761;FGRAMPH1_01T08349;FGRAMPH1_01T01173;FGRAMPH1_01T26597;FGRAMPH1_01T12769;FGRAMPH1_01T12247;FGRAMPH1_01T11149;FGRAMPH1_01T17303</t>
  </si>
  <si>
    <t>FGRAMPH1_01T26563;FGRAMPH1_01T23537;FGRAMPH1_01T01955;FGRAMPH1_01T15717;FGRAMPH1_01T00963;FGRAMPH1_01T03857;FGRAMPH1_01T18309;FGRAMPH1_01T10243;FGRAMPH1_01T20069;FGRAMPH1_01T20597</t>
  </si>
  <si>
    <t>FGRAMPH1_01T08349;FGRAMPH1_01T16123;FGRAMPH1_01T18025;FGRAMPH1_01T26597;FGRAMPH1_01T03833;FGRAMPH1_01T02941;FGRAMPH1_01T09365;FGRAMPH1_01T25109;FGRAMPH1_01T22117</t>
  </si>
  <si>
    <t>FGRAMPH1_01T07747;FGRAMPH1_01T02087;FGRAMPH1_01T17563;FGRAMPH1_01T28097;FGRAMPH1_01T15217;FGRAMPH1_01T28195;FGRAMPH1_01T14687;FGRAMPH1_01T17349;FGRAMPH1_01T27533;FGRAMPH1_01T02003;FGRAMPH1_01T27117</t>
  </si>
  <si>
    <t>FGRAMPH1_01T25907;FGRAMPH1_01T18773;FGRAMPH1_01T00329;FGRAMPH1_01T00963;FGRAMPH1_01T06791;FGRAMPH1_01T03833;FGRAMPH1_01T23045;FGRAMPH1_01T25109;FGRAMPH1_01T20697;FGRAMPH1_01T22117;FGRAMPH1_01T24893;FGRAMPH1_01T27401;FGRAMPH1_01T18091;FGRAMPH1_01T05983;FGRAMPH1_01T25743;FGRAMPH1_01T26563;FGRAMPH1_01T27653;FGRAMPH1_01T01383;FGRAMPH1_01T02591;FGRAMPH1_01T10801;FGRAMPH1_01T11851;FGRAMPH1_01T10001;FGRAMPH1_01T10243;FGRAMPH1_01T12285;FGRAMPH1_01T16123;FGRAMPH1_01T18025;FGRAMPH1_01T17175;FGRAMPH1_01T20605;FGRAMPH1_01T03725;FGRAMPH1_01T01149;FGRAMPH1_01T26429;FGRAMPH1_01T03687;FGRAMPH1_01T04259;FGRAMPH1_01T08983;FGRAMPH1_01T24125;FGRAMPH1_01T23159;FGRAMPH1_01T05863;FGRAMPH1_01T08615;FGRAMPH1_01T24375;FGRAMPH1_01T03691;FGRAMPH1_01T16915;FGRAMPH1_01T25185;FGRAMPH1_01T15549;FGRAMPH1_01T11069;FGRAMPH1_01T18777;FGRAMPH1_01T01955;FGRAMPH1_01T03857;FGRAMPH1_01T07143;FGRAMPH1_01T18271;FGRAMPH1_01T25889;FGRAMPH1_01T20593;FGRAMPH1_01T09569;FGRAMPH1_01T25763;FGRAMPH1_01T26457;FGRAMPH1_01T28119;FGRAMPH1_01T02761;FGRAMPH1_01T20597;FGRAMPH1_01T26583;FGRAMPH1_01T08349;FGRAMPH1_01T10309;FGRAMPH1_01T05877;FGRAMPH1_01T24281;FGRAMPH1_01T15717;FGRAMPH1_01T18949;FGRAMPH1_01T14747;FGRAMPH1_01T18309;FGRAMPH1_01T11117;FGRAMPH1_01T25917;FGRAMPH1_01T22923;FGRAMPH1_01T10163;FGRAMPH1_01T21833;FGRAMPH1_01T00753;FGRAMPH1_01T02655;FGRAMPH1_01T20069;FGRAMPH1_01T27543;FGRAMPH1_01T19361;FGRAMPH1_01T19089;FGRAMPH1_01T14633;FGRAMPH1_01T15445;FGRAMPH1_01T20415;FGRAMPH1_01T25825;FGRAMPH1_01T02941;FGRAMPH1_01T18171;FGRAMPH1_01T01575;FGRAMPH1_01T22435;FGRAMPH1_01T26631;FGRAMPH1_01T00243;FGRAMPH1_01T11419;FGRAMPH1_01T09859;FGRAMPH1_01T10607;FGRAMPH1_01T26883;FGRAMPH1_01T11417;FGRAMPH1_01T16827;FGRAMPH1_01T05815;FGRAMPH1_01T28143;FGRAMPH1_01T10841;FGRAMPH1_01T12987;FGRAMPH1_01T16823;FGRAMPH1_01T10563;FGRAMPH1_01T14763;FGRAMPH1_01T23759;FGRAMPH1_01T19935;FGRAMPH1_01T03801;FGRAMPH1_01T27317;FGRAMPH1_01T18183;FGRAMPH1_01T03127;FGRAMPH1_01T27677;FGRAMPH1_01T02157;FGRAMPH1_01T26475;FGRAMPH1_01T27169;FGRAMPH1_01T26597;FGRAMPH1_01T04581;FGRAMPH1_01T26075;FGRAMPH1_01T14139;FGRAMPH1_01T16955;FGRAMPH1_01T15743;FGRAMPH1_01T13687;FGRAMPH1_01T18115;FGRAMPH1_01T20715;FGRAMPH1_01T06891;FGRAMPH1_01T09365;FGRAMPH1_01T25201;FGRAMPH1_01T23941;FGRAMPH1_01T25841;FGRAMPH1_01T07459;FGRAMPH1_01T06921;FGRAMPH1_01T04231;FGRAMPH1_01T12649;FGRAMPH1_01T19175;FGRAMPH1_01T21809;FGRAMPH1_01T16603;FGRAMPH1_01T14267;FGRAMPH1_01T13455;FGRAMPH1_01T12263;FGRAMPH1_01T23537;FGRAMPH1_01T03705;FGRAMPH1_01T09251;FGRAMPH1_01T06541;FGRAMPH1_01T05299;FGRAMPH1_01T24587;FGRAMPH1_01T25285;FGRAMPH1_01T13509;FGRAMPH1_01T27067;FGRAMPH1_01T05449;FGRAMPH1_01T19681;FGRAMPH1_01T12499;FGRAMPH1_01T14555</t>
  </si>
  <si>
    <t>FGRAMPH1_01T17125;FGRAMPH1_01T24375;FGRAMPH1_01T14691;FGRAMPH1_01T23497;FGRAMPH1_01T22435;FGRAMPH1_01T27401;FGRAMPH1_01T22225;FGRAMPH1_01T14555</t>
  </si>
  <si>
    <t>FGRAMPH1_01T20415;FGRAMPH1_01T22923;FGRAMPH1_01T12263;FGRAMPH1_01T18773;FGRAMPH1_01T19935;FGRAMPH1_01T21833;FGRAMPH1_01T20715;FGRAMPH1_01T25889;FGRAMPH1_01T02655;FGRAMPH1_01T27401;FGRAMPH1_01T23941;FGRAMPH1_01T05983;FGRAMPH1_01T23159;FGRAMPH1_01T07459;FGRAMPH1_01T27067;FGRAMPH1_01T27653;FGRAMPH1_01T05877;FGRAMPH1_01T08615;FGRAMPH1_01T11417;FGRAMPH1_01T26075;FGRAMPH1_01T05815;FGRAMPH1_01T19175;FGRAMPH1_01T14633;FGRAMPH1_01T11069</t>
  </si>
  <si>
    <t>FGRAMPH1_01T23759;FGRAMPH1_01T04581;FGRAMPH1_01T06791;FGRAMPH1_01T11117;FGRAMPH1_01T01575</t>
  </si>
  <si>
    <t>FGRAMPH1_01T20415;FGRAMPH1_01T22923;FGRAMPH1_01T12263;FGRAMPH1_01T18773;FGRAMPH1_01T21833;FGRAMPH1_01T20715;FGRAMPH1_01T25889;FGRAMPH1_01T02655;FGRAMPH1_01T23941;FGRAMPH1_01T05983;FGRAMPH1_01T23159;FGRAMPH1_01T07459;FGRAMPH1_01T27067;FGRAMPH1_01T27653;FGRAMPH1_01T05877;FGRAMPH1_01T08615;FGRAMPH1_01T11417;FGRAMPH1_01T26075;FGRAMPH1_01T05815;FGRAMPH1_01T19175;FGRAMPH1_01T14633;FGRAMPH1_01T11069</t>
  </si>
  <si>
    <t>FGRAMPH1_01T14277;FGRAMPH1_01T14075;FGRAMPH1_01T28165;FGRAMPH1_01T05371;FGRAMPH1_01T07807;FGRAMPH1_01T19433;FGRAMPH1_01T24971;FGRAMPH1_01T19743;FGRAMPH1_01T21961;FGRAMPH1_01T25215</t>
  </si>
  <si>
    <t>FGRAMPH1_01T25837;FGRAMPH1_01T11389;FGRAMPH1_01T12039;FGRAMPH1_01T19671;FGRAMPH1_01T22633;FGRAMPH1_01T11233</t>
  </si>
  <si>
    <t>FGRAMPH1_01T17499;FGRAMPH1_01T04055;FGRAMPH1_01T02591;FGRAMPH1_01T09993;FGRAMPH1_01T27533;FGRAMPH1_01T03455</t>
  </si>
  <si>
    <t>FGRAMPH1_01T03781;FGRAMPH1_01T00857;FGRAMPH1_01T26261;FGRAMPH1_01T07383;FGRAMPH1_01T17273;FGRAMPH1_01T20407</t>
  </si>
  <si>
    <t>FGRAMPH1_01T11293;FGRAMPH1_01T20019;FGRAMPH1_01T23759;FGRAMPH1_01T19819;FGRAMPH1_01T06791;FGRAMPH1_01T01237;FGRAMPH1_01T03601;FGRAMPH1_01T03687;FGRAMPH1_01T02003;FGRAMPH1_01T02871;FGRAMPH1_01T26721;FGRAMPH1_01T14997;FGRAMPH1_01T14995;FGRAMPH1_01T11881;FGRAMPH1_01T19533</t>
  </si>
  <si>
    <t>FGRAMPH1_01T25907;FGRAMPH1_01T00329;FGRAMPH1_01T06891;FGRAMPH1_01T09569;FGRAMPH1_01T25763;FGRAMPH1_01T25841;FGRAMPH1_01T00243;FGRAMPH1_01T11419;FGRAMPH1_01T26883;FGRAMPH1_01T24281;FGRAMPH1_01T16827;FGRAMPH1_01T21809;FGRAMPH1_01T12987;FGRAMPH1_01T14267;FGRAMPH1_01T13455;FGRAMPH1_01T14763;FGRAMPH1_01T25917;FGRAMPH1_01T12285;FGRAMPH1_01T03705;FGRAMPH1_01T00753;FGRAMPH1_01T26429;FGRAMPH1_01T24125;FGRAMPH1_01T02157;FGRAMPH1_01T05863;FGRAMPH1_01T25285;FGRAMPH1_01T19361;FGRAMPH1_01T19681;FGRAMPH1_01T25185;FGRAMPH1_01T15549</t>
  </si>
  <si>
    <t>FGRAMPH1_01T17399;FGRAMPH1_01T17563;FGRAMPH1_01T07185;FGRAMPH1_01T17175;FGRAMPH1_01T03911;FGRAMPH1_01T17051;FGRAMPH1_01T23641;FGRAMPH1_01T23277;FGRAMPH1_01T01677;FGRAMPH1_01T24893;FGRAMPH1_01T28119;FGRAMPH1_01T27117;FGRAMPH1_01T23191;FGRAMPH1_01T16915;FGRAMPH1_01T14687;FGRAMPH1_01T19413;FGRAMPH1_01T14313</t>
  </si>
  <si>
    <t>FGRAMPH1_01T03691;FGRAMPH1_01T03527;FGRAMPH1_01T19421;FGRAMPH1_01T00761</t>
  </si>
  <si>
    <t>FGRAMPH1_01T18115;FGRAMPH1_01T07747;FGRAMPH1_01T17387;FGRAMPH1_01T14587;FGRAMPH1_01T03687</t>
  </si>
  <si>
    <t>FGRAMPH1_01T12151;FGRAMPH1_01T12393;FGRAMPH1_01T13243;FGRAMPH1_01T13485;FGRAMPH1_01T25909;FGRAMPH1_01T21661;FGRAMPH1_01T24017;FGRAMPH1_01T25227;FGRAMPH1_01T25349;FGRAMPH1_01T09541;FGRAMPH1_01T21781;FGRAMPH1_01T23045;FGRAMPH1_01T25109;FGRAMPH1_01T03555;FGRAMPH1_01T09789;FGRAMPH1_01T24377;FGRAMPH1_01T26313;FGRAMPH1_01T03311;FGRAMPH1_01T11617;FGRAMPH1_01T25351;FGRAMPH1_01T01383;FGRAMPH1_01T12829;FGRAMPH1_01T26443;FGRAMPH1_01T00291;FGRAMPH1_01T28185;FGRAMPH1_01T07915;FGRAMPH1_01T11851;FGRAMPH1_01T12149;FGRAMPH1_01T06829;FGRAMPH1_01T11733;FGRAMPH1_01T15779;FGRAMPH1_01T02909;FGRAMPH1_01T00619;FGRAMPH1_01T13131;FGRAMPH1_01T13133;FGRAMPH1_01T16881;FGRAMPH1_01T19219;FGRAMPH1_01T18025;FGRAMPH1_01T24923;FGRAMPH1_01T01947;FGRAMPH1_01T18023;FGRAMPH1_01T17295;FGRAMPH1_01T02911;FGRAMPH1_01T27637;FGRAMPH1_01T25339;FGRAMPH1_01T03687;FGRAMPH1_01T04655;FGRAMPH1_01T26423;FGRAMPH1_01T23281;FGRAMPH1_01T28057;FGRAMPH1_01T06833;FGRAMPH1_01T07923;FGRAMPH1_01T09427;FGRAMPH1_01T11509;FGRAMPH1_01T12955;FGRAMPH1_01T16639;FGRAMPH1_01T16999;FGRAMPH1_01T14215;FGRAMPH1_01T21207;FGRAMPH1_01T13141;FGRAMPH1_01T09201;FGRAMPH1_01T25249;FGRAMPH1_01T21321;FGRAMPH1_01T08355;FGRAMPH1_01T18271;FGRAMPH1_01T27309;FGRAMPH1_01T02007;FGRAMPH1_01T01399;FGRAMPH1_01T22535;FGRAMPH1_01T25125;FGRAMPH1_01T21685;FGRAMPH1_01T00067;FGRAMPH1_01T05521;FGRAMPH1_01T05633;FGRAMPH1_01T08349;FGRAMPH1_01T12727;FGRAMPH1_01T18949;FGRAMPH1_01T15319;FGRAMPH1_01T11513;FGRAMPH1_01T12601;FGRAMPH1_01T16769;FGRAMPH1_01T13377;FGRAMPH1_01T17735;FGRAMPH1_01T13153;FGRAMPH1_01T13395;FGRAMPH1_01T16785;FGRAMPH1_01T22527;FGRAMPH1_01T21557;FGRAMPH1_01T00637;FGRAMPH1_01T00635;FGRAMPH1_01T21551;FGRAMPH1_01T00631;FGRAMPH1_01T02017;FGRAMPH1_01T03345;FGRAMPH1_01T27899;FGRAMPH1_01T13949;FGRAMPH1_01T01173;FGRAMPH1_01T13029;FGRAMPH1_01T13941;FGRAMPH1_01T14235;FGRAMPH1_01T12231;FGRAMPH1_01T12473;FGRAMPH1_01T16397;FGRAMPH1_01T21865;FGRAMPH1_01T13561;FGRAMPH1_01T16151;FGRAMPH1_01T16031;FGRAMPH1_01T09741;FGRAMPH1_01T20411;FGRAMPH1_01T22279;FGRAMPH1_01T25787;FGRAMPH1_01T26633;FGRAMPH1_01T28267;FGRAMPH1_01T09859;FGRAMPH1_01T10607;FGRAMPH1_01T10849;FGRAMPH1_01T05811;FGRAMPH1_01T27179;FGRAMPH1_01T04175;FGRAMPH1_01T27297;FGRAMPH1_01T10841;FGRAMPH1_01T12349;FGRAMPH1_01T17237;FGRAMPH1_01T18447;FGRAMPH1_01T22945;FGRAMPH1_01T11273;FGRAMPH1_01T16041;FGRAMPH1_01T04859;FGRAMPH1_01T09993;FGRAMPH1_01T15193;FGRAMPH1_01T23475;FGRAMPH1_01T02677;FGRAMPH1_01T08667;FGRAMPH1_01T25897;FGRAMPH1_01T26991;FGRAMPH1_01T27169;FGRAMPH1_01T15629;FGRAMPH1_01T28011;FGRAMPH1_01T13325;FGRAMPH1_01T11149;FGRAMPH1_01T13207;FGRAMPH1_01T14653;FGRAMPH1_01T12493;FGRAMPH1_01T16179;FGRAMPH1_01T00829;FGRAMPH1_01T18115;FGRAMPH1_01T26419;FGRAMPH1_01T16173;FGRAMPH1_01T03417;FGRAMPH1_01T16171;FGRAMPH1_01T27625;FGRAMPH1_01T08673;FGRAMPH1_01T26411;FGRAMPH1_01T25323;FGRAMPH1_01T08435;FGRAMPH1_01T00273;FGRAMPH1_01T10869;FGRAMPH1_01T05711;FGRAMPH1_01T27873;FGRAMPH1_01T05833;FGRAMPH1_01T04197;FGRAMPH1_01T06925;FGRAMPH1_01T05837;FGRAMPH1_01T12247;FGRAMPH1_01T15877;FGRAMPH1_01T16845;FGRAMPH1_01T12249;FGRAMPH1_01T12261;FGRAMPH1_01T01805;FGRAMPH1_01T18485;FGRAMPH1_01T27739;FGRAMPH1_01T15091;FGRAMPH1_01T05177;FGRAMPH1_01T00399;FGRAMPH1_01T01367;FGRAMPH1_01T21993;FGRAMPH1_01T24587;FGRAMPH1_01T05963;FGRAMPH1_01T05845;FGRAMPH1_01T13589;FGRAMPH1_01T11963;FGRAMPH1_01T12499;FGRAMPH1_01T19325;FGRAMPH1_01T17941;FGRAMPH1_01T15145;FGRAMPH1_01T16597;FGRAMPH1_01T22911;FGRAMPH1_01T08173;FGRAMPH1_01T19749;FGRAMPH1_01T08051;FGRAMPH1_01T02625;FGRAMPH1_01T08177;FGRAMPH1_01T18097;FGRAMPH1_01T22597;FGRAMPH1_01T03833;FGRAMPH1_01T08179;FGRAMPH1_01T21263;FGRAMPH1_01T22117;FGRAMPH1_01T24893;FGRAMPH1_01T05585;FGRAMPH1_01T21941;FGRAMPH1_01T25983;FGRAMPH1_01T04247;FGRAMPH1_01T05223;FGRAMPH1_01T27921;FGRAMPH1_01T05587;FGRAMPH1_01T09941;FGRAMPH1_01T25743;FGRAMPH1_01T05215;FGRAMPH1_01T04375;FGRAMPH1_01T08967;FGRAMPH1_01T10801;FGRAMPH1_01T20061;FGRAMPH1_01T11213;FGRAMPH1_01T12303;FGRAMPH1_01T10001;FGRAMPH1_01T10243;FGRAMPH1_01T10123;FGRAMPH1_01T14981;FGRAMPH1_01T19857;FGRAMPH1_01T16123;FGRAMPH1_01T17695;FGRAMPH1_01T14183;FGRAMPH1_01T09033;FGRAMPH1_01T17693;FGRAMPH1_01T21815;FGRAMPH1_01T03725;FGRAMPH1_01T05591;FGRAMPH1_01T09277;FGRAMPH1_01T11907;FGRAMPH1_01T21137;FGRAMPH1_01T04259;FGRAMPH1_01T08983;FGRAMPH1_01T22225;FGRAMPH1_01T02871;FGRAMPH1_01T08743;FGRAMPH1_01T03297;FGRAMPH1_01T07529;FGRAMPH1_01T15947;FGRAMPH1_01T16915;FGRAMPH1_01T03291;FGRAMPH1_01T12677;FGRAMPH1_01T12311;FGRAMPH1_01T18777;FGRAMPH1_01T21603;FGRAMPH1_01T16013;FGRAMPH1_01T15041;FGRAMPH1_01T00347;FGRAMPH1_01T22377;FGRAMPH1_01T25889;FGRAMPH1_01T01677;FGRAMPH1_01T00583;FGRAMPH1_01T28119;FGRAMPH1_01T02761;FGRAMPH1_01T05367;FGRAMPH1_01T25523;FGRAMPH1_01T09715;FGRAMPH1_01T02891;FGRAMPH1_01T04277;FGRAMPH1_01T08987;FGRAMPH1_01T19093;FGRAMPH1_01T28247;FGRAMPH1_01T13417;FGRAMPH1_01T19771;FGRAMPH1_01T26181;FGRAMPH1_01T26061;FGRAMPH1_01T13411;FGRAMPH1_01T18445;FGRAMPH1_01T21839;FGRAMPH1_01T02417;FGRAMPH1_01T20747;FGRAMPH1_01T27819;FGRAMPH1_01T09295;FGRAMPH1_01T21277;FGRAMPH1_01T05131;FGRAMPH1_01T07431;FGRAMPH1_01T02897;FGRAMPH1_01T05375;FGRAMPH1_01T28227;FGRAMPH1_01T03079;FGRAMPH1_01T11921;FGRAMPH1_01T10037;FGRAMPH1_01T12335;FGRAMPH1_01T16811;FGRAMPH1_01T18611;FGRAMPH1_01T20019;FGRAMPH1_01T25829;FGRAMPH1_01T14373;FGRAMPH1_01T25825;FGRAMPH1_01T00647;FGRAMPH1_01T02943;FGRAMPH1_01T20493;FGRAMPH1_01T02941;FGRAMPH1_01T23767;FGRAMPH1_01T23403;FGRAMPH1_01T24973;FGRAMPH1_01T05897;FGRAMPH1_01T04571;FGRAMPH1_01T11899;FGRAMPH1_01T12867;FGRAMPH1_01T08807;FGRAMPH1_01T18849;FGRAMPH1_01T15217;FGRAMPH1_01T18727;FGRAMPH1_01T11771;FGRAMPH1_01T12067;FGRAMPH1_01T16789;FGRAMPH1_01T17997;FGRAMPH1_01T10563;FGRAMPH1_01T17633;FGRAMPH1_01T13175;FGRAMPH1_01T19935;FGRAMPH1_01T19819;FGRAMPH1_01T03801;FGRAMPH1_01T27317;FGRAMPH1_01T18183;FGRAMPH1_01T04215;FGRAMPH1_01T00099;FGRAMPH1_01T05787;FGRAMPH1_01T03373;FGRAMPH1_01T26597;FGRAMPH1_01T11669;FGRAMPH1_01T28097;FGRAMPH1_01T13607;FGRAMPH1_01T26471;FGRAMPH1_01T14019;FGRAMPH1_01T19143;FGRAMPH1_01T12997;FGRAMPH1_01T14017;FGRAMPH1_01T20955;FGRAMPH1_01T14035;FGRAMPH1_01T18631;FGRAMPH1_01T02847;FGRAMPH1_01T26817;FGRAMPH1_01T01755;FGRAMPH1_01T08275;FGRAMPH1_01T03811;FGRAMPH1_01T02963;FGRAMPH1_01T09365;FGRAMPH1_01T24999;FGRAMPH1_01T06893;FGRAMPH1_01T21005;FGRAMPH1_01T04105;FGRAMPH1_01T27349;FGRAMPH1_01T04355;FGRAMPH1_01T27353;FGRAMPH1_01T12769;FGRAMPH1_01T03261;FGRAMPH1_01T12649;FGRAMPH1_01T13975;FGRAMPH1_01T12767;FGRAMPH1_01T13855;FGRAMPH1_01T12521;FGRAMPH1_01T17555;FGRAMPH1_01T21911;FGRAMPH1_01T16221;FGRAMPH1_01T03707;FGRAMPH1_01T18761;FGRAMPH1_01T20705;FGRAMPH1_01T24507;FGRAMPH1_01T01527;FGRAMPH1_01T26801;FGRAMPH1_01T00675;FGRAMPH1_01T21599;FGRAMPH1_01T04237;FGRAMPH1_01T05333;FGRAMPH1_01T23413;FGRAMPH1_01T04235;FGRAMPH1_01T08963;FGRAMPH1_01T06413;FGRAMPH1_01T01891;FGRAMPH1_01T25165;FGRAMPH1_01T05689;FGRAMPH1_01T06415;FGRAMPH1_01T12415;FGRAMPH1_01T19167;FGRAMPH1_01T13987;FGRAMPH1_01T18515;FGRAMPH1_01T11201;FGRAMPH1_01T17303</t>
  </si>
  <si>
    <t>FGRAMPH1_01T17563;FGRAMPH1_01T14687;FGRAMPH1_01T27117</t>
  </si>
  <si>
    <t>FGRAMPH1_01T12043;FGRAMPH1_01T14133;FGRAMPH1_01T21607;FGRAMPH1_01T16693;FGRAMPH1_01T00327;FGRAMPH1_01T01559;FGRAMPH1_01T14185;FGRAMPH1_01T07087;FGRAMPH1_01T24953;FGRAMPH1_01T05463;FGRAMPH1_01T07993;FGRAMPH1_01T22633;FGRAMPH1_01T09401;FGRAMPH1_01T02661;FGRAMPH1_01T03563;FGRAMPH1_01T25099;FGRAMPH1_01T27333;FGRAMPH1_01T13757;FGRAMPH1_01T15669;FGRAMPH1_01T18933</t>
  </si>
  <si>
    <t>FGRAMPH1_01T16597;FGRAMPH1_01T20853;FGRAMPH1_01T25909;FGRAMPH1_01T00963;FGRAMPH1_01T06791;FGRAMPH1_01T08335;FGRAMPH1_01T24893;FGRAMPH1_01T09789;FGRAMPH1_01T26313;FGRAMPH1_01T25351;FGRAMPH1_01T03165;FGRAMPH1_01T26563;FGRAMPH1_01T08967;FGRAMPH1_01T12829;FGRAMPH1_01T02591;FGRAMPH1_01T10527;FGRAMPH1_01T12303;FGRAMPH1_01T15779;FGRAMPH1_01T10243;FGRAMPH1_01T18921;FGRAMPH1_01T17693;FGRAMPH1_01T05591;FGRAMPH1_01T02513;FGRAMPH1_01T03601;FGRAMPH1_01T03687;FGRAMPH1_01T02871;FGRAMPH1_01T03291;FGRAMPH1_01T12677;FGRAMPH1_01T12311;FGRAMPH1_01T21207;FGRAMPH1_01T21603;FGRAMPH1_01T13141;FGRAMPH1_01T14593;FGRAMPH1_01T23109;FGRAMPH1_01T27309;FGRAMPH1_01T02007;FGRAMPH1_01T03337;FGRAMPH1_01T00583;FGRAMPH1_01T02003;FGRAMPH1_01T20597;FGRAMPH1_01T07931;FGRAMPH1_01T19093;FGRAMPH1_01T24165;FGRAMPH1_01T13417;FGRAMPH1_01T26581;FGRAMPH1_01T18309;FGRAMPH1_01T11117;FGRAMPH1_01T13377;FGRAMPH1_01T17735;FGRAMPH1_01T19533;FGRAMPH1_01T15211;FGRAMPH1_01T17079;FGRAMPH1_01T27819;FGRAMPH1_01T02415;FGRAMPH1_01T27899;FGRAMPH1_01T26721;FGRAMPH1_01T27543;FGRAMPH1_01T13941;FGRAMPH1_01T14997;FGRAMPH1_01T19487;FGRAMPH1_01T14235;FGRAMPH1_01T14995;FGRAMPH1_01T11881;FGRAMPH1_01T16811;FGRAMPH1_01T20019;FGRAMPH1_01T12473;FGRAMPH1_01T13561;FGRAMPH1_01T20493;FGRAMPH1_01T04721;FGRAMPH1_01T04175;FGRAMPH1_01T18849;FGRAMPH1_01T18727;FGRAMPH1_01T17997;FGRAMPH1_01T17237;FGRAMPH1_01T17633;FGRAMPH1_01T18447;FGRAMPH1_01T23759;FGRAMPH1_01T16041;FGRAMPH1_01T19819;FGRAMPH1_01T04215;FGRAMPH1_01T24443;FGRAMPH1_01T19021;FGRAMPH1_01T14653;FGRAMPH1_01T18631;FGRAMPH1_01T16173;FGRAMPH1_01T08275;FGRAMPH1_01T03811;FGRAMPH1_01T01237;FGRAMPH1_01T06893;FGRAMPH1_01T27349;FGRAMPH1_01T04355;FGRAMPH1_01T27353;FGRAMPH1_01T27873;FGRAMPH1_01T04197;FGRAMPH1_01T05837;FGRAMPH1_01T13975;FGRAMPH1_01T16603;FGRAMPH1_01T12521;FGRAMPH1_01T11293;FGRAMPH1_01T23537;FGRAMPH1_01T03707;FGRAMPH1_01T18761;FGRAMPH1_01T00399;FGRAMPH1_01T01891;FGRAMPH1_01T05689;FGRAMPH1_01T05845;FGRAMPH1_01T12415</t>
  </si>
  <si>
    <t>FGRAMPH1_01T23813;FGRAMPH1_01T17563;FGRAMPH1_01T23823;FGRAMPH1_01T26521;FGRAMPH1_01T27533;FGRAMPH1_01T04115;FGRAMPH1_01T02003;FGRAMPH1_01T27117;FGRAMPH1_01T07747;FGRAMPH1_01T02087;FGRAMPH1_01T28097;FGRAMPH1_01T26273;FGRAMPH1_01T15217;FGRAMPH1_01T28195;FGRAMPH1_01T11117;FGRAMPH1_01T14687;FGRAMPH1_01T17349</t>
  </si>
  <si>
    <t>FGRAMPH1_01T16597;FGRAMPH1_01T20853;FGRAMPH1_01T25909;FGRAMPH1_01T00963;FGRAMPH1_01T06791;FGRAMPH1_01T08335;FGRAMPH1_01T24893;FGRAMPH1_01T09789;FGRAMPH1_01T26313;FGRAMPH1_01T25351;FGRAMPH1_01T03165;FGRAMPH1_01T26563;FGRAMPH1_01T08967;FGRAMPH1_01T12829;FGRAMPH1_01T02591;FGRAMPH1_01T10527;FGRAMPH1_01T12303;FGRAMPH1_01T15779;FGRAMPH1_01T10243;FGRAMPH1_01T18921;FGRAMPH1_01T17693;FGRAMPH1_01T05591;FGRAMPH1_01T02513;FGRAMPH1_01T03601;FGRAMPH1_01T03687;FGRAMPH1_01T02871;FGRAMPH1_01T03291;FGRAMPH1_01T12677;FGRAMPH1_01T12311;FGRAMPH1_01T21207;FGRAMPH1_01T21603;FGRAMPH1_01T13141;FGRAMPH1_01T23109;FGRAMPH1_01T27309;FGRAMPH1_01T02007;FGRAMPH1_01T03337;FGRAMPH1_01T00583;FGRAMPH1_01T02003;FGRAMPH1_01T20597;FGRAMPH1_01T07931;FGRAMPH1_01T19093;FGRAMPH1_01T24165;FGRAMPH1_01T13417;FGRAMPH1_01T26581;FGRAMPH1_01T18309;FGRAMPH1_01T11117;FGRAMPH1_01T13377;FGRAMPH1_01T17735;FGRAMPH1_01T19533;FGRAMPH1_01T15211;FGRAMPH1_01T17079;FGRAMPH1_01T27819;FGRAMPH1_01T02415;FGRAMPH1_01T27899;FGRAMPH1_01T26721;FGRAMPH1_01T27543;FGRAMPH1_01T13941;FGRAMPH1_01T14997;FGRAMPH1_01T19487;FGRAMPH1_01T14235;FGRAMPH1_01T14995;FGRAMPH1_01T11881;FGRAMPH1_01T16811;FGRAMPH1_01T20019;FGRAMPH1_01T12473;FGRAMPH1_01T13561;FGRAMPH1_01T20493;FGRAMPH1_01T04721;FGRAMPH1_01T04175;FGRAMPH1_01T18849;FGRAMPH1_01T18727;FGRAMPH1_01T17997;FGRAMPH1_01T17237;FGRAMPH1_01T17633;FGRAMPH1_01T18447;FGRAMPH1_01T23759;FGRAMPH1_01T16041;FGRAMPH1_01T19819;FGRAMPH1_01T04215;FGRAMPH1_01T24443;FGRAMPH1_01T19021;FGRAMPH1_01T14653;FGRAMPH1_01T18631;FGRAMPH1_01T16173;FGRAMPH1_01T08275;FGRAMPH1_01T03811;FGRAMPH1_01T01237;FGRAMPH1_01T06893;FGRAMPH1_01T27349;FGRAMPH1_01T04355;FGRAMPH1_01T27353;FGRAMPH1_01T27873;FGRAMPH1_01T04197;FGRAMPH1_01T05837;FGRAMPH1_01T13975;FGRAMPH1_01T16603;FGRAMPH1_01T12521;FGRAMPH1_01T11293;FGRAMPH1_01T23537;FGRAMPH1_01T03707;FGRAMPH1_01T18761;FGRAMPH1_01T00399;FGRAMPH1_01T01891;FGRAMPH1_01T05689;FGRAMPH1_01T05845;FGRAMPH1_01T12415</t>
  </si>
  <si>
    <t>FGRAMPH1_01T03781;FGRAMPH1_01T17387;FGRAMPH1_01T00857;FGRAMPH1_01T26261;FGRAMPH1_01T07383;FGRAMPH1_01T17273;FGRAMPH1_01T20407;FGRAMPH1_01T14587;FGRAMPH1_01T10001;FGRAMPH1_01T26787</t>
  </si>
  <si>
    <t>FGRAMPH1_01T02891;FGRAMPH1_01T23281;FGRAMPH1_01T03373;FGRAMPH1_01T26419;FGRAMPH1_01T04655</t>
  </si>
  <si>
    <t>FGRAMPH1_01T02185;FGRAMPH1_01T07529;FGRAMPH1_01T09993;FGRAMPH1_01T05299</t>
  </si>
  <si>
    <t>FGRAMPH1_01T10865;FGRAMPH1_01T19309;FGRAMPH1_01T17273;FGRAMPH1_01T01005</t>
  </si>
  <si>
    <t>FGRAMPH1_01T03781;FGRAMPH1_01T17387;FGRAMPH1_01T00857;FGRAMPH1_01T26261;FGRAMPH1_01T17273;FGRAMPH1_01T20407;FGRAMPH1_01T14587</t>
  </si>
  <si>
    <t>FGRAMPH1_01T03781;FGRAMPH1_01T00857;FGRAMPH1_01T10865;FGRAMPH1_01T26261;FGRAMPH1_01T07383;FGRAMPH1_01T17273;FGRAMPH1_01T20407;FGRAMPH1_01T01005</t>
  </si>
  <si>
    <t>FGRAMPH1_01T20019;FGRAMPH1_01T19309;FGRAMPH1_01T18097;FGRAMPH1_01T24853;FGRAMPH1_01T26319;FGRAMPH1_01T01575;FGRAMPH1_01T07169;FGRAMPH1_01T23767;FGRAMPH1_01T04055;FGRAMPH1_01T26443;FGRAMPH1_01T02591;FGRAMPH1_01T16823;FGRAMPH1_01T10001;FGRAMPH1_01T17499;FGRAMPH1_01T09993;FGRAMPH1_01T09235;FGRAMPH1_01T15193;FGRAMPH1_01T09673;FGRAMPH1_01T03687;FGRAMPH1_01T04655;FGRAMPH1_01T07897;FGRAMPH1_01T02871;FGRAMPH1_01T26787;FGRAMPH1_01T23281;FGRAMPH1_01T03373;FGRAMPH1_01T07529;FGRAMPH1_01T04581;FGRAMPH1_01T12955;FGRAMPH1_01T15743;FGRAMPH1_01T18115;FGRAMPH1_01T17387;FGRAMPH1_01T23823;FGRAMPH1_01T26419;FGRAMPH1_01T04509;FGRAMPH1_01T20715;FGRAMPH1_01T26817;FGRAMPH1_01T07143;FGRAMPH1_01T20273;FGRAMPH1_01T25125;FGRAMPH1_01T03455;FGRAMPH1_01T02003;FGRAMPH1_01T06973;FGRAMPH1_01T02891;FGRAMPH1_01T07419;FGRAMPH1_01T06925;FGRAMPH1_01T11117;FGRAMPH1_01T14587;FGRAMPH1_01T11293;FGRAMPH1_01T18169;FGRAMPH1_01T23813;FGRAMPH1_01T10163;FGRAMPH1_01T27533;FGRAMPH1_01T04115;FGRAMPH1_01T09017;FGRAMPH1_01T07745;FGRAMPH1_01T03111;FGRAMPH1_01T02185;FGRAMPH1_01T07747;FGRAMPH1_01T28195;FGRAMPH1_01T14995;FGRAMPH1_01T19843</t>
  </si>
  <si>
    <t>FGRAMPH1_01T23759;FGRAMPH1_01T23537;FGRAMPH1_01T01955;FGRAMPH1_01T09251;FGRAMPH1_01T00963;FGRAMPH1_01T03857;FGRAMPH1_01T06791;FGRAMPH1_01T01575;FGRAMPH1_01T20069;FGRAMPH1_01T20597;FGRAMPH1_01T26563;FGRAMPH1_01T05449;FGRAMPH1_01T02591;FGRAMPH1_01T04581;FGRAMPH1_01T16915;FGRAMPH1_01T15717;FGRAMPH1_01T18309;FGRAMPH1_01T11117;FGRAMPH1_01T10243</t>
  </si>
  <si>
    <t>FGRAMPH1_01T18115;FGRAMPH1_01T24187;FGRAMPH1_01T17387;FGRAMPH1_01T12955;FGRAMPH1_01T10747;FGRAMPH1_01T24059</t>
  </si>
  <si>
    <t>FGRAMPH1_01T17387;FGRAMPH1_01T00857;FGRAMPH1_01T17273;FGRAMPH1_01T20407;FGRAMPH1_01T03601;FGRAMPH1_01T03687;FGRAMPH1_01T24059;FGRAMPH1_01T02003;FGRAMPH1_01T20191;FGRAMPH1_01T03781;FGRAMPH1_01T24187;FGRAMPH1_01T26261;FGRAMPH1_01T10747;FGRAMPH1_01T15009;FGRAMPH1_01T14587</t>
  </si>
  <si>
    <t>FGRAMPH1_01T19819;FGRAMPH1_01T14997;FGRAMPH1_01T03601;FGRAMPH1_01T19533</t>
  </si>
  <si>
    <t>FGRAMPH1_01T11293;FGRAMPH1_01T14995;FGRAMPH1_01T03687;FGRAMPH1_01T02871</t>
  </si>
  <si>
    <t>FGRAMPH1_01T02891;FGRAMPH1_01T23281;FGRAMPH1_01T03373;FGRAMPH1_01T26419;FGRAMPH1_01T04655;FGRAMPH1_01T04721;FGRAMPH1_01T02871</t>
  </si>
  <si>
    <t>FGRAMPH1_01T25909;FGRAMPH1_01T14691;FGRAMPH1_01T00963;FGRAMPH1_01T09541;FGRAMPH1_01T08335;FGRAMPH1_01T20697;FGRAMPH1_01T09789;FGRAMPH1_01T26313;FGRAMPH1_01T27401;FGRAMPH1_01T25351;FGRAMPH1_01T26563;FGRAMPH1_01T01383;FGRAMPH1_01T12829;FGRAMPH1_01T26443;FGRAMPH1_01T02591;FGRAMPH1_01T11615;FGRAMPH1_01T19471;FGRAMPH1_01T10527;FGRAMPH1_01T11851;FGRAMPH1_01T10523;FGRAMPH1_01T15779;FGRAMPH1_01T19597;FGRAMPH1_01T14687;FGRAMPH1_01T18921;FGRAMPH1_01T22989;FGRAMPH1_01T00979;FGRAMPH1_01T18023;FGRAMPH1_01T17175;FGRAMPH1_01T18385;FGRAMPH1_01T09675;FGRAMPH1_01T17051;FGRAMPH1_01T23277;FGRAMPH1_01T09673;FGRAMPH1_01T03687;FGRAMPH1_01T04655;FGRAMPH1_01T26787;FGRAMPH1_01T23281;FGRAMPH1_01T24375;FGRAMPH1_01T03691;FGRAMPH1_01T12955;FGRAMPH1_01T21207;FGRAMPH1_01T13141;FGRAMPH1_01T18033;FGRAMPH1_01T01953;FGRAMPH1_01T20595;FGRAMPH1_01T07145;FGRAMPH1_01T08355;FGRAMPH1_01T18271;FGRAMPH1_01T27309;FGRAMPH1_01T02007;FGRAMPH1_01T03337;FGRAMPH1_01T03455;FGRAMPH1_01T26457;FGRAMPH1_01T02003;FGRAMPH1_01T06973;FGRAMPH1_01T20597;FGRAMPH1_01T07931;FGRAMPH1_01T10309;FGRAMPH1_01T24165;FGRAMPH1_01T23191;FGRAMPH1_01T26581;FGRAMPH1_01T18949;FGRAMPH1_01T13377;FGRAMPH1_01T14587;FGRAMPH1_01T17735;FGRAMPH1_01T11993;FGRAMPH1_01T15211;FGRAMPH1_01T17079;FGRAMPH1_01T24941;FGRAMPH1_01T18283;FGRAMPH1_01T02139;FGRAMPH1_01T27533;FGRAMPH1_01T27899;FGRAMPH1_01T03111;FGRAMPH1_01T27543;FGRAMPH1_01T13941;FGRAMPH1_01T19243;FGRAMPH1_01T10797;FGRAMPH1_01T28195;FGRAMPH1_01T19487;FGRAMPH1_01T14235;FGRAMPH1_01T11881;FGRAMPH1_01T12971;FGRAMPH1_01T17125;FGRAMPH1_01T12473;FGRAMPH1_01T08093;FGRAMPH1_01T13561;FGRAMPH1_01T16395;FGRAMPH1_01T19309;FGRAMPH1_01T21981;FGRAMPH1_01T01575;FGRAMPH1_01T04721;FGRAMPH1_01T25785;FGRAMPH1_01T09859;FGRAMPH1_01T10607;FGRAMPH1_01T04055;FGRAMPH1_01T04175;FGRAMPH1_01T05815;FGRAMPH1_01T16823;FGRAMPH1_01T15731;FGRAMPH1_01T17237;FGRAMPH1_01T18447;FGRAMPH1_01T17499;FGRAMPH1_01T20647;FGRAMPH1_01T16041;FGRAMPH1_01T03527;FGRAMPH1_01T09993;FGRAMPH1_01T24449;FGRAMPH1_01T24443;FGRAMPH1_01T08667;FGRAMPH1_01T01343;FGRAMPH1_01T14653;FGRAMPH1_01T18115;FGRAMPH1_01T17387;FGRAMPH1_01T23823;FGRAMPH1_01T26419;FGRAMPH1_01T05281;FGRAMPH1_01T16173;FGRAMPH1_01T24237;FGRAMPH1_01T01237;FGRAMPH1_01T08557;FGRAMPH1_01T23941;FGRAMPH1_01T06369;FGRAMPH1_01T07459;FGRAMPH1_01T27873;FGRAMPH1_01T04197;FGRAMPH1_01T05837;FGRAMPH1_01T10747;FGRAMPH1_01T12247;FGRAMPH1_01T16603;FGRAMPH1_01T12249;FGRAMPH1_01T15515;FGRAMPH1_01T11293;FGRAMPH1_01T17399;FGRAMPH1_01T23813;FGRAMPH1_01T07475;FGRAMPH1_01T23497;FGRAMPH1_01T00399;FGRAMPH1_01T05299;FGRAMPH1_01T03301;FGRAMPH1_01T26765;FGRAMPH1_01T27067;FGRAMPH1_01T05845;FGRAMPH1_01T16733;FGRAMPH1_01T12499;FGRAMPH1_01T19325;FGRAMPH1_01T14313;FGRAMPH1_01T14555;FGRAMPH1_01T16597;FGRAMPH1_01T20853;FGRAMPH1_01T17563;FGRAMPH1_01T04807;FGRAMPH1_01T06791;FGRAMPH1_01T03833;FGRAMPH1_01T04009;FGRAMPH1_01T18095;FGRAMPH1_01T22117;FGRAMPH1_01T24893;FGRAMPH1_01T25743;FGRAMPH1_01T03165;FGRAMPH1_01T08967;FGRAMPH1_01T06307;FGRAMPH1_01T09939;FGRAMPH1_01T12303;FGRAMPH1_01T10001;FGRAMPH1_01T10243;FGRAMPH1_01T15137;FGRAMPH1_01T17693;FGRAMPH1_01T03725;FGRAMPH1_01T05591;FGRAMPH1_01T26701;FGRAMPH1_01T02513;FGRAMPH1_01T03601;FGRAMPH1_01T09277;FGRAMPH1_01T04259;FGRAMPH1_01T22225;FGRAMPH1_01T02871;FGRAMPH1_01T27117;FGRAMPH1_01T02087;FGRAMPH1_01T07529;FGRAMPH1_01T13407;FGRAMPH1_01T16915;FGRAMPH1_01T03291;FGRAMPH1_01T12677;FGRAMPH1_01T12311;FGRAMPH1_01T21603;FGRAMPH1_01T23109;FGRAMPH1_01T25889;FGRAMPH1_01T27705;FGRAMPH1_01T01677;FGRAMPH1_01T00583;FGRAMPH1_01T28119;FGRAMPH1_01T02761;FGRAMPH1_01T21961;FGRAMPH1_01T02891;FGRAMPH1_01T19093;FGRAMPH1_01T07419;FGRAMPH1_01T13417;FGRAMPH1_01T18309;FGRAMPH1_01T11117;FGRAMPH1_01T19533;FGRAMPH1_01T19413;FGRAMPH1_01T27817;FGRAMPH1_01T27819;FGRAMPH1_01T02415;FGRAMPH1_01T21277;FGRAMPH1_01T08641;FGRAMPH1_01T02655;FGRAMPH1_01T23337;FGRAMPH1_01T26721;FGRAMPH1_01T26175;FGRAMPH1_01T19089;FGRAMPH1_01T14997;FGRAMPH1_01T14995;FGRAMPH1_01T16811;FGRAMPH1_01T17349;FGRAMPH1_01T18799;FGRAMPH1_01T20019;FGRAMPH1_01T25829;FGRAMPH1_01T03911;FGRAMPH1_01T20133;FGRAMPH1_01T23641;FGRAMPH1_01T20493;FGRAMPH1_01T00761;FGRAMPH1_01T06079;FGRAMPH1_01T07169;FGRAMPH1_01T27567;FGRAMPH1_01T22435;FGRAMPH1_01T24059;FGRAMPH1_01T24187;FGRAMPH1_01T12985;FGRAMPH1_01T13711;FGRAMPH1_01T18849;FGRAMPH1_01T15217;FGRAMPH1_01T18727;FGRAMPH1_01T17997;FGRAMPH1_01T10563;FGRAMPH1_01T17633;FGRAMPH1_01T23759;FGRAMPH1_01T19935;FGRAMPH1_01T19819;FGRAMPH1_01T27317;FGRAMPH1_01T18183;FGRAMPH1_01T03127;FGRAMPH1_01T04215;FGRAMPH1_01T03373;FGRAMPH1_01T26597;FGRAMPH1_01T04581;FGRAMPH1_01T08815;FGRAMPH1_01T11669;FGRAMPH1_01T28097;FGRAMPH1_01T19021;FGRAMPH1_01T19143;FGRAMPH1_01T18855;FGRAMPH1_01T18631;FGRAMPH1_01T01517;FGRAMPH1_01T07185;FGRAMPH1_01T20715;FGRAMPH1_01T08275;FGRAMPH1_01T24755;FGRAMPH1_01T03811;FGRAMPH1_01T20273;FGRAMPH1_01T22451;FGRAMPH1_01T06893;FGRAMPH1_01T27349;FGRAMPH1_01T04355;FGRAMPH1_01T27353;FGRAMPH1_01T12769;FGRAMPH1_01T13975;FGRAMPH1_01T12521;FGRAMPH1_01T17555;FGRAMPH1_01T23537;FGRAMPH1_01T03707;FGRAMPH1_01T18761;FGRAMPH1_01T04115;FGRAMPH1_01T09017;FGRAMPH1_01T24621;FGRAMPH1_01T07745;FGRAMPH1_01T01891;FGRAMPH1_01T02185;FGRAMPH1_01T05689;FGRAMPH1_01T07747;FGRAMPH1_01T12415;FGRAMPH1_01T15009;FGRAMPH1_01T11563;FGRAMPH1_01T19843</t>
  </si>
  <si>
    <t>FGRAMPH1_01T20019;FGRAMPH1_01T25829;FGRAMPH1_01T22989;FGRAMPH1_01T23759;FGRAMPH1_01T23813;FGRAMPH1_01T09993;FGRAMPH1_01T06791;FGRAMPH1_01T01575;FGRAMPH1_01T26521;FGRAMPH1_01T23413;FGRAMPH1_01T02003;FGRAMPH1_01T02871;FGRAMPH1_01T02185;FGRAMPH1_01T07747;FGRAMPH1_01T07529;FGRAMPH1_01T04581;FGRAMPH1_01T12955;FGRAMPH1_01T11117</t>
  </si>
  <si>
    <t>FGRAMPH1_01T21669;FGRAMPH1_01T09263;FGRAMPH1_01T00327;FGRAMPH1_01T09421;FGRAMPH1_01T22597;FGRAMPH1_01T07483;FGRAMPH1_01T05463;FGRAMPH1_01T22359;FGRAMPH1_01T02585;FGRAMPH1_01T03563;FGRAMPH1_01T25077;FGRAMPH1_01T26287;FGRAMPH1_01T12945;FGRAMPH1_01T15815;FGRAMPH1_01T13875;FGRAMPH1_01T13757;FGRAMPH1_01T15537;FGRAMPH1_01T13771;FGRAMPH1_01T12043;FGRAMPH1_01T25977;FGRAMPH1_01T02597;FGRAMPH1_01T05589;FGRAMPH1_01T23043;FGRAMPH1_01T07805;FGRAMPH1_01T12039;FGRAMPH1_01T15669;FGRAMPH1_01T13487;FGRAMPH1_01T18933;FGRAMPH1_01T19589;FGRAMPH1_01T17567;FGRAMPH1_01T13263;FGRAMPH1_01T21607;FGRAMPH1_01T18791;FGRAMPH1_01T24953;FGRAMPH1_01T26579;FGRAMPH1_01T27029;FGRAMPH1_01T04795;FGRAMPH1_01T25099;FGRAMPH1_01T06965;FGRAMPH1_01T25651;FGRAMPH1_01T12203;FGRAMPH1_01T11233;FGRAMPH1_01T16127;FGRAMPH1_01T16783;FGRAMPH1_01T12061;FGRAMPH1_01T20065;FGRAMPH1_01T07279;FGRAMPH1_01T08643;FGRAMPH1_01T26203;FGRAMPH1_01T04555;FGRAMPH1_01T09335;FGRAMPH1_01T02661;FGRAMPH1_01T01055;FGRAMPH1_01T04167;FGRAMPH1_01T12859;FGRAMPH1_01T14877;FGRAMPH1_01T14993;FGRAMPH1_01T24979;FGRAMPH1_01T22157;FGRAMPH1_01T09101;FGRAMPH1_01T25025;FGRAMPH1_01T23403;FGRAMPH1_01T24577;FGRAMPH1_01T26485;FGRAMPH1_01T12907;FGRAMPH1_01T05779;FGRAMPH1_01T08927;FGRAMPH1_01T13557;FGRAMPH1_01T13431;FGRAMPH1_01T20525;FGRAMPH1_01T20801;FGRAMPH1_01T13573;FGRAMPH1_01T01509;FGRAMPH1_01T24605;FGRAMPH1_01T00533;FGRAMPH1_01T04217;FGRAMPH1_01T25377;FGRAMPH1_01T24047;FGRAMPH1_01T07335;FGRAMPH1_01T26471;FGRAMPH1_01T10857;FGRAMPH1_01T10851;FGRAMPH1_01T09083;FGRAMPH1_01T12371;FGRAMPH1_01T04905;FGRAMPH1_01T02963;FGRAMPH1_01T04349;FGRAMPH1_01T26775;FGRAMPH1_01T08433;FGRAMPH1_01T27863;FGRAMPH1_01T06411;FGRAMPH1_01T09401;FGRAMPH1_01T09489;FGRAMPH1_01T06403;FGRAMPH1_01T27235;FGRAMPH1_01T18909;FGRAMPH1_01T05717;FGRAMPH1_01T17937;FGRAMPH1_01T15913;FGRAMPH1_01T18629;FGRAMPH1_01T11677;FGRAMPH1_01T11799;FGRAMPH1_01T20719;FGRAMPH1_01T11397;FGRAMPH1_01T01803;FGRAMPH1_01T22609;FGRAMPH1_01T00279;FGRAMPH1_01T24625;FGRAMPH1_01T26401;FGRAMPH1_01T05179;FGRAMPH1_01T25831;FGRAMPH1_01T16339;FGRAMPH1_01T15127</t>
  </si>
  <si>
    <t>FGRAMPH1_01T25917;FGRAMPH1_01T12285;FGRAMPH1_01T00329;FGRAMPH1_01T03705;FGRAMPH1_01T06891;FGRAMPH1_01T00753;FGRAMPH1_01T26429;FGRAMPH1_01T24125;FGRAMPH1_01T25841;FGRAMPH1_01T02157;FGRAMPH1_01T05863;FGRAMPH1_01T11419;FGRAMPH1_01T25285;FGRAMPH1_01T26883;FGRAMPH1_01T16827;FGRAMPH1_01T19681;FGRAMPH1_01T25185;FGRAMPH1_01T15549;FGRAMPH1_01T21809;FGRAMPH1_01T12987;FGRAMPH1_01T13455;FGRAMPH1_01T14763</t>
  </si>
  <si>
    <t>FGRAMPH1_01T03783;FGRAMPH1_01T03781;FGRAMPH1_01T00857;FGRAMPH1_01T10865;FGRAMPH1_01T26261;FGRAMPH1_01T07383;FGRAMPH1_01T17273;FGRAMPH1_01T20407;FGRAMPH1_01T01005;FGRAMPH1_01T15009;FGRAMPH1_01T06059</t>
  </si>
  <si>
    <t>FGRAMPH1_01T02087;FGRAMPH1_01T17563;FGRAMPH1_01T28097;FGRAMPH1_01T15217;FGRAMPH1_01T14687;FGRAMPH1_01T17349;FGRAMPH1_01T02003;FGRAMPH1_01T27117</t>
  </si>
  <si>
    <t>FGRAMPH1_01T18097;FGRAMPH1_01T25227;FGRAMPH1_01T26319;FGRAMPH1_01T24893;FGRAMPH1_01T05585;FGRAMPH1_01T09789;FGRAMPH1_01T24377;FGRAMPH1_01T11617;FGRAMPH1_01T08967;FGRAMPH1_01T12829;FGRAMPH1_01T27493;FGRAMPH1_01T12303;FGRAMPH1_01T15779;FGRAMPH1_01T10123;FGRAMPH1_01T11471;FGRAMPH1_01T24923;FGRAMPH1_01T17693;FGRAMPH1_01T21815;FGRAMPH1_01T02911;FGRAMPH1_01T11907;FGRAMPH1_01T03687;FGRAMPH1_01T23953;FGRAMPH1_01T07897;FGRAMPH1_01T22621;FGRAMPH1_01T28057;FGRAMPH1_01T07923;FGRAMPH1_01T15947;FGRAMPH1_01T17205;FGRAMPH1_01T12311;FGRAMPH1_01T21207;FGRAMPH1_01T21603;FGRAMPH1_01T01955;FGRAMPH1_01T00347;FGRAMPH1_01T07143;FGRAMPH1_01T09201;FGRAMPH1_01T02007;FGRAMPH1_01T03337;FGRAMPH1_01T25125;FGRAMPH1_01T00583;FGRAMPH1_01T05367;FGRAMPH1_01T06973;FGRAMPH1_01T04277;FGRAMPH1_01T12601;FGRAMPH1_01T14587;FGRAMPH1_01T13411;FGRAMPH1_01T22527;FGRAMPH1_01T18169;FGRAMPH1_01T10163;FGRAMPH1_01T27819;FGRAMPH1_01T09295;FGRAMPH1_01T28227;FGRAMPH1_01T27899;FGRAMPH1_01T20191;FGRAMPH1_01T11921;FGRAMPH1_01T05769;FGRAMPH1_01T19361;FGRAMPH1_01T12335;FGRAMPH1_01T14235;FGRAMPH1_01T16811;FGRAMPH1_01T18611;FGRAMPH1_01T21865;FGRAMPH1_01T09181;FGRAMPH1_01T13561;FGRAMPH1_01T16031;FGRAMPH1_01T24853;FGRAMPH1_01T00761;FGRAMPH1_01T23767;FGRAMPH1_01T10849;FGRAMPH1_01T12349;FGRAMPH1_01T16823;FGRAMPH1_01T18727;FGRAMPH1_01T16789;FGRAMPH1_01T18447;FGRAMPH1_01T03527;FGRAMPH1_01T15193;FGRAMPH1_01T02677;FGRAMPH1_01T26587;FGRAMPH1_01T04215;FGRAMPH1_01T00099;FGRAMPH1_01T23633;FGRAMPH1_01T13207;FGRAMPH1_01T12997;FGRAMPH1_01T15743;FGRAMPH1_01T14017;FGRAMPH1_01T14653;FGRAMPH1_01T12493;FGRAMPH1_01T00829;FGRAMPH1_01T18115;FGRAMPH1_01T14035;FGRAMPH1_01T18631;FGRAMPH1_01T17387;FGRAMPH1_01T04509;FGRAMPH1_01T02847;FGRAMPH1_01T16173;FGRAMPH1_01T26817;FGRAMPH1_01T08275;FGRAMPH1_01T08673;FGRAMPH1_01T22579;FGRAMPH1_01T04355;FGRAMPH1_01T10869;FGRAMPH1_01T26265;FGRAMPH1_01T27873;FGRAMPH1_01T06925;FGRAMPH1_01T15877;FGRAMPH1_01T12521;FGRAMPH1_01T11293;FGRAMPH1_01T21911;FGRAMPH1_01T12261;FGRAMPH1_01T03707;FGRAMPH1_01T18761;FGRAMPH1_01T05177;FGRAMPH1_01T21599;FGRAMPH1_01T00399;FGRAMPH1_01T27733;FGRAMPH1_01T05689;FGRAMPH1_01T07747;FGRAMPH1_01T15009;FGRAMPH1_01T11201;FGRAMPH1_01T17941</t>
  </si>
  <si>
    <t>FGRAMPH1_01T25907;FGRAMPH1_01T00329;FGRAMPH1_01T06891;FGRAMPH1_01T25763;FGRAMPH1_01T25841;FGRAMPH1_01T00243;FGRAMPH1_01T11419;FGRAMPH1_01T26883;FGRAMPH1_01T16827;FGRAMPH1_01T21809;FGRAMPH1_01T12987;FGRAMPH1_01T13455;FGRAMPH1_01T14763;FGRAMPH1_01T25917;FGRAMPH1_01T12285;FGRAMPH1_01T03705;FGRAMPH1_01T00753;FGRAMPH1_01T26429;FGRAMPH1_01T24125;FGRAMPH1_01T02157;FGRAMPH1_01T05863;FGRAMPH1_01T25285;FGRAMPH1_01T19681;FGRAMPH1_01T25185;FGRAMPH1_01T15549</t>
  </si>
  <si>
    <t>FGRAMPH1_01T17387;FGRAMPH1_01T07383;FGRAMPH1_01T06059;FGRAMPH1_01T24059;FGRAMPH1_01T02003;FGRAMPH1_01T03783;FGRAMPH1_01T03781;FGRAMPH1_01T24187;FGRAMPH1_01T10865;FGRAMPH1_01T26261;FGRAMPH1_01T10747;FGRAMPH1_01T14587;FGRAMPH1_01T19533;FGRAMPH1_01T10001;FGRAMPH1_01T00857;FGRAMPH1_01T17273;FGRAMPH1_01T20407;FGRAMPH1_01T19819;FGRAMPH1_01T01005;FGRAMPH1_01T03601;FGRAMPH1_01T09673;FGRAMPH1_01T03687;FGRAMPH1_01T20069;FGRAMPH1_01T26787;FGRAMPH1_01T20191;FGRAMPH1_01T19143;FGRAMPH1_01T14997;FGRAMPH1_01T15009</t>
  </si>
  <si>
    <t>FGRAMPH1_01T17387;FGRAMPH1_01T07383;FGRAMPH1_01T06059;FGRAMPH1_01T24059;FGRAMPH1_01T02003;FGRAMPH1_01T03783;FGRAMPH1_01T03781;FGRAMPH1_01T24187;FGRAMPH1_01T10865;FGRAMPH1_01T26261;FGRAMPH1_01T10747;FGRAMPH1_01T14587;FGRAMPH1_01T19533;FGRAMPH1_01T10001;FGRAMPH1_01T00857;FGRAMPH1_01T17273;FGRAMPH1_01T20407;FGRAMPH1_01T19819;FGRAMPH1_01T01005;FGRAMPH1_01T03601;FGRAMPH1_01T03687;FGRAMPH1_01T20069;FGRAMPH1_01T26787;FGRAMPH1_01T20191;FGRAMPH1_01T14997;FGRAMPH1_01T15009</t>
  </si>
  <si>
    <t>FGRAMPH1_01T02087;FGRAMPH1_01T17563;FGRAMPH1_01T28097;FGRAMPH1_01T15217;FGRAMPH1_01T14687;FGRAMPH1_01T17349;FGRAMPH1_01T27117</t>
  </si>
  <si>
    <t>FGRAMPH1_01T25909;FGRAMPH1_01T00963;FGRAMPH1_01T08335;FGRAMPH1_01T20697;FGRAMPH1_01T09789;FGRAMPH1_01T26313;FGRAMPH1_01T25351;FGRAMPH1_01T26563;FGRAMPH1_01T01383;FGRAMPH1_01T12829;FGRAMPH1_01T26443;FGRAMPH1_01T02591;FGRAMPH1_01T11615;FGRAMPH1_01T10527;FGRAMPH1_01T10523;FGRAMPH1_01T15779;FGRAMPH1_01T14687;FGRAMPH1_01T18921;FGRAMPH1_01T22989;FGRAMPH1_01T00979;FGRAMPH1_01T17175;FGRAMPH1_01T22861;FGRAMPH1_01T09675;FGRAMPH1_01T17051;FGRAMPH1_01T23277;FGRAMPH1_01T09673;FGRAMPH1_01T03687;FGRAMPH1_01T04655;FGRAMPH1_01T26787;FGRAMPH1_01T23281;FGRAMPH1_01T03691;FGRAMPH1_01T12955;FGRAMPH1_01T21207;FGRAMPH1_01T13141;FGRAMPH1_01T14593;FGRAMPH1_01T01953;FGRAMPH1_01T20595;FGRAMPH1_01T18271;FGRAMPH1_01T27309;FGRAMPH1_01T02007;FGRAMPH1_01T03337;FGRAMPH1_01T03455;FGRAMPH1_01T02003;FGRAMPH1_01T06973;FGRAMPH1_01T20597;FGRAMPH1_01T07931;FGRAMPH1_01T10309;FGRAMPH1_01T24165;FGRAMPH1_01T23191;FGRAMPH1_01T26581;FGRAMPH1_01T18949;FGRAMPH1_01T13377;FGRAMPH1_01T14587;FGRAMPH1_01T17735;FGRAMPH1_01T15211;FGRAMPH1_01T17079;FGRAMPH1_01T24941;FGRAMPH1_01T18283;FGRAMPH1_01T27533;FGRAMPH1_01T27899;FGRAMPH1_01T03111;FGRAMPH1_01T27543;FGRAMPH1_01T13941;FGRAMPH1_01T10797;FGRAMPH1_01T28195;FGRAMPH1_01T19487;FGRAMPH1_01T14235;FGRAMPH1_01T11881;FGRAMPH1_01T12971;FGRAMPH1_01T12473;FGRAMPH1_01T08093;FGRAMPH1_01T13561;FGRAMPH1_01T19309;FGRAMPH1_01T21981;FGRAMPH1_01T01575;FGRAMPH1_01T04721;FGRAMPH1_01T10607;FGRAMPH1_01T04055;FGRAMPH1_01T04175;FGRAMPH1_01T05815;FGRAMPH1_01T16823;FGRAMPH1_01T17237;FGRAMPH1_01T18447;FGRAMPH1_01T17499;FGRAMPH1_01T16041;FGRAMPH1_01T03527;FGRAMPH1_01T09993;FGRAMPH1_01T24449;FGRAMPH1_01T24443;FGRAMPH1_01T14653;FGRAMPH1_01T18115;FGRAMPH1_01T17387;FGRAMPH1_01T23823;FGRAMPH1_01T26419;FGRAMPH1_01T05281;FGRAMPH1_01T16173;FGRAMPH1_01T01237;FGRAMPH1_01T23941;FGRAMPH1_01T06369;FGRAMPH1_01T07459;FGRAMPH1_01T27873;FGRAMPH1_01T04197;FGRAMPH1_01T05837;FGRAMPH1_01T10747;FGRAMPH1_01T16603;FGRAMPH1_01T12249;FGRAMPH1_01T11293;FGRAMPH1_01T17399;FGRAMPH1_01T23813;FGRAMPH1_01T00399;FGRAMPH1_01T03301;FGRAMPH1_01T05845;FGRAMPH1_01T16733;FGRAMPH1_01T12499;FGRAMPH1_01T19325;FGRAMPH1_01T14313;FGRAMPH1_01T16597;FGRAMPH1_01T20853;FGRAMPH1_01T17563;FGRAMPH1_01T06791;FGRAMPH1_01T04009;FGRAMPH1_01T18095;FGRAMPH1_01T24893;FGRAMPH1_01T25743;FGRAMPH1_01T03165;FGRAMPH1_01T08967;FGRAMPH1_01T06307;FGRAMPH1_01T09939;FGRAMPH1_01T12303;FGRAMPH1_01T10001;FGRAMPH1_01T10243;FGRAMPH1_01T15137;FGRAMPH1_01T17693;FGRAMPH1_01T03725;FGRAMPH1_01T05591;FGRAMPH1_01T02513;FGRAMPH1_01T03601;FGRAMPH1_01T04259;FGRAMPH1_01T02871;FGRAMPH1_01T27117;FGRAMPH1_01T02087;FGRAMPH1_01T07529;FGRAMPH1_01T16915;FGRAMPH1_01T03291;FGRAMPH1_01T12677;FGRAMPH1_01T12311;FGRAMPH1_01T21603;FGRAMPH1_01T23109;FGRAMPH1_01T01677;FGRAMPH1_01T00583;FGRAMPH1_01T28119;FGRAMPH1_01T02761;FGRAMPH1_01T02891;FGRAMPH1_01T19093;FGRAMPH1_01T07419;FGRAMPH1_01T13417;FGRAMPH1_01T18309;FGRAMPH1_01T11117;FGRAMPH1_01T19533;FGRAMPH1_01T19413;FGRAMPH1_01T27817;FGRAMPH1_01T27819;FGRAMPH1_01T02415;FGRAMPH1_01T21277;FGRAMPH1_01T23337;FGRAMPH1_01T26721;FGRAMPH1_01T19089;FGRAMPH1_01T14997;FGRAMPH1_01T14995;FGRAMPH1_01T16811;FGRAMPH1_01T17349;FGRAMPH1_01T20019;FGRAMPH1_01T03911;FGRAMPH1_01T20133;FGRAMPH1_01T23641;FGRAMPH1_01T20493;FGRAMPH1_01T00761;FGRAMPH1_01T06079;FGRAMPH1_01T07169;FGRAMPH1_01T27567;FGRAMPH1_01T24059;FGRAMPH1_01T24187;FGRAMPH1_01T12985;FGRAMPH1_01T13711;FGRAMPH1_01T18849;FGRAMPH1_01T15217;FGRAMPH1_01T18727;FGRAMPH1_01T13277;FGRAMPH1_01T17997;FGRAMPH1_01T10563;FGRAMPH1_01T17633;FGRAMPH1_01T23759;FGRAMPH1_01T19819;FGRAMPH1_01T27317;FGRAMPH1_01T18183;FGRAMPH1_01T03127;FGRAMPH1_01T04215;FGRAMPH1_01T03373;FGRAMPH1_01T04581;FGRAMPH1_01T28097;FGRAMPH1_01T19021;FGRAMPH1_01T19143;FGRAMPH1_01T18855;FGRAMPH1_01T18631;FGRAMPH1_01T07185;FGRAMPH1_01T20715;FGRAMPH1_01T08275;FGRAMPH1_01T03811;FGRAMPH1_01T20273;FGRAMPH1_01T22451;FGRAMPH1_01T06893;FGRAMPH1_01T27349;FGRAMPH1_01T04355;FGRAMPH1_01T27353;FGRAMPH1_01T13975;FGRAMPH1_01T12521;FGRAMPH1_01T23537;FGRAMPH1_01T03707;FGRAMPH1_01T18761;FGRAMPH1_01T04115;FGRAMPH1_01T09017;FGRAMPH1_01T24621;FGRAMPH1_01T07745;FGRAMPH1_01T01891;FGRAMPH1_01T02185;FGRAMPH1_01T05689;FGRAMPH1_01T07747;FGRAMPH1_01T12415;FGRAMPH1_01T15009;FGRAMPH1_01T11563;FGRAMPH1_01T19843</t>
  </si>
  <si>
    <t>FGRAMPH1_01T20019;FGRAMPH1_01T19309;FGRAMPH1_01T24853;FGRAMPH1_01T04329;FGRAMPH1_01T01575;FGRAMPH1_01T07169;FGRAMPH1_01T04055;FGRAMPH1_01T26443;FGRAMPH1_01T02591;FGRAMPH1_01T10001;FGRAMPH1_01T17499;FGRAMPH1_01T17531;FGRAMPH1_01T09993;FGRAMPH1_01T09235;FGRAMPH1_01T09673;FGRAMPH1_01T03687;FGRAMPH1_01T04655;FGRAMPH1_01T02871;FGRAMPH1_01T26787;FGRAMPH1_01T23281;FGRAMPH1_01T03373;FGRAMPH1_01T06119;FGRAMPH1_01T07529;FGRAMPH1_01T04581;FGRAMPH1_01T12955;FGRAMPH1_01T19185;FGRAMPH1_01T17649;FGRAMPH1_01T18115;FGRAMPH1_01T17387;FGRAMPH1_01T23823;FGRAMPH1_01T26419;FGRAMPH1_01T20715;FGRAMPH1_01T20273;FGRAMPH1_01T03455;FGRAMPH1_01T02003;FGRAMPH1_01T06973;FGRAMPH1_01T02891;FGRAMPH1_01T07419;FGRAMPH1_01T11117;FGRAMPH1_01T14587;FGRAMPH1_01T11293;FGRAMPH1_01T15495;FGRAMPH1_01T22845;FGRAMPH1_01T23813;FGRAMPH1_01T27533;FGRAMPH1_01T04115;FGRAMPH1_01T09017;FGRAMPH1_01T07745;FGRAMPH1_01T03111;FGRAMPH1_01T02185;FGRAMPH1_01T07747;FGRAMPH1_01T28195;FGRAMPH1_01T14995;FGRAMPH1_01T19843</t>
  </si>
  <si>
    <t>FGRAMPH1_01T00857;FGRAMPH1_01T07383;FGRAMPH1_01T17273;FGRAMPH1_01T20407;FGRAMPH1_01T01005;FGRAMPH1_01T06059;FGRAMPH1_01T24059;FGRAMPH1_01T03783;FGRAMPH1_01T03781;FGRAMPH1_01T24187;FGRAMPH1_01T10865;FGRAMPH1_01T26261;FGRAMPH1_01T10747;FGRAMPH1_01T15009</t>
  </si>
  <si>
    <t>FGRAMPH1_01T15145;FGRAMPH1_01T16597;FGRAMPH1_01T22911;FGRAMPH1_01T25909;FGRAMPH1_01T18011;FGRAMPH1_01T00963;FGRAMPH1_01T08177;FGRAMPH1_01T06791;FGRAMPH1_01T09789;FGRAMPH1_01T26313;FGRAMPH1_01T09941;FGRAMPH1_01T25351;FGRAMPH1_01T08967;FGRAMPH1_01T12829;FGRAMPH1_01T26443;FGRAMPH1_01T06307;FGRAMPH1_01T09939;FGRAMPH1_01T27493;FGRAMPH1_01T02591;FGRAMPH1_01T28185;FGRAMPH1_01T14847;FGRAMPH1_01T12303;FGRAMPH1_01T15779;FGRAMPH1_01T14687;FGRAMPH1_01T10243;FGRAMPH1_01T15399;FGRAMPH1_01T22989;FGRAMPH1_01T11471;FGRAMPH1_01T20567;FGRAMPH1_01T00979;FGRAMPH1_01T17693;FGRAMPH1_01T05591;FGRAMPH1_01T23675;FGRAMPH1_01T24765;FGRAMPH1_01T03601;FGRAMPH1_01T09673;FGRAMPH1_01T20323;FGRAMPH1_01T04655;FGRAMPH1_01T23799;FGRAMPH1_01T23953;FGRAMPH1_01T02871;FGRAMPH1_01T23281;FGRAMPH1_01T28057;FGRAMPH1_01T02087;FGRAMPH1_01T07529;FGRAMPH1_01T26273;FGRAMPH1_01T12677;FGRAMPH1_01T10891;FGRAMPH1_01T12311;FGRAMPH1_01T21207;FGRAMPH1_01T21603;FGRAMPH1_01T13141;FGRAMPH1_01T02769;FGRAMPH1_01T11083;FGRAMPH1_01T20595;FGRAMPH1_01T21321;FGRAMPH1_01T07783;FGRAMPH1_01T27309;FGRAMPH1_01T02007;FGRAMPH1_01T01399;FGRAMPH1_01T24553;FGRAMPH1_01T00583;FGRAMPH1_01T03455;FGRAMPH1_01T28119;FGRAMPH1_01T07415;FGRAMPH1_01T02891;FGRAMPH1_01T19093;FGRAMPH1_01T13417;FGRAMPH1_01T26581;FGRAMPH1_01T26461;FGRAMPH1_01T26181;FGRAMPH1_01T11117;FGRAMPH1_01T26061;FGRAMPH1_01T13377;FGRAMPH1_01T19413;FGRAMPH1_01T15175;FGRAMPH1_01T02417;FGRAMPH1_01T27819;FGRAMPH1_01T05375;FGRAMPH1_01T02533;FGRAMPH1_01T27533;FGRAMPH1_01T03345;FGRAMPH1_01T26689;FGRAMPH1_01T27899;FGRAMPH1_01T13029;FGRAMPH1_01T13941;FGRAMPH1_01T14359;FGRAMPH1_01T16811;FGRAMPH1_01T20019;FGRAMPH1_01T25829;FGRAMPH1_01T12473;FGRAMPH1_01T13561;FGRAMPH1_01T02943;FGRAMPH1_01T23003;FGRAMPH1_01T20493;FGRAMPH1_01T26517;FGRAMPH1_01T01575;FGRAMPH1_01T04721;FGRAMPH1_01T24059;FGRAMPH1_01T10849;FGRAMPH1_01T24187;FGRAMPH1_01T04055;FGRAMPH1_01T04175;FGRAMPH1_01T18849;FGRAMPH1_01T15217;FGRAMPH1_01T18727;FGRAMPH1_01T27171;FGRAMPH1_01T17997;FGRAMPH1_01T17237;FGRAMPH1_01T17633;FGRAMPH1_01T18447;FGRAMPH1_01T00817;FGRAMPH1_01T17499;FGRAMPH1_01T23759;FGRAMPH1_01T20403;FGRAMPH1_01T16041;FGRAMPH1_01T19939;FGRAMPH1_01T09993;FGRAMPH1_01T19819;FGRAMPH1_01T23475;FGRAMPH1_01T24449;FGRAMPH1_01T04215;FGRAMPH1_01T23633;FGRAMPH1_01T03651;FGRAMPH1_01T03373;FGRAMPH1_01T04581;FGRAMPH1_01T28097;FGRAMPH1_01T19021;FGRAMPH1_01T19143;FGRAMPH1_01T14653;FGRAMPH1_01T12493;FGRAMPH1_01T18631;FGRAMPH1_01T06093;FGRAMPH1_01T26419;FGRAMPH1_01T05281;FGRAMPH1_01T16173;FGRAMPH1_01T08275;FGRAMPH1_01T03811;FGRAMPH1_01T04623;FGRAMPH1_01T06893;FGRAMPH1_01T27349;FGRAMPH1_01T04355;FGRAMPH1_01T07459;FGRAMPH1_01T27353;FGRAMPH1_01T27873;FGRAMPH1_01T04197;FGRAMPH1_01T05837;FGRAMPH1_01T10747;FGRAMPH1_01T13975;FGRAMPH1_01T28281;FGRAMPH1_01T16845;FGRAMPH1_01T12521;FGRAMPH1_01T23813;FGRAMPH1_01T23537;FGRAMPH1_01T03707;FGRAMPH1_01T18761;FGRAMPH1_01T27215;FGRAMPH1_01T00399;FGRAMPH1_01T23139;FGRAMPH1_01T04115;FGRAMPH1_01T21993;FGRAMPH1_01T23413;FGRAMPH1_01T28277;FGRAMPH1_01T05689;FGRAMPH1_01T05845;FGRAMPH1_01T10635;FGRAMPH1_01T12415;FGRAMPH1_01T18515;FGRAMPH1_01T19843</t>
  </si>
  <si>
    <t>FGRAMPH1_01T12393;FGRAMPH1_01T25909;FGRAMPH1_01T24017;FGRAMPH1_01T25227;FGRAMPH1_01T25349;FGRAMPH1_01T21781;FGRAMPH1_01T03555;FGRAMPH1_01T09789;FGRAMPH1_01T24377;FGRAMPH1_01T26313;FGRAMPH1_01T03311;FGRAMPH1_01T11617;FGRAMPH1_01T25351;FGRAMPH1_01T12829;FGRAMPH1_01T28185;FGRAMPH1_01T07915;FGRAMPH1_01T12149;FGRAMPH1_01T06829;FGRAMPH1_01T11733;FGRAMPH1_01T15779;FGRAMPH1_01T02909;FGRAMPH1_01T00619;FGRAMPH1_01T13133;FGRAMPH1_01T24923;FGRAMPH1_01T01947;FGRAMPH1_01T17295;FGRAMPH1_01T02911;FGRAMPH1_01T27637;FGRAMPH1_01T25339;FGRAMPH1_01T26423;FGRAMPH1_01T28057;FGRAMPH1_01T06833;FGRAMPH1_01T07923;FGRAMPH1_01T09427;FGRAMPH1_01T11509;FGRAMPH1_01T16639;FGRAMPH1_01T21207;FGRAMPH1_01T13141;FGRAMPH1_01T09201;FGRAMPH1_01T21321;FGRAMPH1_01T27309;FGRAMPH1_01T02007;FGRAMPH1_01T21685;FGRAMPH1_01T00067;FGRAMPH1_01T05521;FGRAMPH1_01T05633;FGRAMPH1_01T12727;FGRAMPH1_01T11513;FGRAMPH1_01T12601;FGRAMPH1_01T13377;FGRAMPH1_01T17735;FGRAMPH1_01T13153;FGRAMPH1_01T16785;FGRAMPH1_01T22527;FGRAMPH1_01T21557;FGRAMPH1_01T00637;FGRAMPH1_01T00635;FGRAMPH1_01T00631;FGRAMPH1_01T02017;FGRAMPH1_01T27899;FGRAMPH1_01T13941;FGRAMPH1_01T14235;FGRAMPH1_01T12231;FGRAMPH1_01T12473;FGRAMPH1_01T21865;FGRAMPH1_01T13561;FGRAMPH1_01T16151;FGRAMPH1_01T16031;FGRAMPH1_01T09741;FGRAMPH1_01T20411;FGRAMPH1_01T10849;FGRAMPH1_01T05811;FGRAMPH1_01T04175;FGRAMPH1_01T12349;FGRAMPH1_01T17237;FGRAMPH1_01T18447;FGRAMPH1_01T22945;FGRAMPH1_01T11273;FGRAMPH1_01T16041;FGRAMPH1_01T09993;FGRAMPH1_01T23475;FGRAMPH1_01T02677;FGRAMPH1_01T08667;FGRAMPH1_01T25897;FGRAMPH1_01T15629;FGRAMPH1_01T13207;FGRAMPH1_01T14653;FGRAMPH1_01T12493;FGRAMPH1_01T00829;FGRAMPH1_01T16173;FGRAMPH1_01T16171;FGRAMPH1_01T27625;FGRAMPH1_01T08673;FGRAMPH1_01T08435;FGRAMPH1_01T10869;FGRAMPH1_01T27873;FGRAMPH1_01T04197;FGRAMPH1_01T05837;FGRAMPH1_01T15877;FGRAMPH1_01T12261;FGRAMPH1_01T18485;FGRAMPH1_01T27739;FGRAMPH1_01T15091;FGRAMPH1_01T05177;FGRAMPH1_01T00399;FGRAMPH1_01T01367;FGRAMPH1_01T21993;FGRAMPH1_01T05963;FGRAMPH1_01T05845;FGRAMPH1_01T11963;FGRAMPH1_01T19325;FGRAMPH1_01T15145;FGRAMPH1_01T16597;FGRAMPH1_01T22911;FGRAMPH1_01T08173;FGRAMPH1_01T19749;FGRAMPH1_01T08051;FGRAMPH1_01T02625;FGRAMPH1_01T08177;FGRAMPH1_01T08179;FGRAMPH1_01T21263;FGRAMPH1_01T05585;FGRAMPH1_01T21941;FGRAMPH1_01T25983;FGRAMPH1_01T04247;FGRAMPH1_01T05223;FGRAMPH1_01T27921;FGRAMPH1_01T09941;FGRAMPH1_01T05215;FGRAMPH1_01T08967;FGRAMPH1_01T10801;FGRAMPH1_01T11213;FGRAMPH1_01T12303;FGRAMPH1_01T10001;FGRAMPH1_01T10243;FGRAMPH1_01T10123;FGRAMPH1_01T14981;FGRAMPH1_01T09033;FGRAMPH1_01T17693;FGRAMPH1_01T21815;FGRAMPH1_01T05591;FGRAMPH1_01T11907;FGRAMPH1_01T21137;FGRAMPH1_01T07529;FGRAMPH1_01T15947;FGRAMPH1_01T16915;FGRAMPH1_01T12677;FGRAMPH1_01T12311;FGRAMPH1_01T21603;FGRAMPH1_01T16013;FGRAMPH1_01T00347;FGRAMPH1_01T25889;FGRAMPH1_01T01677;FGRAMPH1_01T00583;FGRAMPH1_01T02761;FGRAMPH1_01T05367;FGRAMPH1_01T25523;FGRAMPH1_01T09715;FGRAMPH1_01T04277;FGRAMPH1_01T08987;FGRAMPH1_01T19093;FGRAMPH1_01T13417;FGRAMPH1_01T26181;FGRAMPH1_01T26061;FGRAMPH1_01T13411;FGRAMPH1_01T20747;FGRAMPH1_01T27819;FGRAMPH1_01T09295;FGRAMPH1_01T21277;FGRAMPH1_01T07431;FGRAMPH1_01T02897;FGRAMPH1_01T05375;FGRAMPH1_01T28227;FGRAMPH1_01T11921;FGRAMPH1_01T10037;FGRAMPH1_01T12335;FGRAMPH1_01T16811;FGRAMPH1_01T18611;FGRAMPH1_01T14373;FGRAMPH1_01T00647;FGRAMPH1_01T02943;FGRAMPH1_01T24973;FGRAMPH1_01T05897;FGRAMPH1_01T04571;FGRAMPH1_01T12867;FGRAMPH1_01T08807;FGRAMPH1_01T18849;FGRAMPH1_01T18727;FGRAMPH1_01T11771;FGRAMPH1_01T12067;FGRAMPH1_01T16789;FGRAMPH1_01T17997;FGRAMPH1_01T17633;FGRAMPH1_01T13175;FGRAMPH1_01T19819;FGRAMPH1_01T27317;FGRAMPH1_01T04215;FGRAMPH1_01T00099;FGRAMPH1_01T05787;FGRAMPH1_01T11669;FGRAMPH1_01T14019;FGRAMPH1_01T12997;FGRAMPH1_01T14017;FGRAMPH1_01T14035;FGRAMPH1_01T18631;FGRAMPH1_01T02847;FGRAMPH1_01T08275;FGRAMPH1_01T03811;FGRAMPH1_01T02963;FGRAMPH1_01T06893;FGRAMPH1_01T04105;FGRAMPH1_01T27349;FGRAMPH1_01T04355;FGRAMPH1_01T27353;FGRAMPH1_01T03261;FGRAMPH1_01T13975;FGRAMPH1_01T12767;FGRAMPH1_01T13855;FGRAMPH1_01T12521;FGRAMPH1_01T21911;FGRAMPH1_01T16221;FGRAMPH1_01T03707;FGRAMPH1_01T18761;FGRAMPH1_01T24507;FGRAMPH1_01T01527;FGRAMPH1_01T00675;FGRAMPH1_01T21599;FGRAMPH1_01T04235;FGRAMPH1_01T08963;FGRAMPH1_01T06413;FGRAMPH1_01T25165;FGRAMPH1_01T05689;FGRAMPH1_01T06415;FGRAMPH1_01T12415;FGRAMPH1_01T19167;FGRAMPH1_01T11201</t>
  </si>
  <si>
    <t>FGRAMPH1_01T16597;FGRAMPH1_01T20019;FGRAMPH1_01T12473;FGRAMPH1_01T13561;FGRAMPH1_01T25909;FGRAMPH1_01T00963;FGRAMPH1_01T24893;FGRAMPH1_01T04721;FGRAMPH1_01T09789;FGRAMPH1_01T26313;FGRAMPH1_01T25351;FGRAMPH1_01T09859;FGRAMPH1_01T26563;FGRAMPH1_01T08967;FGRAMPH1_01T12829;FGRAMPH1_01T04175;FGRAMPH1_01T02591;FGRAMPH1_01T11851;FGRAMPH1_01T12303;FGRAMPH1_01T18849;FGRAMPH1_01T18727;FGRAMPH1_01T15779;FGRAMPH1_01T10243;FGRAMPH1_01T17997;FGRAMPH1_01T18921;FGRAMPH1_01T17237;FGRAMPH1_01T17633;FGRAMPH1_01T18447;FGRAMPH1_01T17693;FGRAMPH1_01T16041;FGRAMPH1_01T05591;FGRAMPH1_01T02513;FGRAMPH1_01T04215;FGRAMPH1_01T19021;FGRAMPH1_01T12677;FGRAMPH1_01T12311;FGRAMPH1_01T14653;FGRAMPH1_01T21207;FGRAMPH1_01T21603;FGRAMPH1_01T13141;FGRAMPH1_01T18631;FGRAMPH1_01T16173;FGRAMPH1_01T24237;FGRAMPH1_01T08275;FGRAMPH1_01T03811;FGRAMPH1_01T27309;FGRAMPH1_01T02007;FGRAMPH1_01T03337;FGRAMPH1_01T06893;FGRAMPH1_01T00583;FGRAMPH1_01T27349;FGRAMPH1_01T20597;FGRAMPH1_01T04355;FGRAMPH1_01T27353;FGRAMPH1_01T19093;FGRAMPH1_01T27873;FGRAMPH1_01T04197;FGRAMPH1_01T13417;FGRAMPH1_01T05837;FGRAMPH1_01T13975;FGRAMPH1_01T18309;FGRAMPH1_01T11117;FGRAMPH1_01T13377;FGRAMPH1_01T17735;FGRAMPH1_01T12521;FGRAMPH1_01T17079;FGRAMPH1_01T23537;FGRAMPH1_01T03707;FGRAMPH1_01T18761;FGRAMPH1_01T27819;FGRAMPH1_01T02655;FGRAMPH1_01T00399;FGRAMPH1_01T05299;FGRAMPH1_01T27899;FGRAMPH1_01T05689;FGRAMPH1_01T05845;FGRAMPH1_01T13941;FGRAMPH1_01T12415;FGRAMPH1_01T19487;FGRAMPH1_01T14235;FGRAMPH1_01T16811</t>
  </si>
  <si>
    <t>FGRAMPH1_01T25909;FGRAMPH1_01T18011;FGRAMPH1_01T25227;FGRAMPH1_01T08335;FGRAMPH1_01T20697;FGRAMPH1_01T09789;FGRAMPH1_01T24377;FGRAMPH1_01T05983;FGRAMPH1_01T27403;FGRAMPH1_01T03563;FGRAMPH1_01T08207;FGRAMPH1_01T11617;FGRAMPH1_01T25351;FGRAMPH1_01T26563;FGRAMPH1_01T12829;FGRAMPH1_01T10527;FGRAMPH1_01T15779;FGRAMPH1_01T14687;FGRAMPH1_01T18921;FGRAMPH1_01T24809;FGRAMPH1_01T00857;FGRAMPH1_01T24923;FGRAMPH1_01T01947;FGRAMPH1_01T23959;FGRAMPH1_01T02911;FGRAMPH1_01T23277;FGRAMPH1_01T09673;FGRAMPH1_01T03687;FGRAMPH1_01T23953;FGRAMPH1_01T26423;FGRAMPH1_01T22621;FGRAMPH1_01T26787;FGRAMPH1_01T28057;FGRAMPH1_01T06833;FGRAMPH1_01T07923;FGRAMPH1_01T03691;FGRAMPH1_01T21207;FGRAMPH1_01T13141;FGRAMPH1_01T01955;FGRAMPH1_01T07383;FGRAMPH1_01T09201;FGRAMPH1_01T27309;FGRAMPH1_01T02007;FGRAMPH1_01T03337;FGRAMPH1_01T06059;FGRAMPH1_01T02003;FGRAMPH1_01T06973;FGRAMPH1_01T22653;FGRAMPH1_01T26583;FGRAMPH1_01T07931;FGRAMPH1_01T27551;FGRAMPH1_01T24165;FGRAMPH1_01T05877;FGRAMPH1_01T12727;FGRAMPH1_01T17739;FGRAMPH1_01T11513;FGRAMPH1_01T12601;FGRAMPH1_01T13377;FGRAMPH1_01T14587;FGRAMPH1_01T22527;FGRAMPH1_01T00635;FGRAMPH1_01T27533;FGRAMPH1_01T27899;FGRAMPH1_01T13941;FGRAMPH1_01T19487;FGRAMPH1_01T14235;FGRAMPH1_01T12473;FGRAMPH1_01T21865;FGRAMPH1_01T13561;FGRAMPH1_01T16031;FGRAMPH1_01T01575;FGRAMPH1_01T04721;FGRAMPH1_01T00485;FGRAMPH1_01T03751;FGRAMPH1_01T10849;FGRAMPH1_01T04055;FGRAMPH1_01T04175;FGRAMPH1_01T12349;FGRAMPH1_01T17237;FGRAMPH1_01T18447;FGRAMPH1_01T17499;FGRAMPH1_01T22945;FGRAMPH1_01T16041;FGRAMPH1_01T20407;FGRAMPH1_01T03527;FGRAMPH1_01T02677;FGRAMPH1_01T24443;FGRAMPH1_01T25897;FGRAMPH1_01T15629;FGRAMPH1_01T13207;FGRAMPH1_01T19421;FGRAMPH1_01T14653;FGRAMPH1_01T00829;FGRAMPH1_01T17387;FGRAMPH1_01T05281;FGRAMPH1_01T16173;FGRAMPH1_01T27625;FGRAMPH1_01T01237;FGRAMPH1_01T08673;FGRAMPH1_01T03783;FGRAMPH1_01T10869;FGRAMPH1_01T03781;FGRAMPH1_01T06921;FGRAMPH1_01T27873;FGRAMPH1_01T04197;FGRAMPH1_01T10865;FGRAMPH1_01T05837;FGRAMPH1_01T10747;FGRAMPH1_01T11037;FGRAMPH1_01T15877;FGRAMPH1_01T11293;FGRAMPH1_01T12261;FGRAMPH1_01T17399;FGRAMPH1_01T18485;FGRAMPH1_01T27739;FGRAMPH1_01T17273;FGRAMPH1_01T01005;FGRAMPH1_01T05177;FGRAMPH1_01T00399;FGRAMPH1_01T22721;FGRAMPH1_01T23139;FGRAMPH1_01T03301;FGRAMPH1_01T24111;FGRAMPH1_01T05845;FGRAMPH1_01T16597;FGRAMPH1_01T20853;FGRAMPH1_01T17563;FGRAMPH1_01T08173;FGRAMPH1_01T24893;FGRAMPH1_01T05585;FGRAMPH1_01T25983;FGRAMPH1_01T05223;FGRAMPH1_01T09941;FGRAMPH1_01T03165;FGRAMPH1_01T08967;FGRAMPH1_01T09939;FGRAMPH1_01T12303;FGRAMPH1_01T10001;FGRAMPH1_01T10243;FGRAMPH1_01T10123;FGRAMPH1_01T14981;FGRAMPH1_01T08061;FGRAMPH1_01T17693;FGRAMPH1_01T21815;FGRAMPH1_01T05591;FGRAMPH1_01T02513;FGRAMPH1_01T03601;FGRAMPH1_01T11907;FGRAMPH1_01T27117;FGRAMPH1_01T07529;FGRAMPH1_01T15947;FGRAMPH1_01T12677;FGRAMPH1_01T12311;FGRAMPH1_01T21603;FGRAMPH1_01T23109;FGRAMPH1_01T00347;FGRAMPH1_01T04029;FGRAMPH1_01T02763;FGRAMPH1_01T00583;FGRAMPH1_01T28119;FGRAMPH1_01T05367;FGRAMPH1_01T24555;FGRAMPH1_01T09715;FGRAMPH1_01T04277;FGRAMPH1_01T19093;FGRAMPH1_01T07419;FGRAMPH1_01T13417;FGRAMPH1_01T11117;FGRAMPH1_01T19531;FGRAMPH1_01T14743;FGRAMPH1_01T19533;FGRAMPH1_01T13411;FGRAMPH1_01T22923;FGRAMPH1_01T20747;FGRAMPH1_01T27819;FGRAMPH1_01T09295;FGRAMPH1_01T28227;FGRAMPH1_01T20069;FGRAMPH1_01T20191;FGRAMPH1_01T11921;FGRAMPH1_01T20193;FGRAMPH1_01T26175;FGRAMPH1_01T12335;FGRAMPH1_01T14997;FGRAMPH1_01T14995;FGRAMPH1_01T16811;FGRAMPH1_01T18611;FGRAMPH1_01T14373;FGRAMPH1_01T01859;FGRAMPH1_01T24853;FGRAMPH1_01T02943;FGRAMPH1_01T18171;FGRAMPH1_01T00761;FGRAMPH1_01T06079;FGRAMPH1_01T07169;FGRAMPH1_01T24059;FGRAMPH1_01T24187;FGRAMPH1_01T18849;FGRAMPH1_01T18727;FGRAMPH1_01T12067;FGRAMPH1_01T16789;FGRAMPH1_01T17997;FGRAMPH1_01T17633;FGRAMPH1_01T13175;FGRAMPH1_01T23759;FGRAMPH1_01T09591;FGRAMPH1_01T19939;FGRAMPH1_01T19819;FGRAMPH1_01T04215;FGRAMPH1_01T00099;FGRAMPH1_01T05787;FGRAMPH1_01T04581;FGRAMPH1_01T11307;FGRAMPH1_01T19021;FGRAMPH1_01T19143;FGRAMPH1_01T12997;FGRAMPH1_01T14017;FGRAMPH1_01T14035;FGRAMPH1_01T18631;FGRAMPH1_01T02847;FGRAMPH1_01T07185;FGRAMPH1_01T08275;FGRAMPH1_01T03811;FGRAMPH1_01T20273;FGRAMPH1_01T06893;FGRAMPH1_01T27349;FGRAMPH1_01T04355;FGRAMPH1_01T26265;FGRAMPH1_01T27353;FGRAMPH1_01T26261;FGRAMPH1_01T26263;FGRAMPH1_01T13975;FGRAMPH1_01T12767;FGRAMPH1_01T12521;FGRAMPH1_01T21911;FGRAMPH1_01T16221;FGRAMPH1_01T03707;FGRAMPH1_01T18761;FGRAMPH1_01T26801;FGRAMPH1_01T21599;FGRAMPH1_01T03269;FGRAMPH1_01T18081;FGRAMPH1_01T03389;FGRAMPH1_01T04115;FGRAMPH1_01T06413;FGRAMPH1_01T25165;FGRAMPH1_01T02185;FGRAMPH1_01T05689;FGRAMPH1_01T12415;FGRAMPH1_01T15009;FGRAMPH1_01T11201;FGRAMPH1_01T18513;FGRAMPH1_01T19843</t>
  </si>
  <si>
    <t>FGRAMPH1_01T16597;FGRAMPH1_01T25909;FGRAMPH1_01T00963;FGRAMPH1_01T24893;FGRAMPH1_01T09789;FGRAMPH1_01T26313;FGRAMPH1_01T25351;FGRAMPH1_01T26563;FGRAMPH1_01T08967;FGRAMPH1_01T12829;FGRAMPH1_01T02591;FGRAMPH1_01T19471;FGRAMPH1_01T11851;FGRAMPH1_01T12303;FGRAMPH1_01T15779;FGRAMPH1_01T10243;FGRAMPH1_01T18921;FGRAMPH1_01T17693;FGRAMPH1_01T18023;FGRAMPH1_01T18385;FGRAMPH1_01T05591;FGRAMPH1_01T26701;FGRAMPH1_01T02513;FGRAMPH1_01T22225;FGRAMPH1_01T24375;FGRAMPH1_01T16915;FGRAMPH1_01T12677;FGRAMPH1_01T12311;FGRAMPH1_01T21207;FGRAMPH1_01T21603;FGRAMPH1_01T13141;FGRAMPH1_01T18551;FGRAMPH1_01T27309;FGRAMPH1_01T02007;FGRAMPH1_01T03337;FGRAMPH1_01T00583;FGRAMPH1_01T26457;FGRAMPH1_01T02761;FGRAMPH1_01T20597;FGRAMPH1_01T10309;FGRAMPH1_01T19093;FGRAMPH1_01T13417;FGRAMPH1_01T18309;FGRAMPH1_01T11117;FGRAMPH1_01T13377;FGRAMPH1_01T17735;FGRAMPH1_01T11993;FGRAMPH1_01T17079;FGRAMPH1_01T27819;FGRAMPH1_01T02655;FGRAMPH1_01T27899;FGRAMPH1_01T26175;FGRAMPH1_01T13941;FGRAMPH1_01T19487;FGRAMPH1_01T14235;FGRAMPH1_01T16811;FGRAMPH1_01T20019;FGRAMPH1_01T17125;FGRAMPH1_01T12473;FGRAMPH1_01T13561;FGRAMPH1_01T04721;FGRAMPH1_01T22435;FGRAMPH1_01T09859;FGRAMPH1_01T04175;FGRAMPH1_01T18849;FGRAMPH1_01T18727;FGRAMPH1_01T17997;FGRAMPH1_01T17237;FGRAMPH1_01T17633;FGRAMPH1_01T18447;FGRAMPH1_01T16041;FGRAMPH1_01T03127;FGRAMPH1_01T04215;FGRAMPH1_01T26597;FGRAMPH1_01T19021;FGRAMPH1_01T14653;FGRAMPH1_01T18631;FGRAMPH1_01T16173;FGRAMPH1_01T24237;FGRAMPH1_01T08275;FGRAMPH1_01T03811;FGRAMPH1_01T06893;FGRAMPH1_01T08557;FGRAMPH1_01T27349;FGRAMPH1_01T04355;FGRAMPH1_01T27353;FGRAMPH1_01T27873;FGRAMPH1_01T04197;FGRAMPH1_01T05837;FGRAMPH1_01T13975;FGRAMPH1_01T12521;FGRAMPH1_01T23537;FGRAMPH1_01T03707;FGRAMPH1_01T18761;FGRAMPH1_01T00399;FGRAMPH1_01T05299;FGRAMPH1_01T27067;FGRAMPH1_01T05689;FGRAMPH1_01T05845;FGRAMPH1_01T12415;FGRAMPH1_01T14555</t>
  </si>
  <si>
    <t>FGRAMPH1_01T16597;FGRAMPH1_01T20853;FGRAMPH1_01T25909;FGRAMPH1_01T00963;FGRAMPH1_01T06791;FGRAMPH1_01T04009;FGRAMPH1_01T08335;FGRAMPH1_01T20697;FGRAMPH1_01T24893;FGRAMPH1_01T09789;FGRAMPH1_01T26313;FGRAMPH1_01T25743;FGRAMPH1_01T25351;FGRAMPH1_01T03165;FGRAMPH1_01T26563;FGRAMPH1_01T01383;FGRAMPH1_01T08967;FGRAMPH1_01T12829;FGRAMPH1_01T26443;FGRAMPH1_01T02591;FGRAMPH1_01T10527;FGRAMPH1_01T12303;FGRAMPH1_01T10523;FGRAMPH1_01T15779;FGRAMPH1_01T10001;FGRAMPH1_01T10243;FGRAMPH1_01T18921;FGRAMPH1_01T22989;FGRAMPH1_01T17693;FGRAMPH1_01T17175;FGRAMPH1_01T03725;FGRAMPH1_01T05591;FGRAMPH1_01T22861;FGRAMPH1_01T09675;FGRAMPH1_01T23277;FGRAMPH1_01T02513;FGRAMPH1_01T03601;FGRAMPH1_01T09673;FGRAMPH1_01T03687;FGRAMPH1_01T04259;FGRAMPH1_01T04655;FGRAMPH1_01T02871;FGRAMPH1_01T26787;FGRAMPH1_01T23281;FGRAMPH1_01T03691;FGRAMPH1_01T07529;FGRAMPH1_01T12955;FGRAMPH1_01T16915;FGRAMPH1_01T03291;FGRAMPH1_01T12677;FGRAMPH1_01T12311;FGRAMPH1_01T21207;FGRAMPH1_01T21603;FGRAMPH1_01T13141;FGRAMPH1_01T23109;FGRAMPH1_01T01953;FGRAMPH1_01T18271;FGRAMPH1_01T27309;FGRAMPH1_01T02007;FGRAMPH1_01T03337;FGRAMPH1_01T00583;FGRAMPH1_01T03455;FGRAMPH1_01T02003;FGRAMPH1_01T02761;FGRAMPH1_01T06973;FGRAMPH1_01T20597;FGRAMPH1_01T02891;FGRAMPH1_01T07931;FGRAMPH1_01T10309;FGRAMPH1_01T19093;FGRAMPH1_01T24165;FGRAMPH1_01T07419;FGRAMPH1_01T13417;FGRAMPH1_01T26581;FGRAMPH1_01T18949;FGRAMPH1_01T18309;FGRAMPH1_01T11117;FGRAMPH1_01T13377;FGRAMPH1_01T14587;FGRAMPH1_01T17735;FGRAMPH1_01T19533;FGRAMPH1_01T15211;FGRAMPH1_01T17079;FGRAMPH1_01T27819;FGRAMPH1_01T02415;FGRAMPH1_01T18283;FGRAMPH1_01T27533;FGRAMPH1_01T27899;FGRAMPH1_01T26721;FGRAMPH1_01T03111;FGRAMPH1_01T27543;FGRAMPH1_01T13941;FGRAMPH1_01T19089;FGRAMPH1_01T10797;FGRAMPH1_01T14997;FGRAMPH1_01T28195;FGRAMPH1_01T19487;FGRAMPH1_01T14235;FGRAMPH1_01T14995;FGRAMPH1_01T11881;FGRAMPH1_01T16811;FGRAMPH1_01T20019;FGRAMPH1_01T12473;FGRAMPH1_01T13561;FGRAMPH1_01T19309;FGRAMPH1_01T03911;FGRAMPH1_01T20133;FGRAMPH1_01T20493;FGRAMPH1_01T00761;FGRAMPH1_01T01575;FGRAMPH1_01T07169;FGRAMPH1_01T04721;FGRAMPH1_01T24059;FGRAMPH1_01T10607;FGRAMPH1_01T24187;FGRAMPH1_01T04055;FGRAMPH1_01T04175;FGRAMPH1_01T05815;FGRAMPH1_01T18849;FGRAMPH1_01T16823;FGRAMPH1_01T18727;FGRAMPH1_01T13277;FGRAMPH1_01T17997;FGRAMPH1_01T10563;FGRAMPH1_01T17237;FGRAMPH1_01T17633;FGRAMPH1_01T18447;FGRAMPH1_01T17499;FGRAMPH1_01T23759;FGRAMPH1_01T16041;FGRAMPH1_01T03527;FGRAMPH1_01T09993;FGRAMPH1_01T19819;FGRAMPH1_01T27317;FGRAMPH1_01T18183;FGRAMPH1_01T03127;FGRAMPH1_01T04215;FGRAMPH1_01T24443;FGRAMPH1_01T03373;FGRAMPH1_01T04581;FGRAMPH1_01T19021;FGRAMPH1_01T19143;FGRAMPH1_01T14653;FGRAMPH1_01T18115;FGRAMPH1_01T18631;FGRAMPH1_01T17387;FGRAMPH1_01T23823;FGRAMPH1_01T26419;FGRAMPH1_01T16173;FGRAMPH1_01T20715;FGRAMPH1_01T08275;FGRAMPH1_01T03811;FGRAMPH1_01T20273;FGRAMPH1_01T01237;FGRAMPH1_01T06893;FGRAMPH1_01T23941;FGRAMPH1_01T27349;FGRAMPH1_01T04355;FGRAMPH1_01T06369;FGRAMPH1_01T27353;FGRAMPH1_01T27873;FGRAMPH1_01T04197;FGRAMPH1_01T05837;FGRAMPH1_01T10747;FGRAMPH1_01T13975;FGRAMPH1_01T16603;FGRAMPH1_01T12249;FGRAMPH1_01T12521;FGRAMPH1_01T11293;FGRAMPH1_01T23813;FGRAMPH1_01T23537;FGRAMPH1_01T03707;FGRAMPH1_01T18761;FGRAMPH1_01T00399;FGRAMPH1_01T04115;FGRAMPH1_01T09017;FGRAMPH1_01T07745;FGRAMPH1_01T01891;FGRAMPH1_01T02185;FGRAMPH1_01T05689;FGRAMPH1_01T07747;FGRAMPH1_01T05845;FGRAMPH1_01T12415;FGRAMPH1_01T15009;FGRAMPH1_01T12499;FGRAMPH1_01T19325;FGRAMPH1_01T19843</t>
  </si>
  <si>
    <t>FGRAMPH1_01T16597;FGRAMPH1_01T25909;FGRAMPH1_01T00963;FGRAMPH1_01T24893;FGRAMPH1_01T09789;FGRAMPH1_01T26313;FGRAMPH1_01T25351;FGRAMPH1_01T26563;FGRAMPH1_01T08967;FGRAMPH1_01T12829;FGRAMPH1_01T02591;FGRAMPH1_01T19471;FGRAMPH1_01T11851;FGRAMPH1_01T12303;FGRAMPH1_01T15779;FGRAMPH1_01T10243;FGRAMPH1_01T18921;FGRAMPH1_01T17693;FGRAMPH1_01T18385;FGRAMPH1_01T05591;FGRAMPH1_01T02513;FGRAMPH1_01T22225;FGRAMPH1_01T24375;FGRAMPH1_01T16915;FGRAMPH1_01T12677;FGRAMPH1_01T12311;FGRAMPH1_01T21207;FGRAMPH1_01T21603;FGRAMPH1_01T13141;FGRAMPH1_01T27309;FGRAMPH1_01T02007;FGRAMPH1_01T03337;FGRAMPH1_01T00583;FGRAMPH1_01T26457;FGRAMPH1_01T02761;FGRAMPH1_01T20597;FGRAMPH1_01T10309;FGRAMPH1_01T19093;FGRAMPH1_01T13417;FGRAMPH1_01T18309;FGRAMPH1_01T11117;FGRAMPH1_01T13377;FGRAMPH1_01T17735;FGRAMPH1_01T11993;FGRAMPH1_01T17079;FGRAMPH1_01T27819;FGRAMPH1_01T02655;FGRAMPH1_01T27899;FGRAMPH1_01T26175;FGRAMPH1_01T13941;FGRAMPH1_01T19487;FGRAMPH1_01T14235;FGRAMPH1_01T16811;FGRAMPH1_01T20019;FGRAMPH1_01T17125;FGRAMPH1_01T12473;FGRAMPH1_01T13561;FGRAMPH1_01T04721;FGRAMPH1_01T22435;FGRAMPH1_01T09859;FGRAMPH1_01T04175;FGRAMPH1_01T18849;FGRAMPH1_01T18727;FGRAMPH1_01T17997;FGRAMPH1_01T17237;FGRAMPH1_01T17633;FGRAMPH1_01T18447;FGRAMPH1_01T16041;FGRAMPH1_01T03127;FGRAMPH1_01T04215;FGRAMPH1_01T26597;FGRAMPH1_01T19021;FGRAMPH1_01T14653;FGRAMPH1_01T18631;FGRAMPH1_01T16173;FGRAMPH1_01T24237;FGRAMPH1_01T08275;FGRAMPH1_01T03811;FGRAMPH1_01T06893;FGRAMPH1_01T08557;FGRAMPH1_01T27349;FGRAMPH1_01T04355;FGRAMPH1_01T27353;FGRAMPH1_01T27873;FGRAMPH1_01T04197;FGRAMPH1_01T05837;FGRAMPH1_01T13975;FGRAMPH1_01T12521;FGRAMPH1_01T23537;FGRAMPH1_01T03707;FGRAMPH1_01T18761;FGRAMPH1_01T00399;FGRAMPH1_01T05299;FGRAMPH1_01T27067;FGRAMPH1_01T05689;FGRAMPH1_01T05845;FGRAMPH1_01T12415;FGRAMPH1_01T14555</t>
  </si>
  <si>
    <t>FGRAMPH1_01T16597;FGRAMPH1_01T20019;FGRAMPH1_01T12473;FGRAMPH1_01T13561;FGRAMPH1_01T25909;FGRAMPH1_01T00963;FGRAMPH1_01T24893;FGRAMPH1_01T04721;FGRAMPH1_01T09789;FGRAMPH1_01T26313;FGRAMPH1_01T25351;FGRAMPH1_01T09859;FGRAMPH1_01T26563;FGRAMPH1_01T08967;FGRAMPH1_01T12829;FGRAMPH1_01T04175;FGRAMPH1_01T02591;FGRAMPH1_01T19471;FGRAMPH1_01T11851;FGRAMPH1_01T12303;FGRAMPH1_01T18849;FGRAMPH1_01T18727;FGRAMPH1_01T15779;FGRAMPH1_01T10243;FGRAMPH1_01T17997;FGRAMPH1_01T18921;FGRAMPH1_01T17237;FGRAMPH1_01T17633;FGRAMPH1_01T18447;FGRAMPH1_01T17693;FGRAMPH1_01T18023;FGRAMPH1_01T16041;FGRAMPH1_01T18385;FGRAMPH1_01T05591;FGRAMPH1_01T26701;FGRAMPH1_01T02513;FGRAMPH1_01T04215;FGRAMPH1_01T22225;FGRAMPH1_01T24375;FGRAMPH1_01T26597;FGRAMPH1_01T19021;FGRAMPH1_01T12677;FGRAMPH1_01T12311;FGRAMPH1_01T14653;FGRAMPH1_01T21207;FGRAMPH1_01T21603;FGRAMPH1_01T13141;FGRAMPH1_01T18631;FGRAMPH1_01T18551;FGRAMPH1_01T16173;FGRAMPH1_01T24237;FGRAMPH1_01T08275;FGRAMPH1_01T03811;FGRAMPH1_01T27309;FGRAMPH1_01T02007;FGRAMPH1_01T03337;FGRAMPH1_01T06893;FGRAMPH1_01T00583;FGRAMPH1_01T08557;FGRAMPH1_01T26457;FGRAMPH1_01T27349;FGRAMPH1_01T20597;FGRAMPH1_01T04355;FGRAMPH1_01T27353;FGRAMPH1_01T19093;FGRAMPH1_01T27873;FGRAMPH1_01T04197;FGRAMPH1_01T13417;FGRAMPH1_01T05837;FGRAMPH1_01T13975;FGRAMPH1_01T18309;FGRAMPH1_01T11117;FGRAMPH1_01T13377;FGRAMPH1_01T17735;FGRAMPH1_01T12521;FGRAMPH1_01T17079;FGRAMPH1_01T23537;FGRAMPH1_01T03707;FGRAMPH1_01T18761;FGRAMPH1_01T27819;FGRAMPH1_01T02655;FGRAMPH1_01T00399;FGRAMPH1_01T05299;FGRAMPH1_01T27899;FGRAMPH1_01T27067;FGRAMPH1_01T05689;FGRAMPH1_01T05845;FGRAMPH1_01T26175;FGRAMPH1_01T13941;FGRAMPH1_01T12415;FGRAMPH1_01T19487;FGRAMPH1_01T14235;FGRAMPH1_01T16811;FGRAMPH1_01T14555</t>
  </si>
  <si>
    <t>FGRAMPH1_01T21603;FGRAMPH1_01T02847;FGRAMPH1_01T16173;FGRAMPH1_01T16031;FGRAMPH1_01T00347;FGRAMPH1_01T24853;FGRAMPH1_01T08275;FGRAMPH1_01T08673;FGRAMPH1_01T05585;FGRAMPH1_01T09789;FGRAMPH1_01T05367;FGRAMPH1_01T11617;FGRAMPH1_01T10849;FGRAMPH1_01T18727;FGRAMPH1_01T16789;FGRAMPH1_01T12521;FGRAMPH1_01T10123;FGRAMPH1_01T13411;FGRAMPH1_01T18447;FGRAMPH1_01T12261;FGRAMPH1_01T22527;FGRAMPH1_01T18761;FGRAMPH1_01T17693;FGRAMPH1_01T21815;FGRAMPH1_01T05177;FGRAMPH1_01T11907;FGRAMPH1_01T21599;FGRAMPH1_01T22621;FGRAMPH1_01T07923;FGRAMPH1_01T15947;FGRAMPH1_01T13207;FGRAMPH1_01T12997;FGRAMPH1_01T15009;FGRAMPH1_01T16811;FGRAMPH1_01T12311;FGRAMPH1_01T14653</t>
  </si>
  <si>
    <t>FGRAMPH1_01T16597;FGRAMPH1_01T17563;FGRAMPH1_01T25909;FGRAMPH1_01T00963;FGRAMPH1_01T18095;FGRAMPH1_01T24893;FGRAMPH1_01T09789;FGRAMPH1_01T26313;FGRAMPH1_01T25351;FGRAMPH1_01T26563;FGRAMPH1_01T08967;FGRAMPH1_01T12829;FGRAMPH1_01T06307;FGRAMPH1_01T09939;FGRAMPH1_01T12303;FGRAMPH1_01T15779;FGRAMPH1_01T14687;FGRAMPH1_01T10243;FGRAMPH1_01T18921;FGRAMPH1_01T00979;FGRAMPH1_01T17693;FGRAMPH1_01T17175;FGRAMPH1_01T05591;FGRAMPH1_01T17051;FGRAMPH1_01T23277;FGRAMPH1_01T02513;FGRAMPH1_01T27117;FGRAMPH1_01T02087;FGRAMPH1_01T16915;FGRAMPH1_01T03291;FGRAMPH1_01T12677;FGRAMPH1_01T12311;FGRAMPH1_01T21207;FGRAMPH1_01T21603;FGRAMPH1_01T13141;FGRAMPH1_01T20595;FGRAMPH1_01T27309;FGRAMPH1_01T01677;FGRAMPH1_01T02007;FGRAMPH1_01T03337;FGRAMPH1_01T00583;FGRAMPH1_01T28119;FGRAMPH1_01T20597;FGRAMPH1_01T19093;FGRAMPH1_01T23191;FGRAMPH1_01T13417;FGRAMPH1_01T18309;FGRAMPH1_01T13377;FGRAMPH1_01T17735;FGRAMPH1_01T19413;FGRAMPH1_01T17079;FGRAMPH1_01T27819;FGRAMPH1_01T27899;FGRAMPH1_01T13941;FGRAMPH1_01T19487;FGRAMPH1_01T14235;FGRAMPH1_01T16811;FGRAMPH1_01T17349;FGRAMPH1_01T12473;FGRAMPH1_01T13561;FGRAMPH1_01T03911;FGRAMPH1_01T23641;FGRAMPH1_01T20493;FGRAMPH1_01T06079;FGRAMPH1_01T04721;FGRAMPH1_01T04175;FGRAMPH1_01T18849;FGRAMPH1_01T15217;FGRAMPH1_01T18727;FGRAMPH1_01T17997;FGRAMPH1_01T17237;FGRAMPH1_01T17633;FGRAMPH1_01T18447;FGRAMPH1_01T16041;FGRAMPH1_01T24449;FGRAMPH1_01T04215;FGRAMPH1_01T28097;FGRAMPH1_01T19021;FGRAMPH1_01T14653;FGRAMPH1_01T18631;FGRAMPH1_01T05281;FGRAMPH1_01T07185;FGRAMPH1_01T16173;FGRAMPH1_01T08275;FGRAMPH1_01T03811;FGRAMPH1_01T06893;FGRAMPH1_01T23941;FGRAMPH1_01T27349;FGRAMPH1_01T04355;FGRAMPH1_01T07459;FGRAMPH1_01T27353;FGRAMPH1_01T27873;FGRAMPH1_01T04197;FGRAMPH1_01T05837;FGRAMPH1_01T13975;FGRAMPH1_01T12521;FGRAMPH1_01T17399;FGRAMPH1_01T23537;FGRAMPH1_01T03707;FGRAMPH1_01T18761;FGRAMPH1_01T00399;FGRAMPH1_01T01891;FGRAMPH1_01T05689;FGRAMPH1_01T05845;FGRAMPH1_01T12415;FGRAMPH1_01T14313</t>
  </si>
  <si>
    <t>FGRAMPH1_01T25909;FGRAMPH1_01T14691;FGRAMPH1_01T00963;FGRAMPH1_01T09541;FGRAMPH1_01T08335;FGRAMPH1_01T09789;FGRAMPH1_01T26313;FGRAMPH1_01T27401;FGRAMPH1_01T25351;FGRAMPH1_01T26563;FGRAMPH1_01T12829;FGRAMPH1_01T26443;FGRAMPH1_01T02591;FGRAMPH1_01T19471;FGRAMPH1_01T10527;FGRAMPH1_01T11851;FGRAMPH1_01T15779;FGRAMPH1_01T19597;FGRAMPH1_01T14687;FGRAMPH1_01T18921;FGRAMPH1_01T22989;FGRAMPH1_01T00979;FGRAMPH1_01T17175;FGRAMPH1_01T18385;FGRAMPH1_01T17051;FGRAMPH1_01T23277;FGRAMPH1_01T09673;FGRAMPH1_01T03687;FGRAMPH1_01T04655;FGRAMPH1_01T26787;FGRAMPH1_01T23281;FGRAMPH1_01T24375;FGRAMPH1_01T12955;FGRAMPH1_01T21207;FGRAMPH1_01T13141;FGRAMPH1_01T18033;FGRAMPH1_01T20595;FGRAMPH1_01T27309;FGRAMPH1_01T02007;FGRAMPH1_01T03337;FGRAMPH1_01T03455;FGRAMPH1_01T26457;FGRAMPH1_01T02003;FGRAMPH1_01T06973;FGRAMPH1_01T20597;FGRAMPH1_01T07931;FGRAMPH1_01T24165;FGRAMPH1_01T23191;FGRAMPH1_01T26581;FGRAMPH1_01T13377;FGRAMPH1_01T14587;FGRAMPH1_01T17735;FGRAMPH1_01T17079;FGRAMPH1_01T27533;FGRAMPH1_01T27899;FGRAMPH1_01T03111;FGRAMPH1_01T13941;FGRAMPH1_01T19243;FGRAMPH1_01T28195;FGRAMPH1_01T19487;FGRAMPH1_01T14235;FGRAMPH1_01T11881;FGRAMPH1_01T17125;FGRAMPH1_01T12473;FGRAMPH1_01T13561;FGRAMPH1_01T16395;FGRAMPH1_01T19309;FGRAMPH1_01T01575;FGRAMPH1_01T04721;FGRAMPH1_01T09859;FGRAMPH1_01T04055;FGRAMPH1_01T04175;FGRAMPH1_01T15731;FGRAMPH1_01T17237;FGRAMPH1_01T18447;FGRAMPH1_01T17499;FGRAMPH1_01T20647;FGRAMPH1_01T16041;FGRAMPH1_01T09993;FGRAMPH1_01T24449;FGRAMPH1_01T24443;FGRAMPH1_01T01343;FGRAMPH1_01T14653;FGRAMPH1_01T18115;FGRAMPH1_01T17387;FGRAMPH1_01T23823;FGRAMPH1_01T26419;FGRAMPH1_01T05281;FGRAMPH1_01T16173;FGRAMPH1_01T24237;FGRAMPH1_01T01237;FGRAMPH1_01T08557;FGRAMPH1_01T23941;FGRAMPH1_01T07459;FGRAMPH1_01T27873;FGRAMPH1_01T04197;FGRAMPH1_01T05837;FGRAMPH1_01T10747;FGRAMPH1_01T15515;FGRAMPH1_01T11293;FGRAMPH1_01T17399;FGRAMPH1_01T23813;FGRAMPH1_01T07475;FGRAMPH1_01T23497;FGRAMPH1_01T00399;FGRAMPH1_01T05299;FGRAMPH1_01T27067;FGRAMPH1_01T05845;FGRAMPH1_01T14313;FGRAMPH1_01T14555;FGRAMPH1_01T16597;FGRAMPH1_01T20853;FGRAMPH1_01T17563;FGRAMPH1_01T06791;FGRAMPH1_01T18095;FGRAMPH1_01T24893;FGRAMPH1_01T03165;FGRAMPH1_01T08967;FGRAMPH1_01T06307;FGRAMPH1_01T09939;FGRAMPH1_01T12303;FGRAMPH1_01T10001;FGRAMPH1_01T10243;FGRAMPH1_01T17693;FGRAMPH1_01T05591;FGRAMPH1_01T02513;FGRAMPH1_01T03601;FGRAMPH1_01T22225;FGRAMPH1_01T02871;FGRAMPH1_01T27117;FGRAMPH1_01T02087;FGRAMPH1_01T07529;FGRAMPH1_01T13407;FGRAMPH1_01T16915;FGRAMPH1_01T03291;FGRAMPH1_01T12677;FGRAMPH1_01T12311;FGRAMPH1_01T21603;FGRAMPH1_01T23109;FGRAMPH1_01T27705;FGRAMPH1_01T01677;FGRAMPH1_01T00583;FGRAMPH1_01T28119;FGRAMPH1_01T21961;FGRAMPH1_01T02891;FGRAMPH1_01T19093;FGRAMPH1_01T07419;FGRAMPH1_01T13417;FGRAMPH1_01T18309;FGRAMPH1_01T11117;FGRAMPH1_01T19533;FGRAMPH1_01T19413;FGRAMPH1_01T27819;FGRAMPH1_01T08641;FGRAMPH1_01T02655;FGRAMPH1_01T26721;FGRAMPH1_01T26175;FGRAMPH1_01T14997;FGRAMPH1_01T14995;FGRAMPH1_01T16811;FGRAMPH1_01T17349;FGRAMPH1_01T20019;FGRAMPH1_01T25829;FGRAMPH1_01T03911;FGRAMPH1_01T23641;FGRAMPH1_01T20493;FGRAMPH1_01T06079;FGRAMPH1_01T07169;FGRAMPH1_01T22435;FGRAMPH1_01T24059;FGRAMPH1_01T24187;FGRAMPH1_01T18849;FGRAMPH1_01T15217;FGRAMPH1_01T18727;FGRAMPH1_01T17997;FGRAMPH1_01T17633;FGRAMPH1_01T23759;FGRAMPH1_01T19819;FGRAMPH1_01T04215;FGRAMPH1_01T03373;FGRAMPH1_01T26597;FGRAMPH1_01T04581;FGRAMPH1_01T08815;FGRAMPH1_01T11669;FGRAMPH1_01T28097;FGRAMPH1_01T19021;FGRAMPH1_01T19143;FGRAMPH1_01T18631;FGRAMPH1_01T01517;FGRAMPH1_01T07185;FGRAMPH1_01T20715;FGRAMPH1_01T08275;FGRAMPH1_01T03811;FGRAMPH1_01T20273;FGRAMPH1_01T06893;FGRAMPH1_01T27349;FGRAMPH1_01T04355;FGRAMPH1_01T27353;FGRAMPH1_01T13975;FGRAMPH1_01T12521;FGRAMPH1_01T23537;FGRAMPH1_01T03707;FGRAMPH1_01T18761;FGRAMPH1_01T04115;FGRAMPH1_01T09017;FGRAMPH1_01T07745;FGRAMPH1_01T01891;FGRAMPH1_01T02185;FGRAMPH1_01T05689;FGRAMPH1_01T07747;FGRAMPH1_01T12415;FGRAMPH1_01T19843</t>
  </si>
  <si>
    <t>FGRAMPH1_01T20019;FGRAMPH1_01T18115;FGRAMPH1_01T17387;FGRAMPH1_01T23823;FGRAMPH1_01T19309;FGRAMPH1_01T26419;FGRAMPH1_01T20715;FGRAMPH1_01T24853;FGRAMPH1_01T20273;FGRAMPH1_01T01575;FGRAMPH1_01T07169;FGRAMPH1_01T03455;FGRAMPH1_01T02003;FGRAMPH1_01T06973;FGRAMPH1_01T02891;FGRAMPH1_01T04055;FGRAMPH1_01T26443;FGRAMPH1_01T07419;FGRAMPH1_01T02591;FGRAMPH1_01T11117;FGRAMPH1_01T14587;FGRAMPH1_01T10001;FGRAMPH1_01T11293;FGRAMPH1_01T17499;FGRAMPH1_01T23813;FGRAMPH1_01T09993;FGRAMPH1_01T09673;FGRAMPH1_01T03687;FGRAMPH1_01T04655;FGRAMPH1_01T27533;FGRAMPH1_01T04115;FGRAMPH1_01T02871;FGRAMPH1_01T09017;FGRAMPH1_01T26787;FGRAMPH1_01T07745;FGRAMPH1_01T03111;FGRAMPH1_01T23281;FGRAMPH1_01T02185;FGRAMPH1_01T07747;FGRAMPH1_01T03373;FGRAMPH1_01T07529;FGRAMPH1_01T04581;FGRAMPH1_01T12955;FGRAMPH1_01T28195;FGRAMPH1_01T14995;FGRAMPH1_01T19843</t>
  </si>
  <si>
    <t>FGRAMPH1_01T18611;FGRAMPH1_01T21865;FGRAMPH1_01T13561;FGRAMPH1_01T16031;FGRAMPH1_01T24853;FGRAMPH1_01T25227;FGRAMPH1_01T24893;FGRAMPH1_01T05585;FGRAMPH1_01T09789;FGRAMPH1_01T24377;FGRAMPH1_01T11617;FGRAMPH1_01T10849;FGRAMPH1_01T08967;FGRAMPH1_01T12829;FGRAMPH1_01T27493;FGRAMPH1_01T12303;FGRAMPH1_01T12349;FGRAMPH1_01T18727;FGRAMPH1_01T15779;FGRAMPH1_01T16789;FGRAMPH1_01T10123;FGRAMPH1_01T18447;FGRAMPH1_01T11471;FGRAMPH1_01T24923;FGRAMPH1_01T17693;FGRAMPH1_01T21815;FGRAMPH1_01T02911;FGRAMPH1_01T02677;FGRAMPH1_01T11907;FGRAMPH1_01T03687;FGRAMPH1_01T04215;FGRAMPH1_01T23953;FGRAMPH1_01T00099;FGRAMPH1_01T22621;FGRAMPH1_01T23633;FGRAMPH1_01T28057;FGRAMPH1_01T07923;FGRAMPH1_01T15947;FGRAMPH1_01T13207;FGRAMPH1_01T12997;FGRAMPH1_01T14017;FGRAMPH1_01T12311;FGRAMPH1_01T14653;FGRAMPH1_01T12493;FGRAMPH1_01T21207;FGRAMPH1_01T21603;FGRAMPH1_01T00829;FGRAMPH1_01T14035;FGRAMPH1_01T18631;FGRAMPH1_01T01955;FGRAMPH1_01T02847;FGRAMPH1_01T16173;FGRAMPH1_01T00347;FGRAMPH1_01T09201;FGRAMPH1_01T08275;FGRAMPH1_01T02007;FGRAMPH1_01T03337;FGRAMPH1_01T08673;FGRAMPH1_01T22579;FGRAMPH1_01T00583;FGRAMPH1_01T05367;FGRAMPH1_01T06973;FGRAMPH1_01T04355;FGRAMPH1_01T10869;FGRAMPH1_01T04277;FGRAMPH1_01T26265;FGRAMPH1_01T27873;FGRAMPH1_01T15877;FGRAMPH1_01T12601;FGRAMPH1_01T12521;FGRAMPH1_01T13411;FGRAMPH1_01T11293;FGRAMPH1_01T21911;FGRAMPH1_01T12261;FGRAMPH1_01T22527;FGRAMPH1_01T03707;FGRAMPH1_01T18761;FGRAMPH1_01T27819;FGRAMPH1_01T09295;FGRAMPH1_01T05177;FGRAMPH1_01T21599;FGRAMPH1_01T28227;FGRAMPH1_01T00399;FGRAMPH1_01T27899;FGRAMPH1_01T27733;FGRAMPH1_01T20191;FGRAMPH1_01T05689;FGRAMPH1_01T11921;FGRAMPH1_01T19361;FGRAMPH1_01T12335;FGRAMPH1_01T15009;FGRAMPH1_01T14235;FGRAMPH1_01T16811;FGRAMPH1_01T11201</t>
  </si>
  <si>
    <t>FGRAMPH1_01T18611;FGRAMPH1_01T21865;FGRAMPH1_01T13561;FGRAMPH1_01T16031;FGRAMPH1_01T24853;FGRAMPH1_01T25227;FGRAMPH1_01T24893;FGRAMPH1_01T05585;FGRAMPH1_01T09789;FGRAMPH1_01T24377;FGRAMPH1_01T11617;FGRAMPH1_01T10849;FGRAMPH1_01T08967;FGRAMPH1_01T12829;FGRAMPH1_01T27493;FGRAMPH1_01T12303;FGRAMPH1_01T12349;FGRAMPH1_01T18727;FGRAMPH1_01T15779;FGRAMPH1_01T16789;FGRAMPH1_01T10123;FGRAMPH1_01T18447;FGRAMPH1_01T11471;FGRAMPH1_01T24923;FGRAMPH1_01T17693;FGRAMPH1_01T21815;FGRAMPH1_01T02911;FGRAMPH1_01T02677;FGRAMPH1_01T11907;FGRAMPH1_01T03687;FGRAMPH1_01T04215;FGRAMPH1_01T23953;FGRAMPH1_01T00099;FGRAMPH1_01T22621;FGRAMPH1_01T23633;FGRAMPH1_01T28057;FGRAMPH1_01T07923;FGRAMPH1_01T15947;FGRAMPH1_01T13207;FGRAMPH1_01T12997;FGRAMPH1_01T14017;FGRAMPH1_01T12311;FGRAMPH1_01T14653;FGRAMPH1_01T12493;FGRAMPH1_01T21207;FGRAMPH1_01T21603;FGRAMPH1_01T00829;FGRAMPH1_01T14035;FGRAMPH1_01T18631;FGRAMPH1_01T01955;FGRAMPH1_01T02847;FGRAMPH1_01T16173;FGRAMPH1_01T00347;FGRAMPH1_01T09201;FGRAMPH1_01T08275;FGRAMPH1_01T02007;FGRAMPH1_01T03337;FGRAMPH1_01T08673;FGRAMPH1_01T22579;FGRAMPH1_01T00583;FGRAMPH1_01T05367;FGRAMPH1_01T06973;FGRAMPH1_01T04355;FGRAMPH1_01T10869;FGRAMPH1_01T04277;FGRAMPH1_01T26265;FGRAMPH1_01T27873;FGRAMPH1_01T15877;FGRAMPH1_01T12601;FGRAMPH1_01T12521;FGRAMPH1_01T13411;FGRAMPH1_01T11293;FGRAMPH1_01T21911;FGRAMPH1_01T12261;FGRAMPH1_01T22527;FGRAMPH1_01T03707;FGRAMPH1_01T18761;FGRAMPH1_01T27819;FGRAMPH1_01T09295;FGRAMPH1_01T05177;FGRAMPH1_01T21599;FGRAMPH1_01T28227;FGRAMPH1_01T00399;FGRAMPH1_01T27899;FGRAMPH1_01T20191;FGRAMPH1_01T05689;FGRAMPH1_01T11921;FGRAMPH1_01T19361;FGRAMPH1_01T12335;FGRAMPH1_01T15009;FGRAMPH1_01T14235;FGRAMPH1_01T16811;FGRAMPH1_01T11201</t>
  </si>
  <si>
    <t>FGRAMPH1_01T25909;FGRAMPH1_01T18011;FGRAMPH1_01T25227;FGRAMPH1_01T20697;FGRAMPH1_01T09789;FGRAMPH1_01T24377;FGRAMPH1_01T05983;FGRAMPH1_01T27403;FGRAMPH1_01T03563;FGRAMPH1_01T08207;FGRAMPH1_01T11617;FGRAMPH1_01T25351;FGRAMPH1_01T26563;FGRAMPH1_01T12829;FGRAMPH1_01T15779;FGRAMPH1_01T14687;FGRAMPH1_01T18921;FGRAMPH1_01T24809;FGRAMPH1_01T00857;FGRAMPH1_01T24923;FGRAMPH1_01T01947;FGRAMPH1_01T23959;FGRAMPH1_01T02911;FGRAMPH1_01T23277;FGRAMPH1_01T09673;FGRAMPH1_01T03687;FGRAMPH1_01T23953;FGRAMPH1_01T26423;FGRAMPH1_01T22621;FGRAMPH1_01T28057;FGRAMPH1_01T06833;FGRAMPH1_01T07923;FGRAMPH1_01T03691;FGRAMPH1_01T21207;FGRAMPH1_01T13141;FGRAMPH1_01T01955;FGRAMPH1_01T09201;FGRAMPH1_01T27309;FGRAMPH1_01T02007;FGRAMPH1_01T03337;FGRAMPH1_01T06059;FGRAMPH1_01T02003;FGRAMPH1_01T06973;FGRAMPH1_01T26583;FGRAMPH1_01T27551;FGRAMPH1_01T05877;FGRAMPH1_01T12727;FGRAMPH1_01T17739;FGRAMPH1_01T11513;FGRAMPH1_01T12601;FGRAMPH1_01T13377;FGRAMPH1_01T14587;FGRAMPH1_01T22527;FGRAMPH1_01T00635;FGRAMPH1_01T27533;FGRAMPH1_01T27899;FGRAMPH1_01T13941;FGRAMPH1_01T19487;FGRAMPH1_01T14235;FGRAMPH1_01T12473;FGRAMPH1_01T21865;FGRAMPH1_01T13561;FGRAMPH1_01T16031;FGRAMPH1_01T01575;FGRAMPH1_01T04721;FGRAMPH1_01T00485;FGRAMPH1_01T10849;FGRAMPH1_01T04055;FGRAMPH1_01T04175;FGRAMPH1_01T12349;FGRAMPH1_01T17237;FGRAMPH1_01T18447;FGRAMPH1_01T17499;FGRAMPH1_01T22945;FGRAMPH1_01T16041;FGRAMPH1_01T20407;FGRAMPH1_01T03527;FGRAMPH1_01T02677;FGRAMPH1_01T25897;FGRAMPH1_01T15629;FGRAMPH1_01T13207;FGRAMPH1_01T19421;FGRAMPH1_01T14653;FGRAMPH1_01T00829;FGRAMPH1_01T17387;FGRAMPH1_01T05281;FGRAMPH1_01T16173;FGRAMPH1_01T27625;FGRAMPH1_01T01237;FGRAMPH1_01T08673;FGRAMPH1_01T03783;FGRAMPH1_01T10869;FGRAMPH1_01T03781;FGRAMPH1_01T06921;FGRAMPH1_01T27873;FGRAMPH1_01T04197;FGRAMPH1_01T05837;FGRAMPH1_01T10747;FGRAMPH1_01T11037;FGRAMPH1_01T15877;FGRAMPH1_01T11293;FGRAMPH1_01T12261;FGRAMPH1_01T17399;FGRAMPH1_01T18485;FGRAMPH1_01T27739;FGRAMPH1_01T17273;FGRAMPH1_01T05177;FGRAMPH1_01T00399;FGRAMPH1_01T22721;FGRAMPH1_01T23139;FGRAMPH1_01T03301;FGRAMPH1_01T24111;FGRAMPH1_01T05845;FGRAMPH1_01T16597;FGRAMPH1_01T17563;FGRAMPH1_01T08173;FGRAMPH1_01T24893;FGRAMPH1_01T05585;FGRAMPH1_01T25983;FGRAMPH1_01T05223;FGRAMPH1_01T09941;FGRAMPH1_01T08967;FGRAMPH1_01T09939;FGRAMPH1_01T12303;FGRAMPH1_01T10243;FGRAMPH1_01T10123;FGRAMPH1_01T14981;FGRAMPH1_01T08061;FGRAMPH1_01T17693;FGRAMPH1_01T21815;FGRAMPH1_01T05591;FGRAMPH1_01T02513;FGRAMPH1_01T03601;FGRAMPH1_01T11907;FGRAMPH1_01T27117;FGRAMPH1_01T07529;FGRAMPH1_01T15947;FGRAMPH1_01T12677;FGRAMPH1_01T12311;FGRAMPH1_01T21603;FGRAMPH1_01T00347;FGRAMPH1_01T04029;FGRAMPH1_01T02763;FGRAMPH1_01T00583;FGRAMPH1_01T28119;FGRAMPH1_01T05367;FGRAMPH1_01T24555;FGRAMPH1_01T09715;FGRAMPH1_01T04277;FGRAMPH1_01T19093;FGRAMPH1_01T07419;FGRAMPH1_01T13417;FGRAMPH1_01T19531;FGRAMPH1_01T14743;FGRAMPH1_01T19533;FGRAMPH1_01T13411;FGRAMPH1_01T22923;FGRAMPH1_01T20747;FGRAMPH1_01T27819;FGRAMPH1_01T09295;FGRAMPH1_01T28227;FGRAMPH1_01T20191;FGRAMPH1_01T11921;FGRAMPH1_01T20193;FGRAMPH1_01T26175;FGRAMPH1_01T12335;FGRAMPH1_01T14997;FGRAMPH1_01T14995;FGRAMPH1_01T16811;FGRAMPH1_01T18611;FGRAMPH1_01T14373;FGRAMPH1_01T01859;FGRAMPH1_01T24853;FGRAMPH1_01T02943;FGRAMPH1_01T18171;FGRAMPH1_01T00761;FGRAMPH1_01T06079;FGRAMPH1_01T07169;FGRAMPH1_01T24059;FGRAMPH1_01T24187;FGRAMPH1_01T18849;FGRAMPH1_01T18727;FGRAMPH1_01T12067;FGRAMPH1_01T16789;FGRAMPH1_01T17997;FGRAMPH1_01T17633;FGRAMPH1_01T13175;FGRAMPH1_01T23759;FGRAMPH1_01T09591;FGRAMPH1_01T19939;FGRAMPH1_01T19819;FGRAMPH1_01T04215;FGRAMPH1_01T00099;FGRAMPH1_01T05787;FGRAMPH1_01T04581;FGRAMPH1_01T11307;FGRAMPH1_01T19021;FGRAMPH1_01T12997;FGRAMPH1_01T14017;FGRAMPH1_01T14035;FGRAMPH1_01T18631;FGRAMPH1_01T02847;FGRAMPH1_01T07185;FGRAMPH1_01T08275;FGRAMPH1_01T03811;FGRAMPH1_01T20273;FGRAMPH1_01T06893;FGRAMPH1_01T27349;FGRAMPH1_01T04355;FGRAMPH1_01T26265;FGRAMPH1_01T27353;FGRAMPH1_01T26261;FGRAMPH1_01T13975;FGRAMPH1_01T12767;FGRAMPH1_01T12521;FGRAMPH1_01T21911;FGRAMPH1_01T16221;FGRAMPH1_01T03707;FGRAMPH1_01T18761;FGRAMPH1_01T26801;FGRAMPH1_01T21599;FGRAMPH1_01T03269;FGRAMPH1_01T18081;FGRAMPH1_01T03389;FGRAMPH1_01T04115;FGRAMPH1_01T06413;FGRAMPH1_01T25165;FGRAMPH1_01T02185;FGRAMPH1_01T05689;FGRAMPH1_01T12415;FGRAMPH1_01T15009;FGRAMPH1_01T11201;FGRAMPH1_01T18513;FGRAMPH1_01T19843</t>
  </si>
  <si>
    <t>FGRAMPH1_01T25909;FGRAMPH1_01T00963;FGRAMPH1_01T09541;FGRAMPH1_01T09789;FGRAMPH1_01T26313;FGRAMPH1_01T25351;FGRAMPH1_01T26563;FGRAMPH1_01T12829;FGRAMPH1_01T26443;FGRAMPH1_01T02591;FGRAMPH1_01T19471;FGRAMPH1_01T11851;FGRAMPH1_01T15779;FGRAMPH1_01T19597;FGRAMPH1_01T14687;FGRAMPH1_01T18921;FGRAMPH1_01T22989;FGRAMPH1_01T00979;FGRAMPH1_01T18023;FGRAMPH1_01T17175;FGRAMPH1_01T18385;FGRAMPH1_01T17051;FGRAMPH1_01T23277;FGRAMPH1_01T09673;FGRAMPH1_01T03687;FGRAMPH1_01T04655;FGRAMPH1_01T26787;FGRAMPH1_01T23281;FGRAMPH1_01T24375;FGRAMPH1_01T12955;FGRAMPH1_01T21207;FGRAMPH1_01T13141;FGRAMPH1_01T20595;FGRAMPH1_01T27309;FGRAMPH1_01T02007;FGRAMPH1_01T03337;FGRAMPH1_01T03455;FGRAMPH1_01T26457;FGRAMPH1_01T02003;FGRAMPH1_01T06973;FGRAMPH1_01T20597;FGRAMPH1_01T23191;FGRAMPH1_01T13377;FGRAMPH1_01T14587;FGRAMPH1_01T17735;FGRAMPH1_01T17079;FGRAMPH1_01T27533;FGRAMPH1_01T27899;FGRAMPH1_01T03111;FGRAMPH1_01T13941;FGRAMPH1_01T28195;FGRAMPH1_01T19487;FGRAMPH1_01T14235;FGRAMPH1_01T11881;FGRAMPH1_01T12473;FGRAMPH1_01T13561;FGRAMPH1_01T16395;FGRAMPH1_01T19309;FGRAMPH1_01T01575;FGRAMPH1_01T04721;FGRAMPH1_01T09859;FGRAMPH1_01T04055;FGRAMPH1_01T04175;FGRAMPH1_01T15731;FGRAMPH1_01T17237;FGRAMPH1_01T18447;FGRAMPH1_01T17499;FGRAMPH1_01T16041;FGRAMPH1_01T09993;FGRAMPH1_01T24449;FGRAMPH1_01T01343;FGRAMPH1_01T14653;FGRAMPH1_01T18115;FGRAMPH1_01T17387;FGRAMPH1_01T23823;FGRAMPH1_01T26419;FGRAMPH1_01T05281;FGRAMPH1_01T16173;FGRAMPH1_01T24237;FGRAMPH1_01T01237;FGRAMPH1_01T08557;FGRAMPH1_01T23941;FGRAMPH1_01T07459;FGRAMPH1_01T27873;FGRAMPH1_01T04197;FGRAMPH1_01T05837;FGRAMPH1_01T10747;FGRAMPH1_01T15515;FGRAMPH1_01T11293;FGRAMPH1_01T17399;FGRAMPH1_01T23813;FGRAMPH1_01T00399;FGRAMPH1_01T05299;FGRAMPH1_01T05963;FGRAMPH1_01T27067;FGRAMPH1_01T05845;FGRAMPH1_01T14313;FGRAMPH1_01T14555;FGRAMPH1_01T16597;FGRAMPH1_01T17563;FGRAMPH1_01T06791;FGRAMPH1_01T18095;FGRAMPH1_01T24893;FGRAMPH1_01T08967;FGRAMPH1_01T06307;FGRAMPH1_01T09939;FGRAMPH1_01T12303;FGRAMPH1_01T10001;FGRAMPH1_01T10243;FGRAMPH1_01T17693;FGRAMPH1_01T05591;FGRAMPH1_01T26701;FGRAMPH1_01T02513;FGRAMPH1_01T03601;FGRAMPH1_01T22225;FGRAMPH1_01T02871;FGRAMPH1_01T27117;FGRAMPH1_01T02087;FGRAMPH1_01T07529;FGRAMPH1_01T13407;FGRAMPH1_01T16915;FGRAMPH1_01T03291;FGRAMPH1_01T12677;FGRAMPH1_01T12311;FGRAMPH1_01T21603;FGRAMPH1_01T18551;FGRAMPH1_01T01677;FGRAMPH1_01T00583;FGRAMPH1_01T28119;FGRAMPH1_01T02891;FGRAMPH1_01T19093;FGRAMPH1_01T07419;FGRAMPH1_01T13417;FGRAMPH1_01T18309;FGRAMPH1_01T11117;FGRAMPH1_01T19533;FGRAMPH1_01T19413;FGRAMPH1_01T27819;FGRAMPH1_01T02655;FGRAMPH1_01T26721;FGRAMPH1_01T26175;FGRAMPH1_01T14997;FGRAMPH1_01T14995;FGRAMPH1_01T16811;FGRAMPH1_01T17349;FGRAMPH1_01T20019;FGRAMPH1_01T25829;FGRAMPH1_01T03911;FGRAMPH1_01T23641;FGRAMPH1_01T20493;FGRAMPH1_01T06079;FGRAMPH1_01T07169;FGRAMPH1_01T24059;FGRAMPH1_01T24187;FGRAMPH1_01T18849;FGRAMPH1_01T15217;FGRAMPH1_01T18727;FGRAMPH1_01T17997;FGRAMPH1_01T17633;FGRAMPH1_01T23759;FGRAMPH1_01T19819;FGRAMPH1_01T04215;FGRAMPH1_01T03373;FGRAMPH1_01T26597;FGRAMPH1_01T04581;FGRAMPH1_01T11669;FGRAMPH1_01T28097;FGRAMPH1_01T19021;FGRAMPH1_01T19143;FGRAMPH1_01T18631;FGRAMPH1_01T07185;FGRAMPH1_01T20715;FGRAMPH1_01T08275;FGRAMPH1_01T03811;FGRAMPH1_01T20273;FGRAMPH1_01T06893;FGRAMPH1_01T27349;FGRAMPH1_01T04355;FGRAMPH1_01T27353;FGRAMPH1_01T13975;FGRAMPH1_01T12521;FGRAMPH1_01T23537;FGRAMPH1_01T03707;FGRAMPH1_01T18761;FGRAMPH1_01T04115;FGRAMPH1_01T09017;FGRAMPH1_01T07745;FGRAMPH1_01T01891;FGRAMPH1_01T02185;FGRAMPH1_01T05689;FGRAMPH1_01T07747;FGRAMPH1_01T12415;FGRAMPH1_01T19843</t>
  </si>
  <si>
    <t>FGRAMPH1_01T18611;FGRAMPH1_01T21865;FGRAMPH1_01T13561;FGRAMPH1_01T16031;FGRAMPH1_01T24853;FGRAMPH1_01T25227;FGRAMPH1_01T24893;FGRAMPH1_01T05585;FGRAMPH1_01T09789;FGRAMPH1_01T24377;FGRAMPH1_01T11617;FGRAMPH1_01T10849;FGRAMPH1_01T08967;FGRAMPH1_01T12829;FGRAMPH1_01T27493;FGRAMPH1_01T12303;FGRAMPH1_01T12349;FGRAMPH1_01T18727;FGRAMPH1_01T15779;FGRAMPH1_01T16789;FGRAMPH1_01T10123;FGRAMPH1_01T18447;FGRAMPH1_01T11471;FGRAMPH1_01T24923;FGRAMPH1_01T17693;FGRAMPH1_01T21815;FGRAMPH1_01T02911;FGRAMPH1_01T02677;FGRAMPH1_01T11907;FGRAMPH1_01T03687;FGRAMPH1_01T04215;FGRAMPH1_01T23953;FGRAMPH1_01T00099;FGRAMPH1_01T22621;FGRAMPH1_01T23633;FGRAMPH1_01T28057;FGRAMPH1_01T07923;FGRAMPH1_01T15947;FGRAMPH1_01T13207;FGRAMPH1_01T12997;FGRAMPH1_01T14017;FGRAMPH1_01T12311;FGRAMPH1_01T14653;FGRAMPH1_01T12493;FGRAMPH1_01T21207;FGRAMPH1_01T21603;FGRAMPH1_01T00829;FGRAMPH1_01T14035;FGRAMPH1_01T18631;FGRAMPH1_01T01955;FGRAMPH1_01T02847;FGRAMPH1_01T16173;FGRAMPH1_01T00347;FGRAMPH1_01T09201;FGRAMPH1_01T08275;FGRAMPH1_01T02007;FGRAMPH1_01T03337;FGRAMPH1_01T08673;FGRAMPH1_01T00583;FGRAMPH1_01T05367;FGRAMPH1_01T06973;FGRAMPH1_01T04355;FGRAMPH1_01T10869;FGRAMPH1_01T04277;FGRAMPH1_01T26265;FGRAMPH1_01T27873;FGRAMPH1_01T15877;FGRAMPH1_01T12601;FGRAMPH1_01T12521;FGRAMPH1_01T13411;FGRAMPH1_01T21911;FGRAMPH1_01T12261;FGRAMPH1_01T22527;FGRAMPH1_01T03707;FGRAMPH1_01T18761;FGRAMPH1_01T27819;FGRAMPH1_01T09295;FGRAMPH1_01T05177;FGRAMPH1_01T21599;FGRAMPH1_01T28227;FGRAMPH1_01T00399;FGRAMPH1_01T27899;FGRAMPH1_01T20191;FGRAMPH1_01T05689;FGRAMPH1_01T11921;FGRAMPH1_01T19361;FGRAMPH1_01T12335;FGRAMPH1_01T15009;FGRAMPH1_01T14235;FGRAMPH1_01T16811;FGRAMPH1_01T11201</t>
  </si>
  <si>
    <t>FGRAMPH1_01T16597;FGRAMPH1_01T12473;FGRAMPH1_01T13561;FGRAMPH1_01T25909;FGRAMPH1_01T00963;FGRAMPH1_01T24893;FGRAMPH1_01T04721;FGRAMPH1_01T09789;FGRAMPH1_01T26313;FGRAMPH1_01T25351;FGRAMPH1_01T26563;FGRAMPH1_01T08967;FGRAMPH1_01T12829;FGRAMPH1_01T04175;FGRAMPH1_01T12303;FGRAMPH1_01T18849;FGRAMPH1_01T18727;FGRAMPH1_01T15779;FGRAMPH1_01T10243;FGRAMPH1_01T17997;FGRAMPH1_01T18921;FGRAMPH1_01T17237;FGRAMPH1_01T17633;FGRAMPH1_01T18447;FGRAMPH1_01T17693;FGRAMPH1_01T16041;FGRAMPH1_01T05591;FGRAMPH1_01T02513;FGRAMPH1_01T04215;FGRAMPH1_01T19021;FGRAMPH1_01T12677;FGRAMPH1_01T12311;FGRAMPH1_01T14653;FGRAMPH1_01T21207;FGRAMPH1_01T21603;FGRAMPH1_01T13141;FGRAMPH1_01T18631;FGRAMPH1_01T16173;FGRAMPH1_01T08275;FGRAMPH1_01T03811;FGRAMPH1_01T27309;FGRAMPH1_01T02007;FGRAMPH1_01T03337;FGRAMPH1_01T06893;FGRAMPH1_01T00583;FGRAMPH1_01T27349;FGRAMPH1_01T20597;FGRAMPH1_01T04355;FGRAMPH1_01T27353;FGRAMPH1_01T19093;FGRAMPH1_01T27873;FGRAMPH1_01T04197;FGRAMPH1_01T13417;FGRAMPH1_01T05837;FGRAMPH1_01T13975;FGRAMPH1_01T18309;FGRAMPH1_01T13377;FGRAMPH1_01T17735;FGRAMPH1_01T12521;FGRAMPH1_01T17079;FGRAMPH1_01T23537;FGRAMPH1_01T03707;FGRAMPH1_01T18761;FGRAMPH1_01T27819;FGRAMPH1_01T00399;FGRAMPH1_01T27899;FGRAMPH1_01T05689;FGRAMPH1_01T05845;FGRAMPH1_01T13941;FGRAMPH1_01T12415;FGRAMPH1_01T19487;FGRAMPH1_01T14235;FGRAMPH1_01T16811</t>
  </si>
  <si>
    <t>FGRAMPH1_01T18611;FGRAMPH1_01T21865;FGRAMPH1_01T13561;FGRAMPH1_01T16031;FGRAMPH1_01T24853;FGRAMPH1_01T25227;FGRAMPH1_01T24893;FGRAMPH1_01T05585;FGRAMPH1_01T09789;FGRAMPH1_01T24377;FGRAMPH1_01T11617;FGRAMPH1_01T10849;FGRAMPH1_01T08967;FGRAMPH1_01T12829;FGRAMPH1_01T27493;FGRAMPH1_01T12303;FGRAMPH1_01T12349;FGRAMPH1_01T18727;FGRAMPH1_01T15779;FGRAMPH1_01T16789;FGRAMPH1_01T10123;FGRAMPH1_01T18447;FGRAMPH1_01T11471;FGRAMPH1_01T24923;FGRAMPH1_01T17693;FGRAMPH1_01T21815;FGRAMPH1_01T02911;FGRAMPH1_01T02677;FGRAMPH1_01T11907;FGRAMPH1_01T03687;FGRAMPH1_01T04215;FGRAMPH1_01T23953;FGRAMPH1_01T00099;FGRAMPH1_01T22621;FGRAMPH1_01T23633;FGRAMPH1_01T28057;FGRAMPH1_01T07923;FGRAMPH1_01T15947;FGRAMPH1_01T13207;FGRAMPH1_01T12997;FGRAMPH1_01T14017;FGRAMPH1_01T12311;FGRAMPH1_01T14653;FGRAMPH1_01T12493;FGRAMPH1_01T21207;FGRAMPH1_01T21603;FGRAMPH1_01T00829;FGRAMPH1_01T14035;FGRAMPH1_01T18631;FGRAMPH1_01T01955;FGRAMPH1_01T02847;FGRAMPH1_01T16173;FGRAMPH1_01T00347;FGRAMPH1_01T09201;FGRAMPH1_01T08275;FGRAMPH1_01T02007;FGRAMPH1_01T03337;FGRAMPH1_01T08673;FGRAMPH1_01T00583;FGRAMPH1_01T05367;FGRAMPH1_01T06973;FGRAMPH1_01T04355;FGRAMPH1_01T10869;FGRAMPH1_01T04277;FGRAMPH1_01T26265;FGRAMPH1_01T27873;FGRAMPH1_01T15877;FGRAMPH1_01T12601;FGRAMPH1_01T12521;FGRAMPH1_01T13411;FGRAMPH1_01T11293;FGRAMPH1_01T21911;FGRAMPH1_01T12261;FGRAMPH1_01T22527;FGRAMPH1_01T03707;FGRAMPH1_01T18761;FGRAMPH1_01T27819;FGRAMPH1_01T09295;FGRAMPH1_01T05177;FGRAMPH1_01T21599;FGRAMPH1_01T28227;FGRAMPH1_01T00399;FGRAMPH1_01T27899;FGRAMPH1_01T20191;FGRAMPH1_01T05689;FGRAMPH1_01T11921;FGRAMPH1_01T19361;FGRAMPH1_01T12335;FGRAMPH1_01T15009;FGRAMPH1_01T14235;FGRAMPH1_01T16811;FGRAMPH1_01T11201</t>
  </si>
  <si>
    <t>FGRAMPH1_01T12393;FGRAMPH1_01T25909;FGRAMPH1_01T24017;FGRAMPH1_01T25227;FGRAMPH1_01T21781;FGRAMPH1_01T03555;FGRAMPH1_01T09789;FGRAMPH1_01T24377;FGRAMPH1_01T26313;FGRAMPH1_01T11617;FGRAMPH1_01T25351;FGRAMPH1_01T12829;FGRAMPH1_01T06829;FGRAMPH1_01T11733;FGRAMPH1_01T15779;FGRAMPH1_01T02909;FGRAMPH1_01T00619;FGRAMPH1_01T24923;FGRAMPH1_01T01947;FGRAMPH1_01T02911;FGRAMPH1_01T27637;FGRAMPH1_01T25339;FGRAMPH1_01T26423;FGRAMPH1_01T07923;FGRAMPH1_01T09427;FGRAMPH1_01T11509;FGRAMPH1_01T21207;FGRAMPH1_01T13141;FGRAMPH1_01T09201;FGRAMPH1_01T21321;FGRAMPH1_01T27309;FGRAMPH1_01T02007;FGRAMPH1_01T21685;FGRAMPH1_01T00067;FGRAMPH1_01T05633;FGRAMPH1_01T12727;FGRAMPH1_01T11513;FGRAMPH1_01T12601;FGRAMPH1_01T13377;FGRAMPH1_01T17735;FGRAMPH1_01T13153;FGRAMPH1_01T22527;FGRAMPH1_01T21557;FGRAMPH1_01T00635;FGRAMPH1_01T00631;FGRAMPH1_01T27899;FGRAMPH1_01T13941;FGRAMPH1_01T14235;FGRAMPH1_01T12473;FGRAMPH1_01T21865;FGRAMPH1_01T13561;FGRAMPH1_01T16151;FGRAMPH1_01T16031;FGRAMPH1_01T20411;FGRAMPH1_01T10849;FGRAMPH1_01T05811;FGRAMPH1_01T04175;FGRAMPH1_01T12349;FGRAMPH1_01T17237;FGRAMPH1_01T18447;FGRAMPH1_01T22945;FGRAMPH1_01T11273;FGRAMPH1_01T16041;FGRAMPH1_01T09993;FGRAMPH1_01T23475;FGRAMPH1_01T02677;FGRAMPH1_01T25897;FGRAMPH1_01T15629;FGRAMPH1_01T13207;FGRAMPH1_01T14653;FGRAMPH1_01T12493;FGRAMPH1_01T00829;FGRAMPH1_01T16173;FGRAMPH1_01T16171;FGRAMPH1_01T27625;FGRAMPH1_01T08673;FGRAMPH1_01T08435;FGRAMPH1_01T10869;FGRAMPH1_01T27873;FGRAMPH1_01T04197;FGRAMPH1_01T05837;FGRAMPH1_01T15877;FGRAMPH1_01T12261;FGRAMPH1_01T18485;FGRAMPH1_01T27739;FGRAMPH1_01T15091;FGRAMPH1_01T05177;FGRAMPH1_01T00399;FGRAMPH1_01T01367;FGRAMPH1_01T05963;FGRAMPH1_01T05845;FGRAMPH1_01T11963;FGRAMPH1_01T16597;FGRAMPH1_01T08173;FGRAMPH1_01T19749;FGRAMPH1_01T02625;FGRAMPH1_01T08179;FGRAMPH1_01T05585;FGRAMPH1_01T21941;FGRAMPH1_01T25983;FGRAMPH1_01T04247;FGRAMPH1_01T05223;FGRAMPH1_01T27921;FGRAMPH1_01T09941;FGRAMPH1_01T05215;FGRAMPH1_01T08967;FGRAMPH1_01T12303;FGRAMPH1_01T10001;FGRAMPH1_01T10243;FGRAMPH1_01T10123;FGRAMPH1_01T14981;FGRAMPH1_01T09033;FGRAMPH1_01T17693;FGRAMPH1_01T21815;FGRAMPH1_01T05591;FGRAMPH1_01T11907;FGRAMPH1_01T15947;FGRAMPH1_01T12677;FGRAMPH1_01T12311;FGRAMPH1_01T21603;FGRAMPH1_01T00347;FGRAMPH1_01T25889;FGRAMPH1_01T00583;FGRAMPH1_01T02761;FGRAMPH1_01T05367;FGRAMPH1_01T09715;FGRAMPH1_01T04277;FGRAMPH1_01T08987;FGRAMPH1_01T19093;FGRAMPH1_01T13417;FGRAMPH1_01T26181;FGRAMPH1_01T26061;FGRAMPH1_01T13411;FGRAMPH1_01T20747;FGRAMPH1_01T27819;FGRAMPH1_01T09295;FGRAMPH1_01T21277;FGRAMPH1_01T05375;FGRAMPH1_01T28227;FGRAMPH1_01T11921;FGRAMPH1_01T12335;FGRAMPH1_01T16811;FGRAMPH1_01T18611;FGRAMPH1_01T14373;FGRAMPH1_01T02943;FGRAMPH1_01T24973;FGRAMPH1_01T05897;FGRAMPH1_01T08807;FGRAMPH1_01T18849;FGRAMPH1_01T18727;FGRAMPH1_01T11771;FGRAMPH1_01T12067;FGRAMPH1_01T16789;FGRAMPH1_01T17997;FGRAMPH1_01T17633;FGRAMPH1_01T13175;FGRAMPH1_01T19819;FGRAMPH1_01T04215;FGRAMPH1_01T00099;FGRAMPH1_01T05787;FGRAMPH1_01T11669;FGRAMPH1_01T14019;FGRAMPH1_01T12997;FGRAMPH1_01T14017;FGRAMPH1_01T14035;FGRAMPH1_01T18631;FGRAMPH1_01T02847;FGRAMPH1_01T08275;FGRAMPH1_01T03811;FGRAMPH1_01T06893;FGRAMPH1_01T04105;FGRAMPH1_01T27349;FGRAMPH1_01T04355;FGRAMPH1_01T27353;FGRAMPH1_01T13975;FGRAMPH1_01T12767;FGRAMPH1_01T13855;FGRAMPH1_01T12521;FGRAMPH1_01T21911;FGRAMPH1_01T16221;FGRAMPH1_01T03707;FGRAMPH1_01T18761;FGRAMPH1_01T24507;FGRAMPH1_01T01527;FGRAMPH1_01T00675;FGRAMPH1_01T21599;FGRAMPH1_01T04235;FGRAMPH1_01T08963;FGRAMPH1_01T06413;FGRAMPH1_01T25165;FGRAMPH1_01T05689;FGRAMPH1_01T12415;FGRAMPH1_01T19167;FGRAMPH1_01T11201</t>
  </si>
  <si>
    <t>FGRAMPH1_01T16597;FGRAMPH1_01T17563;FGRAMPH1_01T25909;FGRAMPH1_01T00963;FGRAMPH1_01T06791;FGRAMPH1_01T18095;FGRAMPH1_01T09541;FGRAMPH1_01T24893;FGRAMPH1_01T09789;FGRAMPH1_01T26313;FGRAMPH1_01T25351;FGRAMPH1_01T26563;FGRAMPH1_01T08967;FGRAMPH1_01T12829;FGRAMPH1_01T26443;FGRAMPH1_01T06307;FGRAMPH1_01T09939;FGRAMPH1_01T02591;FGRAMPH1_01T11851;FGRAMPH1_01T12303;FGRAMPH1_01T15779;FGRAMPH1_01T14687;FGRAMPH1_01T10001;FGRAMPH1_01T10243;FGRAMPH1_01T18921;FGRAMPH1_01T22989;FGRAMPH1_01T00979;FGRAMPH1_01T17693;FGRAMPH1_01T17175;FGRAMPH1_01T05591;FGRAMPH1_01T17051;FGRAMPH1_01T23277;FGRAMPH1_01T02513;FGRAMPH1_01T03601;FGRAMPH1_01T09673;FGRAMPH1_01T03687;FGRAMPH1_01T04655;FGRAMPH1_01T02871;FGRAMPH1_01T26787;FGRAMPH1_01T27117;FGRAMPH1_01T23281;FGRAMPH1_01T02087;FGRAMPH1_01T07529;FGRAMPH1_01T13407;FGRAMPH1_01T12955;FGRAMPH1_01T16915;FGRAMPH1_01T03291;FGRAMPH1_01T12677;FGRAMPH1_01T12311;FGRAMPH1_01T21207;FGRAMPH1_01T21603;FGRAMPH1_01T13141;FGRAMPH1_01T20595;FGRAMPH1_01T27309;FGRAMPH1_01T01677;FGRAMPH1_01T02007;FGRAMPH1_01T03337;FGRAMPH1_01T00583;FGRAMPH1_01T03455;FGRAMPH1_01T28119;FGRAMPH1_01T02003;FGRAMPH1_01T06973;FGRAMPH1_01T20597;FGRAMPH1_01T02891;FGRAMPH1_01T19093;FGRAMPH1_01T23191;FGRAMPH1_01T07419;FGRAMPH1_01T13417;FGRAMPH1_01T18309;FGRAMPH1_01T11117;FGRAMPH1_01T13377;FGRAMPH1_01T14587;FGRAMPH1_01T17735;FGRAMPH1_01T19533;FGRAMPH1_01T19413;FGRAMPH1_01T17079;FGRAMPH1_01T27819;FGRAMPH1_01T02655;FGRAMPH1_01T27533;FGRAMPH1_01T27899;FGRAMPH1_01T26721;FGRAMPH1_01T03111;FGRAMPH1_01T13941;FGRAMPH1_01T14997;FGRAMPH1_01T28195;FGRAMPH1_01T19487;FGRAMPH1_01T14235;FGRAMPH1_01T14995;FGRAMPH1_01T11881;FGRAMPH1_01T16811;FGRAMPH1_01T17349;FGRAMPH1_01T20019;FGRAMPH1_01T25829;FGRAMPH1_01T12473;FGRAMPH1_01T13561;FGRAMPH1_01T16395;FGRAMPH1_01T19309;FGRAMPH1_01T03911;FGRAMPH1_01T23641;FGRAMPH1_01T20493;FGRAMPH1_01T01575;FGRAMPH1_01T06079;FGRAMPH1_01T07169;FGRAMPH1_01T04721;FGRAMPH1_01T24059;FGRAMPH1_01T09859;FGRAMPH1_01T24187;FGRAMPH1_01T04055;FGRAMPH1_01T04175;FGRAMPH1_01T18849;FGRAMPH1_01T15217;FGRAMPH1_01T18727;FGRAMPH1_01T17997;FGRAMPH1_01T15731;FGRAMPH1_01T17237;FGRAMPH1_01T17633;FGRAMPH1_01T18447;FGRAMPH1_01T17499;FGRAMPH1_01T23759;FGRAMPH1_01T16041;FGRAMPH1_01T09993;FGRAMPH1_01T19819;FGRAMPH1_01T24449;FGRAMPH1_01T04215;FGRAMPH1_01T03373;FGRAMPH1_01T04581;FGRAMPH1_01T11669;FGRAMPH1_01T28097;FGRAMPH1_01T19021;FGRAMPH1_01T19143;FGRAMPH1_01T14653;FGRAMPH1_01T18115;FGRAMPH1_01T18631;FGRAMPH1_01T17387;FGRAMPH1_01T23823;FGRAMPH1_01T26419;FGRAMPH1_01T05281;FGRAMPH1_01T07185;FGRAMPH1_01T16173;FGRAMPH1_01T20715;FGRAMPH1_01T24237;FGRAMPH1_01T08275;FGRAMPH1_01T03811;FGRAMPH1_01T20273;FGRAMPH1_01T01237;FGRAMPH1_01T06893;FGRAMPH1_01T23941;FGRAMPH1_01T27349;FGRAMPH1_01T04355;FGRAMPH1_01T07459;FGRAMPH1_01T27353;FGRAMPH1_01T27873;FGRAMPH1_01T04197;FGRAMPH1_01T05837;FGRAMPH1_01T10747;FGRAMPH1_01T13975;FGRAMPH1_01T15515;FGRAMPH1_01T12521;FGRAMPH1_01T11293;FGRAMPH1_01T17399;FGRAMPH1_01T23813;FGRAMPH1_01T23537;FGRAMPH1_01T03707;FGRAMPH1_01T18761;FGRAMPH1_01T00399;FGRAMPH1_01T05299;FGRAMPH1_01T04115;FGRAMPH1_01T09017;FGRAMPH1_01T07745;FGRAMPH1_01T01891;FGRAMPH1_01T02185;FGRAMPH1_01T05689;FGRAMPH1_01T07747;FGRAMPH1_01T05845;FGRAMPH1_01T12415;FGRAMPH1_01T14313;FGRAMPH1_01T19843</t>
  </si>
  <si>
    <t>FGRAMPH1_01T25909;FGRAMPH1_01T00963;FGRAMPH1_01T09541;FGRAMPH1_01T09789;FGRAMPH1_01T26313;FGRAMPH1_01T25351;FGRAMPH1_01T26563;FGRAMPH1_01T12829;FGRAMPH1_01T26443;FGRAMPH1_01T02591;FGRAMPH1_01T19471;FGRAMPH1_01T11851;FGRAMPH1_01T15779;FGRAMPH1_01T19597;FGRAMPH1_01T14687;FGRAMPH1_01T18921;FGRAMPH1_01T22989;FGRAMPH1_01T00979;FGRAMPH1_01T18023;FGRAMPH1_01T17175;FGRAMPH1_01T18385;FGRAMPH1_01T17051;FGRAMPH1_01T23277;FGRAMPH1_01T09673;FGRAMPH1_01T03687;FGRAMPH1_01T04655;FGRAMPH1_01T26787;FGRAMPH1_01T23281;FGRAMPH1_01T24375;FGRAMPH1_01T12955;FGRAMPH1_01T21207;FGRAMPH1_01T13141;FGRAMPH1_01T18037;FGRAMPH1_01T20595;FGRAMPH1_01T27309;FGRAMPH1_01T02007;FGRAMPH1_01T03337;FGRAMPH1_01T03455;FGRAMPH1_01T26457;FGRAMPH1_01T02003;FGRAMPH1_01T06973;FGRAMPH1_01T20597;FGRAMPH1_01T10309;FGRAMPH1_01T23191;FGRAMPH1_01T13377;FGRAMPH1_01T14587;FGRAMPH1_01T17735;FGRAMPH1_01T11993;FGRAMPH1_01T17079;FGRAMPH1_01T27533;FGRAMPH1_01T27899;FGRAMPH1_01T03111;FGRAMPH1_01T13941;FGRAMPH1_01T19243;FGRAMPH1_01T28195;FGRAMPH1_01T19487;FGRAMPH1_01T14235;FGRAMPH1_01T11881;FGRAMPH1_01T17125;FGRAMPH1_01T12473;FGRAMPH1_01T13561;FGRAMPH1_01T16395;FGRAMPH1_01T19309;FGRAMPH1_01T01575;FGRAMPH1_01T04721;FGRAMPH1_01T09859;FGRAMPH1_01T04055;FGRAMPH1_01T04175;FGRAMPH1_01T15731;FGRAMPH1_01T17237;FGRAMPH1_01T18447;FGRAMPH1_01T17499;FGRAMPH1_01T16041;FGRAMPH1_01T09993;FGRAMPH1_01T24449;FGRAMPH1_01T01343;FGRAMPH1_01T14653;FGRAMPH1_01T18115;FGRAMPH1_01T17387;FGRAMPH1_01T23823;FGRAMPH1_01T26419;FGRAMPH1_01T05281;FGRAMPH1_01T16173;FGRAMPH1_01T24237;FGRAMPH1_01T01237;FGRAMPH1_01T08557;FGRAMPH1_01T23941;FGRAMPH1_01T07459;FGRAMPH1_01T27873;FGRAMPH1_01T04197;FGRAMPH1_01T05837;FGRAMPH1_01T10747;FGRAMPH1_01T15515;FGRAMPH1_01T11293;FGRAMPH1_01T17399;FGRAMPH1_01T23813;FGRAMPH1_01T07475;FGRAMPH1_01T00399;FGRAMPH1_01T05299;FGRAMPH1_01T27067;FGRAMPH1_01T05845;FGRAMPH1_01T14313;FGRAMPH1_01T14555;FGRAMPH1_01T16597;FGRAMPH1_01T17563;FGRAMPH1_01T06791;FGRAMPH1_01T18095;FGRAMPH1_01T03953;FGRAMPH1_01T24893;FGRAMPH1_01T08967;FGRAMPH1_01T06307;FGRAMPH1_01T09939;FGRAMPH1_01T12303;FGRAMPH1_01T10001;FGRAMPH1_01T10243;FGRAMPH1_01T17693;FGRAMPH1_01T05591;FGRAMPH1_01T26701;FGRAMPH1_01T02513;FGRAMPH1_01T03601;FGRAMPH1_01T22225;FGRAMPH1_01T02871;FGRAMPH1_01T27117;FGRAMPH1_01T02087;FGRAMPH1_01T07529;FGRAMPH1_01T13407;FGRAMPH1_01T16915;FGRAMPH1_01T03291;FGRAMPH1_01T12677;FGRAMPH1_01T12311;FGRAMPH1_01T21603;FGRAMPH1_01T18551;FGRAMPH1_01T01677;FGRAMPH1_01T00583;FGRAMPH1_01T28119;FGRAMPH1_01T02761;FGRAMPH1_01T02891;FGRAMPH1_01T19093;FGRAMPH1_01T07419;FGRAMPH1_01T13417;FGRAMPH1_01T18309;FGRAMPH1_01T11117;FGRAMPH1_01T19533;FGRAMPH1_01T19413;FGRAMPH1_01T27819;FGRAMPH1_01T02655;FGRAMPH1_01T26721;FGRAMPH1_01T26175;FGRAMPH1_01T14997;FGRAMPH1_01T14995;FGRAMPH1_01T16811;FGRAMPH1_01T17349;FGRAMPH1_01T20019;FGRAMPH1_01T25829;FGRAMPH1_01T24853;FGRAMPH1_01T03911;FGRAMPH1_01T23641;FGRAMPH1_01T20493;FGRAMPH1_01T06079;FGRAMPH1_01T07169;FGRAMPH1_01T22435;FGRAMPH1_01T24059;FGRAMPH1_01T24187;FGRAMPH1_01T18849;FGRAMPH1_01T15217;FGRAMPH1_01T18727;FGRAMPH1_01T17997;FGRAMPH1_01T17633;FGRAMPH1_01T23759;FGRAMPH1_01T19819;FGRAMPH1_01T03127;FGRAMPH1_01T04215;FGRAMPH1_01T03373;FGRAMPH1_01T26597;FGRAMPH1_01T04581;FGRAMPH1_01T11669;FGRAMPH1_01T28097;FGRAMPH1_01T19021;FGRAMPH1_01T19143;FGRAMPH1_01T18631;FGRAMPH1_01T07185;FGRAMPH1_01T20715;FGRAMPH1_01T08275;FGRAMPH1_01T03811;FGRAMPH1_01T20273;FGRAMPH1_01T06893;FGRAMPH1_01T27349;FGRAMPH1_01T04355;FGRAMPH1_01T27353;FGRAMPH1_01T24085;FGRAMPH1_01T13975;FGRAMPH1_01T12521;FGRAMPH1_01T23537;FGRAMPH1_01T03707;FGRAMPH1_01T18761;FGRAMPH1_01T04115;FGRAMPH1_01T09017;FGRAMPH1_01T07745;FGRAMPH1_01T01891;FGRAMPH1_01T02185;FGRAMPH1_01T05689;FGRAMPH1_01T07747;FGRAMPH1_01T12415;FGRAMPH1_01T19843</t>
  </si>
  <si>
    <t>FGRAMPH1_01T20019;FGRAMPH1_01T18115;FGRAMPH1_01T23823;FGRAMPH1_01T19309;FGRAMPH1_01T26419;FGRAMPH1_01T20715;FGRAMPH1_01T20273;FGRAMPH1_01T01575;FGRAMPH1_01T07169;FGRAMPH1_01T03455;FGRAMPH1_01T02003;FGRAMPH1_01T06973;FGRAMPH1_01T02891;FGRAMPH1_01T04055;FGRAMPH1_01T26443;FGRAMPH1_01T07419;FGRAMPH1_01T02591;FGRAMPH1_01T11117;FGRAMPH1_01T14587;FGRAMPH1_01T10001;FGRAMPH1_01T17499;FGRAMPH1_01T23813;FGRAMPH1_01T09993;FGRAMPH1_01T09673;FGRAMPH1_01T04655;FGRAMPH1_01T27533;FGRAMPH1_01T04115;FGRAMPH1_01T02871;FGRAMPH1_01T09017;FGRAMPH1_01T26787;FGRAMPH1_01T07745;FGRAMPH1_01T03111;FGRAMPH1_01T23281;FGRAMPH1_01T02185;FGRAMPH1_01T07747;FGRAMPH1_01T03373;FGRAMPH1_01T07529;FGRAMPH1_01T04581;FGRAMPH1_01T12955;FGRAMPH1_01T28195;FGRAMPH1_01T14995;FGRAMPH1_01T19843</t>
  </si>
  <si>
    <t>FGRAMPH1_01T25909;FGRAMPH1_01T00963;FGRAMPH1_01T09541;FGRAMPH1_01T09789;FGRAMPH1_01T26313;FGRAMPH1_01T25351;FGRAMPH1_01T26563;FGRAMPH1_01T12829;FGRAMPH1_01T26443;FGRAMPH1_01T02591;FGRAMPH1_01T19471;FGRAMPH1_01T11851;FGRAMPH1_01T15779;FGRAMPH1_01T19597;FGRAMPH1_01T14687;FGRAMPH1_01T18921;FGRAMPH1_01T22989;FGRAMPH1_01T00979;FGRAMPH1_01T17175;FGRAMPH1_01T18385;FGRAMPH1_01T17051;FGRAMPH1_01T23277;FGRAMPH1_01T09673;FGRAMPH1_01T03687;FGRAMPH1_01T04655;FGRAMPH1_01T26787;FGRAMPH1_01T23281;FGRAMPH1_01T24375;FGRAMPH1_01T12955;FGRAMPH1_01T21207;FGRAMPH1_01T13141;FGRAMPH1_01T20595;FGRAMPH1_01T27309;FGRAMPH1_01T02007;FGRAMPH1_01T03337;FGRAMPH1_01T03455;FGRAMPH1_01T26457;FGRAMPH1_01T02003;FGRAMPH1_01T06973;FGRAMPH1_01T20597;FGRAMPH1_01T10309;FGRAMPH1_01T23191;FGRAMPH1_01T13377;FGRAMPH1_01T14587;FGRAMPH1_01T17735;FGRAMPH1_01T11993;FGRAMPH1_01T17079;FGRAMPH1_01T27533;FGRAMPH1_01T27899;FGRAMPH1_01T03111;FGRAMPH1_01T13941;FGRAMPH1_01T19243;FGRAMPH1_01T28195;FGRAMPH1_01T19487;FGRAMPH1_01T14235;FGRAMPH1_01T11881;FGRAMPH1_01T17125;FGRAMPH1_01T12473;FGRAMPH1_01T13561;FGRAMPH1_01T16395;FGRAMPH1_01T19309;FGRAMPH1_01T01575;FGRAMPH1_01T04721;FGRAMPH1_01T09859;FGRAMPH1_01T04055;FGRAMPH1_01T04175;FGRAMPH1_01T15731;FGRAMPH1_01T17237;FGRAMPH1_01T18447;FGRAMPH1_01T17499;FGRAMPH1_01T16041;FGRAMPH1_01T09993;FGRAMPH1_01T24449;FGRAMPH1_01T01343;FGRAMPH1_01T14653;FGRAMPH1_01T18115;FGRAMPH1_01T17387;FGRAMPH1_01T23823;FGRAMPH1_01T26419;FGRAMPH1_01T05281;FGRAMPH1_01T16173;FGRAMPH1_01T24237;FGRAMPH1_01T01237;FGRAMPH1_01T08557;FGRAMPH1_01T23941;FGRAMPH1_01T07459;FGRAMPH1_01T27873;FGRAMPH1_01T04197;FGRAMPH1_01T05837;FGRAMPH1_01T10747;FGRAMPH1_01T15515;FGRAMPH1_01T11293;FGRAMPH1_01T17399;FGRAMPH1_01T23813;FGRAMPH1_01T07475;FGRAMPH1_01T00399;FGRAMPH1_01T05299;FGRAMPH1_01T27067;FGRAMPH1_01T05845;FGRAMPH1_01T14313;FGRAMPH1_01T14555;FGRAMPH1_01T16597;FGRAMPH1_01T17563;FGRAMPH1_01T06791;FGRAMPH1_01T18095;FGRAMPH1_01T24893;FGRAMPH1_01T08967;FGRAMPH1_01T06307;FGRAMPH1_01T09939;FGRAMPH1_01T12303;FGRAMPH1_01T10001;FGRAMPH1_01T10243;FGRAMPH1_01T17693;FGRAMPH1_01T05591;FGRAMPH1_01T02513;FGRAMPH1_01T03601;FGRAMPH1_01T22225;FGRAMPH1_01T02871;FGRAMPH1_01T27117;FGRAMPH1_01T02087;FGRAMPH1_01T07529;FGRAMPH1_01T13407;FGRAMPH1_01T16915;FGRAMPH1_01T03291;FGRAMPH1_01T12677;FGRAMPH1_01T12311;FGRAMPH1_01T21603;FGRAMPH1_01T01677;FGRAMPH1_01T00583;FGRAMPH1_01T28119;FGRAMPH1_01T02761;FGRAMPH1_01T02891;FGRAMPH1_01T19093;FGRAMPH1_01T07419;FGRAMPH1_01T13417;FGRAMPH1_01T18309;FGRAMPH1_01T11117;FGRAMPH1_01T19533;FGRAMPH1_01T19413;FGRAMPH1_01T27819;FGRAMPH1_01T02655;FGRAMPH1_01T26721;FGRAMPH1_01T26175;FGRAMPH1_01T14997;FGRAMPH1_01T14995;FGRAMPH1_01T16811;FGRAMPH1_01T17349;FGRAMPH1_01T20019;FGRAMPH1_01T25829;FGRAMPH1_01T03911;FGRAMPH1_01T23641;FGRAMPH1_01T20493;FGRAMPH1_01T06079;FGRAMPH1_01T07169;FGRAMPH1_01T22435;FGRAMPH1_01T24059;FGRAMPH1_01T24187;FGRAMPH1_01T18849;FGRAMPH1_01T15217;FGRAMPH1_01T18727;FGRAMPH1_01T17997;FGRAMPH1_01T17633;FGRAMPH1_01T23759;FGRAMPH1_01T19819;FGRAMPH1_01T03127;FGRAMPH1_01T04215;FGRAMPH1_01T03373;FGRAMPH1_01T26597;FGRAMPH1_01T04581;FGRAMPH1_01T11669;FGRAMPH1_01T28097;FGRAMPH1_01T19021;FGRAMPH1_01T19143;FGRAMPH1_01T18631;FGRAMPH1_01T07185;FGRAMPH1_01T20715;FGRAMPH1_01T08275;FGRAMPH1_01T03811;FGRAMPH1_01T20273;FGRAMPH1_01T06893;FGRAMPH1_01T27349;FGRAMPH1_01T04355;FGRAMPH1_01T27353;FGRAMPH1_01T13975;FGRAMPH1_01T12521;FGRAMPH1_01T23537;FGRAMPH1_01T03707;FGRAMPH1_01T18761;FGRAMPH1_01T04115;FGRAMPH1_01T09017;FGRAMPH1_01T07745;FGRAMPH1_01T01891;FGRAMPH1_01T02185;FGRAMPH1_01T05689;FGRAMPH1_01T07747;FGRAMPH1_01T12415;FGRAMPH1_01T19843</t>
  </si>
  <si>
    <t>FGRAMPH1_01T20019;FGRAMPH1_01T18115;FGRAMPH1_01T17387;FGRAMPH1_01T23823;FGRAMPH1_01T19309;FGRAMPH1_01T26419;FGRAMPH1_01T20715;FGRAMPH1_01T20273;FGRAMPH1_01T01575;FGRAMPH1_01T07169;FGRAMPH1_01T03455;FGRAMPH1_01T02003;FGRAMPH1_01T06973;FGRAMPH1_01T02891;FGRAMPH1_01T04055;FGRAMPH1_01T26443;FGRAMPH1_01T07419;FGRAMPH1_01T02591;FGRAMPH1_01T11117;FGRAMPH1_01T14587;FGRAMPH1_01T10001;FGRAMPH1_01T11293;FGRAMPH1_01T17499;FGRAMPH1_01T23813;FGRAMPH1_01T09993;FGRAMPH1_01T09673;FGRAMPH1_01T03687;FGRAMPH1_01T04655;FGRAMPH1_01T27533;FGRAMPH1_01T04115;FGRAMPH1_01T02871;FGRAMPH1_01T09017;FGRAMPH1_01T26787;FGRAMPH1_01T07745;FGRAMPH1_01T03111;FGRAMPH1_01T23281;FGRAMPH1_01T02185;FGRAMPH1_01T07747;FGRAMPH1_01T03373;FGRAMPH1_01T07529;FGRAMPH1_01T04581;FGRAMPH1_01T12955;FGRAMPH1_01T28195;FGRAMPH1_01T14995;FGRAMPH1_01T19843</t>
  </si>
  <si>
    <t>FGRAMPH1_01T20019;FGRAMPH1_01T19309;FGRAMPH1_01T06791;FGRAMPH1_01T01575;FGRAMPH1_01T07169;FGRAMPH1_01T24059;FGRAMPH1_01T24187;FGRAMPH1_01T04055;FGRAMPH1_01T26443;FGRAMPH1_01T02591;FGRAMPH1_01T10001;FGRAMPH1_01T17499;FGRAMPH1_01T22989;FGRAMPH1_01T23759;FGRAMPH1_01T09993;FGRAMPH1_01T19819;FGRAMPH1_01T03601;FGRAMPH1_01T09673;FGRAMPH1_01T03687;FGRAMPH1_01T04655;FGRAMPH1_01T02871;FGRAMPH1_01T26787;FGRAMPH1_01T23281;FGRAMPH1_01T03373;FGRAMPH1_01T07529;FGRAMPH1_01T04581;FGRAMPH1_01T12955;FGRAMPH1_01T19143;FGRAMPH1_01T18115;FGRAMPH1_01T17387;FGRAMPH1_01T23823;FGRAMPH1_01T26419;FGRAMPH1_01T20715;FGRAMPH1_01T20273;FGRAMPH1_01T01237;FGRAMPH1_01T03455;FGRAMPH1_01T02003;FGRAMPH1_01T06973;FGRAMPH1_01T02891;FGRAMPH1_01T07419;FGRAMPH1_01T10747;FGRAMPH1_01T11117;FGRAMPH1_01T14587;FGRAMPH1_01T19533;FGRAMPH1_01T11293;FGRAMPH1_01T23813;FGRAMPH1_01T27533;FGRAMPH1_01T04115;FGRAMPH1_01T09017;FGRAMPH1_01T26721;FGRAMPH1_01T07745;FGRAMPH1_01T03111;FGRAMPH1_01T02185;FGRAMPH1_01T07747;FGRAMPH1_01T14997;FGRAMPH1_01T28195;FGRAMPH1_01T14995;FGRAMPH1_01T11881;FGRAMPH1_01T19843</t>
  </si>
  <si>
    <t>FGRAMPH1_01T15145;FGRAMPH1_01T16597;FGRAMPH1_01T25909;FGRAMPH1_01T18011;FGRAMPH1_01T00963;FGRAMPH1_01T06791;FGRAMPH1_01T09789;FGRAMPH1_01T09941;FGRAMPH1_01T25351;FGRAMPH1_01T08967;FGRAMPH1_01T12829;FGRAMPH1_01T26443;FGRAMPH1_01T27493;FGRAMPH1_01T02591;FGRAMPH1_01T12303;FGRAMPH1_01T15779;FGRAMPH1_01T22989;FGRAMPH1_01T11471;FGRAMPH1_01T20567;FGRAMPH1_01T17693;FGRAMPH1_01T05591;FGRAMPH1_01T24765;FGRAMPH1_01T03601;FGRAMPH1_01T09673;FGRAMPH1_01T20323;FGRAMPH1_01T04655;FGRAMPH1_01T23953;FGRAMPH1_01T02871;FGRAMPH1_01T23281;FGRAMPH1_01T28057;FGRAMPH1_01T07529;FGRAMPH1_01T12677;FGRAMPH1_01T12311;FGRAMPH1_01T21207;FGRAMPH1_01T21603;FGRAMPH1_01T13141;FGRAMPH1_01T27309;FGRAMPH1_01T02007;FGRAMPH1_01T01399;FGRAMPH1_01T00583;FGRAMPH1_01T03455;FGRAMPH1_01T02891;FGRAMPH1_01T19093;FGRAMPH1_01T13417;FGRAMPH1_01T26461;FGRAMPH1_01T11117;FGRAMPH1_01T13377;FGRAMPH1_01T27819;FGRAMPH1_01T27533;FGRAMPH1_01T27899;FGRAMPH1_01T13941;FGRAMPH1_01T14359;FGRAMPH1_01T16811;FGRAMPH1_01T20019;FGRAMPH1_01T25829;FGRAMPH1_01T12473;FGRAMPH1_01T13561;FGRAMPH1_01T01575;FGRAMPH1_01T04721;FGRAMPH1_01T24059;FGRAMPH1_01T24187;FGRAMPH1_01T04055;FGRAMPH1_01T04175;FGRAMPH1_01T18849;FGRAMPH1_01T18727;FGRAMPH1_01T27171;FGRAMPH1_01T17997;FGRAMPH1_01T17237;FGRAMPH1_01T17633;FGRAMPH1_01T18447;FGRAMPH1_01T00817;FGRAMPH1_01T17499;FGRAMPH1_01T23759;FGRAMPH1_01T20403;FGRAMPH1_01T16041;FGRAMPH1_01T09993;FGRAMPH1_01T19819;FGRAMPH1_01T04215;FGRAMPH1_01T23633;FGRAMPH1_01T03651;FGRAMPH1_01T03373;FGRAMPH1_01T04581;FGRAMPH1_01T28097;FGRAMPH1_01T19021;FGRAMPH1_01T19143;FGRAMPH1_01T14653;FGRAMPH1_01T12493;FGRAMPH1_01T18631;FGRAMPH1_01T06093;FGRAMPH1_01T26419;FGRAMPH1_01T16173;FGRAMPH1_01T08275;FGRAMPH1_01T03811;FGRAMPH1_01T04623;FGRAMPH1_01T06893;FGRAMPH1_01T27349;FGRAMPH1_01T04355;FGRAMPH1_01T27353;FGRAMPH1_01T27873;FGRAMPH1_01T04197;FGRAMPH1_01T05837;FGRAMPH1_01T10747;FGRAMPH1_01T13975;FGRAMPH1_01T28281;FGRAMPH1_01T12521;FGRAMPH1_01T23813;FGRAMPH1_01T23537;FGRAMPH1_01T03707;FGRAMPH1_01T18761;FGRAMPH1_01T27215;FGRAMPH1_01T00399;FGRAMPH1_01T23139;FGRAMPH1_01T04115;FGRAMPH1_01T23413;FGRAMPH1_01T05689;FGRAMPH1_01T05845;FGRAMPH1_01T10635;FGRAMPH1_01T12415;FGRAMPH1_01T19843</t>
  </si>
  <si>
    <t>FGRAMPH1_01T16597;FGRAMPH1_01T17563;FGRAMPH1_01T25909;FGRAMPH1_01T00963;FGRAMPH1_01T06791;FGRAMPH1_01T18095;FGRAMPH1_01T24893;FGRAMPH1_01T09789;FGRAMPH1_01T26313;FGRAMPH1_01T25351;FGRAMPH1_01T26563;FGRAMPH1_01T08967;FGRAMPH1_01T12829;FGRAMPH1_01T26443;FGRAMPH1_01T06307;FGRAMPH1_01T09939;FGRAMPH1_01T02591;FGRAMPH1_01T12303;FGRAMPH1_01T15779;FGRAMPH1_01T14687;FGRAMPH1_01T10001;FGRAMPH1_01T10243;FGRAMPH1_01T18921;FGRAMPH1_01T22989;FGRAMPH1_01T00979;FGRAMPH1_01T17693;FGRAMPH1_01T17175;FGRAMPH1_01T05591;FGRAMPH1_01T17051;FGRAMPH1_01T23277;FGRAMPH1_01T02513;FGRAMPH1_01T03601;FGRAMPH1_01T09673;FGRAMPH1_01T03687;FGRAMPH1_01T04655;FGRAMPH1_01T02871;FGRAMPH1_01T26787;FGRAMPH1_01T27117;FGRAMPH1_01T23281;FGRAMPH1_01T02087;FGRAMPH1_01T07529;FGRAMPH1_01T12955;FGRAMPH1_01T16915;FGRAMPH1_01T03291;FGRAMPH1_01T12677;FGRAMPH1_01T12311;FGRAMPH1_01T21207;FGRAMPH1_01T21603;FGRAMPH1_01T13141;FGRAMPH1_01T20595;FGRAMPH1_01T27309;FGRAMPH1_01T01677;FGRAMPH1_01T02007;FGRAMPH1_01T03337;FGRAMPH1_01T00583;FGRAMPH1_01T03455;FGRAMPH1_01T28119;FGRAMPH1_01T02003;FGRAMPH1_01T06973;FGRAMPH1_01T20597;FGRAMPH1_01T02891;FGRAMPH1_01T19093;FGRAMPH1_01T23191;FGRAMPH1_01T07419;FGRAMPH1_01T13417;FGRAMPH1_01T18309;FGRAMPH1_01T11117;FGRAMPH1_01T13377;FGRAMPH1_01T14587;FGRAMPH1_01T17735;FGRAMPH1_01T19533;FGRAMPH1_01T19413;FGRAMPH1_01T17079;FGRAMPH1_01T27819;FGRAMPH1_01T27533;FGRAMPH1_01T27899;FGRAMPH1_01T26721;FGRAMPH1_01T03111;FGRAMPH1_01T13941;FGRAMPH1_01T14997;FGRAMPH1_01T28195;FGRAMPH1_01T19487;FGRAMPH1_01T14235;FGRAMPH1_01T14995;FGRAMPH1_01T11881;FGRAMPH1_01T16811;FGRAMPH1_01T17349;FGRAMPH1_01T20019;FGRAMPH1_01T12473;FGRAMPH1_01T13561;FGRAMPH1_01T19309;FGRAMPH1_01T03911;FGRAMPH1_01T23641;FGRAMPH1_01T20493;FGRAMPH1_01T01575;FGRAMPH1_01T06079;FGRAMPH1_01T07169;FGRAMPH1_01T04721;FGRAMPH1_01T24059;FGRAMPH1_01T24187;FGRAMPH1_01T04055;FGRAMPH1_01T04175;FGRAMPH1_01T18849;FGRAMPH1_01T15217;FGRAMPH1_01T18727;FGRAMPH1_01T17997;FGRAMPH1_01T17237;FGRAMPH1_01T17633;FGRAMPH1_01T18447;FGRAMPH1_01T17499;FGRAMPH1_01T23759;FGRAMPH1_01T16041;FGRAMPH1_01T09993;FGRAMPH1_01T19819;FGRAMPH1_01T24449;FGRAMPH1_01T04215;FGRAMPH1_01T03373;FGRAMPH1_01T04581;FGRAMPH1_01T28097;FGRAMPH1_01T19021;FGRAMPH1_01T19143;FGRAMPH1_01T14653;FGRAMPH1_01T18115;FGRAMPH1_01T18631;FGRAMPH1_01T17387;FGRAMPH1_01T23823;FGRAMPH1_01T26419;FGRAMPH1_01T05281;FGRAMPH1_01T07185;FGRAMPH1_01T16173;FGRAMPH1_01T20715;FGRAMPH1_01T08275;FGRAMPH1_01T03811;FGRAMPH1_01T20273;FGRAMPH1_01T01237;FGRAMPH1_01T06893;FGRAMPH1_01T23941;FGRAMPH1_01T27349;FGRAMPH1_01T04355;FGRAMPH1_01T07459;FGRAMPH1_01T27353;FGRAMPH1_01T27873;FGRAMPH1_01T04197;FGRAMPH1_01T05837;FGRAMPH1_01T10747;FGRAMPH1_01T13975;FGRAMPH1_01T12521;FGRAMPH1_01T11293;FGRAMPH1_01T17399;FGRAMPH1_01T23813;FGRAMPH1_01T23537;FGRAMPH1_01T03707;FGRAMPH1_01T18761;FGRAMPH1_01T00399;FGRAMPH1_01T04115;FGRAMPH1_01T09017;FGRAMPH1_01T07745;FGRAMPH1_01T01891;FGRAMPH1_01T02185;FGRAMPH1_01T05689;FGRAMPH1_01T07747;FGRAMPH1_01T05845;FGRAMPH1_01T12415;FGRAMPH1_01T14313;FGRAMPH1_01T19843</t>
  </si>
  <si>
    <t>FGRAMPH1_01T16597;FGRAMPH1_01T12393;FGRAMPH1_01T25909;FGRAMPH1_01T08173;FGRAMPH1_01T19749;FGRAMPH1_01T24017;FGRAMPH1_01T25227;FGRAMPH1_01T08179;FGRAMPH1_01T21781;FGRAMPH1_01T03555;FGRAMPH1_01T05585;FGRAMPH1_01T09789;FGRAMPH1_01T21941;FGRAMPH1_01T24377;FGRAMPH1_01T25983;FGRAMPH1_01T26313;FGRAMPH1_01T05223;FGRAMPH1_01T11617;FGRAMPH1_01T25351;FGRAMPH1_01T05215;FGRAMPH1_01T08967;FGRAMPH1_01T12829;FGRAMPH1_01T12303;FGRAMPH1_01T11733;FGRAMPH1_01T15779;FGRAMPH1_01T10001;FGRAMPH1_01T10243;FGRAMPH1_01T02909;FGRAMPH1_01T10123;FGRAMPH1_01T00619;FGRAMPH1_01T14981;FGRAMPH1_01T24923;FGRAMPH1_01T01947;FGRAMPH1_01T09033;FGRAMPH1_01T17693;FGRAMPH1_01T21815;FGRAMPH1_01T02911;FGRAMPH1_01T05591;FGRAMPH1_01T25339;FGRAMPH1_01T11907;FGRAMPH1_01T26423;FGRAMPH1_01T07923;FGRAMPH1_01T15947;FGRAMPH1_01T12677;FGRAMPH1_01T12311;FGRAMPH1_01T21207;FGRAMPH1_01T21603;FGRAMPH1_01T13141;FGRAMPH1_01T00347;FGRAMPH1_01T09201;FGRAMPH1_01T21321;FGRAMPH1_01T25889;FGRAMPH1_01T27309;FGRAMPH1_01T02007;FGRAMPH1_01T00583;FGRAMPH1_01T05367;FGRAMPH1_01T09715;FGRAMPH1_01T04277;FGRAMPH1_01T08987;FGRAMPH1_01T19093;FGRAMPH1_01T13417;FGRAMPH1_01T12727;FGRAMPH1_01T26181;FGRAMPH1_01T11513;FGRAMPH1_01T12601;FGRAMPH1_01T26061;FGRAMPH1_01T13377;FGRAMPH1_01T17735;FGRAMPH1_01T13411;FGRAMPH1_01T13153;FGRAMPH1_01T22527;FGRAMPH1_01T00635;FGRAMPH1_01T20747;FGRAMPH1_01T27819;FGRAMPH1_01T09295;FGRAMPH1_01T21277;FGRAMPH1_01T00631;FGRAMPH1_01T05375;FGRAMPH1_01T28227;FGRAMPH1_01T27899;FGRAMPH1_01T11921;FGRAMPH1_01T12335;FGRAMPH1_01T13941;FGRAMPH1_01T14235;FGRAMPH1_01T16811;FGRAMPH1_01T18611;FGRAMPH1_01T14373;FGRAMPH1_01T12473;FGRAMPH1_01T21865;FGRAMPH1_01T13561;FGRAMPH1_01T16031;FGRAMPH1_01T02943;FGRAMPH1_01T20411;FGRAMPH1_01T24973;FGRAMPH1_01T10849;FGRAMPH1_01T04175;FGRAMPH1_01T18849;FGRAMPH1_01T12349;FGRAMPH1_01T18727;FGRAMPH1_01T12067;FGRAMPH1_01T16789;FGRAMPH1_01T17997;FGRAMPH1_01T17237;FGRAMPH1_01T17633;FGRAMPH1_01T18447;FGRAMPH1_01T13175;FGRAMPH1_01T22945;FGRAMPH1_01T11273;FGRAMPH1_01T16041;FGRAMPH1_01T09993;FGRAMPH1_01T19819;FGRAMPH1_01T23475;FGRAMPH1_01T02677;FGRAMPH1_01T04215;FGRAMPH1_01T00099;FGRAMPH1_01T25897;FGRAMPH1_01T05787;FGRAMPH1_01T11669;FGRAMPH1_01T15629;FGRAMPH1_01T14019;FGRAMPH1_01T13207;FGRAMPH1_01T12997;FGRAMPH1_01T14017;FGRAMPH1_01T14653;FGRAMPH1_01T12493;FGRAMPH1_01T00829;FGRAMPH1_01T14035;FGRAMPH1_01T18631;FGRAMPH1_01T02847;FGRAMPH1_01T16173;FGRAMPH1_01T08275;FGRAMPH1_01T27625;FGRAMPH1_01T03811;FGRAMPH1_01T08673;FGRAMPH1_01T06893;FGRAMPH1_01T04105;FGRAMPH1_01T27349;FGRAMPH1_01T04355;FGRAMPH1_01T10869;FGRAMPH1_01T27353;FGRAMPH1_01T27873;FGRAMPH1_01T04197;FGRAMPH1_01T05837;FGRAMPH1_01T13975;FGRAMPH1_01T12767;FGRAMPH1_01T15877;FGRAMPH1_01T12521;FGRAMPH1_01T21911;FGRAMPH1_01T12261;FGRAMPH1_01T16221;FGRAMPH1_01T03707;FGRAMPH1_01T18761;FGRAMPH1_01T18485;FGRAMPH1_01T27739;FGRAMPH1_01T24507;FGRAMPH1_01T01527;FGRAMPH1_01T00675;FGRAMPH1_01T05177;FGRAMPH1_01T21599;FGRAMPH1_01T00399;FGRAMPH1_01T01367;FGRAMPH1_01T08963;FGRAMPH1_01T06413;FGRAMPH1_01T05963;FGRAMPH1_01T25165;FGRAMPH1_01T05689;FGRAMPH1_01T05845;FGRAMPH1_01T11963;FGRAMPH1_01T12415;FGRAMPH1_01T11201</t>
  </si>
  <si>
    <t>FGRAMPH1_01T25909;FGRAMPH1_01T18011;FGRAMPH1_01T25227;FGRAMPH1_01T20697;FGRAMPH1_01T09789;FGRAMPH1_01T24377;FGRAMPH1_01T05983;FGRAMPH1_01T27403;FGRAMPH1_01T08207;FGRAMPH1_01T11617;FGRAMPH1_01T25351;FGRAMPH1_01T26563;FGRAMPH1_01T12829;FGRAMPH1_01T15779;FGRAMPH1_01T14687;FGRAMPH1_01T18921;FGRAMPH1_01T00857;FGRAMPH1_01T24923;FGRAMPH1_01T01947;FGRAMPH1_01T02911;FGRAMPH1_01T23277;FGRAMPH1_01T03687;FGRAMPH1_01T23953;FGRAMPH1_01T26423;FGRAMPH1_01T22621;FGRAMPH1_01T28057;FGRAMPH1_01T07923;FGRAMPH1_01T03691;FGRAMPH1_01T21207;FGRAMPH1_01T13141;FGRAMPH1_01T01955;FGRAMPH1_01T09201;FGRAMPH1_01T27309;FGRAMPH1_01T02007;FGRAMPH1_01T03337;FGRAMPH1_01T06059;FGRAMPH1_01T02003;FGRAMPH1_01T06973;FGRAMPH1_01T12727;FGRAMPH1_01T11513;FGRAMPH1_01T12601;FGRAMPH1_01T13377;FGRAMPH1_01T14587;FGRAMPH1_01T22527;FGRAMPH1_01T00635;FGRAMPH1_01T27533;FGRAMPH1_01T27899;FGRAMPH1_01T13941;FGRAMPH1_01T19487;FGRAMPH1_01T14235;FGRAMPH1_01T12473;FGRAMPH1_01T21865;FGRAMPH1_01T13561;FGRAMPH1_01T16031;FGRAMPH1_01T01575;FGRAMPH1_01T04721;FGRAMPH1_01T10849;FGRAMPH1_01T04055;FGRAMPH1_01T04175;FGRAMPH1_01T12349;FGRAMPH1_01T17237;FGRAMPH1_01T18447;FGRAMPH1_01T17499;FGRAMPH1_01T22945;FGRAMPH1_01T16041;FGRAMPH1_01T20407;FGRAMPH1_01T03527;FGRAMPH1_01T02677;FGRAMPH1_01T25897;FGRAMPH1_01T15629;FGRAMPH1_01T13207;FGRAMPH1_01T19421;FGRAMPH1_01T14653;FGRAMPH1_01T00829;FGRAMPH1_01T17387;FGRAMPH1_01T05281;FGRAMPH1_01T16173;FGRAMPH1_01T27625;FGRAMPH1_01T01237;FGRAMPH1_01T08673;FGRAMPH1_01T03783;FGRAMPH1_01T10869;FGRAMPH1_01T03781;FGRAMPH1_01T27873;FGRAMPH1_01T04197;FGRAMPH1_01T05837;FGRAMPH1_01T10747;FGRAMPH1_01T15877;FGRAMPH1_01T11293;FGRAMPH1_01T12261;FGRAMPH1_01T18485;FGRAMPH1_01T27739;FGRAMPH1_01T17273;FGRAMPH1_01T05177;FGRAMPH1_01T00399;FGRAMPH1_01T23139;FGRAMPH1_01T03301;FGRAMPH1_01T24111;FGRAMPH1_01T05845;FGRAMPH1_01T16597;FGRAMPH1_01T08173;FGRAMPH1_01T24893;FGRAMPH1_01T05585;FGRAMPH1_01T25983;FGRAMPH1_01T05223;FGRAMPH1_01T09941;FGRAMPH1_01T08967;FGRAMPH1_01T09939;FGRAMPH1_01T12303;FGRAMPH1_01T10243;FGRAMPH1_01T10123;FGRAMPH1_01T14981;FGRAMPH1_01T17693;FGRAMPH1_01T21815;FGRAMPH1_01T05591;FGRAMPH1_01T02513;FGRAMPH1_01T03601;FGRAMPH1_01T11907;FGRAMPH1_01T27117;FGRAMPH1_01T07529;FGRAMPH1_01T15947;FGRAMPH1_01T12677;FGRAMPH1_01T12311;FGRAMPH1_01T21603;FGRAMPH1_01T00347;FGRAMPH1_01T02763;FGRAMPH1_01T00583;FGRAMPH1_01T05367;FGRAMPH1_01T24555;FGRAMPH1_01T09715;FGRAMPH1_01T04277;FGRAMPH1_01T19093;FGRAMPH1_01T07419;FGRAMPH1_01T13417;FGRAMPH1_01T14743;FGRAMPH1_01T19533;FGRAMPH1_01T13411;FGRAMPH1_01T20747;FGRAMPH1_01T27819;FGRAMPH1_01T09295;FGRAMPH1_01T28227;FGRAMPH1_01T20191;FGRAMPH1_01T11921;FGRAMPH1_01T26175;FGRAMPH1_01T12335;FGRAMPH1_01T14997;FGRAMPH1_01T14995;FGRAMPH1_01T16811;FGRAMPH1_01T18611;FGRAMPH1_01T14373;FGRAMPH1_01T01859;FGRAMPH1_01T02943;FGRAMPH1_01T00761;FGRAMPH1_01T06079;FGRAMPH1_01T07169;FGRAMPH1_01T24059;FGRAMPH1_01T24187;FGRAMPH1_01T18849;FGRAMPH1_01T18727;FGRAMPH1_01T12067;FGRAMPH1_01T16789;FGRAMPH1_01T17997;FGRAMPH1_01T17633;FGRAMPH1_01T13175;FGRAMPH1_01T23759;FGRAMPH1_01T09591;FGRAMPH1_01T19939;FGRAMPH1_01T19819;FGRAMPH1_01T04215;FGRAMPH1_01T00099;FGRAMPH1_01T05787;FGRAMPH1_01T04581;FGRAMPH1_01T19021;FGRAMPH1_01T12997;FGRAMPH1_01T14017;FGRAMPH1_01T14035;FGRAMPH1_01T18631;FGRAMPH1_01T02847;FGRAMPH1_01T07185;FGRAMPH1_01T08275;FGRAMPH1_01T03811;FGRAMPH1_01T20273;FGRAMPH1_01T06893;FGRAMPH1_01T27349;FGRAMPH1_01T04355;FGRAMPH1_01T26265;FGRAMPH1_01T27353;FGRAMPH1_01T26261;FGRAMPH1_01T13975;FGRAMPH1_01T12767;FGRAMPH1_01T12521;FGRAMPH1_01T21911;FGRAMPH1_01T16221;FGRAMPH1_01T03707;FGRAMPH1_01T18761;FGRAMPH1_01T21599;FGRAMPH1_01T18081;FGRAMPH1_01T04115;FGRAMPH1_01T06413;FGRAMPH1_01T25165;FGRAMPH1_01T02185;FGRAMPH1_01T05689;FGRAMPH1_01T12415;FGRAMPH1_01T15009;FGRAMPH1_01T11201;FGRAMPH1_01T18513;FGRAMPH1_01T19843</t>
  </si>
  <si>
    <t>FGRAMPH1_01T16597;FGRAMPH1_01T25909;FGRAMPH1_01T08173;FGRAMPH1_01T25227;FGRAMPH1_01T05585;FGRAMPH1_01T09789;FGRAMPH1_01T24377;FGRAMPH1_01T25983;FGRAMPH1_01T05223;FGRAMPH1_01T09941;FGRAMPH1_01T11617;FGRAMPH1_01T08967;FGRAMPH1_01T12829;FGRAMPH1_01T27493;FGRAMPH1_01T12303;FGRAMPH1_01T15779;FGRAMPH1_01T10123;FGRAMPH1_01T14981;FGRAMPH1_01T11471;FGRAMPH1_01T24923;FGRAMPH1_01T01947;FGRAMPH1_01T17693;FGRAMPH1_01T21815;FGRAMPH1_01T02911;FGRAMPH1_01T05591;FGRAMPH1_01T24765;FGRAMPH1_01T11907;FGRAMPH1_01T26423;FGRAMPH1_01T07923;FGRAMPH1_01T15947;FGRAMPH1_01T12677;FGRAMPH1_01T12311;FGRAMPH1_01T21207;FGRAMPH1_01T21603;FGRAMPH1_01T13141;FGRAMPH1_01T00347;FGRAMPH1_01T09201;FGRAMPH1_01T02007;FGRAMPH1_01T00583;FGRAMPH1_01T05367;FGRAMPH1_01T09715;FGRAMPH1_01T04277;FGRAMPH1_01T13417;FGRAMPH1_01T12727;FGRAMPH1_01T26461;FGRAMPH1_01T11513;FGRAMPH1_01T12601;FGRAMPH1_01T13411;FGRAMPH1_01T22527;FGRAMPH1_01T00635;FGRAMPH1_01T20747;FGRAMPH1_01T27819;FGRAMPH1_01T09295;FGRAMPH1_01T28227;FGRAMPH1_01T27899;FGRAMPH1_01T11921;FGRAMPH1_01T12335;FGRAMPH1_01T13941;FGRAMPH1_01T16811;FGRAMPH1_01T18611;FGRAMPH1_01T14373;FGRAMPH1_01T21865;FGRAMPH1_01T13561;FGRAMPH1_01T16031;FGRAMPH1_01T10849;FGRAMPH1_01T04175;FGRAMPH1_01T12349;FGRAMPH1_01T18727;FGRAMPH1_01T12067;FGRAMPH1_01T16789;FGRAMPH1_01T17997;FGRAMPH1_01T17237;FGRAMPH1_01T17633;FGRAMPH1_01T18447;FGRAMPH1_01T13175;FGRAMPH1_01T22945;FGRAMPH1_01T02677;FGRAMPH1_01T04215;FGRAMPH1_01T00099;FGRAMPH1_01T23633;FGRAMPH1_01T25897;FGRAMPH1_01T05787;FGRAMPH1_01T15629;FGRAMPH1_01T13207;FGRAMPH1_01T12997;FGRAMPH1_01T14017;FGRAMPH1_01T14653;FGRAMPH1_01T12493;FGRAMPH1_01T00829;FGRAMPH1_01T14035;FGRAMPH1_01T18631;FGRAMPH1_01T02847;FGRAMPH1_01T16173;FGRAMPH1_01T08275;FGRAMPH1_01T27625;FGRAMPH1_01T03811;FGRAMPH1_01T08673;FGRAMPH1_01T06893;FGRAMPH1_01T27349;FGRAMPH1_01T04355;FGRAMPH1_01T10869;FGRAMPH1_01T27873;FGRAMPH1_01T04197;FGRAMPH1_01T05837;FGRAMPH1_01T13975;FGRAMPH1_01T12767;FGRAMPH1_01T15877;FGRAMPH1_01T12521;FGRAMPH1_01T21911;FGRAMPH1_01T12261;FGRAMPH1_01T16221;FGRAMPH1_01T03707;FGRAMPH1_01T18761;FGRAMPH1_01T18485;FGRAMPH1_01T27739;FGRAMPH1_01T05177;FGRAMPH1_01T21599;FGRAMPH1_01T00399;FGRAMPH1_01T06413;FGRAMPH1_01T25165;FGRAMPH1_01T05689;FGRAMPH1_01T05845;FGRAMPH1_01T12415;FGRAMPH1_01T11201</t>
  </si>
  <si>
    <t>FGRAMPH1_01T16597;FGRAMPH1_01T25909;FGRAMPH1_01T08173;FGRAMPH1_01T25227;FGRAMPH1_01T05585;FGRAMPH1_01T09789;FGRAMPH1_01T24377;FGRAMPH1_01T25983;FGRAMPH1_01T05223;FGRAMPH1_01T11617;FGRAMPH1_01T08967;FGRAMPH1_01T12829;FGRAMPH1_01T12303;FGRAMPH1_01T15779;FGRAMPH1_01T10123;FGRAMPH1_01T14981;FGRAMPH1_01T24923;FGRAMPH1_01T01947;FGRAMPH1_01T17693;FGRAMPH1_01T21815;FGRAMPH1_01T02911;FGRAMPH1_01T05591;FGRAMPH1_01T11907;FGRAMPH1_01T26423;FGRAMPH1_01T07923;FGRAMPH1_01T15947;FGRAMPH1_01T12677;FGRAMPH1_01T12311;FGRAMPH1_01T21207;FGRAMPH1_01T21603;FGRAMPH1_01T13141;FGRAMPH1_01T00347;FGRAMPH1_01T09201;FGRAMPH1_01T02007;FGRAMPH1_01T00583;FGRAMPH1_01T05367;FGRAMPH1_01T09715;FGRAMPH1_01T04277;FGRAMPH1_01T13417;FGRAMPH1_01T12727;FGRAMPH1_01T11513;FGRAMPH1_01T12601;FGRAMPH1_01T13411;FGRAMPH1_01T22527;FGRAMPH1_01T00635;FGRAMPH1_01T20747;FGRAMPH1_01T27819;FGRAMPH1_01T09295;FGRAMPH1_01T28227;FGRAMPH1_01T27899;FGRAMPH1_01T11921;FGRAMPH1_01T12335;FGRAMPH1_01T13941;FGRAMPH1_01T16811;FGRAMPH1_01T18611;FGRAMPH1_01T14373;FGRAMPH1_01T21865;FGRAMPH1_01T13561;FGRAMPH1_01T16031;FGRAMPH1_01T10849;FGRAMPH1_01T04175;FGRAMPH1_01T12349;FGRAMPH1_01T18727;FGRAMPH1_01T12067;FGRAMPH1_01T16789;FGRAMPH1_01T17997;FGRAMPH1_01T17237;FGRAMPH1_01T17633;FGRAMPH1_01T18447;FGRAMPH1_01T13175;FGRAMPH1_01T22945;FGRAMPH1_01T02677;FGRAMPH1_01T04215;FGRAMPH1_01T00099;FGRAMPH1_01T25897;FGRAMPH1_01T05787;FGRAMPH1_01T15629;FGRAMPH1_01T13207;FGRAMPH1_01T12997;FGRAMPH1_01T14017;FGRAMPH1_01T14653;FGRAMPH1_01T00829;FGRAMPH1_01T14035;FGRAMPH1_01T18631;FGRAMPH1_01T02847;FGRAMPH1_01T16173;FGRAMPH1_01T08275;FGRAMPH1_01T27625;FGRAMPH1_01T03811;FGRAMPH1_01T08673;FGRAMPH1_01T06893;FGRAMPH1_01T27349;FGRAMPH1_01T04355;FGRAMPH1_01T10869;FGRAMPH1_01T27873;FGRAMPH1_01T04197;FGRAMPH1_01T05837;FGRAMPH1_01T13975;FGRAMPH1_01T12767;FGRAMPH1_01T15877;FGRAMPH1_01T12521;FGRAMPH1_01T21911;FGRAMPH1_01T12261;FGRAMPH1_01T16221;FGRAMPH1_01T03707;FGRAMPH1_01T18761;FGRAMPH1_01T18485;FGRAMPH1_01T27739;FGRAMPH1_01T05177;FGRAMPH1_01T21599;FGRAMPH1_01T00399;FGRAMPH1_01T06413;FGRAMPH1_01T25165;FGRAMPH1_01T05689;FGRAMPH1_01T05845;FGRAMPH1_01T12415;FGRAMPH1_01T11201</t>
  </si>
  <si>
    <t>A</t>
  </si>
  <si>
    <t>B</t>
  </si>
  <si>
    <t>C</t>
  </si>
  <si>
    <t>D</t>
  </si>
  <si>
    <t>E</t>
  </si>
  <si>
    <t>F</t>
  </si>
  <si>
    <t>G</t>
  </si>
  <si>
    <t>GO_FgDEGs_FRS020202&amp;FT2000</t>
  </si>
  <si>
    <t>GOEA of the 2431 pathogen genes with joint DEFE pattern FRS020202∩FT2000, see Additional File 9</t>
  </si>
  <si>
    <t>GOEA of the 7769 genes positively correlated with all five FHB related phenotypic traits (Fg inoculation, time after Fg treatment, %Fg reads, Fg-GAPDH and DON) - 1 in column HC in Additional File 2-A</t>
  </si>
  <si>
    <t>GOEA of the 4148 genes negatively correlated with all five FHB related phenotypic traits (Fg inoculation, time after Fg treatment, %Fg reads, Fg-GAPDH and DON) - 2 in column HC in Additional File 2-A</t>
  </si>
  <si>
    <t>GOEA of the 1727 genes associated with susceptibility at 4 dpi - 1 in column IT in Additional File 2-A</t>
  </si>
  <si>
    <t>GOEA of the 66 genes associated with susceptibility at 2 dpi - 1 in column IS in Additional File 2-A</t>
  </si>
  <si>
    <t>GOEA of the 477 genes associated with susceptibility at both 2 and 4 dpi - 1 in column IU in Additional File 2-A</t>
  </si>
  <si>
    <t>Additional file 2: Gene Ontology Enrichment Analysis (GOEA)</t>
  </si>
  <si>
    <t>There is a difference between the number of genes in each GOEA tab and the actual number of the gene population in the data file because some genes do not have a GO annotation.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</si>
</sst>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1" fillId="0" borderId="0"/>
  </cellStyleXfs>
  <cellXfs count="7">
    <xf numFmtId="0" fontId="0" fillId="0" borderId="0" xfId="0"/>
    <xf numFmtId="0" fontId="3" fillId="0" borderId="0" xfId="0" applyFont="1"/>
    <xf numFmtId="11" fontId="0" fillId="0" borderId="0" xfId="0" applyNumberFormat="1"/>
    <xf numFmtId="0" fontId="0" fillId="2" borderId="0" xfId="0" applyFill="1"/>
    <xf numFmtId="0" fontId="4" fillId="0" borderId="0" xfId="2"/>
    <xf numFmtId="0" fontId="5" fillId="0" borderId="0" xfId="0" applyFont="1"/>
    <xf numFmtId="0" fontId="0" fillId="0" borderId="0" xfId="0" applyAlignment="1">
      <alignment wrapText="1"/>
    </xf>
  </cellXfs>
  <cellStyles count="4">
    <cellStyle name="Hyperlink" xfId="2" builtinId="8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F24" sqref="F24"/>
    </sheetView>
  </sheetViews>
  <sheetFormatPr defaultRowHeight="15" x14ac:dyDescent="0.25"/>
  <cols>
    <col min="2" max="2" width="33.85546875" customWidth="1"/>
    <col min="3" max="3" width="113.28515625" customWidth="1"/>
  </cols>
  <sheetData>
    <row r="1" spans="1:3" ht="20.25" x14ac:dyDescent="0.3">
      <c r="A1" s="1" t="s">
        <v>4994</v>
      </c>
    </row>
    <row r="3" spans="1:3" x14ac:dyDescent="0.25">
      <c r="A3" t="s">
        <v>4980</v>
      </c>
      <c r="B3" t="s">
        <v>4312</v>
      </c>
      <c r="C3" t="s">
        <v>4989</v>
      </c>
    </row>
    <row r="4" spans="1:3" x14ac:dyDescent="0.25">
      <c r="A4" t="s">
        <v>4981</v>
      </c>
      <c r="B4" t="s">
        <v>4313</v>
      </c>
      <c r="C4" t="s">
        <v>4990</v>
      </c>
    </row>
    <row r="5" spans="1:3" x14ac:dyDescent="0.25">
      <c r="A5" t="s">
        <v>4982</v>
      </c>
      <c r="B5" t="s">
        <v>4794</v>
      </c>
      <c r="C5" t="s">
        <v>4795</v>
      </c>
    </row>
    <row r="6" spans="1:3" x14ac:dyDescent="0.25">
      <c r="A6" t="s">
        <v>4983</v>
      </c>
      <c r="B6" t="s">
        <v>4717</v>
      </c>
      <c r="C6" t="s">
        <v>4991</v>
      </c>
    </row>
    <row r="7" spans="1:3" x14ac:dyDescent="0.25">
      <c r="A7" t="s">
        <v>4984</v>
      </c>
      <c r="B7" t="s">
        <v>4716</v>
      </c>
      <c r="C7" t="s">
        <v>4992</v>
      </c>
    </row>
    <row r="8" spans="1:3" x14ac:dyDescent="0.25">
      <c r="A8" t="s">
        <v>4985</v>
      </c>
      <c r="B8" t="s">
        <v>4718</v>
      </c>
      <c r="C8" t="s">
        <v>4993</v>
      </c>
    </row>
    <row r="9" spans="1:3" x14ac:dyDescent="0.25">
      <c r="A9" t="s">
        <v>4986</v>
      </c>
      <c r="B9" t="s">
        <v>4987</v>
      </c>
      <c r="C9" t="s">
        <v>4988</v>
      </c>
    </row>
    <row r="13" spans="1:3" x14ac:dyDescent="0.25">
      <c r="A13" s="5" t="s">
        <v>4796</v>
      </c>
      <c r="B13" s="6" t="s">
        <v>4995</v>
      </c>
      <c r="C13" s="6"/>
    </row>
    <row r="14" spans="1:3" x14ac:dyDescent="0.25">
      <c r="B14" s="6"/>
      <c r="C14" s="6"/>
    </row>
  </sheetData>
  <mergeCells count="1">
    <mergeCell ref="B13:C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4"/>
  <sheetViews>
    <sheetView workbookViewId="0">
      <pane xSplit="5" ySplit="10" topLeftCell="F222" activePane="bottomRight" state="frozen"/>
      <selection pane="topRight" activeCell="F1" sqref="F1"/>
      <selection pane="bottomLeft" activeCell="A11" sqref="A11"/>
      <selection pane="bottomRight" activeCell="K5" sqref="K5"/>
    </sheetView>
  </sheetViews>
  <sheetFormatPr defaultRowHeight="15" x14ac:dyDescent="0.25"/>
  <cols>
    <col min="1" max="1" width="13.5703125" customWidth="1"/>
    <col min="2" max="2" width="32.5703125" customWidth="1"/>
  </cols>
  <sheetData>
    <row r="1" spans="1:7" x14ac:dyDescent="0.25">
      <c r="A1" t="s">
        <v>392</v>
      </c>
      <c r="B1">
        <v>6002</v>
      </c>
    </row>
    <row r="2" spans="1:7" x14ac:dyDescent="0.25">
      <c r="A2" t="s">
        <v>391</v>
      </c>
      <c r="B2">
        <v>77079</v>
      </c>
    </row>
    <row r="3" spans="1:7" x14ac:dyDescent="0.25">
      <c r="A3" t="s">
        <v>390</v>
      </c>
      <c r="B3" t="s">
        <v>389</v>
      </c>
    </row>
    <row r="4" spans="1:7" x14ac:dyDescent="0.25">
      <c r="A4" t="s">
        <v>388</v>
      </c>
      <c r="B4" t="s">
        <v>387</v>
      </c>
    </row>
    <row r="5" spans="1:7" x14ac:dyDescent="0.25">
      <c r="A5" t="s">
        <v>386</v>
      </c>
      <c r="B5" t="s">
        <v>385</v>
      </c>
    </row>
    <row r="6" spans="1:7" x14ac:dyDescent="0.25">
      <c r="A6" t="s">
        <v>384</v>
      </c>
      <c r="B6" t="s">
        <v>383</v>
      </c>
    </row>
    <row r="7" spans="1:7" x14ac:dyDescent="0.25">
      <c r="A7" t="s">
        <v>382</v>
      </c>
      <c r="B7" t="s">
        <v>381</v>
      </c>
    </row>
    <row r="8" spans="1:7" x14ac:dyDescent="0.25">
      <c r="A8" t="s">
        <v>380</v>
      </c>
      <c r="B8">
        <v>3</v>
      </c>
    </row>
    <row r="10" spans="1:7" x14ac:dyDescent="0.25">
      <c r="A10" t="s">
        <v>379</v>
      </c>
      <c r="B10" t="s">
        <v>378</v>
      </c>
      <c r="C10" t="s">
        <v>377</v>
      </c>
      <c r="D10" t="s">
        <v>376</v>
      </c>
      <c r="E10" t="s">
        <v>375</v>
      </c>
      <c r="F10" t="s">
        <v>374</v>
      </c>
      <c r="G10" t="s">
        <v>373</v>
      </c>
    </row>
    <row r="11" spans="1:7" x14ac:dyDescent="0.25">
      <c r="A11" s="4" t="str">
        <f>HYPERLINK("http://amigo.geneontology.org/cgi-bin/amigo/term-details.cgi?term=GO:0016740","GO:0016740")</f>
        <v>GO:0016740</v>
      </c>
      <c r="B11" t="s">
        <v>955</v>
      </c>
      <c r="C11">
        <v>12914</v>
      </c>
      <c r="D11">
        <v>1344</v>
      </c>
      <c r="E11" s="2">
        <v>4.2817673562269699E-32</v>
      </c>
      <c r="F11" s="2">
        <v>1.9332179613364701E-28</v>
      </c>
      <c r="G11" t="s">
        <v>2322</v>
      </c>
    </row>
    <row r="12" spans="1:7" x14ac:dyDescent="0.25">
      <c r="A12" s="4" t="str">
        <f>HYPERLINK("http://amigo.geneontology.org/cgi-bin/amigo/term-details.cgi?term=GO:0036211","GO:0036211")</f>
        <v>GO:0036211</v>
      </c>
      <c r="B12" t="s">
        <v>372</v>
      </c>
      <c r="C12">
        <v>8034</v>
      </c>
      <c r="D12">
        <v>879</v>
      </c>
      <c r="E12" s="2">
        <v>1.2965342148803901E-26</v>
      </c>
      <c r="F12" s="2">
        <v>1.9512839933949901E-23</v>
      </c>
      <c r="G12" t="s">
        <v>2321</v>
      </c>
    </row>
    <row r="13" spans="1:7" x14ac:dyDescent="0.25">
      <c r="A13" s="4" t="str">
        <f>HYPERLINK("http://amigo.geneontology.org/cgi-bin/amigo/term-details.cgi?term=GO:0006464","GO:0006464")</f>
        <v>GO:0006464</v>
      </c>
      <c r="B13" t="s">
        <v>371</v>
      </c>
      <c r="C13">
        <v>8034</v>
      </c>
      <c r="D13">
        <v>879</v>
      </c>
      <c r="E13" s="2">
        <v>1.2965342148803901E-26</v>
      </c>
      <c r="F13" s="2">
        <v>2.9262777229850503E-23</v>
      </c>
      <c r="G13" t="s">
        <v>2321</v>
      </c>
    </row>
    <row r="14" spans="1:7" x14ac:dyDescent="0.25">
      <c r="A14" s="4" t="str">
        <f>HYPERLINK("http://amigo.geneontology.org/cgi-bin/amigo/term-details.cgi?term=GO:0043167","GO:0043167")</f>
        <v>GO:0043167</v>
      </c>
      <c r="B14" t="s">
        <v>953</v>
      </c>
      <c r="C14">
        <v>24009</v>
      </c>
      <c r="D14">
        <v>2234</v>
      </c>
      <c r="E14" s="2">
        <v>1.0730146104547E-25</v>
      </c>
      <c r="F14" s="2">
        <v>1.2103604805929001E-22</v>
      </c>
      <c r="G14" t="s">
        <v>2320</v>
      </c>
    </row>
    <row r="15" spans="1:7" x14ac:dyDescent="0.25">
      <c r="A15" s="4" t="str">
        <f>HYPERLINK("http://amigo.geneontology.org/cgi-bin/amigo/term-details.cgi?term=GO:0008144","GO:0008144")</f>
        <v>GO:0008144</v>
      </c>
      <c r="B15" t="s">
        <v>2319</v>
      </c>
      <c r="C15">
        <v>9423</v>
      </c>
      <c r="D15">
        <v>997</v>
      </c>
      <c r="E15" s="2">
        <v>2.15944444253587E-25</v>
      </c>
      <c r="F15" s="2">
        <v>1.94997833160989E-22</v>
      </c>
      <c r="G15" t="s">
        <v>2318</v>
      </c>
    </row>
    <row r="16" spans="1:7" x14ac:dyDescent="0.25">
      <c r="A16" s="4" t="str">
        <f>HYPERLINK("http://amigo.geneontology.org/cgi-bin/amigo/term-details.cgi?term=GO:0016773","GO:0016773")</f>
        <v>GO:0016773</v>
      </c>
      <c r="B16" t="s">
        <v>369</v>
      </c>
      <c r="C16">
        <v>6062</v>
      </c>
      <c r="D16">
        <v>690</v>
      </c>
      <c r="E16" s="2">
        <v>4.3766886237760197E-25</v>
      </c>
      <c r="F16" s="2">
        <v>3.2912698450795602E-22</v>
      </c>
      <c r="G16" t="s">
        <v>2317</v>
      </c>
    </row>
    <row r="17" spans="1:7" x14ac:dyDescent="0.25">
      <c r="A17" s="4" t="str">
        <f>HYPERLINK("http://amigo.geneontology.org/cgi-bin/amigo/term-details.cgi?term=GO:0006796","GO:0006796")</f>
        <v>GO:0006796</v>
      </c>
      <c r="B17" t="s">
        <v>361</v>
      </c>
      <c r="C17">
        <v>8366</v>
      </c>
      <c r="D17">
        <v>900</v>
      </c>
      <c r="E17" s="2">
        <v>5.7056413425008403E-25</v>
      </c>
      <c r="F17" s="2">
        <v>3.6801386659130401E-22</v>
      </c>
      <c r="G17" t="s">
        <v>2316</v>
      </c>
    </row>
    <row r="18" spans="1:7" x14ac:dyDescent="0.25">
      <c r="A18" s="4" t="str">
        <f>HYPERLINK("http://amigo.geneontology.org/cgi-bin/amigo/term-details.cgi?term=GO:0016301","GO:0016301")</f>
        <v>GO:0016301</v>
      </c>
      <c r="B18" t="s">
        <v>365</v>
      </c>
      <c r="C18">
        <v>6285</v>
      </c>
      <c r="D18">
        <v>708</v>
      </c>
      <c r="E18" s="2">
        <v>1.51488236369009E-24</v>
      </c>
      <c r="F18" s="2">
        <v>8.5439365312121406E-22</v>
      </c>
      <c r="G18" t="s">
        <v>2315</v>
      </c>
    </row>
    <row r="19" spans="1:7" x14ac:dyDescent="0.25">
      <c r="A19" s="4" t="str">
        <f>HYPERLINK("http://amigo.geneontology.org/cgi-bin/amigo/term-details.cgi?term=GO:0016310","GO:0016310")</f>
        <v>GO:0016310</v>
      </c>
      <c r="B19" t="s">
        <v>366</v>
      </c>
      <c r="C19">
        <v>6439</v>
      </c>
      <c r="D19">
        <v>722</v>
      </c>
      <c r="E19" s="2">
        <v>1.6821231361340999E-24</v>
      </c>
      <c r="F19" s="2">
        <v>8.42743691203188E-22</v>
      </c>
      <c r="G19" t="s">
        <v>2314</v>
      </c>
    </row>
    <row r="20" spans="1:7" x14ac:dyDescent="0.25">
      <c r="A20" s="4" t="str">
        <f>HYPERLINK("http://amigo.geneontology.org/cgi-bin/amigo/term-details.cgi?term=GO:0006468","GO:0006468")</f>
        <v>GO:0006468</v>
      </c>
      <c r="B20" t="s">
        <v>370</v>
      </c>
      <c r="C20">
        <v>5693</v>
      </c>
      <c r="D20">
        <v>652</v>
      </c>
      <c r="E20" s="2">
        <v>2.35220663229161E-24</v>
      </c>
      <c r="F20" s="2">
        <v>1.0608451911635099E-21</v>
      </c>
      <c r="G20" t="s">
        <v>2313</v>
      </c>
    </row>
    <row r="21" spans="1:7" x14ac:dyDescent="0.25">
      <c r="A21" s="4" t="str">
        <f>HYPERLINK("http://amigo.geneontology.org/cgi-bin/amigo/term-details.cgi?term=GO:0006793","GO:0006793")</f>
        <v>GO:0006793</v>
      </c>
      <c r="B21" t="s">
        <v>952</v>
      </c>
      <c r="C21">
        <v>8439</v>
      </c>
      <c r="D21">
        <v>903</v>
      </c>
      <c r="E21" s="2">
        <v>2.43287466729468E-24</v>
      </c>
      <c r="F21" s="2">
        <v>9.9747861359082097E-22</v>
      </c>
      <c r="G21" t="s">
        <v>2312</v>
      </c>
    </row>
    <row r="22" spans="1:7" x14ac:dyDescent="0.25">
      <c r="A22" s="4" t="str">
        <f>HYPERLINK("http://amigo.geneontology.org/cgi-bin/amigo/term-details.cgi?term=GO:0004672","GO:0004672")</f>
        <v>GO:0004672</v>
      </c>
      <c r="B22" t="s">
        <v>368</v>
      </c>
      <c r="C22">
        <v>5633</v>
      </c>
      <c r="D22">
        <v>641</v>
      </c>
      <c r="E22" s="2">
        <v>2.9345801340317602E-23</v>
      </c>
      <c r="F22" s="2">
        <v>1.1034021303959401E-20</v>
      </c>
      <c r="G22" t="s">
        <v>2311</v>
      </c>
    </row>
    <row r="23" spans="1:7" x14ac:dyDescent="0.25">
      <c r="A23" s="4" t="str">
        <f>HYPERLINK("http://amigo.geneontology.org/cgi-bin/amigo/term-details.cgi?term=GO:0016772","GO:0016772")</f>
        <v>GO:0016772</v>
      </c>
      <c r="B23" t="s">
        <v>951</v>
      </c>
      <c r="C23">
        <v>6904</v>
      </c>
      <c r="D23">
        <v>741</v>
      </c>
      <c r="E23" s="2">
        <v>3.4840777326587499E-20</v>
      </c>
      <c r="F23" s="2">
        <v>1.2089749732325801E-17</v>
      </c>
      <c r="G23" t="s">
        <v>2310</v>
      </c>
    </row>
    <row r="24" spans="1:7" x14ac:dyDescent="0.25">
      <c r="A24" s="4" t="str">
        <f>HYPERLINK("http://amigo.geneontology.org/cgi-bin/amigo/term-details.cgi?term=GO:0043169","GO:0043169")</f>
        <v>GO:0043169</v>
      </c>
      <c r="B24" t="s">
        <v>950</v>
      </c>
      <c r="C24">
        <v>11833</v>
      </c>
      <c r="D24">
        <v>1174</v>
      </c>
      <c r="E24" s="2">
        <v>3.8527417094451101E-20</v>
      </c>
      <c r="F24" s="2">
        <v>1.24058283044132E-17</v>
      </c>
      <c r="G24" t="s">
        <v>2309</v>
      </c>
    </row>
    <row r="25" spans="1:7" x14ac:dyDescent="0.25">
      <c r="A25" s="4" t="str">
        <f>HYPERLINK("http://amigo.geneontology.org/cgi-bin/amigo/term-details.cgi?term=GO:0004722","GO:0004722")</f>
        <v>GO:0004722</v>
      </c>
      <c r="B25" t="s">
        <v>2308</v>
      </c>
      <c r="C25">
        <v>221</v>
      </c>
      <c r="D25">
        <v>63</v>
      </c>
      <c r="E25" s="2">
        <v>5.6268573788283801E-20</v>
      </c>
      <c r="F25" s="2">
        <v>1.6936840710273401E-17</v>
      </c>
      <c r="G25" t="s">
        <v>2307</v>
      </c>
    </row>
    <row r="26" spans="1:7" x14ac:dyDescent="0.25">
      <c r="A26" s="4" t="str">
        <f>HYPERLINK("http://amigo.geneontology.org/cgi-bin/amigo/term-details.cgi?term=GO:0035639","GO:0035639")</f>
        <v>GO:0035639</v>
      </c>
      <c r="B26" t="s">
        <v>363</v>
      </c>
      <c r="C26">
        <v>9665</v>
      </c>
      <c r="D26">
        <v>982</v>
      </c>
      <c r="E26" s="2">
        <v>1.4931640339095799E-19</v>
      </c>
      <c r="F26" s="2">
        <v>4.2107225756250199E-17</v>
      </c>
      <c r="G26" t="s">
        <v>2306</v>
      </c>
    </row>
    <row r="27" spans="1:7" x14ac:dyDescent="0.25">
      <c r="A27" s="4" t="str">
        <f>HYPERLINK("http://amigo.geneontology.org/cgi-bin/amigo/term-details.cgi?term=GO:0043067","GO:0043067")</f>
        <v>GO:0043067</v>
      </c>
      <c r="B27" t="s">
        <v>2305</v>
      </c>
      <c r="C27">
        <v>112</v>
      </c>
      <c r="D27">
        <v>43</v>
      </c>
      <c r="E27" s="2">
        <v>1.5715531713699301E-19</v>
      </c>
      <c r="F27" s="2">
        <v>4.16461590413032E-17</v>
      </c>
      <c r="G27" t="s">
        <v>2292</v>
      </c>
    </row>
    <row r="28" spans="1:7" x14ac:dyDescent="0.25">
      <c r="A28" s="4" t="str">
        <f>HYPERLINK("http://amigo.geneontology.org/cgi-bin/amigo/term-details.cgi?term=GO:0005524","GO:0005524")</f>
        <v>GO:0005524</v>
      </c>
      <c r="B28" t="s">
        <v>362</v>
      </c>
      <c r="C28">
        <v>8993</v>
      </c>
      <c r="D28">
        <v>922</v>
      </c>
      <c r="E28" s="2">
        <v>2.19684831335203E-19</v>
      </c>
      <c r="F28" s="2">
        <v>5.4921207833800802E-17</v>
      </c>
      <c r="G28" t="s">
        <v>2304</v>
      </c>
    </row>
    <row r="29" spans="1:7" x14ac:dyDescent="0.25">
      <c r="A29" s="4" t="str">
        <f>HYPERLINK("http://amigo.geneontology.org/cgi-bin/amigo/term-details.cgi?term=GO:0004674","GO:0004674")</f>
        <v>GO:0004674</v>
      </c>
      <c r="B29" t="s">
        <v>325</v>
      </c>
      <c r="C29">
        <v>2443</v>
      </c>
      <c r="D29">
        <v>316</v>
      </c>
      <c r="E29" s="2">
        <v>3.2634494187587198E-19</v>
      </c>
      <c r="F29" s="2">
        <v>7.7343751224581798E-17</v>
      </c>
      <c r="G29" t="s">
        <v>2303</v>
      </c>
    </row>
    <row r="30" spans="1:7" x14ac:dyDescent="0.25">
      <c r="A30" s="4" t="str">
        <f>HYPERLINK("http://amigo.geneontology.org/cgi-bin/amigo/term-details.cgi?term=GO:0043412","GO:0043412")</f>
        <v>GO:0043412</v>
      </c>
      <c r="B30" t="s">
        <v>367</v>
      </c>
      <c r="C30">
        <v>8612</v>
      </c>
      <c r="D30">
        <v>885</v>
      </c>
      <c r="E30" s="2">
        <v>7.4955715724407097E-19</v>
      </c>
      <c r="F30" s="2">
        <v>1.68650360379916E-16</v>
      </c>
      <c r="G30" t="s">
        <v>2302</v>
      </c>
    </row>
    <row r="31" spans="1:7" x14ac:dyDescent="0.25">
      <c r="A31" s="4" t="str">
        <f>HYPERLINK("http://amigo.geneontology.org/cgi-bin/amigo/term-details.cgi?term=GO:0006986","GO:0006986")</f>
        <v>GO:0006986</v>
      </c>
      <c r="B31" t="s">
        <v>2301</v>
      </c>
      <c r="C31">
        <v>53</v>
      </c>
      <c r="D31">
        <v>29</v>
      </c>
      <c r="E31" s="2">
        <v>7.9961011007517396E-19</v>
      </c>
      <c r="F31" s="2">
        <v>1.5032670069413199E-16</v>
      </c>
      <c r="G31" t="s">
        <v>2297</v>
      </c>
    </row>
    <row r="32" spans="1:7" x14ac:dyDescent="0.25">
      <c r="A32" s="4" t="str">
        <f>HYPERLINK("http://amigo.geneontology.org/cgi-bin/amigo/term-details.cgi?term=GO:0035967","GO:0035967")</f>
        <v>GO:0035967</v>
      </c>
      <c r="B32" t="s">
        <v>2300</v>
      </c>
      <c r="C32">
        <v>53</v>
      </c>
      <c r="D32">
        <v>29</v>
      </c>
      <c r="E32" s="2">
        <v>7.9961011007517396E-19</v>
      </c>
      <c r="F32" s="2">
        <v>1.5672358157473401E-16</v>
      </c>
      <c r="G32" t="s">
        <v>2297</v>
      </c>
    </row>
    <row r="33" spans="1:7" x14ac:dyDescent="0.25">
      <c r="A33" s="4" t="str">
        <f>HYPERLINK("http://amigo.geneontology.org/cgi-bin/amigo/term-details.cgi?term=GO:0034620","GO:0034620")</f>
        <v>GO:0034620</v>
      </c>
      <c r="B33" t="s">
        <v>2299</v>
      </c>
      <c r="C33">
        <v>53</v>
      </c>
      <c r="D33">
        <v>29</v>
      </c>
      <c r="E33" s="2">
        <v>7.9961011007517396E-19</v>
      </c>
      <c r="F33" s="2">
        <v>1.6392007256541E-16</v>
      </c>
      <c r="G33" t="s">
        <v>2297</v>
      </c>
    </row>
    <row r="34" spans="1:7" x14ac:dyDescent="0.25">
      <c r="A34" s="4" t="str">
        <f>HYPERLINK("http://amigo.geneontology.org/cgi-bin/amigo/term-details.cgi?term=GO:0030968","GO:0030968")</f>
        <v>GO:0030968</v>
      </c>
      <c r="B34" t="s">
        <v>2298</v>
      </c>
      <c r="C34">
        <v>53</v>
      </c>
      <c r="D34">
        <v>29</v>
      </c>
      <c r="E34" s="2">
        <v>7.9961011007517396E-19</v>
      </c>
      <c r="F34" s="2">
        <v>1.71916173666162E-16</v>
      </c>
      <c r="G34" t="s">
        <v>2297</v>
      </c>
    </row>
    <row r="35" spans="1:7" x14ac:dyDescent="0.25">
      <c r="A35" s="4" t="str">
        <f>HYPERLINK("http://amigo.geneontology.org/cgi-bin/amigo/term-details.cgi?term=GO:0140096","GO:0140096")</f>
        <v>GO:0140096</v>
      </c>
      <c r="B35" t="s">
        <v>2296</v>
      </c>
      <c r="C35">
        <v>9460</v>
      </c>
      <c r="D35">
        <v>959</v>
      </c>
      <c r="E35" s="2">
        <v>8.5159517531743201E-19</v>
      </c>
      <c r="F35" s="2">
        <v>1.53287131557137E-16</v>
      </c>
      <c r="G35" t="s">
        <v>2295</v>
      </c>
    </row>
    <row r="36" spans="1:7" x14ac:dyDescent="0.25">
      <c r="A36" s="4" t="str">
        <f>HYPERLINK("http://amigo.geneontology.org/cgi-bin/amigo/term-details.cgi?term=GO:0046872","GO:0046872")</f>
        <v>GO:0046872</v>
      </c>
      <c r="B36" t="s">
        <v>348</v>
      </c>
      <c r="C36">
        <v>11725</v>
      </c>
      <c r="D36">
        <v>1149</v>
      </c>
      <c r="E36" s="2">
        <v>5.5148587729721098E-18</v>
      </c>
      <c r="F36" s="2">
        <v>9.5407056772417498E-16</v>
      </c>
      <c r="G36" t="s">
        <v>2294</v>
      </c>
    </row>
    <row r="37" spans="1:7" x14ac:dyDescent="0.25">
      <c r="A37" s="4" t="str">
        <f>HYPERLINK("http://amigo.geneontology.org/cgi-bin/amigo/term-details.cgi?term=GO:0010941","GO:0010941")</f>
        <v>GO:0010941</v>
      </c>
      <c r="B37" t="s">
        <v>2293</v>
      </c>
      <c r="C37">
        <v>123</v>
      </c>
      <c r="D37">
        <v>43</v>
      </c>
      <c r="E37" s="2">
        <v>9.7591451214746604E-18</v>
      </c>
      <c r="F37" s="2">
        <v>1.62977723528626E-15</v>
      </c>
      <c r="G37" t="s">
        <v>2292</v>
      </c>
    </row>
    <row r="38" spans="1:7" x14ac:dyDescent="0.25">
      <c r="A38" s="4" t="str">
        <f>HYPERLINK("http://amigo.geneontology.org/cgi-bin/amigo/term-details.cgi?term=GO:0043069","GO:0043069")</f>
        <v>GO:0043069</v>
      </c>
      <c r="B38" t="s">
        <v>2291</v>
      </c>
      <c r="C38">
        <v>53</v>
      </c>
      <c r="D38">
        <v>28</v>
      </c>
      <c r="E38" s="2">
        <v>1.10935195126137E-17</v>
      </c>
      <c r="F38" s="2">
        <v>1.7860566415308101E-15</v>
      </c>
      <c r="G38" t="s">
        <v>2271</v>
      </c>
    </row>
    <row r="39" spans="1:7" x14ac:dyDescent="0.25">
      <c r="A39" s="4" t="str">
        <f>HYPERLINK("http://amigo.geneontology.org/cgi-bin/amigo/term-details.cgi?term=GO:0031224","GO:0031224")</f>
        <v>GO:0031224</v>
      </c>
      <c r="B39" t="s">
        <v>841</v>
      </c>
      <c r="C39">
        <v>7435</v>
      </c>
      <c r="D39">
        <v>772</v>
      </c>
      <c r="E39" s="2">
        <v>1.81990673862528E-17</v>
      </c>
      <c r="F39" s="2">
        <v>2.8208554448691799E-15</v>
      </c>
      <c r="G39" t="s">
        <v>2290</v>
      </c>
    </row>
    <row r="40" spans="1:7" x14ac:dyDescent="0.25">
      <c r="A40" s="4" t="str">
        <f>HYPERLINK("http://amigo.geneontology.org/cgi-bin/amigo/term-details.cgi?term=GO:0003700","GO:0003700")</f>
        <v>GO:0003700</v>
      </c>
      <c r="B40" t="s">
        <v>2289</v>
      </c>
      <c r="C40">
        <v>2075</v>
      </c>
      <c r="D40">
        <v>272</v>
      </c>
      <c r="E40" s="2">
        <v>1.95431352644885E-17</v>
      </c>
      <c r="F40" s="2">
        <v>2.9314702896732801E-15</v>
      </c>
      <c r="G40" t="s">
        <v>2288</v>
      </c>
    </row>
    <row r="41" spans="1:7" x14ac:dyDescent="0.25">
      <c r="A41" s="4" t="str">
        <f>HYPERLINK("http://amigo.geneontology.org/cgi-bin/amigo/term-details.cgi?term=GO:1901564","GO:1901564")</f>
        <v>GO:1901564</v>
      </c>
      <c r="B41" t="s">
        <v>899</v>
      </c>
      <c r="C41">
        <v>15243</v>
      </c>
      <c r="D41">
        <v>1441</v>
      </c>
      <c r="E41" s="2">
        <v>2.9076897110189801E-17</v>
      </c>
      <c r="F41" s="2">
        <v>4.2161500809775301E-15</v>
      </c>
      <c r="G41" t="s">
        <v>2287</v>
      </c>
    </row>
    <row r="42" spans="1:7" x14ac:dyDescent="0.25">
      <c r="A42" s="4" t="str">
        <f>HYPERLINK("http://amigo.geneontology.org/cgi-bin/amigo/term-details.cgi?term=GO:0016021","GO:0016021")</f>
        <v>GO:0016021</v>
      </c>
      <c r="B42" t="s">
        <v>197</v>
      </c>
      <c r="C42">
        <v>7362</v>
      </c>
      <c r="D42">
        <v>764</v>
      </c>
      <c r="E42" s="2">
        <v>3.1437943301859299E-17</v>
      </c>
      <c r="F42" s="2">
        <v>4.4327500055621597E-15</v>
      </c>
      <c r="G42" t="s">
        <v>2286</v>
      </c>
    </row>
    <row r="43" spans="1:7" x14ac:dyDescent="0.25">
      <c r="A43" s="4" t="str">
        <f>HYPERLINK("http://amigo.geneontology.org/cgi-bin/amigo/term-details.cgi?term=GO:0044267","GO:0044267")</f>
        <v>GO:0044267</v>
      </c>
      <c r="B43" t="s">
        <v>360</v>
      </c>
      <c r="C43">
        <v>10315</v>
      </c>
      <c r="D43">
        <v>1020</v>
      </c>
      <c r="E43" s="2">
        <v>6.2597897180318696E-17</v>
      </c>
      <c r="F43" s="2">
        <v>8.5133140165233507E-15</v>
      </c>
      <c r="G43" t="s">
        <v>2285</v>
      </c>
    </row>
    <row r="44" spans="1:7" x14ac:dyDescent="0.25">
      <c r="A44" s="4" t="str">
        <f>HYPERLINK("http://amigo.geneontology.org/cgi-bin/amigo/term-details.cgi?term=GO:0010363","GO:0010363")</f>
        <v>GO:0010363</v>
      </c>
      <c r="B44" t="s">
        <v>2284</v>
      </c>
      <c r="C44">
        <v>92</v>
      </c>
      <c r="D44">
        <v>36</v>
      </c>
      <c r="E44" s="2">
        <v>6.55983808091424E-17</v>
      </c>
      <c r="F44" s="2">
        <v>8.6589862668068005E-15</v>
      </c>
      <c r="G44" t="s">
        <v>2283</v>
      </c>
    </row>
    <row r="45" spans="1:7" x14ac:dyDescent="0.25">
      <c r="A45" s="4" t="str">
        <f>HYPERLINK("http://amigo.geneontology.org/cgi-bin/amigo/term-details.cgi?term=GO:0016757","GO:0016757")</f>
        <v>GO:0016757</v>
      </c>
      <c r="B45" t="s">
        <v>954</v>
      </c>
      <c r="C45">
        <v>2155</v>
      </c>
      <c r="D45">
        <v>278</v>
      </c>
      <c r="E45" s="2">
        <v>6.8001402925834095E-17</v>
      </c>
      <c r="F45" s="2">
        <v>8.7721809774325894E-15</v>
      </c>
      <c r="G45" t="s">
        <v>2282</v>
      </c>
    </row>
    <row r="46" spans="1:7" x14ac:dyDescent="0.25">
      <c r="A46" s="4" t="str">
        <f>HYPERLINK("http://amigo.geneontology.org/cgi-bin/amigo/term-details.cgi?term=GO:0006470","GO:0006470")</f>
        <v>GO:0006470</v>
      </c>
      <c r="B46" t="s">
        <v>2281</v>
      </c>
      <c r="C46">
        <v>304</v>
      </c>
      <c r="D46">
        <v>70</v>
      </c>
      <c r="E46" s="2">
        <v>1.54304291681131E-16</v>
      </c>
      <c r="F46" s="2">
        <v>1.9288036460141401E-14</v>
      </c>
      <c r="G46" t="s">
        <v>2280</v>
      </c>
    </row>
    <row r="47" spans="1:7" x14ac:dyDescent="0.25">
      <c r="A47" s="4" t="str">
        <f>HYPERLINK("http://amigo.geneontology.org/cgi-bin/amigo/term-details.cgi?term=GO:0034976","GO:0034976")</f>
        <v>GO:0034976</v>
      </c>
      <c r="B47" t="s">
        <v>2279</v>
      </c>
      <c r="C47">
        <v>143</v>
      </c>
      <c r="D47">
        <v>45</v>
      </c>
      <c r="E47" s="2">
        <v>1.7217795057071899E-16</v>
      </c>
      <c r="F47" s="2">
        <v>2.10057099696277E-14</v>
      </c>
      <c r="G47" t="s">
        <v>2278</v>
      </c>
    </row>
    <row r="48" spans="1:7" x14ac:dyDescent="0.25">
      <c r="A48" s="4" t="str">
        <f>HYPERLINK("http://amigo.geneontology.org/cgi-bin/amigo/term-details.cgi?term=GO:0019752","GO:0019752")</f>
        <v>GO:0019752</v>
      </c>
      <c r="B48" t="s">
        <v>195</v>
      </c>
      <c r="C48">
        <v>2833</v>
      </c>
      <c r="D48">
        <v>343</v>
      </c>
      <c r="E48" s="2">
        <v>1.96984591814298E-16</v>
      </c>
      <c r="F48" s="2">
        <v>2.3244181834087199E-14</v>
      </c>
      <c r="G48" t="s">
        <v>2277</v>
      </c>
    </row>
    <row r="49" spans="1:7" x14ac:dyDescent="0.25">
      <c r="A49" s="4" t="str">
        <f>HYPERLINK("http://amigo.geneontology.org/cgi-bin/amigo/term-details.cgi?term=GO:0071446","GO:0071446")</f>
        <v>GO:0071446</v>
      </c>
      <c r="B49" t="s">
        <v>2276</v>
      </c>
      <c r="C49">
        <v>93</v>
      </c>
      <c r="D49">
        <v>35</v>
      </c>
      <c r="E49" s="2">
        <v>7.3624085360750702E-16</v>
      </c>
      <c r="F49" s="2">
        <v>8.2458975604040701E-14</v>
      </c>
      <c r="G49" t="s">
        <v>2264</v>
      </c>
    </row>
    <row r="50" spans="1:7" x14ac:dyDescent="0.25">
      <c r="A50" s="4" t="str">
        <f>HYPERLINK("http://amigo.geneontology.org/cgi-bin/amigo/term-details.cgi?term=GO:0009863","GO:0009863")</f>
        <v>GO:0009863</v>
      </c>
      <c r="B50" t="s">
        <v>2275</v>
      </c>
      <c r="C50">
        <v>93</v>
      </c>
      <c r="D50">
        <v>35</v>
      </c>
      <c r="E50" s="2">
        <v>7.3624085360750702E-16</v>
      </c>
      <c r="F50" s="2">
        <v>8.4667698164863301E-14</v>
      </c>
      <c r="G50" t="s">
        <v>2264</v>
      </c>
    </row>
    <row r="51" spans="1:7" x14ac:dyDescent="0.25">
      <c r="A51" s="4" t="str">
        <f>HYPERLINK("http://amigo.geneontology.org/cgi-bin/amigo/term-details.cgi?term=GO:0006082","GO:0006082")</f>
        <v>GO:0006082</v>
      </c>
      <c r="B51" t="s">
        <v>319</v>
      </c>
      <c r="C51">
        <v>2904</v>
      </c>
      <c r="D51">
        <v>347</v>
      </c>
      <c r="E51" s="2">
        <v>8.5281928590811197E-16</v>
      </c>
      <c r="F51" s="2">
        <v>9.38101214498923E-14</v>
      </c>
      <c r="G51" t="s">
        <v>2274</v>
      </c>
    </row>
    <row r="52" spans="1:7" x14ac:dyDescent="0.25">
      <c r="A52" s="4" t="str">
        <f>HYPERLINK("http://amigo.geneontology.org/cgi-bin/amigo/term-details.cgi?term=GO:0043436","GO:0043436")</f>
        <v>GO:0043436</v>
      </c>
      <c r="B52" t="s">
        <v>180</v>
      </c>
      <c r="C52">
        <v>2895</v>
      </c>
      <c r="D52">
        <v>345</v>
      </c>
      <c r="E52" s="2">
        <v>1.50640292803732E-15</v>
      </c>
      <c r="F52" s="2">
        <v>1.6118511329999301E-13</v>
      </c>
      <c r="G52" t="s">
        <v>2273</v>
      </c>
    </row>
    <row r="53" spans="1:7" x14ac:dyDescent="0.25">
      <c r="A53" s="4" t="str">
        <f>HYPERLINK("http://amigo.geneontology.org/cgi-bin/amigo/term-details.cgi?term=GO:0060548","GO:0060548")</f>
        <v>GO:0060548</v>
      </c>
      <c r="B53" t="s">
        <v>2272</v>
      </c>
      <c r="C53">
        <v>63</v>
      </c>
      <c r="D53">
        <v>28</v>
      </c>
      <c r="E53" s="2">
        <v>3.5548317956447698E-15</v>
      </c>
      <c r="F53" s="2">
        <v>3.7325733854269998E-13</v>
      </c>
      <c r="G53" t="s">
        <v>2271</v>
      </c>
    </row>
    <row r="54" spans="1:7" x14ac:dyDescent="0.25">
      <c r="A54" s="4" t="str">
        <f>HYPERLINK("http://amigo.geneontology.org/cgi-bin/amigo/term-details.cgi?term=GO:0080135","GO:0080135")</f>
        <v>GO:0080135</v>
      </c>
      <c r="B54" t="s">
        <v>401</v>
      </c>
      <c r="C54">
        <v>108</v>
      </c>
      <c r="D54">
        <v>37</v>
      </c>
      <c r="E54" s="2">
        <v>3.7755810807595298E-15</v>
      </c>
      <c r="F54" s="2">
        <v>3.8510927023747299E-13</v>
      </c>
      <c r="G54" t="s">
        <v>2270</v>
      </c>
    </row>
    <row r="55" spans="1:7" x14ac:dyDescent="0.25">
      <c r="A55" s="4" t="str">
        <f>HYPERLINK("http://amigo.geneontology.org/cgi-bin/amigo/term-details.cgi?term=GO:0043565","GO:0043565")</f>
        <v>GO:0043565</v>
      </c>
      <c r="B55" t="s">
        <v>364</v>
      </c>
      <c r="C55">
        <v>1091</v>
      </c>
      <c r="D55">
        <v>160</v>
      </c>
      <c r="E55" s="2">
        <v>8.9468626834574297E-15</v>
      </c>
      <c r="F55" s="2">
        <v>8.9468626834574301E-13</v>
      </c>
      <c r="G55" t="s">
        <v>2269</v>
      </c>
    </row>
    <row r="56" spans="1:7" x14ac:dyDescent="0.25">
      <c r="A56" s="4" t="str">
        <f>HYPERLINK("http://amigo.geneontology.org/cgi-bin/amigo/term-details.cgi?term=GO:0035690","GO:0035690")</f>
        <v>GO:0035690</v>
      </c>
      <c r="B56" t="s">
        <v>2268</v>
      </c>
      <c r="C56">
        <v>101</v>
      </c>
      <c r="D56">
        <v>35</v>
      </c>
      <c r="E56" s="2">
        <v>1.3881691441918E-14</v>
      </c>
      <c r="F56" s="2">
        <v>1.36040576130797E-12</v>
      </c>
      <c r="G56" t="s">
        <v>2264</v>
      </c>
    </row>
    <row r="57" spans="1:7" x14ac:dyDescent="0.25">
      <c r="A57" s="4" t="str">
        <f>HYPERLINK("http://amigo.geneontology.org/cgi-bin/amigo/term-details.cgi?term=GO:0071229","GO:0071229")</f>
        <v>GO:0071229</v>
      </c>
      <c r="B57" t="s">
        <v>2267</v>
      </c>
      <c r="C57">
        <v>194</v>
      </c>
      <c r="D57">
        <v>50</v>
      </c>
      <c r="E57" s="2">
        <v>2.9139618055781101E-14</v>
      </c>
      <c r="F57" s="2">
        <v>2.79740333335499E-12</v>
      </c>
      <c r="G57" t="s">
        <v>2266</v>
      </c>
    </row>
    <row r="58" spans="1:7" x14ac:dyDescent="0.25">
      <c r="A58" s="4" t="str">
        <f>HYPERLINK("http://amigo.geneontology.org/cgi-bin/amigo/term-details.cgi?term=GO:0009751","GO:0009751")</f>
        <v>GO:0009751</v>
      </c>
      <c r="B58" t="s">
        <v>2265</v>
      </c>
      <c r="C58">
        <v>104</v>
      </c>
      <c r="D58">
        <v>35</v>
      </c>
      <c r="E58" s="2">
        <v>3.8186916436157199E-14</v>
      </c>
      <c r="F58" s="2">
        <v>3.5895701449987801E-12</v>
      </c>
      <c r="G58" t="s">
        <v>2264</v>
      </c>
    </row>
    <row r="59" spans="1:7" x14ac:dyDescent="0.25">
      <c r="A59" s="4" t="str">
        <f>HYPERLINK("http://amigo.geneontology.org/cgi-bin/amigo/term-details.cgi?term=GO:0042493","GO:0042493")</f>
        <v>GO:0042493</v>
      </c>
      <c r="B59" t="s">
        <v>915</v>
      </c>
      <c r="C59">
        <v>497</v>
      </c>
      <c r="D59">
        <v>90</v>
      </c>
      <c r="E59" s="2">
        <v>5.7905917812683696E-14</v>
      </c>
      <c r="F59" s="2">
        <v>5.3273444387668997E-12</v>
      </c>
      <c r="G59" t="s">
        <v>2263</v>
      </c>
    </row>
    <row r="60" spans="1:7" x14ac:dyDescent="0.25">
      <c r="A60" s="4" t="str">
        <f>HYPERLINK("http://amigo.geneontology.org/cgi-bin/amigo/term-details.cgi?term=GO:0004721","GO:0004721")</f>
        <v>GO:0004721</v>
      </c>
      <c r="B60" t="s">
        <v>2262</v>
      </c>
      <c r="C60">
        <v>371</v>
      </c>
      <c r="D60">
        <v>74</v>
      </c>
      <c r="E60" s="2">
        <v>6.6005940288205497E-14</v>
      </c>
      <c r="F60" s="2">
        <v>5.9405346259385004E-12</v>
      </c>
      <c r="G60" t="s">
        <v>2261</v>
      </c>
    </row>
    <row r="61" spans="1:7" x14ac:dyDescent="0.25">
      <c r="A61" s="4" t="str">
        <f>HYPERLINK("http://amigo.geneontology.org/cgi-bin/amigo/term-details.cgi?term=GO:0001101","GO:0001101")</f>
        <v>GO:0001101</v>
      </c>
      <c r="B61" t="s">
        <v>984</v>
      </c>
      <c r="C61">
        <v>529</v>
      </c>
      <c r="D61">
        <v>93</v>
      </c>
      <c r="E61" s="2">
        <v>1.3660883804270199E-13</v>
      </c>
      <c r="F61" s="2">
        <v>1.20215777477578E-11</v>
      </c>
      <c r="G61" t="s">
        <v>2260</v>
      </c>
    </row>
    <row r="62" spans="1:7" x14ac:dyDescent="0.25">
      <c r="A62" s="4" t="str">
        <f>HYPERLINK("http://amigo.geneontology.org/cgi-bin/amigo/term-details.cgi?term=GO:0016311","GO:0016311")</f>
        <v>GO:0016311</v>
      </c>
      <c r="B62" t="s">
        <v>2259</v>
      </c>
      <c r="C62">
        <v>565</v>
      </c>
      <c r="D62">
        <v>97</v>
      </c>
      <c r="E62" s="2">
        <v>1.8183457963665299E-13</v>
      </c>
      <c r="F62" s="2">
        <v>1.5637773848752201E-11</v>
      </c>
      <c r="G62" t="s">
        <v>2258</v>
      </c>
    </row>
    <row r="63" spans="1:7" x14ac:dyDescent="0.25">
      <c r="A63" s="4" t="str">
        <f>HYPERLINK("http://amigo.geneontology.org/cgi-bin/amigo/term-details.cgi?term=GO:0007154","GO:0007154")</f>
        <v>GO:0007154</v>
      </c>
      <c r="B63" t="s">
        <v>920</v>
      </c>
      <c r="C63">
        <v>2132</v>
      </c>
      <c r="D63">
        <v>261</v>
      </c>
      <c r="E63" s="2">
        <v>2.53419887557574E-13</v>
      </c>
      <c r="F63" s="2">
        <v>2.15406904423938E-11</v>
      </c>
      <c r="G63" t="s">
        <v>2257</v>
      </c>
    </row>
    <row r="64" spans="1:7" x14ac:dyDescent="0.25">
      <c r="A64" s="4" t="str">
        <f>HYPERLINK("http://amigo.geneontology.org/cgi-bin/amigo/term-details.cgi?term=GO:0045088","GO:0045088")</f>
        <v>GO:0045088</v>
      </c>
      <c r="B64" t="s">
        <v>2256</v>
      </c>
      <c r="C64">
        <v>141</v>
      </c>
      <c r="D64">
        <v>40</v>
      </c>
      <c r="E64" s="2">
        <v>3.6206337858990398E-13</v>
      </c>
      <c r="F64" s="2">
        <v>3.0051260422961997E-11</v>
      </c>
      <c r="G64" t="s">
        <v>2248</v>
      </c>
    </row>
    <row r="65" spans="1:7" x14ac:dyDescent="0.25">
      <c r="A65" s="4" t="str">
        <f>HYPERLINK("http://amigo.geneontology.org/cgi-bin/amigo/term-details.cgi?term=GO:0050776","GO:0050776")</f>
        <v>GO:0050776</v>
      </c>
      <c r="B65" t="s">
        <v>2255</v>
      </c>
      <c r="C65">
        <v>143</v>
      </c>
      <c r="D65">
        <v>40</v>
      </c>
      <c r="E65" s="2">
        <v>5.9858079654581899E-13</v>
      </c>
      <c r="F65" s="2">
        <v>4.9083625316757098E-11</v>
      </c>
      <c r="G65" t="s">
        <v>2248</v>
      </c>
    </row>
    <row r="66" spans="1:7" x14ac:dyDescent="0.25">
      <c r="A66" s="4" t="str">
        <f>HYPERLINK("http://amigo.geneontology.org/cgi-bin/amigo/term-details.cgi?term=GO:1901700","GO:1901700")</f>
        <v>GO:1901700</v>
      </c>
      <c r="B66" t="s">
        <v>926</v>
      </c>
      <c r="C66">
        <v>877</v>
      </c>
      <c r="D66">
        <v>131</v>
      </c>
      <c r="E66" s="2">
        <v>6.1377214461949904E-13</v>
      </c>
      <c r="F66" s="2">
        <v>4.9101771569559901E-11</v>
      </c>
      <c r="G66" t="s">
        <v>2254</v>
      </c>
    </row>
    <row r="67" spans="1:7" x14ac:dyDescent="0.25">
      <c r="A67" s="4" t="str">
        <f>HYPERLINK("http://amigo.geneontology.org/cgi-bin/amigo/term-details.cgi?term=GO:0044237","GO:0044237")</f>
        <v>GO:0044237</v>
      </c>
      <c r="B67" t="s">
        <v>895</v>
      </c>
      <c r="C67">
        <v>21432</v>
      </c>
      <c r="D67">
        <v>1909</v>
      </c>
      <c r="E67" s="2">
        <v>6.1656508479984404E-13</v>
      </c>
      <c r="F67" s="2">
        <v>4.8708641699187702E-11</v>
      </c>
      <c r="G67" t="s">
        <v>2253</v>
      </c>
    </row>
    <row r="68" spans="1:7" x14ac:dyDescent="0.25">
      <c r="A68" s="4" t="str">
        <f>HYPERLINK("http://amigo.geneontology.org/cgi-bin/amigo/term-details.cgi?term=GO:0030145","GO:0030145")</f>
        <v>GO:0030145</v>
      </c>
      <c r="B68" t="s">
        <v>359</v>
      </c>
      <c r="C68">
        <v>300</v>
      </c>
      <c r="D68">
        <v>62</v>
      </c>
      <c r="E68" s="2">
        <v>1.34604726931257E-12</v>
      </c>
      <c r="F68" s="2">
        <v>1.03645639737068E-10</v>
      </c>
      <c r="G68" t="s">
        <v>1213</v>
      </c>
    </row>
    <row r="69" spans="1:7" x14ac:dyDescent="0.25">
      <c r="A69" s="4" t="str">
        <f>HYPERLINK("http://amigo.geneontology.org/cgi-bin/amigo/term-details.cgi?term=GO:0006520","GO:0006520")</f>
        <v>GO:0006520</v>
      </c>
      <c r="B69" t="s">
        <v>240</v>
      </c>
      <c r="C69">
        <v>1345</v>
      </c>
      <c r="D69">
        <v>179</v>
      </c>
      <c r="E69" s="2">
        <v>1.6825341435343901E-12</v>
      </c>
      <c r="F69" s="2">
        <v>1.2787259490861399E-10</v>
      </c>
      <c r="G69" t="s">
        <v>2252</v>
      </c>
    </row>
    <row r="70" spans="1:7" x14ac:dyDescent="0.25">
      <c r="A70" s="4" t="str">
        <f>HYPERLINK("http://amigo.geneontology.org/cgi-bin/amigo/term-details.cgi?term=GO:0010200","GO:0010200")</f>
        <v>GO:0010200</v>
      </c>
      <c r="B70" t="s">
        <v>2251</v>
      </c>
      <c r="C70">
        <v>63</v>
      </c>
      <c r="D70">
        <v>25</v>
      </c>
      <c r="E70" s="2">
        <v>2.3748853132745798E-12</v>
      </c>
      <c r="F70" s="2">
        <v>1.78116398495594E-10</v>
      </c>
      <c r="G70" t="s">
        <v>2250</v>
      </c>
    </row>
    <row r="71" spans="1:7" x14ac:dyDescent="0.25">
      <c r="A71" s="4" t="str">
        <f>HYPERLINK("http://amigo.geneontology.org/cgi-bin/amigo/term-details.cgi?term=GO:0002682","GO:0002682")</f>
        <v>GO:0002682</v>
      </c>
      <c r="B71" t="s">
        <v>2249</v>
      </c>
      <c r="C71">
        <v>149</v>
      </c>
      <c r="D71">
        <v>40</v>
      </c>
      <c r="E71" s="2">
        <v>2.5393046157469098E-12</v>
      </c>
      <c r="F71" s="2">
        <v>1.8790854156527099E-10</v>
      </c>
      <c r="G71" t="s">
        <v>2248</v>
      </c>
    </row>
    <row r="72" spans="1:7" x14ac:dyDescent="0.25">
      <c r="A72" s="4" t="str">
        <f>HYPERLINK("http://amigo.geneontology.org/cgi-bin/amigo/term-details.cgi?term=GO:0031347","GO:0031347")</f>
        <v>GO:0031347</v>
      </c>
      <c r="B72" t="s">
        <v>95</v>
      </c>
      <c r="C72">
        <v>210</v>
      </c>
      <c r="D72">
        <v>49</v>
      </c>
      <c r="E72" s="2">
        <v>2.9077485328383101E-12</v>
      </c>
      <c r="F72" s="2">
        <v>2.0935789436435799E-10</v>
      </c>
      <c r="G72" t="s">
        <v>2247</v>
      </c>
    </row>
    <row r="73" spans="1:7" x14ac:dyDescent="0.25">
      <c r="A73" s="4" t="str">
        <f>HYPERLINK("http://amigo.geneontology.org/cgi-bin/amigo/term-details.cgi?term=GO:0016791","GO:0016791")</f>
        <v>GO:0016791</v>
      </c>
      <c r="B73" t="s">
        <v>517</v>
      </c>
      <c r="C73">
        <v>664</v>
      </c>
      <c r="D73">
        <v>105</v>
      </c>
      <c r="E73" s="2">
        <v>3.7288266755594004E-12</v>
      </c>
      <c r="F73" s="2">
        <v>2.6474669396471698E-10</v>
      </c>
      <c r="G73" t="s">
        <v>2246</v>
      </c>
    </row>
    <row r="74" spans="1:7" x14ac:dyDescent="0.25">
      <c r="A74" s="4" t="str">
        <f>HYPERLINK("http://amigo.geneontology.org/cgi-bin/amigo/term-details.cgi?term=GO:0042578","GO:0042578")</f>
        <v>GO:0042578</v>
      </c>
      <c r="B74" t="s">
        <v>426</v>
      </c>
      <c r="C74">
        <v>827</v>
      </c>
      <c r="D74">
        <v>123</v>
      </c>
      <c r="E74" s="2">
        <v>4.1064930956945701E-12</v>
      </c>
      <c r="F74" s="2">
        <v>2.8745451669862002E-10</v>
      </c>
      <c r="G74" t="s">
        <v>2245</v>
      </c>
    </row>
    <row r="75" spans="1:7" x14ac:dyDescent="0.25">
      <c r="A75" s="4" t="str">
        <f>HYPERLINK("http://amigo.geneontology.org/cgi-bin/amigo/term-details.cgi?term=GO:0071395","GO:0071395")</f>
        <v>GO:0071395</v>
      </c>
      <c r="B75" t="s">
        <v>2244</v>
      </c>
      <c r="C75">
        <v>86</v>
      </c>
      <c r="D75">
        <v>29</v>
      </c>
      <c r="E75" s="2">
        <v>5.3572831457998896E-12</v>
      </c>
      <c r="F75" s="2">
        <v>3.6429525391439201E-10</v>
      </c>
      <c r="G75" t="s">
        <v>2242</v>
      </c>
    </row>
    <row r="76" spans="1:7" x14ac:dyDescent="0.25">
      <c r="A76" s="4" t="str">
        <f>HYPERLINK("http://amigo.geneontology.org/cgi-bin/amigo/term-details.cgi?term=GO:0009867","GO:0009867")</f>
        <v>GO:0009867</v>
      </c>
      <c r="B76" t="s">
        <v>2243</v>
      </c>
      <c r="C76">
        <v>86</v>
      </c>
      <c r="D76">
        <v>29</v>
      </c>
      <c r="E76" s="2">
        <v>5.3572831457998896E-12</v>
      </c>
      <c r="F76" s="2">
        <v>3.6965253706019199E-10</v>
      </c>
      <c r="G76" t="s">
        <v>2242</v>
      </c>
    </row>
    <row r="77" spans="1:7" x14ac:dyDescent="0.25">
      <c r="A77" s="4" t="str">
        <f>HYPERLINK("http://amigo.geneontology.org/cgi-bin/amigo/term-details.cgi?term=GO:0009738","GO:0009738")</f>
        <v>GO:0009738</v>
      </c>
      <c r="B77" t="s">
        <v>2241</v>
      </c>
      <c r="C77">
        <v>81</v>
      </c>
      <c r="D77">
        <v>28</v>
      </c>
      <c r="E77" s="2">
        <v>6.2297494298610802E-12</v>
      </c>
      <c r="F77" s="2">
        <v>4.1739321180069198E-10</v>
      </c>
      <c r="G77" t="s">
        <v>2236</v>
      </c>
    </row>
    <row r="78" spans="1:7" x14ac:dyDescent="0.25">
      <c r="A78" s="4" t="str">
        <f>HYPERLINK("http://amigo.geneontology.org/cgi-bin/amigo/term-details.cgi?term=GO:0006810","GO:0006810")</f>
        <v>GO:0006810</v>
      </c>
      <c r="B78" t="s">
        <v>821</v>
      </c>
      <c r="C78">
        <v>6389</v>
      </c>
      <c r="D78">
        <v>642</v>
      </c>
      <c r="E78" s="2">
        <v>6.2346289233374799E-12</v>
      </c>
      <c r="F78" s="2">
        <v>4.11485508940274E-10</v>
      </c>
      <c r="G78" t="s">
        <v>2240</v>
      </c>
    </row>
    <row r="79" spans="1:7" x14ac:dyDescent="0.25">
      <c r="A79" s="4" t="str">
        <f>HYPERLINK("http://amigo.geneontology.org/cgi-bin/amigo/term-details.cgi?term=GO:0016758","GO:0016758")</f>
        <v>GO:0016758</v>
      </c>
      <c r="B79" t="s">
        <v>357</v>
      </c>
      <c r="C79">
        <v>1783</v>
      </c>
      <c r="D79">
        <v>220</v>
      </c>
      <c r="E79" s="2">
        <v>9.2007759424449297E-12</v>
      </c>
      <c r="F79" s="2">
        <v>5.9805043625891998E-10</v>
      </c>
      <c r="G79" t="s">
        <v>2239</v>
      </c>
    </row>
    <row r="80" spans="1:7" x14ac:dyDescent="0.25">
      <c r="A80" s="4" t="str">
        <f>HYPERLINK("http://amigo.geneontology.org/cgi-bin/amigo/term-details.cgi?term=GO:0097306","GO:0097306")</f>
        <v>GO:0097306</v>
      </c>
      <c r="B80" t="s">
        <v>2238</v>
      </c>
      <c r="C80">
        <v>84</v>
      </c>
      <c r="D80">
        <v>28</v>
      </c>
      <c r="E80" s="2">
        <v>1.6977806876257399E-11</v>
      </c>
      <c r="F80" s="2">
        <v>1.06960183320421E-9</v>
      </c>
      <c r="G80" t="s">
        <v>2236</v>
      </c>
    </row>
    <row r="81" spans="1:7" x14ac:dyDescent="0.25">
      <c r="A81" s="4" t="str">
        <f>HYPERLINK("http://amigo.geneontology.org/cgi-bin/amigo/term-details.cgi?term=GO:0071215","GO:0071215")</f>
        <v>GO:0071215</v>
      </c>
      <c r="B81" t="s">
        <v>2237</v>
      </c>
      <c r="C81">
        <v>84</v>
      </c>
      <c r="D81">
        <v>28</v>
      </c>
      <c r="E81" s="2">
        <v>1.6977806876257399E-11</v>
      </c>
      <c r="F81" s="2">
        <v>1.08657964008047E-9</v>
      </c>
      <c r="G81" t="s">
        <v>2236</v>
      </c>
    </row>
    <row r="82" spans="1:7" x14ac:dyDescent="0.25">
      <c r="A82" s="4" t="str">
        <f>HYPERLINK("http://amigo.geneontology.org/cgi-bin/amigo/term-details.cgi?term=GO:0071704","GO:0071704")</f>
        <v>GO:0071704</v>
      </c>
      <c r="B82" t="s">
        <v>905</v>
      </c>
      <c r="C82">
        <v>24369</v>
      </c>
      <c r="D82">
        <v>2129</v>
      </c>
      <c r="E82" s="2">
        <v>1.8488450604618201E-11</v>
      </c>
      <c r="F82" s="2">
        <v>1.14628393748632E-9</v>
      </c>
      <c r="G82" t="s">
        <v>2235</v>
      </c>
    </row>
    <row r="83" spans="1:7" x14ac:dyDescent="0.25">
      <c r="A83" s="4" t="str">
        <f>HYPERLINK("http://amigo.geneontology.org/cgi-bin/amigo/term-details.cgi?term=GO:0009753","GO:0009753")</f>
        <v>GO:0009753</v>
      </c>
      <c r="B83" t="s">
        <v>2234</v>
      </c>
      <c r="C83">
        <v>103</v>
      </c>
      <c r="D83">
        <v>31</v>
      </c>
      <c r="E83" s="2">
        <v>2.8931579594166501E-11</v>
      </c>
      <c r="F83" s="2">
        <v>1.76482635524415E-9</v>
      </c>
      <c r="G83" t="s">
        <v>2233</v>
      </c>
    </row>
    <row r="84" spans="1:7" x14ac:dyDescent="0.25">
      <c r="A84" s="4" t="str">
        <f>HYPERLINK("http://amigo.geneontology.org/cgi-bin/amigo/term-details.cgi?term=GO:0045087","GO:0045087")</f>
        <v>GO:0045087</v>
      </c>
      <c r="B84" t="s">
        <v>2232</v>
      </c>
      <c r="C84">
        <v>253</v>
      </c>
      <c r="D84">
        <v>53</v>
      </c>
      <c r="E84" s="2">
        <v>3.19505988889123E-11</v>
      </c>
      <c r="F84" s="2">
        <v>1.94898653222365E-9</v>
      </c>
      <c r="G84" t="s">
        <v>2227</v>
      </c>
    </row>
    <row r="85" spans="1:7" x14ac:dyDescent="0.25">
      <c r="A85" s="4" t="str">
        <f>HYPERLINK("http://amigo.geneontology.org/cgi-bin/amigo/term-details.cgi?term=GO:0031348","GO:0031348")</f>
        <v>GO:0031348</v>
      </c>
      <c r="B85" t="s">
        <v>2231</v>
      </c>
      <c r="C85">
        <v>86</v>
      </c>
      <c r="D85">
        <v>28</v>
      </c>
      <c r="E85" s="2">
        <v>3.2159263345769803E-11</v>
      </c>
      <c r="F85" s="2">
        <v>1.9295558007461802E-9</v>
      </c>
      <c r="G85" t="s">
        <v>2230</v>
      </c>
    </row>
    <row r="86" spans="1:7" x14ac:dyDescent="0.25">
      <c r="A86" s="4" t="str">
        <f>HYPERLINK("http://amigo.geneontology.org/cgi-bin/amigo/term-details.cgi?term=GO:0080134","GO:0080134")</f>
        <v>GO:0080134</v>
      </c>
      <c r="B86" t="s">
        <v>966</v>
      </c>
      <c r="C86">
        <v>246</v>
      </c>
      <c r="D86">
        <v>52</v>
      </c>
      <c r="E86" s="2">
        <v>3.4306100887326401E-11</v>
      </c>
      <c r="F86" s="2">
        <v>2.0240599523522598E-9</v>
      </c>
      <c r="G86" t="s">
        <v>2229</v>
      </c>
    </row>
    <row r="87" spans="1:7" x14ac:dyDescent="0.25">
      <c r="A87" s="4" t="str">
        <f>HYPERLINK("http://amigo.geneontology.org/cgi-bin/amigo/term-details.cgi?term=GO:0006955","GO:0006955")</f>
        <v>GO:0006955</v>
      </c>
      <c r="B87" t="s">
        <v>2228</v>
      </c>
      <c r="C87">
        <v>257</v>
      </c>
      <c r="D87">
        <v>53</v>
      </c>
      <c r="E87" s="2">
        <v>5.9180654144392194E-11</v>
      </c>
      <c r="F87" s="2">
        <v>3.4324779403747501E-9</v>
      </c>
      <c r="G87" t="s">
        <v>2227</v>
      </c>
    </row>
    <row r="88" spans="1:7" x14ac:dyDescent="0.25">
      <c r="A88" s="4" t="str">
        <f>HYPERLINK("http://amigo.geneontology.org/cgi-bin/amigo/term-details.cgi?term=GO:1901701","GO:1901701")</f>
        <v>GO:1901701</v>
      </c>
      <c r="B88" t="s">
        <v>204</v>
      </c>
      <c r="C88">
        <v>319</v>
      </c>
      <c r="D88">
        <v>61</v>
      </c>
      <c r="E88" s="2">
        <v>6.0827302967879102E-11</v>
      </c>
      <c r="F88" s="2">
        <v>3.4671562691690999E-9</v>
      </c>
      <c r="G88" t="s">
        <v>2226</v>
      </c>
    </row>
    <row r="89" spans="1:7" x14ac:dyDescent="0.25">
      <c r="A89" s="4" t="str">
        <f>HYPERLINK("http://amigo.geneontology.org/cgi-bin/amigo/term-details.cgi?term=GO:0006612","GO:0006612")</f>
        <v>GO:0006612</v>
      </c>
      <c r="B89" t="s">
        <v>645</v>
      </c>
      <c r="C89">
        <v>157</v>
      </c>
      <c r="D89">
        <v>39</v>
      </c>
      <c r="E89" s="2">
        <v>6.2086219423641802E-11</v>
      </c>
      <c r="F89" s="2">
        <v>3.5389145071475799E-9</v>
      </c>
      <c r="G89" t="s">
        <v>2225</v>
      </c>
    </row>
    <row r="90" spans="1:7" x14ac:dyDescent="0.25">
      <c r="A90" s="4" t="str">
        <f>HYPERLINK("http://amigo.geneontology.org/cgi-bin/amigo/term-details.cgi?term=GO:0071705","GO:0071705")</f>
        <v>GO:0071705</v>
      </c>
      <c r="B90" t="s">
        <v>231</v>
      </c>
      <c r="C90">
        <v>1936</v>
      </c>
      <c r="D90">
        <v>231</v>
      </c>
      <c r="E90" s="2">
        <v>6.9249870007113504E-11</v>
      </c>
      <c r="F90" s="2">
        <v>3.8779927203983502E-9</v>
      </c>
      <c r="G90" t="s">
        <v>2224</v>
      </c>
    </row>
    <row r="91" spans="1:7" x14ac:dyDescent="0.25">
      <c r="A91" s="4" t="str">
        <f>HYPERLINK("http://amigo.geneontology.org/cgi-bin/amigo/term-details.cgi?term=GO:0019538","GO:0019538")</f>
        <v>GO:0019538</v>
      </c>
      <c r="B91" t="s">
        <v>346</v>
      </c>
      <c r="C91">
        <v>12453</v>
      </c>
      <c r="D91">
        <v>1149</v>
      </c>
      <c r="E91" s="2">
        <v>7.9276469715830606E-11</v>
      </c>
      <c r="F91" s="2">
        <v>4.3602058343706797E-9</v>
      </c>
      <c r="G91" t="s">
        <v>2223</v>
      </c>
    </row>
    <row r="92" spans="1:7" x14ac:dyDescent="0.25">
      <c r="A92" s="4" t="str">
        <f>HYPERLINK("http://amigo.geneontology.org/cgi-bin/amigo/term-details.cgi?term=GO:0009862","GO:0009862")</f>
        <v>GO:0009862</v>
      </c>
      <c r="B92" t="s">
        <v>2222</v>
      </c>
      <c r="C92">
        <v>63</v>
      </c>
      <c r="D92">
        <v>23</v>
      </c>
      <c r="E92" s="2">
        <v>1.3150193073577501E-10</v>
      </c>
      <c r="F92" s="2">
        <v>7.2326061904676297E-9</v>
      </c>
      <c r="G92" t="s">
        <v>2221</v>
      </c>
    </row>
    <row r="93" spans="1:7" x14ac:dyDescent="0.25">
      <c r="A93" s="4" t="str">
        <f>HYPERLINK("http://amigo.geneontology.org/cgi-bin/amigo/term-details.cgi?term=GO:0051234","GO:0051234")</f>
        <v>GO:0051234</v>
      </c>
      <c r="B93" t="s">
        <v>822</v>
      </c>
      <c r="C93">
        <v>6517</v>
      </c>
      <c r="D93">
        <v>643</v>
      </c>
      <c r="E93" s="2">
        <v>1.3632092274347901E-10</v>
      </c>
      <c r="F93" s="2">
        <v>7.3613298281478699E-9</v>
      </c>
      <c r="G93" t="s">
        <v>2220</v>
      </c>
    </row>
    <row r="94" spans="1:7" x14ac:dyDescent="0.25">
      <c r="A94" s="4" t="str">
        <f>HYPERLINK("http://amigo.geneontology.org/cgi-bin/amigo/term-details.cgi?term=GO:0009814","GO:0009814")</f>
        <v>GO:0009814</v>
      </c>
      <c r="B94" t="s">
        <v>2219</v>
      </c>
      <c r="C94">
        <v>161</v>
      </c>
      <c r="D94">
        <v>39</v>
      </c>
      <c r="E94" s="2">
        <v>1.39544566587733E-10</v>
      </c>
      <c r="F94" s="2">
        <v>7.3958620291498501E-9</v>
      </c>
      <c r="G94" t="s">
        <v>2218</v>
      </c>
    </row>
    <row r="95" spans="1:7" x14ac:dyDescent="0.25">
      <c r="A95" s="4" t="str">
        <f>HYPERLINK("http://amigo.geneontology.org/cgi-bin/amigo/term-details.cgi?term=GO:0070279","GO:0070279")</f>
        <v>GO:0070279</v>
      </c>
      <c r="B95" t="s">
        <v>2217</v>
      </c>
      <c r="C95">
        <v>342</v>
      </c>
      <c r="D95">
        <v>63</v>
      </c>
      <c r="E95" s="2">
        <v>1.5056189361678301E-10</v>
      </c>
      <c r="F95" s="2">
        <v>7.8292184680727295E-9</v>
      </c>
      <c r="G95" t="s">
        <v>2216</v>
      </c>
    </row>
    <row r="96" spans="1:7" x14ac:dyDescent="0.25">
      <c r="A96" s="4" t="str">
        <f>HYPERLINK("http://amigo.geneontology.org/cgi-bin/amigo/term-details.cgi?term=GO:0030170","GO:0030170")</f>
        <v>GO:0030170</v>
      </c>
      <c r="B96" t="s">
        <v>333</v>
      </c>
      <c r="C96">
        <v>342</v>
      </c>
      <c r="D96">
        <v>63</v>
      </c>
      <c r="E96" s="2">
        <v>1.5056189361678301E-10</v>
      </c>
      <c r="F96" s="2">
        <v>7.9797803616895092E-9</v>
      </c>
      <c r="G96" t="s">
        <v>2216</v>
      </c>
    </row>
    <row r="97" spans="1:7" x14ac:dyDescent="0.25">
      <c r="A97" s="4" t="str">
        <f>HYPERLINK("http://amigo.geneontology.org/cgi-bin/amigo/term-details.cgi?term=GO:0044238","GO:0044238")</f>
        <v>GO:0044238</v>
      </c>
      <c r="B97" t="s">
        <v>900</v>
      </c>
      <c r="C97">
        <v>23288</v>
      </c>
      <c r="D97">
        <v>2031</v>
      </c>
      <c r="E97" s="2">
        <v>1.5293244776604701E-10</v>
      </c>
      <c r="F97" s="2">
        <v>7.7995548360684305E-9</v>
      </c>
      <c r="G97" t="s">
        <v>2215</v>
      </c>
    </row>
    <row r="98" spans="1:7" x14ac:dyDescent="0.25">
      <c r="A98" s="4" t="str">
        <f>HYPERLINK("http://amigo.geneontology.org/cgi-bin/amigo/term-details.cgi?term=GO:0046219","GO:0046219")</f>
        <v>GO:0046219</v>
      </c>
      <c r="B98" t="s">
        <v>351</v>
      </c>
      <c r="C98">
        <v>31</v>
      </c>
      <c r="D98">
        <v>16</v>
      </c>
      <c r="E98" s="2">
        <v>1.7300673965837899E-10</v>
      </c>
      <c r="F98" s="2">
        <v>8.6503369829189896E-9</v>
      </c>
      <c r="G98" t="s">
        <v>2214</v>
      </c>
    </row>
    <row r="99" spans="1:7" x14ac:dyDescent="0.25">
      <c r="A99" s="4" t="str">
        <f>HYPERLINK("http://amigo.geneontology.org/cgi-bin/amigo/term-details.cgi?term=GO:0000162","GO:0000162")</f>
        <v>GO:0000162</v>
      </c>
      <c r="B99" t="s">
        <v>350</v>
      </c>
      <c r="C99">
        <v>31</v>
      </c>
      <c r="D99">
        <v>16</v>
      </c>
      <c r="E99" s="2">
        <v>1.7300673965837899E-10</v>
      </c>
      <c r="F99" s="2">
        <v>8.8233437225773698E-9</v>
      </c>
      <c r="G99" t="s">
        <v>2214</v>
      </c>
    </row>
    <row r="100" spans="1:7" x14ac:dyDescent="0.25">
      <c r="A100" s="4" t="str">
        <f>HYPERLINK("http://amigo.geneontology.org/cgi-bin/amigo/term-details.cgi?term=GO:0009072","GO:0009072")</f>
        <v>GO:0009072</v>
      </c>
      <c r="B100" t="s">
        <v>347</v>
      </c>
      <c r="C100">
        <v>336</v>
      </c>
      <c r="D100">
        <v>62</v>
      </c>
      <c r="E100" s="2">
        <v>1.9498625288192001E-10</v>
      </c>
      <c r="F100" s="2">
        <v>9.7493126440960395E-9</v>
      </c>
      <c r="G100" t="s">
        <v>2213</v>
      </c>
    </row>
    <row r="101" spans="1:7" x14ac:dyDescent="0.25">
      <c r="A101" s="4" t="str">
        <f>HYPERLINK("http://amigo.geneontology.org/cgi-bin/amigo/term-details.cgi?term=GO:0044425","GO:0044425")</f>
        <v>GO:0044425</v>
      </c>
      <c r="B101" t="s">
        <v>872</v>
      </c>
      <c r="C101">
        <v>8465</v>
      </c>
      <c r="D101">
        <v>806</v>
      </c>
      <c r="E101" s="2">
        <v>4.5169034096298902E-10</v>
      </c>
      <c r="F101" s="2">
        <v>2.2132826707186399E-8</v>
      </c>
      <c r="G101" t="s">
        <v>2212</v>
      </c>
    </row>
    <row r="102" spans="1:7" x14ac:dyDescent="0.25">
      <c r="A102" s="4" t="str">
        <f>HYPERLINK("http://amigo.geneontology.org/cgi-bin/amigo/term-details.cgi?term=GO:0009627","GO:0009627")</f>
        <v>GO:0009627</v>
      </c>
      <c r="B102" t="s">
        <v>2211</v>
      </c>
      <c r="C102">
        <v>114</v>
      </c>
      <c r="D102">
        <v>31</v>
      </c>
      <c r="E102" s="2">
        <v>4.91596907966599E-10</v>
      </c>
      <c r="F102" s="2">
        <v>2.4088248490363301E-8</v>
      </c>
      <c r="G102" t="s">
        <v>2210</v>
      </c>
    </row>
    <row r="103" spans="1:7" x14ac:dyDescent="0.25">
      <c r="A103" s="4" t="str">
        <f>HYPERLINK("http://amigo.geneontology.org/cgi-bin/amigo/term-details.cgi?term=GO:0050662","GO:0050662")</f>
        <v>GO:0050662</v>
      </c>
      <c r="B103" t="s">
        <v>961</v>
      </c>
      <c r="C103">
        <v>1801</v>
      </c>
      <c r="D103">
        <v>214</v>
      </c>
      <c r="E103" s="2">
        <v>4.9375911311600904E-10</v>
      </c>
      <c r="F103" s="2">
        <v>2.3700437429568399E-8</v>
      </c>
      <c r="G103" t="s">
        <v>2209</v>
      </c>
    </row>
    <row r="104" spans="1:7" x14ac:dyDescent="0.25">
      <c r="A104" s="4" t="str">
        <f>HYPERLINK("http://amigo.geneontology.org/cgi-bin/amigo/term-details.cgi?term=GO:0019842","GO:0019842")</f>
        <v>GO:0019842</v>
      </c>
      <c r="B104" t="s">
        <v>2208</v>
      </c>
      <c r="C104">
        <v>448</v>
      </c>
      <c r="D104">
        <v>74</v>
      </c>
      <c r="E104" s="2">
        <v>7.3701808495686403E-10</v>
      </c>
      <c r="F104" s="2">
        <v>3.5376868077929497E-8</v>
      </c>
      <c r="G104" t="s">
        <v>2207</v>
      </c>
    </row>
    <row r="105" spans="1:7" x14ac:dyDescent="0.25">
      <c r="A105" s="4" t="str">
        <f>HYPERLINK("http://amigo.geneontology.org/cgi-bin/amigo/term-details.cgi?term=GO:0010243","GO:0010243")</f>
        <v>GO:0010243</v>
      </c>
      <c r="B105" t="s">
        <v>2206</v>
      </c>
      <c r="C105">
        <v>86</v>
      </c>
      <c r="D105">
        <v>26</v>
      </c>
      <c r="E105" s="2">
        <v>9.9184433862074794E-10</v>
      </c>
      <c r="F105" s="2">
        <v>4.6616683915175101E-8</v>
      </c>
      <c r="G105" t="s">
        <v>2205</v>
      </c>
    </row>
    <row r="106" spans="1:7" x14ac:dyDescent="0.25">
      <c r="A106" s="4" t="str">
        <f>HYPERLINK("http://amigo.geneontology.org/cgi-bin/amigo/term-details.cgi?term=GO:0006586","GO:0006586")</f>
        <v>GO:0006586</v>
      </c>
      <c r="B106" t="s">
        <v>354</v>
      </c>
      <c r="C106">
        <v>95</v>
      </c>
      <c r="D106">
        <v>27</v>
      </c>
      <c r="E106" s="2">
        <v>2.1829898745217102E-9</v>
      </c>
      <c r="F106" s="2">
        <v>1.00417534227999E-7</v>
      </c>
      <c r="G106" t="s">
        <v>2204</v>
      </c>
    </row>
    <row r="107" spans="1:7" x14ac:dyDescent="0.25">
      <c r="A107" s="4" t="str">
        <f>HYPERLINK("http://amigo.geneontology.org/cgi-bin/amigo/term-details.cgi?term=GO:0006568","GO:0006568")</f>
        <v>GO:0006568</v>
      </c>
      <c r="B107" t="s">
        <v>353</v>
      </c>
      <c r="C107">
        <v>95</v>
      </c>
      <c r="D107">
        <v>27</v>
      </c>
      <c r="E107" s="2">
        <v>2.1829898745217102E-9</v>
      </c>
      <c r="F107" s="2">
        <v>1.0260052410252E-7</v>
      </c>
      <c r="G107" t="s">
        <v>2204</v>
      </c>
    </row>
    <row r="108" spans="1:7" x14ac:dyDescent="0.25">
      <c r="A108" s="4" t="str">
        <f>HYPERLINK("http://amigo.geneontology.org/cgi-bin/amigo/term-details.cgi?term=GO:0016671","GO:0016671")</f>
        <v>GO:0016671</v>
      </c>
      <c r="B108" t="s">
        <v>208</v>
      </c>
      <c r="C108">
        <v>45</v>
      </c>
      <c r="D108">
        <v>18</v>
      </c>
      <c r="E108" s="2">
        <v>2.37373015181998E-9</v>
      </c>
      <c r="F108" s="2">
        <v>1.0919158698371899E-7</v>
      </c>
      <c r="G108" t="s">
        <v>2203</v>
      </c>
    </row>
    <row r="109" spans="1:7" x14ac:dyDescent="0.25">
      <c r="A109" s="4" t="str">
        <f>HYPERLINK("http://amigo.geneontology.org/cgi-bin/amigo/term-details.cgi?term=GO:0009620","GO:0009620")</f>
        <v>GO:0009620</v>
      </c>
      <c r="B109" t="s">
        <v>2202</v>
      </c>
      <c r="C109">
        <v>260</v>
      </c>
      <c r="D109">
        <v>50</v>
      </c>
      <c r="E109" s="2">
        <v>2.5030085980971599E-9</v>
      </c>
      <c r="F109" s="2">
        <v>1.12635386914372E-7</v>
      </c>
      <c r="G109" t="s">
        <v>2201</v>
      </c>
    </row>
    <row r="110" spans="1:7" x14ac:dyDescent="0.25">
      <c r="A110" s="4" t="str">
        <f>HYPERLINK("http://amigo.geneontology.org/cgi-bin/amigo/term-details.cgi?term=GO:0044281","GO:0044281")</f>
        <v>GO:0044281</v>
      </c>
      <c r="B110" t="s">
        <v>891</v>
      </c>
      <c r="C110">
        <v>4432</v>
      </c>
      <c r="D110">
        <v>450</v>
      </c>
      <c r="E110" s="2">
        <v>3.2671345995578201E-9</v>
      </c>
      <c r="F110" s="2">
        <v>1.47021056980102E-7</v>
      </c>
      <c r="G110" t="s">
        <v>2200</v>
      </c>
    </row>
    <row r="111" spans="1:7" x14ac:dyDescent="0.25">
      <c r="A111" s="4" t="str">
        <f>HYPERLINK("http://amigo.geneontology.org/cgi-bin/amigo/term-details.cgi?term=GO:0071495","GO:0071495")</f>
        <v>GO:0071495</v>
      </c>
      <c r="B111" t="s">
        <v>1313</v>
      </c>
      <c r="C111">
        <v>413</v>
      </c>
      <c r="D111">
        <v>68</v>
      </c>
      <c r="E111" s="2">
        <v>4.0040323360264001E-9</v>
      </c>
      <c r="F111" s="2">
        <v>1.76177422785161E-7</v>
      </c>
      <c r="G111" t="s">
        <v>2199</v>
      </c>
    </row>
    <row r="112" spans="1:7" x14ac:dyDescent="0.25">
      <c r="A112" s="4" t="str">
        <f>HYPERLINK("http://amigo.geneontology.org/cgi-bin/amigo/term-details.cgi?term=GO:0032870","GO:0032870")</f>
        <v>GO:0032870</v>
      </c>
      <c r="B112" t="s">
        <v>1312</v>
      </c>
      <c r="C112">
        <v>413</v>
      </c>
      <c r="D112">
        <v>68</v>
      </c>
      <c r="E112" s="2">
        <v>4.0040323360264001E-9</v>
      </c>
      <c r="F112" s="2">
        <v>1.76177422785161E-7</v>
      </c>
      <c r="G112" t="s">
        <v>2199</v>
      </c>
    </row>
    <row r="113" spans="1:7" x14ac:dyDescent="0.25">
      <c r="A113" s="4" t="str">
        <f>HYPERLINK("http://amigo.geneontology.org/cgi-bin/amigo/term-details.cgi?term=GO:0009723","GO:0009723")</f>
        <v>GO:0009723</v>
      </c>
      <c r="B113" t="s">
        <v>585</v>
      </c>
      <c r="C113">
        <v>92</v>
      </c>
      <c r="D113">
        <v>26</v>
      </c>
      <c r="E113" s="2">
        <v>4.9037019259248203E-9</v>
      </c>
      <c r="F113" s="2">
        <v>2.1085918281476699E-7</v>
      </c>
      <c r="G113" t="s">
        <v>2198</v>
      </c>
    </row>
    <row r="114" spans="1:7" x14ac:dyDescent="0.25">
      <c r="A114" s="4" t="str">
        <f>HYPERLINK("http://amigo.geneontology.org/cgi-bin/amigo/term-details.cgi?term=GO:0072657","GO:0072657")</f>
        <v>GO:0072657</v>
      </c>
      <c r="B114" t="s">
        <v>650</v>
      </c>
      <c r="C114">
        <v>197</v>
      </c>
      <c r="D114">
        <v>41</v>
      </c>
      <c r="E114" s="2">
        <v>6.1872055790054501E-9</v>
      </c>
      <c r="F114" s="2">
        <v>2.6604983989723402E-7</v>
      </c>
      <c r="G114" t="s">
        <v>2197</v>
      </c>
    </row>
    <row r="115" spans="1:7" x14ac:dyDescent="0.25">
      <c r="A115" s="4" t="str">
        <f>HYPERLINK("http://amigo.geneontology.org/cgi-bin/amigo/term-details.cgi?term=GO:0090150","GO:0090150")</f>
        <v>GO:0090150</v>
      </c>
      <c r="B115" t="s">
        <v>649</v>
      </c>
      <c r="C115">
        <v>197</v>
      </c>
      <c r="D115">
        <v>41</v>
      </c>
      <c r="E115" s="2">
        <v>6.1872055790054501E-9</v>
      </c>
      <c r="F115" s="2">
        <v>2.6604983989723402E-7</v>
      </c>
      <c r="G115" t="s">
        <v>2197</v>
      </c>
    </row>
    <row r="116" spans="1:7" x14ac:dyDescent="0.25">
      <c r="A116" s="4" t="str">
        <f>HYPERLINK("http://amigo.geneontology.org/cgi-bin/amigo/term-details.cgi?term=GO:0010035","GO:0010035")</f>
        <v>GO:0010035</v>
      </c>
      <c r="B116" t="s">
        <v>930</v>
      </c>
      <c r="C116">
        <v>479</v>
      </c>
      <c r="D116">
        <v>75</v>
      </c>
      <c r="E116" s="2">
        <v>6.3080216875093399E-9</v>
      </c>
      <c r="F116" s="2">
        <v>2.6493691087539198E-7</v>
      </c>
      <c r="G116" t="s">
        <v>2196</v>
      </c>
    </row>
    <row r="117" spans="1:7" x14ac:dyDescent="0.25">
      <c r="A117" s="4" t="str">
        <f>HYPERLINK("http://amigo.geneontology.org/cgi-bin/amigo/term-details.cgi?term=GO:0071396","GO:0071396")</f>
        <v>GO:0071396</v>
      </c>
      <c r="B117" t="s">
        <v>2195</v>
      </c>
      <c r="C117">
        <v>134</v>
      </c>
      <c r="D117">
        <v>32</v>
      </c>
      <c r="E117" s="2">
        <v>8.7171506736456597E-9</v>
      </c>
      <c r="F117" s="2">
        <v>3.66120328293118E-7</v>
      </c>
      <c r="G117" t="s">
        <v>2194</v>
      </c>
    </row>
    <row r="118" spans="1:7" x14ac:dyDescent="0.25">
      <c r="A118" s="4" t="str">
        <f>HYPERLINK("http://amigo.geneontology.org/cgi-bin/amigo/term-details.cgi?term=GO:0006012","GO:0006012")</f>
        <v>GO:0006012</v>
      </c>
      <c r="B118" t="s">
        <v>123</v>
      </c>
      <c r="C118">
        <v>39</v>
      </c>
      <c r="D118">
        <v>16</v>
      </c>
      <c r="E118" s="2">
        <v>1.1865747086277801E-8</v>
      </c>
      <c r="F118" s="2">
        <v>4.86495630537391E-7</v>
      </c>
      <c r="G118" t="s">
        <v>2193</v>
      </c>
    </row>
    <row r="119" spans="1:7" x14ac:dyDescent="0.25">
      <c r="A119" s="4" t="str">
        <f>HYPERLINK("http://amigo.geneontology.org/cgi-bin/amigo/term-details.cgi?term=GO:0005509","GO:0005509")</f>
        <v>GO:0005509</v>
      </c>
      <c r="B119" t="s">
        <v>243</v>
      </c>
      <c r="C119">
        <v>1211</v>
      </c>
      <c r="D119">
        <v>150</v>
      </c>
      <c r="E119" s="2">
        <v>1.38002767631361E-8</v>
      </c>
      <c r="F119" s="2">
        <v>5.6581134728858203E-7</v>
      </c>
      <c r="G119" t="s">
        <v>2192</v>
      </c>
    </row>
    <row r="120" spans="1:7" x14ac:dyDescent="0.25">
      <c r="A120" s="4" t="str">
        <f>HYPERLINK("http://amigo.geneontology.org/cgi-bin/amigo/term-details.cgi?term=GO:0008037","GO:0008037")</f>
        <v>GO:0008037</v>
      </c>
      <c r="B120" t="s">
        <v>947</v>
      </c>
      <c r="C120">
        <v>461</v>
      </c>
      <c r="D120">
        <v>72</v>
      </c>
      <c r="E120" s="2">
        <v>1.3891492196328899E-8</v>
      </c>
      <c r="F120" s="2">
        <v>5.5565968785315902E-7</v>
      </c>
      <c r="G120" t="s">
        <v>2190</v>
      </c>
    </row>
    <row r="121" spans="1:7" x14ac:dyDescent="0.25">
      <c r="A121" s="4" t="str">
        <f>HYPERLINK("http://amigo.geneontology.org/cgi-bin/amigo/term-details.cgi?term=GO:0048544","GO:0048544")</f>
        <v>GO:0048544</v>
      </c>
      <c r="B121" t="s">
        <v>334</v>
      </c>
      <c r="C121">
        <v>461</v>
      </c>
      <c r="D121">
        <v>72</v>
      </c>
      <c r="E121" s="2">
        <v>1.3891492196328899E-8</v>
      </c>
      <c r="F121" s="2">
        <v>5.6955118004948796E-7</v>
      </c>
      <c r="G121" t="s">
        <v>2190</v>
      </c>
    </row>
    <row r="122" spans="1:7" x14ac:dyDescent="0.25">
      <c r="A122" s="4" t="str">
        <f>HYPERLINK("http://amigo.geneontology.org/cgi-bin/amigo/term-details.cgi?term=GO:0042430","GO:0042430")</f>
        <v>GO:0042430</v>
      </c>
      <c r="B122" t="s">
        <v>355</v>
      </c>
      <c r="C122">
        <v>116</v>
      </c>
      <c r="D122">
        <v>29</v>
      </c>
      <c r="E122" s="2">
        <v>1.4177158662984E-8</v>
      </c>
      <c r="F122" s="2">
        <v>5.6708634651936202E-7</v>
      </c>
      <c r="G122" t="s">
        <v>2191</v>
      </c>
    </row>
    <row r="123" spans="1:7" x14ac:dyDescent="0.25">
      <c r="A123" s="4" t="str">
        <f>HYPERLINK("http://amigo.geneontology.org/cgi-bin/amigo/term-details.cgi?term=GO:0009875","GO:0009875")</f>
        <v>GO:0009875</v>
      </c>
      <c r="B123" t="s">
        <v>335</v>
      </c>
      <c r="C123">
        <v>463</v>
      </c>
      <c r="D123">
        <v>72</v>
      </c>
      <c r="E123" s="2">
        <v>1.6653451462331499E-8</v>
      </c>
      <c r="F123" s="2">
        <v>6.4948460703092904E-7</v>
      </c>
      <c r="G123" t="s">
        <v>2190</v>
      </c>
    </row>
    <row r="124" spans="1:7" x14ac:dyDescent="0.25">
      <c r="A124" s="4" t="str">
        <f>HYPERLINK("http://amigo.geneontology.org/cgi-bin/amigo/term-details.cgi?term=GO:0006865","GO:0006865")</f>
        <v>GO:0006865</v>
      </c>
      <c r="B124" t="s">
        <v>212</v>
      </c>
      <c r="C124">
        <v>152</v>
      </c>
      <c r="D124">
        <v>34</v>
      </c>
      <c r="E124" s="2">
        <v>1.7906956940785798E-8</v>
      </c>
      <c r="F124" s="2">
        <v>6.9837132069064599E-7</v>
      </c>
      <c r="G124" t="s">
        <v>2189</v>
      </c>
    </row>
    <row r="125" spans="1:7" x14ac:dyDescent="0.25">
      <c r="A125" s="4" t="str">
        <f>HYPERLINK("http://amigo.geneontology.org/cgi-bin/amigo/term-details.cgi?term=GO:0043168","GO:0043168")</f>
        <v>GO:0043168</v>
      </c>
      <c r="B125" t="s">
        <v>833</v>
      </c>
      <c r="C125">
        <v>13394</v>
      </c>
      <c r="D125">
        <v>1200</v>
      </c>
      <c r="E125" s="2">
        <v>2.3506359328436699E-8</v>
      </c>
      <c r="F125" s="2">
        <v>9.1674801380903404E-7</v>
      </c>
      <c r="G125" t="s">
        <v>2188</v>
      </c>
    </row>
    <row r="126" spans="1:7" x14ac:dyDescent="0.25">
      <c r="A126" s="4" t="str">
        <f>HYPERLINK("http://amigo.geneontology.org/cgi-bin/amigo/term-details.cgi?term=GO:0048583","GO:0048583")</f>
        <v>GO:0048583</v>
      </c>
      <c r="B126" t="s">
        <v>2187</v>
      </c>
      <c r="C126">
        <v>577</v>
      </c>
      <c r="D126">
        <v>84</v>
      </c>
      <c r="E126" s="2">
        <v>2.5228289293579401E-8</v>
      </c>
      <c r="F126" s="2">
        <v>9.5867499315601908E-7</v>
      </c>
      <c r="G126" t="s">
        <v>2186</v>
      </c>
    </row>
    <row r="127" spans="1:7" x14ac:dyDescent="0.25">
      <c r="A127" s="4" t="str">
        <f>HYPERLINK("http://amigo.geneontology.org/cgi-bin/amigo/term-details.cgi?term=GO:0007165","GO:0007165")</f>
        <v>GO:0007165</v>
      </c>
      <c r="B127" t="s">
        <v>2185</v>
      </c>
      <c r="C127">
        <v>1544</v>
      </c>
      <c r="D127">
        <v>181</v>
      </c>
      <c r="E127" s="2">
        <v>2.7480770738425201E-8</v>
      </c>
      <c r="F127" s="2">
        <v>1.04426928806016E-6</v>
      </c>
      <c r="G127" t="s">
        <v>2184</v>
      </c>
    </row>
    <row r="128" spans="1:7" x14ac:dyDescent="0.25">
      <c r="A128" s="4" t="str">
        <f>HYPERLINK("http://amigo.geneontology.org/cgi-bin/amigo/term-details.cgi?term=GO:0043207","GO:0043207")</f>
        <v>GO:0043207</v>
      </c>
      <c r="B128" t="s">
        <v>2183</v>
      </c>
      <c r="C128">
        <v>537</v>
      </c>
      <c r="D128">
        <v>79</v>
      </c>
      <c r="E128" s="2">
        <v>4.1037897561641902E-8</v>
      </c>
      <c r="F128" s="2">
        <v>1.5184022097807501E-6</v>
      </c>
      <c r="G128" t="s">
        <v>2181</v>
      </c>
    </row>
    <row r="129" spans="1:7" x14ac:dyDescent="0.25">
      <c r="A129" s="4" t="str">
        <f>HYPERLINK("http://amigo.geneontology.org/cgi-bin/amigo/term-details.cgi?term=GO:0051707","GO:0051707")</f>
        <v>GO:0051707</v>
      </c>
      <c r="B129" t="s">
        <v>2182</v>
      </c>
      <c r="C129">
        <v>537</v>
      </c>
      <c r="D129">
        <v>79</v>
      </c>
      <c r="E129" s="2">
        <v>4.1037897561641902E-8</v>
      </c>
      <c r="F129" s="2">
        <v>1.5594401073423899E-6</v>
      </c>
      <c r="G129" t="s">
        <v>2181</v>
      </c>
    </row>
    <row r="130" spans="1:7" x14ac:dyDescent="0.25">
      <c r="A130" s="4" t="str">
        <f>HYPERLINK("http://amigo.geneontology.org/cgi-bin/amigo/term-details.cgi?term=GO:0047216","GO:0047216")</f>
        <v>GO:0047216</v>
      </c>
      <c r="B130" t="s">
        <v>2180</v>
      </c>
      <c r="C130">
        <v>10</v>
      </c>
      <c r="D130">
        <v>8</v>
      </c>
      <c r="E130" s="2">
        <v>5.2484299646781198E-8</v>
      </c>
      <c r="F130" s="2">
        <v>1.9419190869309002E-6</v>
      </c>
      <c r="G130" t="s">
        <v>2153</v>
      </c>
    </row>
    <row r="131" spans="1:7" x14ac:dyDescent="0.25">
      <c r="A131" s="4" t="str">
        <f>HYPERLINK("http://amigo.geneontology.org/cgi-bin/amigo/term-details.cgi?term=GO:0016491","GO:0016491")</f>
        <v>GO:0016491</v>
      </c>
      <c r="B131" t="s">
        <v>945</v>
      </c>
      <c r="C131">
        <v>6975</v>
      </c>
      <c r="D131">
        <v>660</v>
      </c>
      <c r="E131" s="2">
        <v>5.4634089571187301E-8</v>
      </c>
      <c r="F131" s="2">
        <v>2.02146131413393E-6</v>
      </c>
      <c r="G131" t="s">
        <v>2179</v>
      </c>
    </row>
    <row r="132" spans="1:7" x14ac:dyDescent="0.25">
      <c r="A132" s="4" t="str">
        <f>HYPERLINK("http://amigo.geneontology.org/cgi-bin/amigo/term-details.cgi?term=GO:0006820","GO:0006820")</f>
        <v>GO:0006820</v>
      </c>
      <c r="B132" t="s">
        <v>2178</v>
      </c>
      <c r="C132">
        <v>515</v>
      </c>
      <c r="D132">
        <v>76</v>
      </c>
      <c r="E132" s="2">
        <v>6.4299994680044999E-8</v>
      </c>
      <c r="F132" s="2">
        <v>2.3790998031616601E-6</v>
      </c>
      <c r="G132" t="s">
        <v>2177</v>
      </c>
    </row>
    <row r="133" spans="1:7" x14ac:dyDescent="0.25">
      <c r="A133" s="4" t="str">
        <f>HYPERLINK("http://amigo.geneontology.org/cgi-bin/amigo/term-details.cgi?term=GO:0015711","GO:0015711")</f>
        <v>GO:0015711</v>
      </c>
      <c r="B133" t="s">
        <v>2176</v>
      </c>
      <c r="C133">
        <v>296</v>
      </c>
      <c r="D133">
        <v>51</v>
      </c>
      <c r="E133" s="2">
        <v>7.5417833311885602E-8</v>
      </c>
      <c r="F133" s="2">
        <v>2.7150419992278801E-6</v>
      </c>
      <c r="G133" t="s">
        <v>2175</v>
      </c>
    </row>
    <row r="134" spans="1:7" x14ac:dyDescent="0.25">
      <c r="A134" s="4" t="str">
        <f>HYPERLINK("http://amigo.geneontology.org/cgi-bin/amigo/term-details.cgi?term=GO:0005506","GO:0005506")</f>
        <v>GO:0005506</v>
      </c>
      <c r="B134" t="s">
        <v>306</v>
      </c>
      <c r="C134">
        <v>1961</v>
      </c>
      <c r="D134">
        <v>218</v>
      </c>
      <c r="E134" s="2">
        <v>7.8048366639614606E-8</v>
      </c>
      <c r="F134" s="2">
        <v>2.80974119902612E-6</v>
      </c>
      <c r="G134" t="s">
        <v>2174</v>
      </c>
    </row>
    <row r="135" spans="1:7" x14ac:dyDescent="0.25">
      <c r="A135" s="4" t="str">
        <f>HYPERLINK("http://amigo.geneontology.org/cgi-bin/amigo/term-details.cgi?term=GO:0042538","GO:0042538")</f>
        <v>GO:0042538</v>
      </c>
      <c r="B135" t="s">
        <v>2173</v>
      </c>
      <c r="C135">
        <v>44</v>
      </c>
      <c r="D135">
        <v>16</v>
      </c>
      <c r="E135" s="2">
        <v>8.9959997955363599E-8</v>
      </c>
      <c r="F135" s="2">
        <v>3.2385599263930901E-6</v>
      </c>
      <c r="G135" t="s">
        <v>2172</v>
      </c>
    </row>
    <row r="136" spans="1:7" x14ac:dyDescent="0.25">
      <c r="A136" s="4" t="str">
        <f>HYPERLINK("http://amigo.geneontology.org/cgi-bin/amigo/term-details.cgi?term=GO:0097305","GO:0097305")</f>
        <v>GO:0097305</v>
      </c>
      <c r="B136" t="s">
        <v>2171</v>
      </c>
      <c r="C136">
        <v>210</v>
      </c>
      <c r="D136">
        <v>40</v>
      </c>
      <c r="E136" s="2">
        <v>1.21183149130084E-7</v>
      </c>
      <c r="F136" s="2">
        <v>4.2414102195529699E-6</v>
      </c>
      <c r="G136" t="s">
        <v>2169</v>
      </c>
    </row>
    <row r="137" spans="1:7" x14ac:dyDescent="0.25">
      <c r="A137" s="4" t="str">
        <f>HYPERLINK("http://amigo.geneontology.org/cgi-bin/amigo/term-details.cgi?term=GO:0009737","GO:0009737")</f>
        <v>GO:0009737</v>
      </c>
      <c r="B137" t="s">
        <v>2170</v>
      </c>
      <c r="C137">
        <v>210</v>
      </c>
      <c r="D137">
        <v>40</v>
      </c>
      <c r="E137" s="2">
        <v>1.21183149130084E-7</v>
      </c>
      <c r="F137" s="2">
        <v>4.2414102195529699E-6</v>
      </c>
      <c r="G137" t="s">
        <v>2169</v>
      </c>
    </row>
    <row r="138" spans="1:7" x14ac:dyDescent="0.25">
      <c r="A138" s="4" t="str">
        <f>HYPERLINK("http://amigo.geneontology.org/cgi-bin/amigo/term-details.cgi?term=GO:0051213","GO:0051213")</f>
        <v>GO:0051213</v>
      </c>
      <c r="B138" t="s">
        <v>925</v>
      </c>
      <c r="C138">
        <v>396</v>
      </c>
      <c r="D138">
        <v>62</v>
      </c>
      <c r="E138" s="2">
        <v>1.2266544235412699E-7</v>
      </c>
      <c r="F138" s="2">
        <v>4.2932904823944701E-6</v>
      </c>
      <c r="G138" t="s">
        <v>2168</v>
      </c>
    </row>
    <row r="139" spans="1:7" x14ac:dyDescent="0.25">
      <c r="A139" s="4" t="str">
        <f>HYPERLINK("http://amigo.geneontology.org/cgi-bin/amigo/term-details.cgi?term=GO:0042221","GO:0042221")</f>
        <v>GO:0042221</v>
      </c>
      <c r="B139" t="s">
        <v>916</v>
      </c>
      <c r="C139">
        <v>2082</v>
      </c>
      <c r="D139">
        <v>228</v>
      </c>
      <c r="E139" s="2">
        <v>1.28208466244557E-7</v>
      </c>
      <c r="F139" s="2">
        <v>4.4872963185595099E-6</v>
      </c>
      <c r="G139" t="s">
        <v>2167</v>
      </c>
    </row>
    <row r="140" spans="1:7" x14ac:dyDescent="0.25">
      <c r="A140" s="4" t="str">
        <f>HYPERLINK("http://amigo.geneontology.org/cgi-bin/amigo/term-details.cgi?term=GO:1901605","GO:1901605")</f>
        <v>GO:1901605</v>
      </c>
      <c r="B140" t="s">
        <v>332</v>
      </c>
      <c r="C140">
        <v>811</v>
      </c>
      <c r="D140">
        <v>106</v>
      </c>
      <c r="E140" s="2">
        <v>1.30208992784881E-7</v>
      </c>
      <c r="F140" s="2">
        <v>4.4271057546859796E-6</v>
      </c>
      <c r="G140" t="s">
        <v>2166</v>
      </c>
    </row>
    <row r="141" spans="1:7" x14ac:dyDescent="0.25">
      <c r="A141" s="4" t="str">
        <f>HYPERLINK("http://amigo.geneontology.org/cgi-bin/amigo/term-details.cgi?term=GO:0052542","GO:0052542")</f>
        <v>GO:0052542</v>
      </c>
      <c r="B141" t="s">
        <v>2165</v>
      </c>
      <c r="C141">
        <v>18</v>
      </c>
      <c r="D141">
        <v>10</v>
      </c>
      <c r="E141" s="2">
        <v>1.98408650677444E-7</v>
      </c>
      <c r="F141" s="2">
        <v>6.7458941230331097E-6</v>
      </c>
      <c r="G141" t="s">
        <v>2093</v>
      </c>
    </row>
    <row r="142" spans="1:7" x14ac:dyDescent="0.25">
      <c r="A142" s="4" t="str">
        <f>HYPERLINK("http://amigo.geneontology.org/cgi-bin/amigo/term-details.cgi?term=GO:0022804","GO:0022804")</f>
        <v>GO:0022804</v>
      </c>
      <c r="B142" t="s">
        <v>931</v>
      </c>
      <c r="C142">
        <v>1000</v>
      </c>
      <c r="D142">
        <v>124</v>
      </c>
      <c r="E142" s="2">
        <v>2.2286833431110999E-7</v>
      </c>
      <c r="F142" s="2">
        <v>7.5775233665777503E-6</v>
      </c>
      <c r="G142" t="s">
        <v>2164</v>
      </c>
    </row>
    <row r="143" spans="1:7" x14ac:dyDescent="0.25">
      <c r="A143" s="4" t="str">
        <f>HYPERLINK("http://amigo.geneontology.org/cgi-bin/amigo/term-details.cgi?term=GO:0048585","GO:0048585")</f>
        <v>GO:0048585</v>
      </c>
      <c r="B143" t="s">
        <v>2163</v>
      </c>
      <c r="C143">
        <v>161</v>
      </c>
      <c r="D143">
        <v>33</v>
      </c>
      <c r="E143" s="2">
        <v>2.5746587619384202E-7</v>
      </c>
      <c r="F143" s="2">
        <v>8.4963739143967999E-6</v>
      </c>
      <c r="G143" t="s">
        <v>2162</v>
      </c>
    </row>
    <row r="144" spans="1:7" x14ac:dyDescent="0.25">
      <c r="A144" s="4" t="str">
        <f>HYPERLINK("http://amigo.geneontology.org/cgi-bin/amigo/term-details.cgi?term=GO:0042435","GO:0042435")</f>
        <v>GO:0042435</v>
      </c>
      <c r="B144" t="s">
        <v>352</v>
      </c>
      <c r="C144">
        <v>77</v>
      </c>
      <c r="D144">
        <v>21</v>
      </c>
      <c r="E144" s="2">
        <v>2.7763059032735399E-7</v>
      </c>
      <c r="F144" s="2">
        <v>9.1618094808026999E-6</v>
      </c>
      <c r="G144" t="s">
        <v>2161</v>
      </c>
    </row>
    <row r="145" spans="1:7" x14ac:dyDescent="0.25">
      <c r="A145" s="4" t="str">
        <f>HYPERLINK("http://amigo.geneontology.org/cgi-bin/amigo/term-details.cgi?term=GO:0032787","GO:0032787")</f>
        <v>GO:0032787</v>
      </c>
      <c r="B145" t="s">
        <v>515</v>
      </c>
      <c r="C145">
        <v>1450</v>
      </c>
      <c r="D145">
        <v>167</v>
      </c>
      <c r="E145" s="2">
        <v>2.8810566198970701E-7</v>
      </c>
      <c r="F145" s="2">
        <v>9.5074868456603508E-6</v>
      </c>
      <c r="G145" t="s">
        <v>2160</v>
      </c>
    </row>
    <row r="146" spans="1:7" x14ac:dyDescent="0.25">
      <c r="A146" s="4" t="str">
        <f>HYPERLINK("http://amigo.geneontology.org/cgi-bin/amigo/term-details.cgi?term=GO:0070887","GO:0070887")</f>
        <v>GO:0070887</v>
      </c>
      <c r="B146" t="s">
        <v>837</v>
      </c>
      <c r="C146">
        <v>632</v>
      </c>
      <c r="D146">
        <v>86</v>
      </c>
      <c r="E146" s="2">
        <v>3.51133081239211E-7</v>
      </c>
      <c r="F146" s="2">
        <v>1.15873916808939E-5</v>
      </c>
      <c r="G146" t="s">
        <v>2159</v>
      </c>
    </row>
    <row r="147" spans="1:7" x14ac:dyDescent="0.25">
      <c r="A147" s="4" t="str">
        <f>HYPERLINK("http://amigo.geneontology.org/cgi-bin/amigo/term-details.cgi?term=GO:0016667","GO:0016667")</f>
        <v>GO:0016667</v>
      </c>
      <c r="B147" t="s">
        <v>934</v>
      </c>
      <c r="C147">
        <v>373</v>
      </c>
      <c r="D147">
        <v>58</v>
      </c>
      <c r="E147" s="2">
        <v>3.86136494643977E-7</v>
      </c>
      <c r="F147" s="2">
        <v>1.23563678286072E-5</v>
      </c>
      <c r="G147" t="s">
        <v>2158</v>
      </c>
    </row>
    <row r="148" spans="1:7" x14ac:dyDescent="0.25">
      <c r="A148" s="4" t="str">
        <f>HYPERLINK("http://amigo.geneontology.org/cgi-bin/amigo/term-details.cgi?term=GO:0035966","GO:0035966")</f>
        <v>GO:0035966</v>
      </c>
      <c r="B148" t="s">
        <v>2157</v>
      </c>
      <c r="C148">
        <v>157</v>
      </c>
      <c r="D148">
        <v>32</v>
      </c>
      <c r="E148" s="2">
        <v>4.4265237080094099E-7</v>
      </c>
      <c r="F148" s="2">
        <v>1.41648758656301E-5</v>
      </c>
      <c r="G148" t="s">
        <v>2156</v>
      </c>
    </row>
    <row r="149" spans="1:7" x14ac:dyDescent="0.25">
      <c r="A149" s="4" t="str">
        <f>HYPERLINK("http://amigo.geneontology.org/cgi-bin/amigo/term-details.cgi?term=GO:0016998","GO:0016998")</f>
        <v>GO:0016998</v>
      </c>
      <c r="B149" t="s">
        <v>250</v>
      </c>
      <c r="C149">
        <v>86</v>
      </c>
      <c r="D149">
        <v>22</v>
      </c>
      <c r="E149" s="2">
        <v>4.9217829533564905E-7</v>
      </c>
      <c r="F149" s="2">
        <v>1.5749705450740698E-5</v>
      </c>
      <c r="G149" t="s">
        <v>2155</v>
      </c>
    </row>
    <row r="150" spans="1:7" x14ac:dyDescent="0.25">
      <c r="A150" s="4" t="str">
        <f>HYPERLINK("http://amigo.geneontology.org/cgi-bin/amigo/term-details.cgi?term=GO:0035250","GO:0035250")</f>
        <v>GO:0035250</v>
      </c>
      <c r="B150" t="s">
        <v>2154</v>
      </c>
      <c r="C150">
        <v>12</v>
      </c>
      <c r="D150">
        <v>8</v>
      </c>
      <c r="E150" s="2">
        <v>5.0043584046688604E-7</v>
      </c>
      <c r="F150" s="2">
        <v>1.6013946894940299E-5</v>
      </c>
      <c r="G150" t="s">
        <v>2153</v>
      </c>
    </row>
    <row r="151" spans="1:7" x14ac:dyDescent="0.25">
      <c r="A151" s="4" t="str">
        <f>HYPERLINK("http://amigo.geneontology.org/cgi-bin/amigo/term-details.cgi?term=GO:0009755","GO:0009755")</f>
        <v>GO:0009755</v>
      </c>
      <c r="B151" t="s">
        <v>1311</v>
      </c>
      <c r="C151">
        <v>387</v>
      </c>
      <c r="D151">
        <v>59</v>
      </c>
      <c r="E151" s="2">
        <v>6.0375630514371803E-7</v>
      </c>
      <c r="F151" s="2">
        <v>1.9320201764598899E-5</v>
      </c>
      <c r="G151" t="s">
        <v>2152</v>
      </c>
    </row>
    <row r="152" spans="1:7" x14ac:dyDescent="0.25">
      <c r="A152" s="4" t="str">
        <f>HYPERLINK("http://amigo.geneontology.org/cgi-bin/amigo/term-details.cgi?term=GO:0016701","GO:0016701")</f>
        <v>GO:0016701</v>
      </c>
      <c r="B152" t="s">
        <v>935</v>
      </c>
      <c r="C152">
        <v>175</v>
      </c>
      <c r="D152">
        <v>34</v>
      </c>
      <c r="E152" s="2">
        <v>6.3885222728982298E-7</v>
      </c>
      <c r="F152" s="2">
        <v>1.9804419045984499E-5</v>
      </c>
      <c r="G152" t="s">
        <v>2151</v>
      </c>
    </row>
    <row r="153" spans="1:7" x14ac:dyDescent="0.25">
      <c r="A153" s="4" t="str">
        <f>HYPERLINK("http://amigo.geneontology.org/cgi-bin/amigo/term-details.cgi?term=GO:0006811","GO:0006811")</f>
        <v>GO:0006811</v>
      </c>
      <c r="B153" t="s">
        <v>141</v>
      </c>
      <c r="C153">
        <v>1892</v>
      </c>
      <c r="D153">
        <v>206</v>
      </c>
      <c r="E153" s="2">
        <v>7.5868377960407898E-7</v>
      </c>
      <c r="F153" s="2">
        <v>2.35191971677264E-5</v>
      </c>
      <c r="G153" t="s">
        <v>2150</v>
      </c>
    </row>
    <row r="154" spans="1:7" x14ac:dyDescent="0.25">
      <c r="A154" s="4" t="str">
        <f>HYPERLINK("http://amigo.geneontology.org/cgi-bin/amigo/term-details.cgi?term=GO:0048037","GO:0048037")</f>
        <v>GO:0048037</v>
      </c>
      <c r="B154" t="s">
        <v>820</v>
      </c>
      <c r="C154">
        <v>4750</v>
      </c>
      <c r="D154">
        <v>459</v>
      </c>
      <c r="E154" s="2">
        <v>7.6656055350721598E-7</v>
      </c>
      <c r="F154" s="2">
        <v>2.3763377158723699E-5</v>
      </c>
      <c r="G154" t="s">
        <v>2149</v>
      </c>
    </row>
    <row r="155" spans="1:7" x14ac:dyDescent="0.25">
      <c r="A155" s="4" t="str">
        <f>HYPERLINK("http://amigo.geneontology.org/cgi-bin/amigo/term-details.cgi?term=GO:0009607","GO:0009607")</f>
        <v>GO:0009607</v>
      </c>
      <c r="B155" t="s">
        <v>2148</v>
      </c>
      <c r="C155">
        <v>615</v>
      </c>
      <c r="D155">
        <v>83</v>
      </c>
      <c r="E155" s="2">
        <v>7.7822420502312701E-7</v>
      </c>
      <c r="F155" s="2">
        <v>2.4124950355716901E-5</v>
      </c>
      <c r="G155" t="s">
        <v>2147</v>
      </c>
    </row>
    <row r="156" spans="1:7" x14ac:dyDescent="0.25">
      <c r="A156" s="4" t="str">
        <f>HYPERLINK("http://amigo.geneontology.org/cgi-bin/amigo/term-details.cgi?term=GO:0055114","GO:0055114")</f>
        <v>GO:0055114</v>
      </c>
      <c r="B156" t="s">
        <v>923</v>
      </c>
      <c r="C156">
        <v>6698</v>
      </c>
      <c r="D156">
        <v>625</v>
      </c>
      <c r="E156" s="2">
        <v>8.1706636365443495E-7</v>
      </c>
      <c r="F156" s="2">
        <v>2.4511990909633E-5</v>
      </c>
      <c r="G156" t="s">
        <v>2146</v>
      </c>
    </row>
    <row r="157" spans="1:7" x14ac:dyDescent="0.25">
      <c r="A157" s="4" t="str">
        <f>HYPERLINK("http://amigo.geneontology.org/cgi-bin/amigo/term-details.cgi?term=GO:0000165","GO:0000165")</f>
        <v>GO:0000165</v>
      </c>
      <c r="B157" t="s">
        <v>2145</v>
      </c>
      <c r="C157">
        <v>76</v>
      </c>
      <c r="D157">
        <v>20</v>
      </c>
      <c r="E157" s="2">
        <v>9.868924754000661E-7</v>
      </c>
      <c r="F157" s="2">
        <v>2.9606774262002E-5</v>
      </c>
      <c r="G157" t="s">
        <v>1943</v>
      </c>
    </row>
    <row r="158" spans="1:7" x14ac:dyDescent="0.25">
      <c r="A158" s="4" t="str">
        <f>HYPERLINK("http://amigo.geneontology.org/cgi-bin/amigo/term-details.cgi?term=GO:0071702","GO:0071702")</f>
        <v>GO:0071702</v>
      </c>
      <c r="B158" t="s">
        <v>672</v>
      </c>
      <c r="C158">
        <v>2259</v>
      </c>
      <c r="D158">
        <v>238</v>
      </c>
      <c r="E158" s="2">
        <v>1.32295272081034E-6</v>
      </c>
      <c r="F158" s="2">
        <v>3.96885816243102E-5</v>
      </c>
      <c r="G158" t="s">
        <v>2144</v>
      </c>
    </row>
    <row r="159" spans="1:7" x14ac:dyDescent="0.25">
      <c r="A159" s="4" t="str">
        <f>HYPERLINK("http://amigo.geneontology.org/cgi-bin/amigo/term-details.cgi?term=GO:0044242","GO:0044242")</f>
        <v>GO:0044242</v>
      </c>
      <c r="B159" t="s">
        <v>2143</v>
      </c>
      <c r="C159">
        <v>173</v>
      </c>
      <c r="D159">
        <v>33</v>
      </c>
      <c r="E159" s="2">
        <v>1.4200644804692199E-6</v>
      </c>
      <c r="F159" s="2">
        <v>4.2601934414076599E-5</v>
      </c>
      <c r="G159" t="s">
        <v>2142</v>
      </c>
    </row>
    <row r="160" spans="1:7" x14ac:dyDescent="0.25">
      <c r="A160" s="4" t="str">
        <f>HYPERLINK("http://amigo.geneontology.org/cgi-bin/amigo/term-details.cgi?term=GO:0016836","GO:0016836")</f>
        <v>GO:0016836</v>
      </c>
      <c r="B160" t="s">
        <v>310</v>
      </c>
      <c r="C160">
        <v>189</v>
      </c>
      <c r="D160">
        <v>35</v>
      </c>
      <c r="E160" s="2">
        <v>1.42307479358819E-6</v>
      </c>
      <c r="F160" s="2">
        <v>4.2692243807645897E-5</v>
      </c>
      <c r="G160" t="s">
        <v>2141</v>
      </c>
    </row>
    <row r="161" spans="1:7" x14ac:dyDescent="0.25">
      <c r="A161" s="4" t="str">
        <f>HYPERLINK("http://amigo.geneontology.org/cgi-bin/amigo/term-details.cgi?term=GO:0045730","GO:0045730")</f>
        <v>GO:0045730</v>
      </c>
      <c r="B161" t="s">
        <v>2140</v>
      </c>
      <c r="C161">
        <v>17</v>
      </c>
      <c r="D161">
        <v>9</v>
      </c>
      <c r="E161" s="2">
        <v>1.42640595806909E-6</v>
      </c>
      <c r="F161" s="2">
        <v>4.1365772784003701E-5</v>
      </c>
      <c r="G161" t="s">
        <v>2138</v>
      </c>
    </row>
    <row r="162" spans="1:7" x14ac:dyDescent="0.25">
      <c r="A162" s="4" t="str">
        <f>HYPERLINK("http://amigo.geneontology.org/cgi-bin/amigo/term-details.cgi?term=GO:0002679","GO:0002679")</f>
        <v>GO:0002679</v>
      </c>
      <c r="B162" t="s">
        <v>2139</v>
      </c>
      <c r="C162">
        <v>17</v>
      </c>
      <c r="D162">
        <v>9</v>
      </c>
      <c r="E162" s="2">
        <v>1.42640595806909E-6</v>
      </c>
      <c r="F162" s="2">
        <v>4.1365772784003701E-5</v>
      </c>
      <c r="G162" t="s">
        <v>2138</v>
      </c>
    </row>
    <row r="163" spans="1:7" x14ac:dyDescent="0.25">
      <c r="A163" s="4" t="str">
        <f>HYPERLINK("http://amigo.geneontology.org/cgi-bin/amigo/term-details.cgi?term=GO:0016054","GO:0016054")</f>
        <v>GO:0016054</v>
      </c>
      <c r="B163" t="s">
        <v>1119</v>
      </c>
      <c r="C163">
        <v>381</v>
      </c>
      <c r="D163">
        <v>57</v>
      </c>
      <c r="E163" s="2">
        <v>1.69974790473502E-6</v>
      </c>
      <c r="F163" s="2">
        <v>4.9292689237315599E-5</v>
      </c>
      <c r="G163" t="s">
        <v>2137</v>
      </c>
    </row>
    <row r="164" spans="1:7" x14ac:dyDescent="0.25">
      <c r="A164" s="4" t="str">
        <f>HYPERLINK("http://amigo.geneontology.org/cgi-bin/amigo/term-details.cgi?term=GO:0046395","GO:0046395")</f>
        <v>GO:0046395</v>
      </c>
      <c r="B164" t="s">
        <v>1128</v>
      </c>
      <c r="C164">
        <v>381</v>
      </c>
      <c r="D164">
        <v>57</v>
      </c>
      <c r="E164" s="2">
        <v>1.69974790473502E-6</v>
      </c>
      <c r="F164" s="2">
        <v>4.9292689237315599E-5</v>
      </c>
      <c r="G164" t="s">
        <v>2137</v>
      </c>
    </row>
    <row r="165" spans="1:7" x14ac:dyDescent="0.25">
      <c r="A165" s="4" t="str">
        <f>HYPERLINK("http://amigo.geneontology.org/cgi-bin/amigo/term-details.cgi?term=GO:0036094","GO:0036094")</f>
        <v>GO:0036094</v>
      </c>
      <c r="B165" t="s">
        <v>887</v>
      </c>
      <c r="C165">
        <v>14520</v>
      </c>
      <c r="D165">
        <v>1268</v>
      </c>
      <c r="E165" s="2">
        <v>1.7051848883348E-6</v>
      </c>
      <c r="F165" s="2">
        <v>4.9450361761709303E-5</v>
      </c>
      <c r="G165" t="s">
        <v>2136</v>
      </c>
    </row>
    <row r="166" spans="1:7" x14ac:dyDescent="0.25">
      <c r="A166" s="4" t="str">
        <f>HYPERLINK("http://amigo.geneontology.org/cgi-bin/amigo/term-details.cgi?term=GO:0006807","GO:0006807")</f>
        <v>GO:0006807</v>
      </c>
      <c r="B166" t="s">
        <v>911</v>
      </c>
      <c r="C166">
        <v>19671</v>
      </c>
      <c r="D166">
        <v>1684</v>
      </c>
      <c r="E166" s="2">
        <v>1.76964714909156E-6</v>
      </c>
      <c r="F166" s="2">
        <v>4.9550120174563902E-5</v>
      </c>
      <c r="G166" t="s">
        <v>2135</v>
      </c>
    </row>
    <row r="167" spans="1:7" x14ac:dyDescent="0.25">
      <c r="A167" s="4" t="str">
        <f>HYPERLINK("http://amigo.geneontology.org/cgi-bin/amigo/term-details.cgi?term=GO:0009073","GO:0009073")</f>
        <v>GO:0009073</v>
      </c>
      <c r="B167" t="s">
        <v>326</v>
      </c>
      <c r="C167">
        <v>160</v>
      </c>
      <c r="D167">
        <v>31</v>
      </c>
      <c r="E167" s="2">
        <v>2.0684873031962101E-6</v>
      </c>
      <c r="F167" s="2">
        <v>5.7917644489493899E-5</v>
      </c>
      <c r="G167" t="s">
        <v>2134</v>
      </c>
    </row>
    <row r="168" spans="1:7" x14ac:dyDescent="0.25">
      <c r="A168" s="4" t="str">
        <f>HYPERLINK("http://amigo.geneontology.org/cgi-bin/amigo/term-details.cgi?term=GO:0033993","GO:0033993")</f>
        <v>GO:0033993</v>
      </c>
      <c r="B168" t="s">
        <v>2133</v>
      </c>
      <c r="C168">
        <v>285</v>
      </c>
      <c r="D168">
        <v>46</v>
      </c>
      <c r="E168" s="2">
        <v>2.07880078953515E-6</v>
      </c>
      <c r="F168" s="2">
        <v>5.8206422106984401E-5</v>
      </c>
      <c r="G168" t="s">
        <v>2132</v>
      </c>
    </row>
    <row r="169" spans="1:7" x14ac:dyDescent="0.25">
      <c r="A169" s="4" t="str">
        <f>HYPERLINK("http://amigo.geneontology.org/cgi-bin/amigo/term-details.cgi?term=GO:0009415","GO:0009415")</f>
        <v>GO:0009415</v>
      </c>
      <c r="B169" t="s">
        <v>983</v>
      </c>
      <c r="C169">
        <v>209</v>
      </c>
      <c r="D169">
        <v>37</v>
      </c>
      <c r="E169" s="2">
        <v>2.2223729307219498E-6</v>
      </c>
      <c r="F169" s="2">
        <v>6.2226442060214602E-5</v>
      </c>
      <c r="G169" t="s">
        <v>2131</v>
      </c>
    </row>
    <row r="170" spans="1:7" x14ac:dyDescent="0.25">
      <c r="A170" s="4" t="str">
        <f>HYPERLINK("http://amigo.geneontology.org/cgi-bin/amigo/term-details.cgi?term=GO:0051346","GO:0051346")</f>
        <v>GO:0051346</v>
      </c>
      <c r="B170" t="s">
        <v>2130</v>
      </c>
      <c r="C170">
        <v>87</v>
      </c>
      <c r="D170">
        <v>21</v>
      </c>
      <c r="E170" s="2">
        <v>2.4607985422833599E-6</v>
      </c>
      <c r="F170" s="2">
        <v>6.8902359183934303E-5</v>
      </c>
      <c r="G170" t="s">
        <v>2129</v>
      </c>
    </row>
    <row r="171" spans="1:7" x14ac:dyDescent="0.25">
      <c r="A171" s="4" t="str">
        <f>HYPERLINK("http://amigo.geneontology.org/cgi-bin/amigo/term-details.cgi?term=GO:0050832","GO:0050832")</f>
        <v>GO:0050832</v>
      </c>
      <c r="B171" t="s">
        <v>2128</v>
      </c>
      <c r="C171">
        <v>202</v>
      </c>
      <c r="D171">
        <v>36</v>
      </c>
      <c r="E171" s="2">
        <v>2.5777786901057098E-6</v>
      </c>
      <c r="F171" s="2">
        <v>7.2177803322960002E-5</v>
      </c>
      <c r="G171" t="s">
        <v>2127</v>
      </c>
    </row>
    <row r="172" spans="1:7" x14ac:dyDescent="0.25">
      <c r="A172" s="4" t="str">
        <f>HYPERLINK("http://amigo.geneontology.org/cgi-bin/amigo/term-details.cgi?term=GO:0030246","GO:0030246")</f>
        <v>GO:0030246</v>
      </c>
      <c r="B172" t="s">
        <v>948</v>
      </c>
      <c r="C172">
        <v>1249</v>
      </c>
      <c r="D172">
        <v>143</v>
      </c>
      <c r="E172" s="2">
        <v>2.7162870724332898E-6</v>
      </c>
      <c r="F172" s="2">
        <v>7.3339750955698799E-5</v>
      </c>
      <c r="G172" t="s">
        <v>2126</v>
      </c>
    </row>
    <row r="173" spans="1:7" x14ac:dyDescent="0.25">
      <c r="A173" s="4" t="str">
        <f>HYPERLINK("http://amigo.geneontology.org/cgi-bin/amigo/term-details.cgi?term=GO:0005484","GO:0005484")</f>
        <v>GO:0005484</v>
      </c>
      <c r="B173" t="s">
        <v>943</v>
      </c>
      <c r="C173">
        <v>55</v>
      </c>
      <c r="D173">
        <v>16</v>
      </c>
      <c r="E173" s="2">
        <v>2.8102305590274301E-6</v>
      </c>
      <c r="F173" s="2">
        <v>7.5876225093740701E-5</v>
      </c>
      <c r="G173" t="s">
        <v>1288</v>
      </c>
    </row>
    <row r="174" spans="1:7" x14ac:dyDescent="0.25">
      <c r="A174" s="4" t="str">
        <f>HYPERLINK("http://amigo.geneontology.org/cgi-bin/amigo/term-details.cgi?term=GO:0044282","GO:0044282")</f>
        <v>GO:0044282</v>
      </c>
      <c r="B174" t="s">
        <v>1126</v>
      </c>
      <c r="C174">
        <v>540</v>
      </c>
      <c r="D174">
        <v>73</v>
      </c>
      <c r="E174" s="2">
        <v>3.2481297771650598E-6</v>
      </c>
      <c r="F174" s="2">
        <v>8.76995039834566E-5</v>
      </c>
      <c r="G174" t="s">
        <v>2125</v>
      </c>
    </row>
    <row r="175" spans="1:7" x14ac:dyDescent="0.25">
      <c r="A175" s="4" t="str">
        <f>HYPERLINK("http://amigo.geneontology.org/cgi-bin/amigo/term-details.cgi?term=GO:0014070","GO:0014070")</f>
        <v>GO:0014070</v>
      </c>
      <c r="B175" t="s">
        <v>2124</v>
      </c>
      <c r="C175">
        <v>290</v>
      </c>
      <c r="D175">
        <v>46</v>
      </c>
      <c r="E175" s="2">
        <v>3.3642197911845098E-6</v>
      </c>
      <c r="F175" s="2">
        <v>9.0833934361981994E-5</v>
      </c>
      <c r="G175" t="s">
        <v>2123</v>
      </c>
    </row>
    <row r="176" spans="1:7" x14ac:dyDescent="0.25">
      <c r="A176" s="4" t="str">
        <f>HYPERLINK("http://amigo.geneontology.org/cgi-bin/amigo/term-details.cgi?term=GO:0009062","GO:0009062")</f>
        <v>GO:0009062</v>
      </c>
      <c r="B176" t="s">
        <v>2122</v>
      </c>
      <c r="C176">
        <v>148</v>
      </c>
      <c r="D176">
        <v>29</v>
      </c>
      <c r="E176" s="2">
        <v>3.4359794312609499E-6</v>
      </c>
      <c r="F176" s="2">
        <v>9.2771444644045795E-5</v>
      </c>
      <c r="G176" t="s">
        <v>2121</v>
      </c>
    </row>
    <row r="177" spans="1:7" x14ac:dyDescent="0.25">
      <c r="A177" s="4" t="str">
        <f>HYPERLINK("http://amigo.geneontology.org/cgi-bin/amigo/term-details.cgi?term=GO:0009617","GO:0009617")</f>
        <v>GO:0009617</v>
      </c>
      <c r="B177" t="s">
        <v>2120</v>
      </c>
      <c r="C177">
        <v>188</v>
      </c>
      <c r="D177">
        <v>34</v>
      </c>
      <c r="E177" s="2">
        <v>3.44737265979961E-6</v>
      </c>
      <c r="F177" s="2">
        <v>9.3079061814589398E-5</v>
      </c>
      <c r="G177" t="s">
        <v>2119</v>
      </c>
    </row>
    <row r="178" spans="1:7" x14ac:dyDescent="0.25">
      <c r="A178" s="4" t="str">
        <f>HYPERLINK("http://amigo.geneontology.org/cgi-bin/amigo/term-details.cgi?term=GO:0098754","GO:0098754")</f>
        <v>GO:0098754</v>
      </c>
      <c r="B178" t="s">
        <v>295</v>
      </c>
      <c r="C178">
        <v>89</v>
      </c>
      <c r="D178">
        <v>21</v>
      </c>
      <c r="E178" s="2">
        <v>3.6341879200475E-6</v>
      </c>
      <c r="F178" s="2">
        <v>9.4488885921235197E-5</v>
      </c>
      <c r="G178" t="s">
        <v>2118</v>
      </c>
    </row>
    <row r="179" spans="1:7" x14ac:dyDescent="0.25">
      <c r="A179" s="4" t="str">
        <f>HYPERLINK("http://amigo.geneontology.org/cgi-bin/amigo/term-details.cgi?term=GO:0071407","GO:0071407")</f>
        <v>GO:0071407</v>
      </c>
      <c r="B179" t="s">
        <v>2117</v>
      </c>
      <c r="C179">
        <v>231</v>
      </c>
      <c r="D179">
        <v>39</v>
      </c>
      <c r="E179" s="2">
        <v>3.9815746723732897E-6</v>
      </c>
      <c r="F179" s="2">
        <v>1.03520941481705E-4</v>
      </c>
      <c r="G179" t="s">
        <v>2116</v>
      </c>
    </row>
    <row r="180" spans="1:7" x14ac:dyDescent="0.25">
      <c r="A180" s="4" t="str">
        <f>HYPERLINK("http://amigo.geneontology.org/cgi-bin/amigo/term-details.cgi?term=GO:0043492","GO:0043492")</f>
        <v>GO:0043492</v>
      </c>
      <c r="B180" t="s">
        <v>345</v>
      </c>
      <c r="C180">
        <v>429</v>
      </c>
      <c r="D180">
        <v>61</v>
      </c>
      <c r="E180" s="2">
        <v>4.0686953147495897E-6</v>
      </c>
      <c r="F180" s="2">
        <v>1.05786078183489E-4</v>
      </c>
      <c r="G180" t="s">
        <v>2115</v>
      </c>
    </row>
    <row r="181" spans="1:7" x14ac:dyDescent="0.25">
      <c r="A181" s="4" t="str">
        <f>HYPERLINK("http://amigo.geneontology.org/cgi-bin/amigo/term-details.cgi?term=GO:0046914","GO:0046914")</f>
        <v>GO:0046914</v>
      </c>
      <c r="B181" t="s">
        <v>337</v>
      </c>
      <c r="C181">
        <v>7516</v>
      </c>
      <c r="D181">
        <v>686</v>
      </c>
      <c r="E181" s="2">
        <v>4.3226264718892303E-6</v>
      </c>
      <c r="F181" s="2">
        <v>1.1238828826912E-4</v>
      </c>
      <c r="G181" t="s">
        <v>2114</v>
      </c>
    </row>
    <row r="182" spans="1:7" x14ac:dyDescent="0.25">
      <c r="A182" s="4" t="str">
        <f>HYPERLINK("http://amigo.geneontology.org/cgi-bin/amigo/term-details.cgi?term=GO:0140103","GO:0140103")</f>
        <v>GO:0140103</v>
      </c>
      <c r="B182" t="s">
        <v>2113</v>
      </c>
      <c r="C182">
        <v>39</v>
      </c>
      <c r="D182">
        <v>13</v>
      </c>
      <c r="E182" s="2">
        <v>4.4773069865410898E-6</v>
      </c>
      <c r="F182" s="2">
        <v>1.16409981650068E-4</v>
      </c>
      <c r="G182" t="s">
        <v>2112</v>
      </c>
    </row>
    <row r="183" spans="1:7" x14ac:dyDescent="0.25">
      <c r="A183" s="4" t="str">
        <f>HYPERLINK("http://amigo.geneontology.org/cgi-bin/amigo/term-details.cgi?term=GO:0031012","GO:0031012")</f>
        <v>GO:0031012</v>
      </c>
      <c r="B183" t="s">
        <v>2111</v>
      </c>
      <c r="C183">
        <v>19</v>
      </c>
      <c r="D183">
        <v>9</v>
      </c>
      <c r="E183" s="2">
        <v>4.6928969619166996E-6</v>
      </c>
      <c r="F183" s="2">
        <v>1.2201532100983401E-4</v>
      </c>
      <c r="G183" t="s">
        <v>2110</v>
      </c>
    </row>
    <row r="184" spans="1:7" x14ac:dyDescent="0.25">
      <c r="A184" s="4" t="str">
        <f>HYPERLINK("http://amigo.geneontology.org/cgi-bin/amigo/term-details.cgi?term=GO:0044706","GO:0044706")</f>
        <v>GO:0044706</v>
      </c>
      <c r="B184" t="s">
        <v>946</v>
      </c>
      <c r="C184">
        <v>576</v>
      </c>
      <c r="D184">
        <v>76</v>
      </c>
      <c r="E184" s="2">
        <v>5.0717609915042598E-6</v>
      </c>
      <c r="F184" s="2">
        <v>1.26794024787606E-4</v>
      </c>
      <c r="G184" t="s">
        <v>2109</v>
      </c>
    </row>
    <row r="185" spans="1:7" x14ac:dyDescent="0.25">
      <c r="A185" s="4" t="str">
        <f>HYPERLINK("http://amigo.geneontology.org/cgi-bin/amigo/term-details.cgi?term=GO:0009856","GO:0009856")</f>
        <v>GO:0009856</v>
      </c>
      <c r="B185" t="s">
        <v>336</v>
      </c>
      <c r="C185">
        <v>576</v>
      </c>
      <c r="D185">
        <v>76</v>
      </c>
      <c r="E185" s="2">
        <v>5.0717609915042598E-6</v>
      </c>
      <c r="F185" s="2">
        <v>1.26794024787606E-4</v>
      </c>
      <c r="G185" t="s">
        <v>2109</v>
      </c>
    </row>
    <row r="186" spans="1:7" x14ac:dyDescent="0.25">
      <c r="A186" s="4" t="str">
        <f>HYPERLINK("http://amigo.geneontology.org/cgi-bin/amigo/term-details.cgi?term=GO:0052547","GO:0052547")</f>
        <v>GO:0052547</v>
      </c>
      <c r="B186" t="s">
        <v>2108</v>
      </c>
      <c r="C186">
        <v>77</v>
      </c>
      <c r="D186">
        <v>19</v>
      </c>
      <c r="E186" s="2">
        <v>5.1575627658310798E-6</v>
      </c>
      <c r="F186" s="2">
        <v>1.28939069145777E-4</v>
      </c>
      <c r="G186" t="s">
        <v>2104</v>
      </c>
    </row>
    <row r="187" spans="1:7" x14ac:dyDescent="0.25">
      <c r="A187" s="4" t="str">
        <f>HYPERLINK("http://amigo.geneontology.org/cgi-bin/amigo/term-details.cgi?term=GO:0010466","GO:0010466")</f>
        <v>GO:0010466</v>
      </c>
      <c r="B187" t="s">
        <v>2107</v>
      </c>
      <c r="C187">
        <v>77</v>
      </c>
      <c r="D187">
        <v>19</v>
      </c>
      <c r="E187" s="2">
        <v>5.1575627658310798E-6</v>
      </c>
      <c r="F187" s="2">
        <v>1.28939069145777E-4</v>
      </c>
      <c r="G187" t="s">
        <v>2104</v>
      </c>
    </row>
    <row r="188" spans="1:7" x14ac:dyDescent="0.25">
      <c r="A188" s="4" t="str">
        <f>HYPERLINK("http://amigo.geneontology.org/cgi-bin/amigo/term-details.cgi?term=GO:0052548","GO:0052548")</f>
        <v>GO:0052548</v>
      </c>
      <c r="B188" t="s">
        <v>2106</v>
      </c>
      <c r="C188">
        <v>77</v>
      </c>
      <c r="D188">
        <v>19</v>
      </c>
      <c r="E188" s="2">
        <v>5.1575627658310798E-6</v>
      </c>
      <c r="F188" s="2">
        <v>1.28939069145777E-4</v>
      </c>
      <c r="G188" t="s">
        <v>2104</v>
      </c>
    </row>
    <row r="189" spans="1:7" x14ac:dyDescent="0.25">
      <c r="A189" s="4" t="str">
        <f>HYPERLINK("http://amigo.geneontology.org/cgi-bin/amigo/term-details.cgi?term=GO:0010951","GO:0010951")</f>
        <v>GO:0010951</v>
      </c>
      <c r="B189" t="s">
        <v>2105</v>
      </c>
      <c r="C189">
        <v>77</v>
      </c>
      <c r="D189">
        <v>19</v>
      </c>
      <c r="E189" s="2">
        <v>5.1575627658310798E-6</v>
      </c>
      <c r="F189" s="2">
        <v>1.28939069145777E-4</v>
      </c>
      <c r="G189" t="s">
        <v>2104</v>
      </c>
    </row>
    <row r="190" spans="1:7" x14ac:dyDescent="0.25">
      <c r="A190" s="4" t="str">
        <f>HYPERLINK("http://amigo.geneontology.org/cgi-bin/amigo/term-details.cgi?term=GO:0055085","GO:0055085")</f>
        <v>GO:0055085</v>
      </c>
      <c r="B190" t="s">
        <v>311</v>
      </c>
      <c r="C190">
        <v>2652</v>
      </c>
      <c r="D190">
        <v>269</v>
      </c>
      <c r="E190" s="2">
        <v>5.3771760609755498E-6</v>
      </c>
      <c r="F190" s="2">
        <v>1.3442940152438799E-4</v>
      </c>
      <c r="G190" t="s">
        <v>2103</v>
      </c>
    </row>
    <row r="191" spans="1:7" x14ac:dyDescent="0.25">
      <c r="A191" s="4" t="str">
        <f>HYPERLINK("http://amigo.geneontology.org/cgi-bin/amigo/term-details.cgi?term=GO:0098542","GO:0098542")</f>
        <v>GO:0098542</v>
      </c>
      <c r="B191" t="s">
        <v>2102</v>
      </c>
      <c r="C191">
        <v>443</v>
      </c>
      <c r="D191">
        <v>62</v>
      </c>
      <c r="E191" s="2">
        <v>5.7042448656208404E-6</v>
      </c>
      <c r="F191" s="2">
        <v>1.3690187677490001E-4</v>
      </c>
      <c r="G191" t="s">
        <v>2101</v>
      </c>
    </row>
    <row r="192" spans="1:7" x14ac:dyDescent="0.25">
      <c r="A192" s="4" t="str">
        <f>HYPERLINK("http://amigo.geneontology.org/cgi-bin/amigo/term-details.cgi?term=GO:0005548","GO:0005548")</f>
        <v>GO:0005548</v>
      </c>
      <c r="B192" t="s">
        <v>331</v>
      </c>
      <c r="C192">
        <v>29</v>
      </c>
      <c r="D192">
        <v>11</v>
      </c>
      <c r="E192" s="2">
        <v>5.8245509762816098E-6</v>
      </c>
      <c r="F192" s="2">
        <v>1.39789223430758E-4</v>
      </c>
      <c r="G192" t="s">
        <v>327</v>
      </c>
    </row>
    <row r="193" spans="1:7" x14ac:dyDescent="0.25">
      <c r="A193" s="4" t="str">
        <f>HYPERLINK("http://amigo.geneontology.org/cgi-bin/amigo/term-details.cgi?term=GO:0004012","GO:0004012")</f>
        <v>GO:0004012</v>
      </c>
      <c r="B193" t="s">
        <v>330</v>
      </c>
      <c r="C193">
        <v>29</v>
      </c>
      <c r="D193">
        <v>11</v>
      </c>
      <c r="E193" s="2">
        <v>5.8245509762816098E-6</v>
      </c>
      <c r="F193" s="2">
        <v>1.39789223430758E-4</v>
      </c>
      <c r="G193" t="s">
        <v>327</v>
      </c>
    </row>
    <row r="194" spans="1:7" x14ac:dyDescent="0.25">
      <c r="A194" s="4" t="str">
        <f>HYPERLINK("http://amigo.geneontology.org/cgi-bin/amigo/term-details.cgi?term=GO:0015914","GO:0015914")</f>
        <v>GO:0015914</v>
      </c>
      <c r="B194" t="s">
        <v>328</v>
      </c>
      <c r="C194">
        <v>29</v>
      </c>
      <c r="D194">
        <v>11</v>
      </c>
      <c r="E194" s="2">
        <v>5.8245509762816098E-6</v>
      </c>
      <c r="F194" s="2">
        <v>1.39789223430758E-4</v>
      </c>
      <c r="G194" t="s">
        <v>327</v>
      </c>
    </row>
    <row r="195" spans="1:7" x14ac:dyDescent="0.25">
      <c r="A195" s="4" t="str">
        <f>HYPERLINK("http://amigo.geneontology.org/cgi-bin/amigo/term-details.cgi?term=GO:0072329","GO:0072329")</f>
        <v>GO:0072329</v>
      </c>
      <c r="B195" t="s">
        <v>2100</v>
      </c>
      <c r="C195">
        <v>160</v>
      </c>
      <c r="D195">
        <v>30</v>
      </c>
      <c r="E195" s="2">
        <v>5.9761700088788798E-6</v>
      </c>
      <c r="F195" s="2">
        <v>1.43428080213093E-4</v>
      </c>
      <c r="G195" t="s">
        <v>2099</v>
      </c>
    </row>
    <row r="196" spans="1:7" x14ac:dyDescent="0.25">
      <c r="A196" s="4" t="str">
        <f>HYPERLINK("http://amigo.geneontology.org/cgi-bin/amigo/term-details.cgi?term=GO:0071310","GO:0071310")</f>
        <v>GO:0071310</v>
      </c>
      <c r="B196" t="s">
        <v>1314</v>
      </c>
      <c r="C196">
        <v>571</v>
      </c>
      <c r="D196">
        <v>75</v>
      </c>
      <c r="E196" s="2">
        <v>6.8458413407012901E-6</v>
      </c>
      <c r="F196" s="2">
        <v>1.6430019217683099E-4</v>
      </c>
      <c r="G196" t="s">
        <v>2098</v>
      </c>
    </row>
    <row r="197" spans="1:7" x14ac:dyDescent="0.25">
      <c r="A197" s="4" t="str">
        <f>HYPERLINK("http://amigo.geneontology.org/cgi-bin/amigo/term-details.cgi?term=GO:0042742","GO:0042742")</f>
        <v>GO:0042742</v>
      </c>
      <c r="B197" t="s">
        <v>2097</v>
      </c>
      <c r="C197">
        <v>162</v>
      </c>
      <c r="D197">
        <v>30</v>
      </c>
      <c r="E197" s="2">
        <v>7.7301646034532894E-6</v>
      </c>
      <c r="F197" s="2">
        <v>1.85523950482879E-4</v>
      </c>
      <c r="G197" t="s">
        <v>2096</v>
      </c>
    </row>
    <row r="198" spans="1:7" x14ac:dyDescent="0.25">
      <c r="A198" s="4" t="str">
        <f>HYPERLINK("http://amigo.geneontology.org/cgi-bin/amigo/term-details.cgi?term=GO:1901136","GO:1901136")</f>
        <v>GO:1901136</v>
      </c>
      <c r="B198" t="s">
        <v>232</v>
      </c>
      <c r="C198">
        <v>131</v>
      </c>
      <c r="D198">
        <v>26</v>
      </c>
      <c r="E198" s="2">
        <v>8.4353116966234404E-6</v>
      </c>
      <c r="F198" s="2">
        <v>2.02447480718962E-4</v>
      </c>
      <c r="G198" t="s">
        <v>1208</v>
      </c>
    </row>
    <row r="199" spans="1:7" x14ac:dyDescent="0.25">
      <c r="A199" s="4" t="str">
        <f>HYPERLINK("http://amigo.geneontology.org/cgi-bin/amigo/term-details.cgi?term=GO:0004834","GO:0004834")</f>
        <v>GO:0004834</v>
      </c>
      <c r="B199" t="s">
        <v>316</v>
      </c>
      <c r="C199">
        <v>30</v>
      </c>
      <c r="D199">
        <v>11</v>
      </c>
      <c r="E199" s="2">
        <v>8.5480794877562397E-6</v>
      </c>
      <c r="F199" s="2">
        <v>1.9660582821839299E-4</v>
      </c>
      <c r="G199" t="s">
        <v>1196</v>
      </c>
    </row>
    <row r="200" spans="1:7" x14ac:dyDescent="0.25">
      <c r="A200" s="4" t="str">
        <f>HYPERLINK("http://amigo.geneontology.org/cgi-bin/amigo/term-details.cgi?term=GO:0008375","GO:0008375")</f>
        <v>GO:0008375</v>
      </c>
      <c r="B200" t="s">
        <v>274</v>
      </c>
      <c r="C200">
        <v>139</v>
      </c>
      <c r="D200">
        <v>27</v>
      </c>
      <c r="E200" s="2">
        <v>8.6823591784178304E-6</v>
      </c>
      <c r="F200" s="2">
        <v>1.9969426110361E-4</v>
      </c>
      <c r="G200" t="s">
        <v>1195</v>
      </c>
    </row>
    <row r="201" spans="1:7" x14ac:dyDescent="0.25">
      <c r="A201" s="4" t="str">
        <f>HYPERLINK("http://amigo.geneontology.org/cgi-bin/amigo/term-details.cgi?term=GO:0033037","GO:0033037")</f>
        <v>GO:0033037</v>
      </c>
      <c r="B201" t="s">
        <v>2095</v>
      </c>
      <c r="C201">
        <v>25</v>
      </c>
      <c r="D201">
        <v>10</v>
      </c>
      <c r="E201" s="2">
        <v>8.9066521600624194E-6</v>
      </c>
      <c r="F201" s="2">
        <v>2.0485299968143501E-4</v>
      </c>
      <c r="G201" t="s">
        <v>2093</v>
      </c>
    </row>
    <row r="202" spans="1:7" x14ac:dyDescent="0.25">
      <c r="A202" s="4" t="str">
        <f>HYPERLINK("http://amigo.geneontology.org/cgi-bin/amigo/term-details.cgi?term=GO:0052545","GO:0052545")</f>
        <v>GO:0052545</v>
      </c>
      <c r="B202" t="s">
        <v>2094</v>
      </c>
      <c r="C202">
        <v>25</v>
      </c>
      <c r="D202">
        <v>10</v>
      </c>
      <c r="E202" s="2">
        <v>8.9066521600624194E-6</v>
      </c>
      <c r="F202" s="2">
        <v>2.0485299968143501E-4</v>
      </c>
      <c r="G202" t="s">
        <v>2093</v>
      </c>
    </row>
    <row r="203" spans="1:7" x14ac:dyDescent="0.25">
      <c r="A203" s="4" t="str">
        <f>HYPERLINK("http://amigo.geneontology.org/cgi-bin/amigo/term-details.cgi?term=GO:0016887","GO:0016887")</f>
        <v>GO:0016887</v>
      </c>
      <c r="B203" t="s">
        <v>340</v>
      </c>
      <c r="C203">
        <v>1067</v>
      </c>
      <c r="D203">
        <v>123</v>
      </c>
      <c r="E203" s="2">
        <v>9.4380247828800702E-6</v>
      </c>
      <c r="F203" s="2">
        <v>2.1707457000624101E-4</v>
      </c>
      <c r="G203" t="s">
        <v>2092</v>
      </c>
    </row>
    <row r="204" spans="1:7" x14ac:dyDescent="0.25">
      <c r="A204" s="4" t="str">
        <f>HYPERLINK("http://amigo.geneontology.org/cgi-bin/amigo/term-details.cgi?term=GO:0010260","GO:0010260")</f>
        <v>GO:0010260</v>
      </c>
      <c r="B204" t="s">
        <v>2091</v>
      </c>
      <c r="C204">
        <v>12</v>
      </c>
      <c r="D204">
        <v>7</v>
      </c>
      <c r="E204" s="2">
        <v>9.6415770448104194E-6</v>
      </c>
      <c r="F204" s="2">
        <v>2.2175627203063899E-4</v>
      </c>
      <c r="G204" t="s">
        <v>2090</v>
      </c>
    </row>
    <row r="205" spans="1:7" x14ac:dyDescent="0.25">
      <c r="A205" s="4" t="str">
        <f>HYPERLINK("http://amigo.geneontology.org/cgi-bin/amigo/term-details.cgi?term=GO:0034440","GO:0034440")</f>
        <v>GO:0034440</v>
      </c>
      <c r="B205" t="s">
        <v>2089</v>
      </c>
      <c r="C205">
        <v>125</v>
      </c>
      <c r="D205">
        <v>25</v>
      </c>
      <c r="E205" s="2">
        <v>1.0835342718385599E-5</v>
      </c>
      <c r="F205" s="2">
        <v>2.4921288252286898E-4</v>
      </c>
      <c r="G205" t="s">
        <v>2087</v>
      </c>
    </row>
    <row r="206" spans="1:7" x14ac:dyDescent="0.25">
      <c r="A206" s="4" t="str">
        <f>HYPERLINK("http://amigo.geneontology.org/cgi-bin/amigo/term-details.cgi?term=GO:0019395","GO:0019395")</f>
        <v>GO:0019395</v>
      </c>
      <c r="B206" t="s">
        <v>2088</v>
      </c>
      <c r="C206">
        <v>125</v>
      </c>
      <c r="D206">
        <v>25</v>
      </c>
      <c r="E206" s="2">
        <v>1.0835342718385599E-5</v>
      </c>
      <c r="F206" s="2">
        <v>2.4921288252286898E-4</v>
      </c>
      <c r="G206" t="s">
        <v>2087</v>
      </c>
    </row>
    <row r="207" spans="1:7" x14ac:dyDescent="0.25">
      <c r="A207" s="4" t="str">
        <f>HYPERLINK("http://amigo.geneontology.org/cgi-bin/amigo/term-details.cgi?term=GO:0044260","GO:0044260")</f>
        <v>GO:0044260</v>
      </c>
      <c r="B207" t="s">
        <v>276</v>
      </c>
      <c r="C207">
        <v>15411</v>
      </c>
      <c r="D207">
        <v>1327</v>
      </c>
      <c r="E207" s="2">
        <v>1.3080906397113999E-5</v>
      </c>
      <c r="F207" s="2">
        <v>2.8777994073650898E-4</v>
      </c>
      <c r="G207" t="s">
        <v>2086</v>
      </c>
    </row>
    <row r="208" spans="1:7" x14ac:dyDescent="0.25">
      <c r="A208" s="4" t="str">
        <f>HYPERLINK("http://amigo.geneontology.org/cgi-bin/amigo/term-details.cgi?term=GO:0006972","GO:0006972")</f>
        <v>GO:0006972</v>
      </c>
      <c r="B208" t="s">
        <v>2085</v>
      </c>
      <c r="C208">
        <v>82</v>
      </c>
      <c r="D208">
        <v>19</v>
      </c>
      <c r="E208" s="2">
        <v>1.37265521935396E-5</v>
      </c>
      <c r="F208" s="2">
        <v>3.0198414825787097E-4</v>
      </c>
      <c r="G208" t="s">
        <v>2084</v>
      </c>
    </row>
    <row r="209" spans="1:7" x14ac:dyDescent="0.25">
      <c r="A209" s="4" t="str">
        <f>HYPERLINK("http://amigo.geneontology.org/cgi-bin/amigo/term-details.cgi?term=GO:0097367","GO:0097367")</f>
        <v>GO:0097367</v>
      </c>
      <c r="B209" t="s">
        <v>883</v>
      </c>
      <c r="C209">
        <v>12241</v>
      </c>
      <c r="D209">
        <v>1069</v>
      </c>
      <c r="E209" s="2">
        <v>1.43119148612199E-5</v>
      </c>
      <c r="F209" s="2">
        <v>3.1486212694683901E-4</v>
      </c>
      <c r="G209" t="s">
        <v>2083</v>
      </c>
    </row>
    <row r="210" spans="1:7" x14ac:dyDescent="0.25">
      <c r="A210" s="4" t="str">
        <f>HYPERLINK("http://amigo.geneontology.org/cgi-bin/amigo/term-details.cgi?term=GO:0006825","GO:0006825")</f>
        <v>GO:0006825</v>
      </c>
      <c r="B210" t="s">
        <v>1232</v>
      </c>
      <c r="C210">
        <v>37</v>
      </c>
      <c r="D210">
        <v>12</v>
      </c>
      <c r="E210" s="2">
        <v>1.43287715976999E-5</v>
      </c>
      <c r="F210" s="2">
        <v>3.15232975149398E-4</v>
      </c>
      <c r="G210" t="s">
        <v>2082</v>
      </c>
    </row>
    <row r="211" spans="1:7" x14ac:dyDescent="0.25">
      <c r="A211" s="4" t="str">
        <f>HYPERLINK("http://amigo.geneontology.org/cgi-bin/amigo/term-details.cgi?term=GO:0008113","GO:0008113")</f>
        <v>GO:0008113</v>
      </c>
      <c r="B211" t="s">
        <v>139</v>
      </c>
      <c r="C211">
        <v>9</v>
      </c>
      <c r="D211">
        <v>6</v>
      </c>
      <c r="E211" s="2">
        <v>1.5193708783071501E-5</v>
      </c>
      <c r="F211" s="2">
        <v>3.34261593227573E-4</v>
      </c>
      <c r="G211" t="s">
        <v>1287</v>
      </c>
    </row>
    <row r="212" spans="1:7" x14ac:dyDescent="0.25">
      <c r="A212" s="4" t="str">
        <f>HYPERLINK("http://amigo.geneontology.org/cgi-bin/amigo/term-details.cgi?term=GO:0006635","GO:0006635")</f>
        <v>GO:0006635</v>
      </c>
      <c r="B212" t="s">
        <v>2081</v>
      </c>
      <c r="C212">
        <v>120</v>
      </c>
      <c r="D212">
        <v>24</v>
      </c>
      <c r="E212" s="2">
        <v>1.6096987045931899E-5</v>
      </c>
      <c r="F212" s="2">
        <v>3.5413371501050297E-4</v>
      </c>
      <c r="G212" t="s">
        <v>2080</v>
      </c>
    </row>
    <row r="213" spans="1:7" x14ac:dyDescent="0.25">
      <c r="A213" s="4" t="str">
        <f>HYPERLINK("http://amigo.geneontology.org/cgi-bin/amigo/term-details.cgi?term=GO:0007568","GO:0007568")</f>
        <v>GO:0007568</v>
      </c>
      <c r="B213" t="s">
        <v>2079</v>
      </c>
      <c r="C213">
        <v>56</v>
      </c>
      <c r="D213">
        <v>15</v>
      </c>
      <c r="E213" s="2">
        <v>1.72619853546278E-5</v>
      </c>
      <c r="F213" s="2">
        <v>3.7976367780181199E-4</v>
      </c>
      <c r="G213" t="s">
        <v>2078</v>
      </c>
    </row>
    <row r="214" spans="1:7" x14ac:dyDescent="0.25">
      <c r="A214" s="4" t="str">
        <f>HYPERLINK("http://amigo.geneontology.org/cgi-bin/amigo/term-details.cgi?term=GO:0010181","GO:0010181")</f>
        <v>GO:0010181</v>
      </c>
      <c r="B214" t="s">
        <v>209</v>
      </c>
      <c r="C214">
        <v>161</v>
      </c>
      <c r="D214">
        <v>29</v>
      </c>
      <c r="E214" s="2">
        <v>1.8759537311187999E-5</v>
      </c>
      <c r="F214" s="2">
        <v>4.12709820846136E-4</v>
      </c>
      <c r="G214" t="s">
        <v>2077</v>
      </c>
    </row>
    <row r="215" spans="1:7" x14ac:dyDescent="0.25">
      <c r="A215" s="4" t="str">
        <f>HYPERLINK("http://amigo.geneontology.org/cgi-bin/amigo/term-details.cgi?term=GO:0009414","GO:0009414")</f>
        <v>GO:0009414</v>
      </c>
      <c r="B215" t="s">
        <v>2076</v>
      </c>
      <c r="C215">
        <v>153</v>
      </c>
      <c r="D215">
        <v>28</v>
      </c>
      <c r="E215" s="2">
        <v>1.91439766860765E-5</v>
      </c>
      <c r="F215" s="2">
        <v>4.2116748709368398E-4</v>
      </c>
      <c r="G215" t="s">
        <v>2075</v>
      </c>
    </row>
    <row r="216" spans="1:7" x14ac:dyDescent="0.25">
      <c r="A216" s="4" t="str">
        <f>HYPERLINK("http://amigo.geneontology.org/cgi-bin/amigo/term-details.cgi?term=GO:0033865","GO:0033865")</f>
        <v>GO:0033865</v>
      </c>
      <c r="B216" t="s">
        <v>299</v>
      </c>
      <c r="C216">
        <v>38</v>
      </c>
      <c r="D216">
        <v>12</v>
      </c>
      <c r="E216" s="2">
        <v>1.94585250331839E-5</v>
      </c>
      <c r="F216" s="2">
        <v>4.0862902569686199E-4</v>
      </c>
      <c r="G216" t="s">
        <v>2074</v>
      </c>
    </row>
    <row r="217" spans="1:7" x14ac:dyDescent="0.25">
      <c r="A217" s="4" t="str">
        <f>HYPERLINK("http://amigo.geneontology.org/cgi-bin/amigo/term-details.cgi?term=GO:0033875","GO:0033875")</f>
        <v>GO:0033875</v>
      </c>
      <c r="B217" t="s">
        <v>298</v>
      </c>
      <c r="C217">
        <v>38</v>
      </c>
      <c r="D217">
        <v>12</v>
      </c>
      <c r="E217" s="2">
        <v>1.94585250331839E-5</v>
      </c>
      <c r="F217" s="2">
        <v>4.0862902569686199E-4</v>
      </c>
      <c r="G217" t="s">
        <v>2074</v>
      </c>
    </row>
    <row r="218" spans="1:7" x14ac:dyDescent="0.25">
      <c r="A218" s="4" t="str">
        <f>HYPERLINK("http://amigo.geneontology.org/cgi-bin/amigo/term-details.cgi?term=GO:0034032","GO:0034032")</f>
        <v>GO:0034032</v>
      </c>
      <c r="B218" t="s">
        <v>297</v>
      </c>
      <c r="C218">
        <v>38</v>
      </c>
      <c r="D218">
        <v>12</v>
      </c>
      <c r="E218" s="2">
        <v>1.94585250331839E-5</v>
      </c>
      <c r="F218" s="2">
        <v>4.0862902569686199E-4</v>
      </c>
      <c r="G218" t="s">
        <v>2074</v>
      </c>
    </row>
    <row r="219" spans="1:7" x14ac:dyDescent="0.25">
      <c r="A219" s="4" t="str">
        <f>HYPERLINK("http://amigo.geneontology.org/cgi-bin/amigo/term-details.cgi?term=GO:0050794","GO:0050794")</f>
        <v>GO:0050794</v>
      </c>
      <c r="B219" t="s">
        <v>929</v>
      </c>
      <c r="C219">
        <v>7503</v>
      </c>
      <c r="D219">
        <v>677</v>
      </c>
      <c r="E219" s="2">
        <v>2.0280147667938999E-5</v>
      </c>
      <c r="F219" s="2">
        <v>4.25883101026719E-4</v>
      </c>
      <c r="G219" t="s">
        <v>2073</v>
      </c>
    </row>
    <row r="220" spans="1:7" x14ac:dyDescent="0.25">
      <c r="A220" s="4" t="str">
        <f>HYPERLINK("http://amigo.geneontology.org/cgi-bin/amigo/term-details.cgi?term=GO:0033926","GO:0033926")</f>
        <v>GO:0033926</v>
      </c>
      <c r="B220" t="s">
        <v>164</v>
      </c>
      <c r="C220">
        <v>22</v>
      </c>
      <c r="D220">
        <v>9</v>
      </c>
      <c r="E220" s="2">
        <v>2.03667068380511E-5</v>
      </c>
      <c r="F220" s="2">
        <v>4.2770084359907302E-4</v>
      </c>
      <c r="G220" t="s">
        <v>1025</v>
      </c>
    </row>
    <row r="221" spans="1:7" x14ac:dyDescent="0.25">
      <c r="A221" s="4" t="str">
        <f>HYPERLINK("http://amigo.geneontology.org/cgi-bin/amigo/term-details.cgi?term=GO:0042886","GO:0042886")</f>
        <v>GO:0042886</v>
      </c>
      <c r="B221" t="s">
        <v>2072</v>
      </c>
      <c r="C221">
        <v>1578</v>
      </c>
      <c r="D221">
        <v>168</v>
      </c>
      <c r="E221" s="2">
        <v>2.5842011531124099E-5</v>
      </c>
      <c r="F221" s="2">
        <v>5.4268224215360799E-4</v>
      </c>
      <c r="G221" t="s">
        <v>2071</v>
      </c>
    </row>
    <row r="222" spans="1:7" x14ac:dyDescent="0.25">
      <c r="A222" s="4" t="str">
        <f>HYPERLINK("http://amigo.geneontology.org/cgi-bin/amigo/term-details.cgi?term=GO:0006665","GO:0006665")</f>
        <v>GO:0006665</v>
      </c>
      <c r="B222" t="s">
        <v>2070</v>
      </c>
      <c r="C222">
        <v>58</v>
      </c>
      <c r="D222">
        <v>15</v>
      </c>
      <c r="E222" s="2">
        <v>2.7226745308448299E-5</v>
      </c>
      <c r="F222" s="2">
        <v>5.7176165147741504E-4</v>
      </c>
      <c r="G222" t="s">
        <v>2069</v>
      </c>
    </row>
    <row r="223" spans="1:7" x14ac:dyDescent="0.25">
      <c r="A223" s="4" t="str">
        <f>HYPERLINK("http://amigo.geneontology.org/cgi-bin/amigo/term-details.cgi?term=GO:0015031","GO:0015031")</f>
        <v>GO:0015031</v>
      </c>
      <c r="B223" t="s">
        <v>761</v>
      </c>
      <c r="C223">
        <v>1470</v>
      </c>
      <c r="D223">
        <v>158</v>
      </c>
      <c r="E223" s="2">
        <v>2.7229639023356901E-5</v>
      </c>
      <c r="F223" s="2">
        <v>5.7182241949049501E-4</v>
      </c>
      <c r="G223" t="s">
        <v>2068</v>
      </c>
    </row>
    <row r="224" spans="1:7" x14ac:dyDescent="0.25">
      <c r="A224" s="4" t="str">
        <f>HYPERLINK("http://amigo.geneontology.org/cgi-bin/amigo/term-details.cgi?term=GO:0003978","GO:0003978")</f>
        <v>GO:0003978</v>
      </c>
      <c r="B224" t="s">
        <v>194</v>
      </c>
      <c r="C224">
        <v>18</v>
      </c>
      <c r="D224">
        <v>8</v>
      </c>
      <c r="E224" s="2">
        <v>2.8862004657967401E-5</v>
      </c>
      <c r="F224" s="2">
        <v>6.0610209781731498E-4</v>
      </c>
      <c r="G224" t="s">
        <v>1017</v>
      </c>
    </row>
    <row r="225" spans="1:7" x14ac:dyDescent="0.25">
      <c r="A225" s="4" t="str">
        <f>HYPERLINK("http://amigo.geneontology.org/cgi-bin/amigo/term-details.cgi?term=GO:0008219","GO:0008219")</f>
        <v>GO:0008219</v>
      </c>
      <c r="B225" t="s">
        <v>2067</v>
      </c>
      <c r="C225">
        <v>72</v>
      </c>
      <c r="D225">
        <v>17</v>
      </c>
      <c r="E225" s="2">
        <v>2.9540519058138601E-5</v>
      </c>
      <c r="F225" s="2">
        <v>6.2035090022091103E-4</v>
      </c>
      <c r="G225" t="s">
        <v>2066</v>
      </c>
    </row>
    <row r="226" spans="1:7" x14ac:dyDescent="0.25">
      <c r="A226" s="4" t="str">
        <f>HYPERLINK("http://amigo.geneontology.org/cgi-bin/amigo/term-details.cgi?term=GO:0032553","GO:0032553")</f>
        <v>GO:0032553</v>
      </c>
      <c r="B226" t="s">
        <v>314</v>
      </c>
      <c r="C226">
        <v>12105</v>
      </c>
      <c r="D226">
        <v>1053</v>
      </c>
      <c r="E226" s="2">
        <v>3.0620152482595203E-5</v>
      </c>
      <c r="F226" s="2">
        <v>6.1240304965190398E-4</v>
      </c>
      <c r="G226" t="s">
        <v>2065</v>
      </c>
    </row>
    <row r="227" spans="1:7" x14ac:dyDescent="0.25">
      <c r="A227" s="4" t="str">
        <f>HYPERLINK("http://amigo.geneontology.org/cgi-bin/amigo/term-details.cgi?term=GO:0072488","GO:0072488")</f>
        <v>GO:0072488</v>
      </c>
      <c r="B227" t="s">
        <v>307</v>
      </c>
      <c r="C227">
        <v>23</v>
      </c>
      <c r="D227">
        <v>9</v>
      </c>
      <c r="E227" s="2">
        <v>3.11423372212585E-5</v>
      </c>
      <c r="F227" s="2">
        <v>6.2284674442517095E-4</v>
      </c>
      <c r="G227" t="s">
        <v>1026</v>
      </c>
    </row>
    <row r="228" spans="1:7" x14ac:dyDescent="0.25">
      <c r="A228" s="4" t="str">
        <f>HYPERLINK("http://amigo.geneontology.org/cgi-bin/amigo/term-details.cgi?term=GO:0015936","GO:0015936")</f>
        <v>GO:0015936</v>
      </c>
      <c r="B228" t="s">
        <v>265</v>
      </c>
      <c r="C228">
        <v>23</v>
      </c>
      <c r="D228">
        <v>9</v>
      </c>
      <c r="E228" s="2">
        <v>3.11423372212585E-5</v>
      </c>
      <c r="F228" s="2">
        <v>6.2284674442517095E-4</v>
      </c>
      <c r="G228" t="s">
        <v>2064</v>
      </c>
    </row>
    <row r="229" spans="1:7" x14ac:dyDescent="0.25">
      <c r="A229" s="4" t="str">
        <f>HYPERLINK("http://amigo.geneontology.org/cgi-bin/amigo/term-details.cgi?term=GO:0042537","GO:0042537")</f>
        <v>GO:0042537</v>
      </c>
      <c r="B229" t="s">
        <v>2063</v>
      </c>
      <c r="C229">
        <v>125</v>
      </c>
      <c r="D229">
        <v>24</v>
      </c>
      <c r="E229" s="2">
        <v>3.2577373585580003E-5</v>
      </c>
      <c r="F229" s="2">
        <v>6.5154747171160103E-4</v>
      </c>
      <c r="G229" t="s">
        <v>2062</v>
      </c>
    </row>
    <row r="230" spans="1:7" x14ac:dyDescent="0.25">
      <c r="A230" s="4" t="str">
        <f>HYPERLINK("http://amigo.geneontology.org/cgi-bin/amigo/term-details.cgi?term=GO:0006629","GO:0006629")</f>
        <v>GO:0006629</v>
      </c>
      <c r="B230" t="s">
        <v>919</v>
      </c>
      <c r="C230">
        <v>2608</v>
      </c>
      <c r="D230">
        <v>259</v>
      </c>
      <c r="E230" s="2">
        <v>3.4347249766357602E-5</v>
      </c>
      <c r="F230" s="2">
        <v>6.8694499532715196E-4</v>
      </c>
      <c r="G230" t="s">
        <v>2061</v>
      </c>
    </row>
    <row r="231" spans="1:7" x14ac:dyDescent="0.25">
      <c r="A231" s="4" t="str">
        <f>HYPERLINK("http://amigo.geneontology.org/cgi-bin/amigo/term-details.cgi?term=GO:0003958","GO:0003958")</f>
        <v>GO:0003958</v>
      </c>
      <c r="B231" t="s">
        <v>969</v>
      </c>
      <c r="C231">
        <v>10</v>
      </c>
      <c r="D231">
        <v>6</v>
      </c>
      <c r="E231" s="2">
        <v>3.5462755426962799E-5</v>
      </c>
      <c r="F231" s="2">
        <v>7.0925510853925701E-4</v>
      </c>
      <c r="G231" t="s">
        <v>1286</v>
      </c>
    </row>
    <row r="232" spans="1:7" x14ac:dyDescent="0.25">
      <c r="A232" s="4" t="str">
        <f>HYPERLINK("http://amigo.geneontology.org/cgi-bin/amigo/term-details.cgi?term=GO:0004425","GO:0004425")</f>
        <v>GO:0004425</v>
      </c>
      <c r="B232" t="s">
        <v>313</v>
      </c>
      <c r="C232">
        <v>10</v>
      </c>
      <c r="D232">
        <v>6</v>
      </c>
      <c r="E232" s="2">
        <v>3.5462755426962799E-5</v>
      </c>
      <c r="F232" s="2">
        <v>7.0925510853925701E-4</v>
      </c>
      <c r="G232" t="s">
        <v>312</v>
      </c>
    </row>
    <row r="233" spans="1:7" x14ac:dyDescent="0.25">
      <c r="A233" s="4" t="str">
        <f>HYPERLINK("http://amigo.geneontology.org/cgi-bin/amigo/term-details.cgi?term=GO:0015399","GO:0015399")</f>
        <v>GO:0015399</v>
      </c>
      <c r="B233" t="s">
        <v>278</v>
      </c>
      <c r="C233">
        <v>470</v>
      </c>
      <c r="D233">
        <v>62</v>
      </c>
      <c r="E233" s="2">
        <v>3.5572805815419197E-5</v>
      </c>
      <c r="F233" s="2">
        <v>7.11456116308384E-4</v>
      </c>
      <c r="G233" t="s">
        <v>2060</v>
      </c>
    </row>
    <row r="234" spans="1:7" x14ac:dyDescent="0.25">
      <c r="A234" s="4" t="str">
        <f>HYPERLINK("http://amigo.geneontology.org/cgi-bin/amigo/term-details.cgi?term=GO:0015405","GO:0015405")</f>
        <v>GO:0015405</v>
      </c>
      <c r="B234" t="s">
        <v>277</v>
      </c>
      <c r="C234">
        <v>470</v>
      </c>
      <c r="D234">
        <v>62</v>
      </c>
      <c r="E234" s="2">
        <v>3.5572805815419197E-5</v>
      </c>
      <c r="F234" s="2">
        <v>7.11456116308384E-4</v>
      </c>
      <c r="G234" t="s">
        <v>2060</v>
      </c>
    </row>
    <row r="235" spans="1:7" x14ac:dyDescent="0.25">
      <c r="A235" s="4" t="str">
        <f>HYPERLINK("http://amigo.geneontology.org/cgi-bin/amigo/term-details.cgi?term=GO:0009636","GO:0009636")</f>
        <v>GO:0009636</v>
      </c>
      <c r="B235" t="s">
        <v>815</v>
      </c>
      <c r="C235">
        <v>192</v>
      </c>
      <c r="D235">
        <v>32</v>
      </c>
      <c r="E235" s="2">
        <v>3.6130339452278997E-5</v>
      </c>
      <c r="F235" s="2">
        <v>7.2260678904558103E-4</v>
      </c>
      <c r="G235" t="s">
        <v>2059</v>
      </c>
    </row>
    <row r="236" spans="1:7" x14ac:dyDescent="0.25">
      <c r="A236" s="4" t="str">
        <f>HYPERLINK("http://amigo.geneontology.org/cgi-bin/amigo/term-details.cgi?term=GO:0006984","GO:0006984")</f>
        <v>GO:0006984</v>
      </c>
      <c r="B236" t="s">
        <v>2058</v>
      </c>
      <c r="C236">
        <v>14</v>
      </c>
      <c r="D236">
        <v>7</v>
      </c>
      <c r="E236" s="2">
        <v>3.63209139678429E-5</v>
      </c>
      <c r="F236" s="2">
        <v>6.9009736538901503E-4</v>
      </c>
      <c r="G236" t="s">
        <v>2057</v>
      </c>
    </row>
    <row r="237" spans="1:7" x14ac:dyDescent="0.25">
      <c r="A237" s="4" t="str">
        <f>HYPERLINK("http://amigo.geneontology.org/cgi-bin/amigo/term-details.cgi?term=GO:0018580","GO:0018580")</f>
        <v>GO:0018580</v>
      </c>
      <c r="B237" t="s">
        <v>226</v>
      </c>
      <c r="C237">
        <v>4</v>
      </c>
      <c r="D237">
        <v>4</v>
      </c>
      <c r="E237" s="2">
        <v>3.67315496219883E-5</v>
      </c>
      <c r="F237" s="2">
        <v>6.9789944281777798E-4</v>
      </c>
      <c r="G237" t="s">
        <v>1197</v>
      </c>
    </row>
    <row r="238" spans="1:7" x14ac:dyDescent="0.25">
      <c r="A238" s="4" t="str">
        <f>HYPERLINK("http://amigo.geneontology.org/cgi-bin/amigo/term-details.cgi?term=GO:0009719","GO:0009719")</f>
        <v>GO:0009719</v>
      </c>
      <c r="B238" t="s">
        <v>2056</v>
      </c>
      <c r="C238">
        <v>983</v>
      </c>
      <c r="D238">
        <v>112</v>
      </c>
      <c r="E238" s="2">
        <v>3.7495870027755297E-5</v>
      </c>
      <c r="F238" s="2">
        <v>7.1242153052735195E-4</v>
      </c>
      <c r="G238" t="s">
        <v>2054</v>
      </c>
    </row>
    <row r="239" spans="1:7" x14ac:dyDescent="0.25">
      <c r="A239" s="4" t="str">
        <f>HYPERLINK("http://amigo.geneontology.org/cgi-bin/amigo/term-details.cgi?term=GO:0009725","GO:0009725")</f>
        <v>GO:0009725</v>
      </c>
      <c r="B239" t="s">
        <v>2055</v>
      </c>
      <c r="C239">
        <v>983</v>
      </c>
      <c r="D239">
        <v>112</v>
      </c>
      <c r="E239" s="2">
        <v>3.7495870027755297E-5</v>
      </c>
      <c r="F239" s="2">
        <v>7.1242153052735195E-4</v>
      </c>
      <c r="G239" t="s">
        <v>2054</v>
      </c>
    </row>
    <row r="240" spans="1:7" x14ac:dyDescent="0.25">
      <c r="A240" s="4" t="str">
        <f>HYPERLINK("http://amigo.geneontology.org/cgi-bin/amigo/term-details.cgi?term=GO:0015849","GO:0015849")</f>
        <v>GO:0015849</v>
      </c>
      <c r="B240" t="s">
        <v>149</v>
      </c>
      <c r="C240">
        <v>245</v>
      </c>
      <c r="D240">
        <v>38</v>
      </c>
      <c r="E240" s="2">
        <v>3.76023203759911E-5</v>
      </c>
      <c r="F240" s="2">
        <v>7.1444408714383095E-4</v>
      </c>
      <c r="G240" t="s">
        <v>2052</v>
      </c>
    </row>
    <row r="241" spans="1:7" x14ac:dyDescent="0.25">
      <c r="A241" s="4" t="str">
        <f>HYPERLINK("http://amigo.geneontology.org/cgi-bin/amigo/term-details.cgi?term=GO:0046942","GO:0046942")</f>
        <v>GO:0046942</v>
      </c>
      <c r="B241" t="s">
        <v>2053</v>
      </c>
      <c r="C241">
        <v>245</v>
      </c>
      <c r="D241">
        <v>38</v>
      </c>
      <c r="E241" s="2">
        <v>3.76023203759911E-5</v>
      </c>
      <c r="F241" s="2">
        <v>7.1444408714383095E-4</v>
      </c>
      <c r="G241" t="s">
        <v>2052</v>
      </c>
    </row>
    <row r="242" spans="1:7" x14ac:dyDescent="0.25">
      <c r="A242" s="4" t="str">
        <f>HYPERLINK("http://amigo.geneontology.org/cgi-bin/amigo/term-details.cgi?term=GO:0016702","GO:0016702")</f>
        <v>GO:0016702</v>
      </c>
      <c r="B242" t="s">
        <v>241</v>
      </c>
      <c r="C242">
        <v>135</v>
      </c>
      <c r="D242">
        <v>25</v>
      </c>
      <c r="E242" s="2">
        <v>4.2456160536674803E-5</v>
      </c>
      <c r="F242" s="2">
        <v>8.0666705019682202E-4</v>
      </c>
      <c r="G242" t="s">
        <v>2051</v>
      </c>
    </row>
    <row r="243" spans="1:7" x14ac:dyDescent="0.25">
      <c r="A243" s="4" t="str">
        <f>HYPERLINK("http://amigo.geneontology.org/cgi-bin/amigo/term-details.cgi?term=GO:0016042","GO:0016042")</f>
        <v>GO:0016042</v>
      </c>
      <c r="B243" t="s">
        <v>2050</v>
      </c>
      <c r="C243">
        <v>301</v>
      </c>
      <c r="D243">
        <v>44</v>
      </c>
      <c r="E243" s="2">
        <v>4.2546552796791499E-5</v>
      </c>
      <c r="F243" s="2">
        <v>8.0838450313903802E-4</v>
      </c>
      <c r="G243" t="s">
        <v>2049</v>
      </c>
    </row>
    <row r="244" spans="1:7" x14ac:dyDescent="0.25">
      <c r="A244" s="4" t="str">
        <f>HYPERLINK("http://amigo.geneontology.org/cgi-bin/amigo/term-details.cgi?term=GO:0042626","GO:0042626")</f>
        <v>GO:0042626</v>
      </c>
      <c r="B244" t="s">
        <v>284</v>
      </c>
      <c r="C244">
        <v>415</v>
      </c>
      <c r="D244">
        <v>56</v>
      </c>
      <c r="E244" s="2">
        <v>4.4107463980360198E-5</v>
      </c>
      <c r="F244" s="2">
        <v>8.3804181562684296E-4</v>
      </c>
      <c r="G244" t="s">
        <v>2048</v>
      </c>
    </row>
    <row r="245" spans="1:7" x14ac:dyDescent="0.25">
      <c r="A245" s="4" t="str">
        <f>HYPERLINK("http://amigo.geneontology.org/cgi-bin/amigo/term-details.cgi?term=GO:0016769","GO:0016769")</f>
        <v>GO:0016769</v>
      </c>
      <c r="B245" t="s">
        <v>921</v>
      </c>
      <c r="C245">
        <v>120</v>
      </c>
      <c r="D245">
        <v>23</v>
      </c>
      <c r="E245" s="2">
        <v>4.8412928146741297E-5</v>
      </c>
      <c r="F245" s="2">
        <v>9.1984563478808502E-4</v>
      </c>
      <c r="G245" t="s">
        <v>2047</v>
      </c>
    </row>
    <row r="246" spans="1:7" x14ac:dyDescent="0.25">
      <c r="A246" s="4" t="str">
        <f>HYPERLINK("http://amigo.geneontology.org/cgi-bin/amigo/term-details.cgi?term=GO:0008483","GO:0008483")</f>
        <v>GO:0008483</v>
      </c>
      <c r="B246" t="s">
        <v>210</v>
      </c>
      <c r="C246">
        <v>120</v>
      </c>
      <c r="D246">
        <v>23</v>
      </c>
      <c r="E246" s="2">
        <v>4.8412928146741297E-5</v>
      </c>
      <c r="F246" s="2">
        <v>9.1984563478808502E-4</v>
      </c>
      <c r="G246" t="s">
        <v>2047</v>
      </c>
    </row>
    <row r="247" spans="1:7" x14ac:dyDescent="0.25">
      <c r="A247" s="4" t="str">
        <f>HYPERLINK("http://amigo.geneontology.org/cgi-bin/amigo/term-details.cgi?term=GO:0045184","GO:0045184")</f>
        <v>GO:0045184</v>
      </c>
      <c r="B247" t="s">
        <v>762</v>
      </c>
      <c r="C247">
        <v>1499</v>
      </c>
      <c r="D247">
        <v>159</v>
      </c>
      <c r="E247" s="2">
        <v>5.0311613869187599E-5</v>
      </c>
      <c r="F247" s="2">
        <v>9.5592066351456498E-4</v>
      </c>
      <c r="G247" t="s">
        <v>2029</v>
      </c>
    </row>
    <row r="248" spans="1:7" x14ac:dyDescent="0.25">
      <c r="A248" s="4" t="str">
        <f>HYPERLINK("http://amigo.geneontology.org/cgi-bin/amigo/term-details.cgi?term=GO:0010225","GO:0010225")</f>
        <v>GO:0010225</v>
      </c>
      <c r="B248" t="s">
        <v>2046</v>
      </c>
      <c r="C248">
        <v>7</v>
      </c>
      <c r="D248">
        <v>5</v>
      </c>
      <c r="E248" s="2">
        <v>5.2502788955562E-5</v>
      </c>
      <c r="F248" s="2">
        <v>9.4505020120011604E-4</v>
      </c>
      <c r="G248" t="s">
        <v>2045</v>
      </c>
    </row>
    <row r="249" spans="1:7" x14ac:dyDescent="0.25">
      <c r="A249" s="4" t="str">
        <f>HYPERLINK("http://amigo.geneontology.org/cgi-bin/amigo/term-details.cgi?term=GO:0015833","GO:0015833")</f>
        <v>GO:0015833</v>
      </c>
      <c r="B249" t="s">
        <v>2044</v>
      </c>
      <c r="C249">
        <v>1568</v>
      </c>
      <c r="D249">
        <v>165</v>
      </c>
      <c r="E249" s="2">
        <v>5.5249897995639002E-5</v>
      </c>
      <c r="F249" s="2">
        <v>9.9449816392150193E-4</v>
      </c>
      <c r="G249" t="s">
        <v>2043</v>
      </c>
    </row>
    <row r="250" spans="1:7" x14ac:dyDescent="0.25">
      <c r="A250" s="4" t="str">
        <f>HYPERLINK("http://amigo.geneontology.org/cgi-bin/amigo/term-details.cgi?term=GO:0015706","GO:0015706")</f>
        <v>GO:0015706</v>
      </c>
      <c r="B250" t="s">
        <v>228</v>
      </c>
      <c r="C250">
        <v>55</v>
      </c>
      <c r="D250">
        <v>14</v>
      </c>
      <c r="E250" s="2">
        <v>6.0515027025003897E-5</v>
      </c>
      <c r="F250">
        <v>1.0892704864500699E-3</v>
      </c>
      <c r="G250" t="s">
        <v>2042</v>
      </c>
    </row>
    <row r="251" spans="1:7" x14ac:dyDescent="0.25">
      <c r="A251" s="4" t="str">
        <f>HYPERLINK("http://amigo.geneontology.org/cgi-bin/amigo/term-details.cgi?term=GO:0036452","GO:0036452")</f>
        <v>GO:0036452</v>
      </c>
      <c r="B251" t="s">
        <v>2041</v>
      </c>
      <c r="C251">
        <v>15</v>
      </c>
      <c r="D251">
        <v>7</v>
      </c>
      <c r="E251" s="2">
        <v>6.3505291460830605E-5</v>
      </c>
      <c r="F251">
        <v>1.1430952462949499E-3</v>
      </c>
      <c r="G251" t="s">
        <v>2040</v>
      </c>
    </row>
    <row r="252" spans="1:7" x14ac:dyDescent="0.25">
      <c r="A252" s="4" t="str">
        <f>HYPERLINK("http://amigo.geneontology.org/cgi-bin/amigo/term-details.cgi?term=GO:0004568","GO:0004568")</f>
        <v>GO:0004568</v>
      </c>
      <c r="B252" t="s">
        <v>258</v>
      </c>
      <c r="C252">
        <v>84</v>
      </c>
      <c r="D252">
        <v>18</v>
      </c>
      <c r="E252" s="2">
        <v>6.9266105297849498E-5</v>
      </c>
      <c r="F252">
        <v>1.24678989536129E-3</v>
      </c>
      <c r="G252" t="s">
        <v>1207</v>
      </c>
    </row>
    <row r="253" spans="1:7" x14ac:dyDescent="0.25">
      <c r="A253" s="4" t="str">
        <f>HYPERLINK("http://amigo.geneontology.org/cgi-bin/amigo/term-details.cgi?term=GO:0006026","GO:0006026")</f>
        <v>GO:0006026</v>
      </c>
      <c r="B253" t="s">
        <v>257</v>
      </c>
      <c r="C253">
        <v>84</v>
      </c>
      <c r="D253">
        <v>18</v>
      </c>
      <c r="E253" s="2">
        <v>6.9266105297849498E-5</v>
      </c>
      <c r="F253">
        <v>1.24678989536129E-3</v>
      </c>
      <c r="G253" t="s">
        <v>1207</v>
      </c>
    </row>
    <row r="254" spans="1:7" x14ac:dyDescent="0.25">
      <c r="A254" s="4" t="str">
        <f>HYPERLINK("http://amigo.geneontology.org/cgi-bin/amigo/term-details.cgi?term=GO:0006030","GO:0006030")</f>
        <v>GO:0006030</v>
      </c>
      <c r="B254" t="s">
        <v>254</v>
      </c>
      <c r="C254">
        <v>84</v>
      </c>
      <c r="D254">
        <v>18</v>
      </c>
      <c r="E254" s="2">
        <v>6.9266105297849498E-5</v>
      </c>
      <c r="F254">
        <v>1.24678989536129E-3</v>
      </c>
      <c r="G254" t="s">
        <v>1207</v>
      </c>
    </row>
    <row r="255" spans="1:7" x14ac:dyDescent="0.25">
      <c r="A255" s="4" t="str">
        <f>HYPERLINK("http://amigo.geneontology.org/cgi-bin/amigo/term-details.cgi?term=GO:0046348","GO:0046348")</f>
        <v>GO:0046348</v>
      </c>
      <c r="B255" t="s">
        <v>253</v>
      </c>
      <c r="C255">
        <v>84</v>
      </c>
      <c r="D255">
        <v>18</v>
      </c>
      <c r="E255" s="2">
        <v>6.9266105297849498E-5</v>
      </c>
      <c r="F255">
        <v>1.24678989536129E-3</v>
      </c>
      <c r="G255" t="s">
        <v>1207</v>
      </c>
    </row>
    <row r="256" spans="1:7" x14ac:dyDescent="0.25">
      <c r="A256" s="4" t="str">
        <f>HYPERLINK("http://amigo.geneontology.org/cgi-bin/amigo/term-details.cgi?term=GO:1901072","GO:1901072")</f>
        <v>GO:1901072</v>
      </c>
      <c r="B256" t="s">
        <v>252</v>
      </c>
      <c r="C256">
        <v>84</v>
      </c>
      <c r="D256">
        <v>18</v>
      </c>
      <c r="E256" s="2">
        <v>6.9266105297849498E-5</v>
      </c>
      <c r="F256">
        <v>1.24678989536129E-3</v>
      </c>
      <c r="G256" t="s">
        <v>1207</v>
      </c>
    </row>
    <row r="257" spans="1:7" x14ac:dyDescent="0.25">
      <c r="A257" s="4" t="str">
        <f>HYPERLINK("http://amigo.geneontology.org/cgi-bin/amigo/term-details.cgi?term=GO:0006032","GO:0006032")</f>
        <v>GO:0006032</v>
      </c>
      <c r="B257" t="s">
        <v>251</v>
      </c>
      <c r="C257">
        <v>84</v>
      </c>
      <c r="D257">
        <v>18</v>
      </c>
      <c r="E257" s="2">
        <v>6.9266105297849498E-5</v>
      </c>
      <c r="F257">
        <v>1.24678989536129E-3</v>
      </c>
      <c r="G257" t="s">
        <v>1207</v>
      </c>
    </row>
    <row r="258" spans="1:7" x14ac:dyDescent="0.25">
      <c r="A258" s="4" t="str">
        <f>HYPERLINK("http://amigo.geneontology.org/cgi-bin/amigo/term-details.cgi?term=GO:1901698","GO:1901698")</f>
        <v>GO:1901698</v>
      </c>
      <c r="B258" t="s">
        <v>924</v>
      </c>
      <c r="C258">
        <v>234</v>
      </c>
      <c r="D258">
        <v>36</v>
      </c>
      <c r="E258" s="2">
        <v>7.02372571214658E-5</v>
      </c>
      <c r="F258">
        <v>1.2642706281863799E-3</v>
      </c>
      <c r="G258" t="s">
        <v>2039</v>
      </c>
    </row>
    <row r="259" spans="1:7" x14ac:dyDescent="0.25">
      <c r="A259" s="4" t="str">
        <f>HYPERLINK("http://amigo.geneontology.org/cgi-bin/amigo/term-details.cgi?term=GO:0000815","GO:0000815")</f>
        <v>GO:0000815</v>
      </c>
      <c r="B259" t="s">
        <v>2038</v>
      </c>
      <c r="C259">
        <v>11</v>
      </c>
      <c r="D259">
        <v>6</v>
      </c>
      <c r="E259" s="2">
        <v>7.2846968331992105E-5</v>
      </c>
      <c r="F259">
        <v>1.31124542997585E-3</v>
      </c>
      <c r="G259" t="s">
        <v>2037</v>
      </c>
    </row>
    <row r="260" spans="1:7" x14ac:dyDescent="0.25">
      <c r="A260" s="4" t="str">
        <f>HYPERLINK("http://amigo.geneontology.org/cgi-bin/amigo/term-details.cgi?term=GO:0006576","GO:0006576")</f>
        <v>GO:0006576</v>
      </c>
      <c r="B260" t="s">
        <v>323</v>
      </c>
      <c r="C260">
        <v>208</v>
      </c>
      <c r="D260">
        <v>33</v>
      </c>
      <c r="E260" s="2">
        <v>7.5028452314651297E-5</v>
      </c>
      <c r="F260">
        <v>1.3505121416637199E-3</v>
      </c>
      <c r="G260" t="s">
        <v>2035</v>
      </c>
    </row>
    <row r="261" spans="1:7" x14ac:dyDescent="0.25">
      <c r="A261" s="4" t="str">
        <f>HYPERLINK("http://amigo.geneontology.org/cgi-bin/amigo/term-details.cgi?term=GO:0015748","GO:0015748")</f>
        <v>GO:0015748</v>
      </c>
      <c r="B261" t="s">
        <v>329</v>
      </c>
      <c r="C261">
        <v>70</v>
      </c>
      <c r="D261">
        <v>16</v>
      </c>
      <c r="E261" s="2">
        <v>7.63309801306044E-5</v>
      </c>
      <c r="F261">
        <v>1.29762666222027E-3</v>
      </c>
      <c r="G261" t="s">
        <v>2036</v>
      </c>
    </row>
    <row r="262" spans="1:7" x14ac:dyDescent="0.25">
      <c r="A262" s="4" t="str">
        <f>HYPERLINK("http://amigo.geneontology.org/cgi-bin/amigo/term-details.cgi?term=GO:0046394","GO:0046394")</f>
        <v>GO:0046394</v>
      </c>
      <c r="B262" t="s">
        <v>1029</v>
      </c>
      <c r="C262">
        <v>1305</v>
      </c>
      <c r="D262">
        <v>140</v>
      </c>
      <c r="E262" s="2">
        <v>8.1984672607584395E-5</v>
      </c>
      <c r="F262">
        <v>1.39373943432893E-3</v>
      </c>
      <c r="G262" t="s">
        <v>2034</v>
      </c>
    </row>
    <row r="263" spans="1:7" x14ac:dyDescent="0.25">
      <c r="A263" s="4" t="str">
        <f>HYPERLINK("http://amigo.geneontology.org/cgi-bin/amigo/term-details.cgi?term=GO:0044106","GO:0044106")</f>
        <v>GO:0044106</v>
      </c>
      <c r="B263" t="s">
        <v>324</v>
      </c>
      <c r="C263">
        <v>209</v>
      </c>
      <c r="D263">
        <v>33</v>
      </c>
      <c r="E263" s="2">
        <v>8.2513114596429799E-5</v>
      </c>
      <c r="F263">
        <v>1.4027229481393001E-3</v>
      </c>
      <c r="G263" t="s">
        <v>2035</v>
      </c>
    </row>
    <row r="264" spans="1:7" x14ac:dyDescent="0.25">
      <c r="A264" s="4" t="str">
        <f>HYPERLINK("http://amigo.geneontology.org/cgi-bin/amigo/term-details.cgi?term=GO:0016053","GO:0016053")</f>
        <v>GO:0016053</v>
      </c>
      <c r="B264" t="s">
        <v>985</v>
      </c>
      <c r="C264">
        <v>1307</v>
      </c>
      <c r="D264">
        <v>140</v>
      </c>
      <c r="E264" s="2">
        <v>8.7861763175169102E-5</v>
      </c>
      <c r="F264">
        <v>1.49364997397787E-3</v>
      </c>
      <c r="G264" t="s">
        <v>2034</v>
      </c>
    </row>
    <row r="265" spans="1:7" x14ac:dyDescent="0.25">
      <c r="A265" s="4" t="str">
        <f>HYPERLINK("http://amigo.geneontology.org/cgi-bin/amigo/term-details.cgi?term=GO:0009056","GO:0009056")</f>
        <v>GO:0009056</v>
      </c>
      <c r="B265" t="s">
        <v>1062</v>
      </c>
      <c r="C265">
        <v>2670</v>
      </c>
      <c r="D265">
        <v>261</v>
      </c>
      <c r="E265" s="2">
        <v>9.0225490308857599E-5</v>
      </c>
      <c r="F265">
        <v>1.53383333525058E-3</v>
      </c>
      <c r="G265" t="s">
        <v>2033</v>
      </c>
    </row>
    <row r="266" spans="1:7" x14ac:dyDescent="0.25">
      <c r="A266" s="4" t="str">
        <f>HYPERLINK("http://amigo.geneontology.org/cgi-bin/amigo/term-details.cgi?term=GO:0006022","GO:0006022")</f>
        <v>GO:0006022</v>
      </c>
      <c r="B266" t="s">
        <v>242</v>
      </c>
      <c r="C266">
        <v>101</v>
      </c>
      <c r="D266">
        <v>20</v>
      </c>
      <c r="E266" s="2">
        <v>9.1377491811409106E-5</v>
      </c>
      <c r="F266">
        <v>1.5534173607939499E-3</v>
      </c>
      <c r="G266" t="s">
        <v>1209</v>
      </c>
    </row>
    <row r="267" spans="1:7" x14ac:dyDescent="0.25">
      <c r="A267" s="4" t="str">
        <f>HYPERLINK("http://amigo.geneontology.org/cgi-bin/amigo/term-details.cgi?term=GO:0016829","GO:0016829")</f>
        <v>GO:0016829</v>
      </c>
      <c r="B267" t="s">
        <v>922</v>
      </c>
      <c r="C267">
        <v>1016</v>
      </c>
      <c r="D267">
        <v>113</v>
      </c>
      <c r="E267" s="2">
        <v>9.3248411556768996E-5</v>
      </c>
      <c r="F267">
        <v>1.58522299646507E-3</v>
      </c>
      <c r="G267" t="s">
        <v>2032</v>
      </c>
    </row>
    <row r="268" spans="1:7" x14ac:dyDescent="0.25">
      <c r="A268" s="4" t="str">
        <f>HYPERLINK("http://amigo.geneontology.org/cgi-bin/amigo/term-details.cgi?term=GO:0008378","GO:0008378")</f>
        <v>GO:0008378</v>
      </c>
      <c r="B268" t="s">
        <v>136</v>
      </c>
      <c r="C268">
        <v>109</v>
      </c>
      <c r="D268">
        <v>21</v>
      </c>
      <c r="E268" s="2">
        <v>9.3501180068703205E-5</v>
      </c>
      <c r="F268">
        <v>1.5895200611679499E-3</v>
      </c>
      <c r="G268" t="s">
        <v>2031</v>
      </c>
    </row>
    <row r="269" spans="1:7" x14ac:dyDescent="0.25">
      <c r="A269" s="4" t="str">
        <f>HYPERLINK("http://amigo.geneontology.org/cgi-bin/amigo/term-details.cgi?term=GO:0009595","GO:0009595")</f>
        <v>GO:0009595</v>
      </c>
      <c r="B269" t="s">
        <v>2030</v>
      </c>
      <c r="C269">
        <v>32</v>
      </c>
      <c r="D269">
        <v>10</v>
      </c>
      <c r="E269" s="2">
        <v>1.0591852453241599E-4</v>
      </c>
      <c r="F269">
        <v>1.8006149170510799E-3</v>
      </c>
      <c r="G269" t="s">
        <v>1586</v>
      </c>
    </row>
    <row r="270" spans="1:7" x14ac:dyDescent="0.25">
      <c r="A270" s="4" t="str">
        <f>HYPERLINK("http://amigo.geneontology.org/cgi-bin/amigo/term-details.cgi?term=GO:0051189","GO:0051189")</f>
        <v>GO:0051189</v>
      </c>
      <c r="B270" t="s">
        <v>193</v>
      </c>
      <c r="C270">
        <v>21</v>
      </c>
      <c r="D270">
        <v>8</v>
      </c>
      <c r="E270" s="2">
        <v>1.0852098616105899E-4</v>
      </c>
      <c r="F270">
        <v>1.8448567647379999E-3</v>
      </c>
      <c r="G270" t="s">
        <v>1024</v>
      </c>
    </row>
    <row r="271" spans="1:7" x14ac:dyDescent="0.25">
      <c r="A271" s="4" t="str">
        <f>HYPERLINK("http://amigo.geneontology.org/cgi-bin/amigo/term-details.cgi?term=GO:0043545","GO:0043545")</f>
        <v>GO:0043545</v>
      </c>
      <c r="B271" t="s">
        <v>192</v>
      </c>
      <c r="C271">
        <v>21</v>
      </c>
      <c r="D271">
        <v>8</v>
      </c>
      <c r="E271" s="2">
        <v>1.0852098616105899E-4</v>
      </c>
      <c r="F271">
        <v>1.8448567647379999E-3</v>
      </c>
      <c r="G271" t="s">
        <v>1024</v>
      </c>
    </row>
    <row r="272" spans="1:7" x14ac:dyDescent="0.25">
      <c r="A272" s="4" t="str">
        <f>HYPERLINK("http://amigo.geneontology.org/cgi-bin/amigo/term-details.cgi?term=GO:0019720","GO:0019720")</f>
        <v>GO:0019720</v>
      </c>
      <c r="B272" t="s">
        <v>191</v>
      </c>
      <c r="C272">
        <v>21</v>
      </c>
      <c r="D272">
        <v>8</v>
      </c>
      <c r="E272" s="2">
        <v>1.0852098616105899E-4</v>
      </c>
      <c r="F272">
        <v>1.8448567647379999E-3</v>
      </c>
      <c r="G272" t="s">
        <v>1024</v>
      </c>
    </row>
    <row r="273" spans="1:7" x14ac:dyDescent="0.25">
      <c r="A273" s="4" t="str">
        <f>HYPERLINK("http://amigo.geneontology.org/cgi-bin/amigo/term-details.cgi?term=GO:0006777","GO:0006777")</f>
        <v>GO:0006777</v>
      </c>
      <c r="B273" t="s">
        <v>190</v>
      </c>
      <c r="C273">
        <v>21</v>
      </c>
      <c r="D273">
        <v>8</v>
      </c>
      <c r="E273" s="2">
        <v>1.0852098616105899E-4</v>
      </c>
      <c r="F273">
        <v>1.8448567647379999E-3</v>
      </c>
      <c r="G273" t="s">
        <v>1024</v>
      </c>
    </row>
    <row r="274" spans="1:7" x14ac:dyDescent="0.25">
      <c r="A274" s="4" t="str">
        <f>HYPERLINK("http://amigo.geneontology.org/cgi-bin/amigo/term-details.cgi?term=GO:1901071","GO:1901071")</f>
        <v>GO:1901071</v>
      </c>
      <c r="B274" t="s">
        <v>255</v>
      </c>
      <c r="C274">
        <v>87</v>
      </c>
      <c r="D274">
        <v>18</v>
      </c>
      <c r="E274" s="2">
        <v>1.11908414698904E-4</v>
      </c>
      <c r="F274">
        <v>1.90244304988138E-3</v>
      </c>
      <c r="G274" t="s">
        <v>1207</v>
      </c>
    </row>
    <row r="275" spans="1:7" x14ac:dyDescent="0.25">
      <c r="A275" s="4" t="str">
        <f>HYPERLINK("http://amigo.geneontology.org/cgi-bin/amigo/term-details.cgi?term=GO:0008104","GO:0008104")</f>
        <v>GO:0008104</v>
      </c>
      <c r="B275" t="s">
        <v>878</v>
      </c>
      <c r="C275">
        <v>1526</v>
      </c>
      <c r="D275">
        <v>159</v>
      </c>
      <c r="E275" s="2">
        <v>1.20098202071394E-4</v>
      </c>
      <c r="F275">
        <v>2.04166943521371E-3</v>
      </c>
      <c r="G275" t="s">
        <v>2029</v>
      </c>
    </row>
    <row r="276" spans="1:7" x14ac:dyDescent="0.25">
      <c r="A276" s="4" t="str">
        <f>HYPERLINK("http://amigo.geneontology.org/cgi-bin/amigo/term-details.cgi?term=GO:0001871","GO:0001871")</f>
        <v>GO:0001871</v>
      </c>
      <c r="B276" t="s">
        <v>939</v>
      </c>
      <c r="C276">
        <v>653</v>
      </c>
      <c r="D276">
        <v>78</v>
      </c>
      <c r="E276" s="2">
        <v>1.20448076518351E-4</v>
      </c>
      <c r="F276">
        <v>1.92716922429362E-3</v>
      </c>
      <c r="G276" t="s">
        <v>2028</v>
      </c>
    </row>
    <row r="277" spans="1:7" x14ac:dyDescent="0.25">
      <c r="A277" s="4" t="str">
        <f>HYPERLINK("http://amigo.geneontology.org/cgi-bin/amigo/term-details.cgi?term=GO:0030247","GO:0030247")</f>
        <v>GO:0030247</v>
      </c>
      <c r="B277" t="s">
        <v>938</v>
      </c>
      <c r="C277">
        <v>653</v>
      </c>
      <c r="D277">
        <v>78</v>
      </c>
      <c r="E277" s="2">
        <v>1.20448076518351E-4</v>
      </c>
      <c r="F277">
        <v>1.92716922429362E-3</v>
      </c>
      <c r="G277" t="s">
        <v>2028</v>
      </c>
    </row>
    <row r="278" spans="1:7" x14ac:dyDescent="0.25">
      <c r="A278" s="4" t="str">
        <f>HYPERLINK("http://amigo.geneontology.org/cgi-bin/amigo/term-details.cgi?term=GO:0042256","GO:0042256")</f>
        <v>GO:0042256</v>
      </c>
      <c r="B278" t="s">
        <v>230</v>
      </c>
      <c r="C278">
        <v>8</v>
      </c>
      <c r="D278">
        <v>5</v>
      </c>
      <c r="E278" s="2">
        <v>1.3096532976073901E-4</v>
      </c>
      <c r="F278">
        <v>2.0954452761718298E-3</v>
      </c>
      <c r="G278" t="s">
        <v>1192</v>
      </c>
    </row>
    <row r="279" spans="1:7" x14ac:dyDescent="0.25">
      <c r="A279" s="4" t="str">
        <f>HYPERLINK("http://amigo.geneontology.org/cgi-bin/amigo/term-details.cgi?term=GO:0004791","GO:0004791")</f>
        <v>GO:0004791</v>
      </c>
      <c r="B279" t="s">
        <v>296</v>
      </c>
      <c r="C279">
        <v>8</v>
      </c>
      <c r="D279">
        <v>5</v>
      </c>
      <c r="E279" s="2">
        <v>1.3096532976073901E-4</v>
      </c>
      <c r="F279">
        <v>2.0954452761718298E-3</v>
      </c>
      <c r="G279" t="s">
        <v>203</v>
      </c>
    </row>
    <row r="280" spans="1:7" x14ac:dyDescent="0.25">
      <c r="A280" s="4" t="str">
        <f>HYPERLINK("http://amigo.geneontology.org/cgi-bin/amigo/term-details.cgi?term=GO:1903506","GO:1903506")</f>
        <v>GO:1903506</v>
      </c>
      <c r="B280" t="s">
        <v>343</v>
      </c>
      <c r="C280">
        <v>4667</v>
      </c>
      <c r="D280">
        <v>430</v>
      </c>
      <c r="E280" s="2">
        <v>1.35408336006387E-4</v>
      </c>
      <c r="F280">
        <v>2.1665333761021902E-3</v>
      </c>
      <c r="G280" t="s">
        <v>2024</v>
      </c>
    </row>
    <row r="281" spans="1:7" x14ac:dyDescent="0.25">
      <c r="A281" s="4" t="str">
        <f>HYPERLINK("http://amigo.geneontology.org/cgi-bin/amigo/term-details.cgi?term=GO:0006355","GO:0006355")</f>
        <v>GO:0006355</v>
      </c>
      <c r="B281" t="s">
        <v>342</v>
      </c>
      <c r="C281">
        <v>4667</v>
      </c>
      <c r="D281">
        <v>430</v>
      </c>
      <c r="E281" s="2">
        <v>1.35408336006387E-4</v>
      </c>
      <c r="F281">
        <v>2.1665333761021902E-3</v>
      </c>
      <c r="G281" t="s">
        <v>2024</v>
      </c>
    </row>
    <row r="282" spans="1:7" x14ac:dyDescent="0.25">
      <c r="A282" s="4" t="str">
        <f>HYPERLINK("http://amigo.geneontology.org/cgi-bin/amigo/term-details.cgi?term=GO:0022857","GO:0022857")</f>
        <v>GO:0022857</v>
      </c>
      <c r="B282" t="s">
        <v>927</v>
      </c>
      <c r="C282">
        <v>2482</v>
      </c>
      <c r="D282">
        <v>243</v>
      </c>
      <c r="E282" s="2">
        <v>1.41233331152426E-4</v>
      </c>
      <c r="F282">
        <v>2.25973329843882E-3</v>
      </c>
      <c r="G282" t="s">
        <v>2027</v>
      </c>
    </row>
    <row r="283" spans="1:7" x14ac:dyDescent="0.25">
      <c r="A283" s="4" t="str">
        <f>HYPERLINK("http://amigo.geneontology.org/cgi-bin/amigo/term-details.cgi?term=GO:0012501","GO:0012501")</f>
        <v>GO:0012501</v>
      </c>
      <c r="B283" t="s">
        <v>2026</v>
      </c>
      <c r="C283">
        <v>46</v>
      </c>
      <c r="D283">
        <v>12</v>
      </c>
      <c r="E283" s="2">
        <v>1.5561377192083501E-4</v>
      </c>
      <c r="F283">
        <v>2.4898203507333601E-3</v>
      </c>
      <c r="G283" t="s">
        <v>2025</v>
      </c>
    </row>
    <row r="284" spans="1:7" x14ac:dyDescent="0.25">
      <c r="A284" s="4" t="str">
        <f>HYPERLINK("http://amigo.geneontology.org/cgi-bin/amigo/term-details.cgi?term=GO:2001141","GO:2001141")</f>
        <v>GO:2001141</v>
      </c>
      <c r="B284" t="s">
        <v>344</v>
      </c>
      <c r="C284">
        <v>4679</v>
      </c>
      <c r="D284">
        <v>430</v>
      </c>
      <c r="E284" s="2">
        <v>1.6698926234401599E-4</v>
      </c>
      <c r="F284">
        <v>2.6718281975042502E-3</v>
      </c>
      <c r="G284" t="s">
        <v>2024</v>
      </c>
    </row>
    <row r="285" spans="1:7" x14ac:dyDescent="0.25">
      <c r="A285" s="4" t="str">
        <f>HYPERLINK("http://amigo.geneontology.org/cgi-bin/amigo/term-details.cgi?term=GO:1902221","GO:1902221")</f>
        <v>GO:1902221</v>
      </c>
      <c r="B285" t="s">
        <v>2023</v>
      </c>
      <c r="C285">
        <v>90</v>
      </c>
      <c r="D285">
        <v>18</v>
      </c>
      <c r="E285" s="2">
        <v>1.7609166527500099E-4</v>
      </c>
      <c r="F285">
        <v>2.8174666444000201E-3</v>
      </c>
      <c r="G285" t="s">
        <v>2022</v>
      </c>
    </row>
    <row r="286" spans="1:7" x14ac:dyDescent="0.25">
      <c r="A286" s="4" t="str">
        <f>HYPERLINK("http://amigo.geneontology.org/cgi-bin/amigo/term-details.cgi?term=GO:0006558","GO:0006558")</f>
        <v>GO:0006558</v>
      </c>
      <c r="B286" t="s">
        <v>94</v>
      </c>
      <c r="C286">
        <v>90</v>
      </c>
      <c r="D286">
        <v>18</v>
      </c>
      <c r="E286" s="2">
        <v>1.7609166527500099E-4</v>
      </c>
      <c r="F286">
        <v>2.8174666444000201E-3</v>
      </c>
      <c r="G286" t="s">
        <v>2022</v>
      </c>
    </row>
    <row r="287" spans="1:7" x14ac:dyDescent="0.25">
      <c r="A287" s="4" t="str">
        <f>HYPERLINK("http://amigo.geneontology.org/cgi-bin/amigo/term-details.cgi?term=GO:0016567","GO:0016567")</f>
        <v>GO:0016567</v>
      </c>
      <c r="B287" t="s">
        <v>358</v>
      </c>
      <c r="C287">
        <v>780</v>
      </c>
      <c r="D287">
        <v>89</v>
      </c>
      <c r="E287" s="2">
        <v>2.08737241699385E-4</v>
      </c>
      <c r="F287">
        <v>3.3397958671901699E-3</v>
      </c>
      <c r="G287" t="s">
        <v>1938</v>
      </c>
    </row>
    <row r="288" spans="1:7" x14ac:dyDescent="0.25">
      <c r="A288" s="4" t="str">
        <f>HYPERLINK("http://amigo.geneontology.org/cgi-bin/amigo/term-details.cgi?term=GO:0008135","GO:0008135")</f>
        <v>GO:0008135</v>
      </c>
      <c r="B288" t="s">
        <v>237</v>
      </c>
      <c r="C288">
        <v>294</v>
      </c>
      <c r="D288">
        <v>41</v>
      </c>
      <c r="E288" s="2">
        <v>2.1375400048871199E-4</v>
      </c>
      <c r="F288">
        <v>3.4200640078194001E-3</v>
      </c>
      <c r="G288" t="s">
        <v>2021</v>
      </c>
    </row>
    <row r="289" spans="1:7" x14ac:dyDescent="0.25">
      <c r="A289" s="4" t="str">
        <f>HYPERLINK("http://amigo.geneontology.org/cgi-bin/amigo/term-details.cgi?term=GO:0051252","GO:0051252")</f>
        <v>GO:0051252</v>
      </c>
      <c r="B289" t="s">
        <v>341</v>
      </c>
      <c r="C289">
        <v>4719</v>
      </c>
      <c r="D289">
        <v>432</v>
      </c>
      <c r="E289" s="2">
        <v>2.20529181725432E-4</v>
      </c>
      <c r="F289">
        <v>3.5284669076069098E-3</v>
      </c>
      <c r="G289" t="s">
        <v>2020</v>
      </c>
    </row>
    <row r="290" spans="1:7" x14ac:dyDescent="0.25">
      <c r="A290" s="4" t="str">
        <f>HYPERLINK("http://amigo.geneontology.org/cgi-bin/amigo/term-details.cgi?term=GO:0016149","GO:0016149")</f>
        <v>GO:0016149</v>
      </c>
      <c r="B290" t="s">
        <v>301</v>
      </c>
      <c r="C290">
        <v>29</v>
      </c>
      <c r="D290">
        <v>9</v>
      </c>
      <c r="E290" s="2">
        <v>2.4846698325046101E-4</v>
      </c>
      <c r="F290">
        <v>3.9754717320073796E-3</v>
      </c>
      <c r="G290" t="s">
        <v>1203</v>
      </c>
    </row>
    <row r="291" spans="1:7" x14ac:dyDescent="0.25">
      <c r="A291" s="4" t="str">
        <f>HYPERLINK("http://amigo.geneontology.org/cgi-bin/amigo/term-details.cgi?term=GO:0008519","GO:0008519")</f>
        <v>GO:0008519</v>
      </c>
      <c r="B291" t="s">
        <v>309</v>
      </c>
      <c r="C291">
        <v>29</v>
      </c>
      <c r="D291">
        <v>9</v>
      </c>
      <c r="E291" s="2">
        <v>2.4846698325046101E-4</v>
      </c>
      <c r="F291">
        <v>3.9754717320073796E-3</v>
      </c>
      <c r="G291" t="s">
        <v>1026</v>
      </c>
    </row>
    <row r="292" spans="1:7" x14ac:dyDescent="0.25">
      <c r="A292" s="4" t="str">
        <f>HYPERLINK("http://amigo.geneontology.org/cgi-bin/amigo/term-details.cgi?term=GO:0015893","GO:0015893")</f>
        <v>GO:0015893</v>
      </c>
      <c r="B292" t="s">
        <v>119</v>
      </c>
      <c r="C292">
        <v>268</v>
      </c>
      <c r="D292">
        <v>38</v>
      </c>
      <c r="E292" s="2">
        <v>2.5424631881180499E-4</v>
      </c>
      <c r="F292">
        <v>4.0679411009888903E-3</v>
      </c>
      <c r="G292" t="s">
        <v>2019</v>
      </c>
    </row>
    <row r="293" spans="1:7" x14ac:dyDescent="0.25">
      <c r="A293" s="4" t="str">
        <f>HYPERLINK("http://amigo.geneontology.org/cgi-bin/amigo/term-details.cgi?term=GO:0006040","GO:0006040")</f>
        <v>GO:0006040</v>
      </c>
      <c r="B293" t="s">
        <v>256</v>
      </c>
      <c r="C293">
        <v>93</v>
      </c>
      <c r="D293">
        <v>18</v>
      </c>
      <c r="E293" s="2">
        <v>2.7039544149042098E-4</v>
      </c>
      <c r="F293">
        <v>4.0559316223563102E-3</v>
      </c>
      <c r="G293" t="s">
        <v>1207</v>
      </c>
    </row>
    <row r="294" spans="1:7" x14ac:dyDescent="0.25">
      <c r="A294" s="4" t="str">
        <f>HYPERLINK("http://amigo.geneontology.org/cgi-bin/amigo/term-details.cgi?term=GO:0019365","GO:0019365")</f>
        <v>GO:0019365</v>
      </c>
      <c r="B294" t="s">
        <v>605</v>
      </c>
      <c r="C294">
        <v>9</v>
      </c>
      <c r="D294">
        <v>5</v>
      </c>
      <c r="E294" s="2">
        <v>2.7567985598269198E-4</v>
      </c>
      <c r="F294">
        <v>4.1351978397403902E-3</v>
      </c>
      <c r="G294" t="s">
        <v>2018</v>
      </c>
    </row>
    <row r="295" spans="1:7" x14ac:dyDescent="0.25">
      <c r="A295" s="4" t="str">
        <f>HYPERLINK("http://amigo.geneontology.org/cgi-bin/amigo/term-details.cgi?term=GO:0004842","GO:0004842")</f>
        <v>GO:0004842</v>
      </c>
      <c r="B295" t="s">
        <v>349</v>
      </c>
      <c r="C295">
        <v>650</v>
      </c>
      <c r="D295">
        <v>76</v>
      </c>
      <c r="E295" s="2">
        <v>2.8027442854152102E-4</v>
      </c>
      <c r="F295">
        <v>4.2041164281228201E-3</v>
      </c>
      <c r="G295" t="s">
        <v>1939</v>
      </c>
    </row>
    <row r="296" spans="1:7" x14ac:dyDescent="0.25">
      <c r="A296" s="4" t="str">
        <f>HYPERLINK("http://amigo.geneontology.org/cgi-bin/amigo/term-details.cgi?term=GO:0015036","GO:0015036")</f>
        <v>GO:0015036</v>
      </c>
      <c r="B296" t="s">
        <v>132</v>
      </c>
      <c r="C296">
        <v>308</v>
      </c>
      <c r="D296">
        <v>42</v>
      </c>
      <c r="E296" s="2">
        <v>2.9326000968654399E-4</v>
      </c>
      <c r="F296">
        <v>4.3989001452981596E-3</v>
      </c>
      <c r="G296" t="s">
        <v>2017</v>
      </c>
    </row>
    <row r="297" spans="1:7" x14ac:dyDescent="0.25">
      <c r="A297" s="4" t="str">
        <f>HYPERLINK("http://amigo.geneontology.org/cgi-bin/amigo/term-details.cgi?term=GO:0030258","GO:0030258")</f>
        <v>GO:0030258</v>
      </c>
      <c r="B297" t="s">
        <v>965</v>
      </c>
      <c r="C297">
        <v>289</v>
      </c>
      <c r="D297">
        <v>40</v>
      </c>
      <c r="E297" s="2">
        <v>2.9607631940446299E-4</v>
      </c>
      <c r="F297">
        <v>4.4411447910669404E-3</v>
      </c>
      <c r="G297" t="s">
        <v>2016</v>
      </c>
    </row>
    <row r="298" spans="1:7" x14ac:dyDescent="0.25">
      <c r="A298" s="4" t="str">
        <f>HYPERLINK("http://amigo.geneontology.org/cgi-bin/amigo/term-details.cgi?term=GO:0009309","GO:0009309")</f>
        <v>GO:0009309</v>
      </c>
      <c r="B298" t="s">
        <v>248</v>
      </c>
      <c r="C298">
        <v>118</v>
      </c>
      <c r="D298">
        <v>21</v>
      </c>
      <c r="E298" s="2">
        <v>2.9682177759695499E-4</v>
      </c>
      <c r="F298">
        <v>4.4523266639543198E-3</v>
      </c>
      <c r="G298" t="s">
        <v>2015</v>
      </c>
    </row>
    <row r="299" spans="1:7" x14ac:dyDescent="0.25">
      <c r="A299" s="4" t="str">
        <f>HYPERLINK("http://amigo.geneontology.org/cgi-bin/amigo/term-details.cgi?term=GO:0042401","GO:0042401")</f>
        <v>GO:0042401</v>
      </c>
      <c r="B299" t="s">
        <v>247</v>
      </c>
      <c r="C299">
        <v>118</v>
      </c>
      <c r="D299">
        <v>21</v>
      </c>
      <c r="E299" s="2">
        <v>2.9682177759695499E-4</v>
      </c>
      <c r="F299">
        <v>4.4523266639543198E-3</v>
      </c>
      <c r="G299" t="s">
        <v>2015</v>
      </c>
    </row>
    <row r="300" spans="1:7" x14ac:dyDescent="0.25">
      <c r="A300" s="4" t="str">
        <f>HYPERLINK("http://amigo.geneontology.org/cgi-bin/amigo/term-details.cgi?term=GO:0032555","GO:0032555")</f>
        <v>GO:0032555</v>
      </c>
      <c r="B300" t="s">
        <v>280</v>
      </c>
      <c r="C300">
        <v>11948</v>
      </c>
      <c r="D300">
        <v>1024</v>
      </c>
      <c r="E300" s="2">
        <v>3.1170449240700801E-4</v>
      </c>
      <c r="F300">
        <v>4.6755673861051299E-3</v>
      </c>
      <c r="G300" t="s">
        <v>2014</v>
      </c>
    </row>
    <row r="301" spans="1:7" x14ac:dyDescent="0.25">
      <c r="A301" s="4" t="str">
        <f>HYPERLINK("http://amigo.geneontology.org/cgi-bin/amigo/term-details.cgi?term=GO:0016746","GO:0016746")</f>
        <v>GO:0016746</v>
      </c>
      <c r="B301" t="s">
        <v>1009</v>
      </c>
      <c r="C301">
        <v>1513</v>
      </c>
      <c r="D301">
        <v>155</v>
      </c>
      <c r="E301" s="2">
        <v>3.1255299808462901E-4</v>
      </c>
      <c r="F301">
        <v>4.6882949712694398E-3</v>
      </c>
      <c r="G301" t="s">
        <v>2013</v>
      </c>
    </row>
    <row r="302" spans="1:7" x14ac:dyDescent="0.25">
      <c r="A302" s="4" t="str">
        <f>HYPERLINK("http://amigo.geneontology.org/cgi-bin/amigo/term-details.cgi?term=GO:0006002","GO:0006002")</f>
        <v>GO:0006002</v>
      </c>
      <c r="B302" t="s">
        <v>183</v>
      </c>
      <c r="C302">
        <v>36</v>
      </c>
      <c r="D302">
        <v>10</v>
      </c>
      <c r="E302" s="2">
        <v>3.1284424875895202E-4</v>
      </c>
      <c r="F302">
        <v>4.6926637313842801E-3</v>
      </c>
      <c r="G302" t="s">
        <v>1015</v>
      </c>
    </row>
    <row r="303" spans="1:7" x14ac:dyDescent="0.25">
      <c r="A303" s="4" t="str">
        <f>HYPERLINK("http://amigo.geneontology.org/cgi-bin/amigo/term-details.cgi?term=GO:0009064","GO:0009064")</f>
        <v>GO:0009064</v>
      </c>
      <c r="B303" t="s">
        <v>227</v>
      </c>
      <c r="C303">
        <v>153</v>
      </c>
      <c r="D303">
        <v>25</v>
      </c>
      <c r="E303" s="2">
        <v>3.3220330815783301E-4</v>
      </c>
      <c r="F303">
        <v>4.9830496223675002E-3</v>
      </c>
      <c r="G303" t="s">
        <v>2012</v>
      </c>
    </row>
    <row r="304" spans="1:7" x14ac:dyDescent="0.25">
      <c r="A304" s="4" t="str">
        <f>HYPERLINK("http://amigo.geneontology.org/cgi-bin/amigo/term-details.cgi?term=GO:0072330","GO:0072330")</f>
        <v>GO:0072330</v>
      </c>
      <c r="B304" t="s">
        <v>2011</v>
      </c>
      <c r="C304">
        <v>655</v>
      </c>
      <c r="D304">
        <v>76</v>
      </c>
      <c r="E304" s="2">
        <v>3.5221854025146299E-4</v>
      </c>
      <c r="F304">
        <v>5.2832781037719396E-3</v>
      </c>
      <c r="G304" t="s">
        <v>2010</v>
      </c>
    </row>
    <row r="305" spans="1:7" x14ac:dyDescent="0.25">
      <c r="A305" s="4" t="str">
        <f>HYPERLINK("http://amigo.geneontology.org/cgi-bin/amigo/term-details.cgi?term=GO:0009605","GO:0009605")</f>
        <v>GO:0009605</v>
      </c>
      <c r="B305" t="s">
        <v>2009</v>
      </c>
      <c r="C305">
        <v>782</v>
      </c>
      <c r="D305">
        <v>88</v>
      </c>
      <c r="E305" s="2">
        <v>3.5434690722573801E-4</v>
      </c>
      <c r="F305">
        <v>5.3152036083860803E-3</v>
      </c>
      <c r="G305" t="s">
        <v>2008</v>
      </c>
    </row>
    <row r="306" spans="1:7" x14ac:dyDescent="0.25">
      <c r="A306" s="4" t="str">
        <f>HYPERLINK("http://amigo.geneontology.org/cgi-bin/amigo/term-details.cgi?term=GO:0009696","GO:0009696")</f>
        <v>GO:0009696</v>
      </c>
      <c r="B306" t="s">
        <v>2007</v>
      </c>
      <c r="C306">
        <v>57</v>
      </c>
      <c r="D306">
        <v>13</v>
      </c>
      <c r="E306" s="2">
        <v>3.5832263567151402E-4</v>
      </c>
      <c r="F306">
        <v>5.3748395350727198E-3</v>
      </c>
      <c r="G306" t="s">
        <v>1839</v>
      </c>
    </row>
    <row r="307" spans="1:7" x14ac:dyDescent="0.25">
      <c r="A307" s="4" t="str">
        <f>HYPERLINK("http://amigo.geneontology.org/cgi-bin/amigo/term-details.cgi?term=GO:0009697","GO:0009697")</f>
        <v>GO:0009697</v>
      </c>
      <c r="B307" t="s">
        <v>2006</v>
      </c>
      <c r="C307">
        <v>57</v>
      </c>
      <c r="D307">
        <v>13</v>
      </c>
      <c r="E307" s="2">
        <v>3.5832263567151402E-4</v>
      </c>
      <c r="F307">
        <v>5.3748395350727198E-3</v>
      </c>
      <c r="G307" t="s">
        <v>1839</v>
      </c>
    </row>
    <row r="308" spans="1:7" x14ac:dyDescent="0.25">
      <c r="A308" s="4" t="str">
        <f>HYPERLINK("http://amigo.geneontology.org/cgi-bin/amigo/term-details.cgi?term=GO:0042445","GO:0042445")</f>
        <v>GO:0042445</v>
      </c>
      <c r="B308" t="s">
        <v>2005</v>
      </c>
      <c r="C308">
        <v>311</v>
      </c>
      <c r="D308">
        <v>42</v>
      </c>
      <c r="E308" s="2">
        <v>3.6018172264457699E-4</v>
      </c>
      <c r="F308">
        <v>5.4027258396686598E-3</v>
      </c>
      <c r="G308" t="s">
        <v>2004</v>
      </c>
    </row>
    <row r="309" spans="1:7" x14ac:dyDescent="0.25">
      <c r="A309" s="4" t="str">
        <f>HYPERLINK("http://amigo.geneontology.org/cgi-bin/amigo/term-details.cgi?term=GO:0008194","GO:0008194")</f>
        <v>GO:0008194</v>
      </c>
      <c r="B309" t="s">
        <v>188</v>
      </c>
      <c r="C309">
        <v>480</v>
      </c>
      <c r="D309">
        <v>59</v>
      </c>
      <c r="E309" s="2">
        <v>3.6366905933361398E-4</v>
      </c>
      <c r="F309">
        <v>5.4550358900042201E-3</v>
      </c>
      <c r="G309" t="s">
        <v>2003</v>
      </c>
    </row>
    <row r="310" spans="1:7" x14ac:dyDescent="0.25">
      <c r="A310" s="4" t="str">
        <f>HYPERLINK("http://amigo.geneontology.org/cgi-bin/amigo/term-details.cgi?term=GO:1901265","GO:1901265")</f>
        <v>GO:1901265</v>
      </c>
      <c r="B310" t="s">
        <v>886</v>
      </c>
      <c r="C310">
        <v>13982</v>
      </c>
      <c r="D310">
        <v>1187</v>
      </c>
      <c r="E310" s="2">
        <v>3.6533729547134799E-4</v>
      </c>
      <c r="F310">
        <v>5.4800594320702197E-3</v>
      </c>
      <c r="G310" t="s">
        <v>2002</v>
      </c>
    </row>
    <row r="311" spans="1:7" x14ac:dyDescent="0.25">
      <c r="A311" s="4" t="str">
        <f>HYPERLINK("http://amigo.geneontology.org/cgi-bin/amigo/term-details.cgi?term=GO:0000166","GO:0000166")</f>
        <v>GO:0000166</v>
      </c>
      <c r="B311" t="s">
        <v>315</v>
      </c>
      <c r="C311">
        <v>13982</v>
      </c>
      <c r="D311">
        <v>1187</v>
      </c>
      <c r="E311" s="2">
        <v>3.6533729547134799E-4</v>
      </c>
      <c r="F311">
        <v>5.4800594320702197E-3</v>
      </c>
      <c r="G311" t="s">
        <v>2002</v>
      </c>
    </row>
    <row r="312" spans="1:7" x14ac:dyDescent="0.25">
      <c r="A312" s="4" t="str">
        <f>HYPERLINK("http://amigo.geneontology.org/cgi-bin/amigo/term-details.cgi?term=GO:0017076","GO:0017076")</f>
        <v>GO:0017076</v>
      </c>
      <c r="B312" t="s">
        <v>304</v>
      </c>
      <c r="C312">
        <v>12038</v>
      </c>
      <c r="D312">
        <v>1030</v>
      </c>
      <c r="E312" s="2">
        <v>3.6953171839089699E-4</v>
      </c>
      <c r="F312">
        <v>5.1734440574725598E-3</v>
      </c>
      <c r="G312" t="s">
        <v>2001</v>
      </c>
    </row>
    <row r="313" spans="1:7" x14ac:dyDescent="0.25">
      <c r="A313" s="4" t="str">
        <f>HYPERLINK("http://amigo.geneontology.org/cgi-bin/amigo/term-details.cgi?term=GO:0044255","GO:0044255")</f>
        <v>GO:0044255</v>
      </c>
      <c r="B313" t="s">
        <v>2000</v>
      </c>
      <c r="C313">
        <v>1757</v>
      </c>
      <c r="D313">
        <v>176</v>
      </c>
      <c r="E313" s="2">
        <v>3.83770504101533E-4</v>
      </c>
      <c r="F313">
        <v>5.3727870574214603E-3</v>
      </c>
      <c r="G313" t="s">
        <v>1999</v>
      </c>
    </row>
    <row r="314" spans="1:7" x14ac:dyDescent="0.25">
      <c r="A314" s="4" t="str">
        <f>HYPERLINK("http://amigo.geneontology.org/cgi-bin/amigo/term-details.cgi?term=GO:0003872","GO:0003872")</f>
        <v>GO:0003872</v>
      </c>
      <c r="B314" t="s">
        <v>173</v>
      </c>
      <c r="C314">
        <v>37</v>
      </c>
      <c r="D314">
        <v>10</v>
      </c>
      <c r="E314" s="2">
        <v>3.98973427649073E-4</v>
      </c>
      <c r="F314">
        <v>5.5856279870870199E-3</v>
      </c>
      <c r="G314" t="s">
        <v>1015</v>
      </c>
    </row>
    <row r="315" spans="1:7" x14ac:dyDescent="0.25">
      <c r="A315" s="4" t="str">
        <f>HYPERLINK("http://amigo.geneontology.org/cgi-bin/amigo/term-details.cgi?term=GO:0007034","GO:0007034")</f>
        <v>GO:0007034</v>
      </c>
      <c r="B315" t="s">
        <v>1027</v>
      </c>
      <c r="C315">
        <v>129</v>
      </c>
      <c r="D315">
        <v>22</v>
      </c>
      <c r="E315" s="2">
        <v>4.0118184019658301E-4</v>
      </c>
      <c r="F315">
        <v>5.6165457627521597E-3</v>
      </c>
      <c r="G315" t="s">
        <v>1998</v>
      </c>
    </row>
    <row r="316" spans="1:7" x14ac:dyDescent="0.25">
      <c r="A316" s="4" t="str">
        <f>HYPERLINK("http://amigo.geneontology.org/cgi-bin/amigo/term-details.cgi?term=GO:0016052","GO:0016052")</f>
        <v>GO:0016052</v>
      </c>
      <c r="B316" t="s">
        <v>732</v>
      </c>
      <c r="C316">
        <v>452</v>
      </c>
      <c r="D316">
        <v>56</v>
      </c>
      <c r="E316" s="2">
        <v>4.1451132979456801E-4</v>
      </c>
      <c r="F316">
        <v>5.8031586171239501E-3</v>
      </c>
      <c r="G316" t="s">
        <v>1997</v>
      </c>
    </row>
    <row r="317" spans="1:7" x14ac:dyDescent="0.25">
      <c r="A317" s="4" t="str">
        <f>HYPERLINK("http://amigo.geneontology.org/cgi-bin/amigo/term-details.cgi?term=GO:0090487","GO:0090487")</f>
        <v>GO:0090487</v>
      </c>
      <c r="B317" t="s">
        <v>1996</v>
      </c>
      <c r="C317">
        <v>58</v>
      </c>
      <c r="D317">
        <v>13</v>
      </c>
      <c r="E317" s="2">
        <v>4.2921137711290702E-4</v>
      </c>
      <c r="F317">
        <v>6.0089592795807001E-3</v>
      </c>
      <c r="G317" t="s">
        <v>1994</v>
      </c>
    </row>
    <row r="318" spans="1:7" x14ac:dyDescent="0.25">
      <c r="A318" s="4" t="str">
        <f>HYPERLINK("http://amigo.geneontology.org/cgi-bin/amigo/term-details.cgi?term=GO:0009407","GO:0009407")</f>
        <v>GO:0009407</v>
      </c>
      <c r="B318" t="s">
        <v>1995</v>
      </c>
      <c r="C318">
        <v>58</v>
      </c>
      <c r="D318">
        <v>13</v>
      </c>
      <c r="E318" s="2">
        <v>4.2921137711290702E-4</v>
      </c>
      <c r="F318">
        <v>6.0089592795807001E-3</v>
      </c>
      <c r="G318" t="s">
        <v>1994</v>
      </c>
    </row>
    <row r="319" spans="1:7" x14ac:dyDescent="0.25">
      <c r="A319" s="4" t="str">
        <f>HYPERLINK("http://amigo.geneontology.org/cgi-bin/amigo/term-details.cgi?term=GO:0010167","GO:0010167")</f>
        <v>GO:0010167</v>
      </c>
      <c r="B319" t="s">
        <v>229</v>
      </c>
      <c r="C319">
        <v>44</v>
      </c>
      <c r="D319">
        <v>11</v>
      </c>
      <c r="E319" s="2">
        <v>4.3337636161709902E-4</v>
      </c>
      <c r="F319">
        <v>6.0672690626393903E-3</v>
      </c>
      <c r="G319" t="s">
        <v>1993</v>
      </c>
    </row>
    <row r="320" spans="1:7" x14ac:dyDescent="0.25">
      <c r="A320" s="4" t="str">
        <f>HYPERLINK("http://amigo.geneontology.org/cgi-bin/amigo/term-details.cgi?term=GO:0050789","GO:0050789")</f>
        <v>GO:0050789</v>
      </c>
      <c r="B320" t="s">
        <v>1992</v>
      </c>
      <c r="C320">
        <v>8097</v>
      </c>
      <c r="D320">
        <v>708</v>
      </c>
      <c r="E320" s="2">
        <v>4.3781151233855599E-4</v>
      </c>
      <c r="F320">
        <v>6.1293611727397902E-3</v>
      </c>
      <c r="G320" t="s">
        <v>1991</v>
      </c>
    </row>
    <row r="321" spans="1:7" x14ac:dyDescent="0.25">
      <c r="A321" s="4" t="str">
        <f>HYPERLINK("http://amigo.geneontology.org/cgi-bin/amigo/term-details.cgi?term=GO:0044283","GO:0044283")</f>
        <v>GO:0044283</v>
      </c>
      <c r="B321" t="s">
        <v>456</v>
      </c>
      <c r="C321">
        <v>1604</v>
      </c>
      <c r="D321">
        <v>162</v>
      </c>
      <c r="E321" s="2">
        <v>4.43760158242232E-4</v>
      </c>
      <c r="F321">
        <v>6.21264221539125E-3</v>
      </c>
      <c r="G321" t="s">
        <v>1990</v>
      </c>
    </row>
    <row r="322" spans="1:7" x14ac:dyDescent="0.25">
      <c r="A322" s="4" t="str">
        <f>HYPERLINK("http://amigo.geneontology.org/cgi-bin/amigo/term-details.cgi?term=GO:0033549","GO:0033549")</f>
        <v>GO:0033549</v>
      </c>
      <c r="B322" t="s">
        <v>1989</v>
      </c>
      <c r="C322">
        <v>3</v>
      </c>
      <c r="D322">
        <v>3</v>
      </c>
      <c r="E322" s="2">
        <v>4.7193214181640199E-4</v>
      </c>
      <c r="F322">
        <v>6.1351178436132303E-3</v>
      </c>
      <c r="G322" t="s">
        <v>1987</v>
      </c>
    </row>
    <row r="323" spans="1:7" x14ac:dyDescent="0.25">
      <c r="A323" s="4" t="str">
        <f>HYPERLINK("http://amigo.geneontology.org/cgi-bin/amigo/term-details.cgi?term=GO:0017017","GO:0017017")</f>
        <v>GO:0017017</v>
      </c>
      <c r="B323" t="s">
        <v>1988</v>
      </c>
      <c r="C323">
        <v>3</v>
      </c>
      <c r="D323">
        <v>3</v>
      </c>
      <c r="E323" s="2">
        <v>4.7193214181640199E-4</v>
      </c>
      <c r="F323">
        <v>6.1351178436132303E-3</v>
      </c>
      <c r="G323" t="s">
        <v>1987</v>
      </c>
    </row>
    <row r="324" spans="1:7" x14ac:dyDescent="0.25">
      <c r="A324" s="4" t="str">
        <f>HYPERLINK("http://amigo.geneontology.org/cgi-bin/amigo/term-details.cgi?term=GO:0050829","GO:0050829")</f>
        <v>GO:0050829</v>
      </c>
      <c r="B324" t="s">
        <v>1986</v>
      </c>
      <c r="C324">
        <v>3</v>
      </c>
      <c r="D324">
        <v>3</v>
      </c>
      <c r="E324" s="2">
        <v>4.7193214181640199E-4</v>
      </c>
      <c r="F324">
        <v>6.1351178436132303E-3</v>
      </c>
      <c r="G324" t="s">
        <v>1985</v>
      </c>
    </row>
    <row r="325" spans="1:7" x14ac:dyDescent="0.25">
      <c r="A325" s="4" t="str">
        <f>HYPERLINK("http://amigo.geneontology.org/cgi-bin/amigo/term-details.cgi?term=GO:0015927","GO:0015927")</f>
        <v>GO:0015927</v>
      </c>
      <c r="B325" t="s">
        <v>151</v>
      </c>
      <c r="C325">
        <v>3</v>
      </c>
      <c r="D325">
        <v>3</v>
      </c>
      <c r="E325" s="2">
        <v>4.7193214181640199E-4</v>
      </c>
      <c r="F325">
        <v>6.1351178436132303E-3</v>
      </c>
      <c r="G325" t="s">
        <v>1019</v>
      </c>
    </row>
    <row r="326" spans="1:7" x14ac:dyDescent="0.25">
      <c r="A326" s="4" t="str">
        <f>HYPERLINK("http://amigo.geneontology.org/cgi-bin/amigo/term-details.cgi?term=GO:0004555","GO:0004555")</f>
        <v>GO:0004555</v>
      </c>
      <c r="B326" t="s">
        <v>150</v>
      </c>
      <c r="C326">
        <v>3</v>
      </c>
      <c r="D326">
        <v>3</v>
      </c>
      <c r="E326" s="2">
        <v>4.7193214181640199E-4</v>
      </c>
      <c r="F326">
        <v>6.1351178436132303E-3</v>
      </c>
      <c r="G326" t="s">
        <v>1019</v>
      </c>
    </row>
    <row r="327" spans="1:7" x14ac:dyDescent="0.25">
      <c r="A327" s="4" t="str">
        <f>HYPERLINK("http://amigo.geneontology.org/cgi-bin/amigo/term-details.cgi?term=GO:0005993","GO:0005993")</f>
        <v>GO:0005993</v>
      </c>
      <c r="B327" t="s">
        <v>1984</v>
      </c>
      <c r="C327">
        <v>3</v>
      </c>
      <c r="D327">
        <v>3</v>
      </c>
      <c r="E327" s="2">
        <v>4.7193214181640199E-4</v>
      </c>
      <c r="F327">
        <v>6.1351178436132303E-3</v>
      </c>
      <c r="G327" t="s">
        <v>1019</v>
      </c>
    </row>
    <row r="328" spans="1:7" x14ac:dyDescent="0.25">
      <c r="A328" s="4" t="str">
        <f>HYPERLINK("http://amigo.geneontology.org/cgi-bin/amigo/term-details.cgi?term=GO:0000792","GO:0000792")</f>
        <v>GO:0000792</v>
      </c>
      <c r="B328" t="s">
        <v>1983</v>
      </c>
      <c r="C328">
        <v>3</v>
      </c>
      <c r="D328">
        <v>3</v>
      </c>
      <c r="E328" s="2">
        <v>4.7193214181640199E-4</v>
      </c>
      <c r="F328">
        <v>6.1351178436132303E-3</v>
      </c>
      <c r="G328" t="s">
        <v>1982</v>
      </c>
    </row>
    <row r="329" spans="1:7" x14ac:dyDescent="0.25">
      <c r="A329" s="4" t="str">
        <f>HYPERLINK("http://amigo.geneontology.org/cgi-bin/amigo/term-details.cgi?term=GO:0019419","GO:0019419")</f>
        <v>GO:0019419</v>
      </c>
      <c r="B329" t="s">
        <v>246</v>
      </c>
      <c r="C329">
        <v>3</v>
      </c>
      <c r="D329">
        <v>3</v>
      </c>
      <c r="E329" s="2">
        <v>4.7193214181640199E-4</v>
      </c>
      <c r="F329">
        <v>6.1351178436132303E-3</v>
      </c>
      <c r="G329" t="s">
        <v>245</v>
      </c>
    </row>
    <row r="330" spans="1:7" x14ac:dyDescent="0.25">
      <c r="A330" s="4" t="str">
        <f>HYPERLINK("http://amigo.geneontology.org/cgi-bin/amigo/term-details.cgi?term=GO:0016454","GO:0016454")</f>
        <v>GO:0016454</v>
      </c>
      <c r="B330" t="s">
        <v>1981</v>
      </c>
      <c r="C330">
        <v>3</v>
      </c>
      <c r="D330">
        <v>3</v>
      </c>
      <c r="E330" s="2">
        <v>4.7193214181640199E-4</v>
      </c>
      <c r="F330">
        <v>6.1351178436132303E-3</v>
      </c>
      <c r="G330" t="s">
        <v>1458</v>
      </c>
    </row>
    <row r="331" spans="1:7" x14ac:dyDescent="0.25">
      <c r="A331" s="4" t="str">
        <f>HYPERLINK("http://amigo.geneontology.org/cgi-bin/amigo/term-details.cgi?term=GO:0004758","GO:0004758")</f>
        <v>GO:0004758</v>
      </c>
      <c r="B331" t="s">
        <v>1980</v>
      </c>
      <c r="C331">
        <v>3</v>
      </c>
      <c r="D331">
        <v>3</v>
      </c>
      <c r="E331" s="2">
        <v>4.7193214181640199E-4</v>
      </c>
      <c r="F331">
        <v>6.1351178436132303E-3</v>
      </c>
      <c r="G331" t="s">
        <v>1458</v>
      </c>
    </row>
    <row r="332" spans="1:7" x14ac:dyDescent="0.25">
      <c r="A332" s="4" t="str">
        <f>HYPERLINK("http://amigo.geneontology.org/cgi-bin/amigo/term-details.cgi?term=GO:0106019","GO:0106019")</f>
        <v>GO:0106019</v>
      </c>
      <c r="B332" t="s">
        <v>1979</v>
      </c>
      <c r="C332">
        <v>3</v>
      </c>
      <c r="D332">
        <v>3</v>
      </c>
      <c r="E332" s="2">
        <v>4.7193214181640199E-4</v>
      </c>
      <c r="F332">
        <v>6.1351178436132303E-3</v>
      </c>
      <c r="G332" t="s">
        <v>1514</v>
      </c>
    </row>
    <row r="333" spans="1:7" x14ac:dyDescent="0.25">
      <c r="A333" s="4" t="str">
        <f>HYPERLINK("http://amigo.geneontology.org/cgi-bin/amigo/term-details.cgi?term=GO:0004439","GO:0004439")</f>
        <v>GO:0004439</v>
      </c>
      <c r="B333" t="s">
        <v>1978</v>
      </c>
      <c r="C333">
        <v>3</v>
      </c>
      <c r="D333">
        <v>3</v>
      </c>
      <c r="E333" s="2">
        <v>4.7193214181640199E-4</v>
      </c>
      <c r="F333">
        <v>6.1351178436132303E-3</v>
      </c>
      <c r="G333" t="s">
        <v>1514</v>
      </c>
    </row>
    <row r="334" spans="1:7" x14ac:dyDescent="0.25">
      <c r="A334" s="4" t="str">
        <f>HYPERLINK("http://amigo.geneontology.org/cgi-bin/amigo/term-details.cgi?term=GO:0046030","GO:0046030")</f>
        <v>GO:0046030</v>
      </c>
      <c r="B334" t="s">
        <v>1977</v>
      </c>
      <c r="C334">
        <v>3</v>
      </c>
      <c r="D334">
        <v>3</v>
      </c>
      <c r="E334" s="2">
        <v>4.7193214181640199E-4</v>
      </c>
      <c r="F334">
        <v>6.1351178436132303E-3</v>
      </c>
      <c r="G334" t="s">
        <v>1514</v>
      </c>
    </row>
    <row r="335" spans="1:7" x14ac:dyDescent="0.25">
      <c r="A335" s="4" t="str">
        <f>HYPERLINK("http://amigo.geneontology.org/cgi-bin/amigo/term-details.cgi?term=GO:0004445","GO:0004445")</f>
        <v>GO:0004445</v>
      </c>
      <c r="B335" t="s">
        <v>1976</v>
      </c>
      <c r="C335">
        <v>3</v>
      </c>
      <c r="D335">
        <v>3</v>
      </c>
      <c r="E335" s="2">
        <v>4.7193214181640199E-4</v>
      </c>
      <c r="F335">
        <v>6.1351178436132303E-3</v>
      </c>
      <c r="G335" t="s">
        <v>1514</v>
      </c>
    </row>
    <row r="336" spans="1:7" x14ac:dyDescent="0.25">
      <c r="A336" s="4" t="str">
        <f>HYPERLINK("http://amigo.geneontology.org/cgi-bin/amigo/term-details.cgi?term=GO:0034594","GO:0034594")</f>
        <v>GO:0034594</v>
      </c>
      <c r="B336" t="s">
        <v>1975</v>
      </c>
      <c r="C336">
        <v>3</v>
      </c>
      <c r="D336">
        <v>3</v>
      </c>
      <c r="E336" s="2">
        <v>4.7193214181640199E-4</v>
      </c>
      <c r="F336">
        <v>6.1351178436132303E-3</v>
      </c>
      <c r="G336" t="s">
        <v>1514</v>
      </c>
    </row>
    <row r="337" spans="1:7" x14ac:dyDescent="0.25">
      <c r="A337" s="4" t="str">
        <f>HYPERLINK("http://amigo.geneontology.org/cgi-bin/amigo/term-details.cgi?term=GO:0034485","GO:0034485")</f>
        <v>GO:0034485</v>
      </c>
      <c r="B337" t="s">
        <v>1974</v>
      </c>
      <c r="C337">
        <v>3</v>
      </c>
      <c r="D337">
        <v>3</v>
      </c>
      <c r="E337" s="2">
        <v>4.7193214181640199E-4</v>
      </c>
      <c r="F337">
        <v>6.1351178436132303E-3</v>
      </c>
      <c r="G337" t="s">
        <v>1514</v>
      </c>
    </row>
    <row r="338" spans="1:7" x14ac:dyDescent="0.25">
      <c r="A338" s="4" t="str">
        <f>HYPERLINK("http://amigo.geneontology.org/cgi-bin/amigo/term-details.cgi?term=GO:0052658","GO:0052658")</f>
        <v>GO:0052658</v>
      </c>
      <c r="B338" t="s">
        <v>1973</v>
      </c>
      <c r="C338">
        <v>3</v>
      </c>
      <c r="D338">
        <v>3</v>
      </c>
      <c r="E338" s="2">
        <v>4.7193214181640199E-4</v>
      </c>
      <c r="F338">
        <v>6.1351178436132303E-3</v>
      </c>
      <c r="G338" t="s">
        <v>1514</v>
      </c>
    </row>
    <row r="339" spans="1:7" x14ac:dyDescent="0.25">
      <c r="A339" s="4" t="str">
        <f>HYPERLINK("http://amigo.geneontology.org/cgi-bin/amigo/term-details.cgi?term=GO:0052743","GO:0052743")</f>
        <v>GO:0052743</v>
      </c>
      <c r="B339" t="s">
        <v>1972</v>
      </c>
      <c r="C339">
        <v>3</v>
      </c>
      <c r="D339">
        <v>3</v>
      </c>
      <c r="E339" s="2">
        <v>4.7193214181640199E-4</v>
      </c>
      <c r="F339">
        <v>6.1351178436132303E-3</v>
      </c>
      <c r="G339" t="s">
        <v>1514</v>
      </c>
    </row>
    <row r="340" spans="1:7" x14ac:dyDescent="0.25">
      <c r="A340" s="4" t="str">
        <f>HYPERLINK("http://amigo.geneontology.org/cgi-bin/amigo/term-details.cgi?term=GO:0052659","GO:0052659")</f>
        <v>GO:0052659</v>
      </c>
      <c r="B340" t="s">
        <v>1971</v>
      </c>
      <c r="C340">
        <v>3</v>
      </c>
      <c r="D340">
        <v>3</v>
      </c>
      <c r="E340" s="2">
        <v>4.7193214181640199E-4</v>
      </c>
      <c r="F340">
        <v>6.6070499854296401E-3</v>
      </c>
      <c r="G340" t="s">
        <v>1514</v>
      </c>
    </row>
    <row r="341" spans="1:7" x14ac:dyDescent="0.25">
      <c r="A341" s="4" t="str">
        <f>HYPERLINK("http://amigo.geneontology.org/cgi-bin/amigo/term-details.cgi?term=GO:0072349","GO:0072349")</f>
        <v>GO:0072349</v>
      </c>
      <c r="B341" t="s">
        <v>1970</v>
      </c>
      <c r="C341">
        <v>3</v>
      </c>
      <c r="D341">
        <v>3</v>
      </c>
      <c r="E341" s="2">
        <v>4.7193214181640199E-4</v>
      </c>
      <c r="F341">
        <v>6.6070499854296401E-3</v>
      </c>
      <c r="G341" t="s">
        <v>1703</v>
      </c>
    </row>
    <row r="342" spans="1:7" x14ac:dyDescent="0.25">
      <c r="A342" s="4" t="str">
        <f>HYPERLINK("http://amigo.geneontology.org/cgi-bin/amigo/term-details.cgi?term=GO:0008517","GO:0008517")</f>
        <v>GO:0008517</v>
      </c>
      <c r="B342" t="s">
        <v>1969</v>
      </c>
      <c r="C342">
        <v>3</v>
      </c>
      <c r="D342">
        <v>3</v>
      </c>
      <c r="E342" s="2">
        <v>4.7193214181640199E-4</v>
      </c>
      <c r="F342">
        <v>6.6070499854296401E-3</v>
      </c>
      <c r="G342" t="s">
        <v>1703</v>
      </c>
    </row>
    <row r="343" spans="1:7" x14ac:dyDescent="0.25">
      <c r="A343" s="4" t="str">
        <f>HYPERLINK("http://amigo.geneontology.org/cgi-bin/amigo/term-details.cgi?term=GO:0015884","GO:0015884")</f>
        <v>GO:0015884</v>
      </c>
      <c r="B343" t="s">
        <v>1968</v>
      </c>
      <c r="C343">
        <v>3</v>
      </c>
      <c r="D343">
        <v>3</v>
      </c>
      <c r="E343" s="2">
        <v>4.7193214181640199E-4</v>
      </c>
      <c r="F343">
        <v>6.6070499854296401E-3</v>
      </c>
      <c r="G343" t="s">
        <v>1703</v>
      </c>
    </row>
    <row r="344" spans="1:7" x14ac:dyDescent="0.25">
      <c r="A344" s="4" t="str">
        <f>HYPERLINK("http://amigo.geneontology.org/cgi-bin/amigo/term-details.cgi?term=GO:0008478","GO:0008478")</f>
        <v>GO:0008478</v>
      </c>
      <c r="B344" t="s">
        <v>1284</v>
      </c>
      <c r="C344">
        <v>3</v>
      </c>
      <c r="D344">
        <v>3</v>
      </c>
      <c r="E344" s="2">
        <v>4.7193214181640199E-4</v>
      </c>
      <c r="F344">
        <v>6.6070499854296401E-3</v>
      </c>
      <c r="G344" t="s">
        <v>1282</v>
      </c>
    </row>
    <row r="345" spans="1:7" x14ac:dyDescent="0.25">
      <c r="A345" s="4" t="str">
        <f>HYPERLINK("http://amigo.geneontology.org/cgi-bin/amigo/term-details.cgi?term=GO:0003852","GO:0003852")</f>
        <v>GO:0003852</v>
      </c>
      <c r="B345" t="s">
        <v>244</v>
      </c>
      <c r="C345">
        <v>3</v>
      </c>
      <c r="D345">
        <v>3</v>
      </c>
      <c r="E345" s="2">
        <v>4.7193214181640199E-4</v>
      </c>
      <c r="F345">
        <v>6.6070499854296401E-3</v>
      </c>
      <c r="G345" t="s">
        <v>153</v>
      </c>
    </row>
    <row r="346" spans="1:7" x14ac:dyDescent="0.25">
      <c r="A346" s="4" t="str">
        <f>HYPERLINK("http://amigo.geneontology.org/cgi-bin/amigo/term-details.cgi?term=GO:0033542","GO:0033542")</f>
        <v>GO:0033542</v>
      </c>
      <c r="B346" t="s">
        <v>1967</v>
      </c>
      <c r="C346">
        <v>3</v>
      </c>
      <c r="D346">
        <v>3</v>
      </c>
      <c r="E346" s="2">
        <v>4.7193214181640199E-4</v>
      </c>
      <c r="F346">
        <v>6.6070499854296401E-3</v>
      </c>
      <c r="G346" t="s">
        <v>1965</v>
      </c>
    </row>
    <row r="347" spans="1:7" x14ac:dyDescent="0.25">
      <c r="A347" s="4" t="str">
        <f>HYPERLINK("http://amigo.geneontology.org/cgi-bin/amigo/term-details.cgi?term=GO:0080023","GO:0080023")</f>
        <v>GO:0080023</v>
      </c>
      <c r="B347" t="s">
        <v>1966</v>
      </c>
      <c r="C347">
        <v>3</v>
      </c>
      <c r="D347">
        <v>3</v>
      </c>
      <c r="E347" s="2">
        <v>4.7193214181640199E-4</v>
      </c>
      <c r="F347">
        <v>6.6070499854296401E-3</v>
      </c>
      <c r="G347" t="s">
        <v>1965</v>
      </c>
    </row>
    <row r="348" spans="1:7" x14ac:dyDescent="0.25">
      <c r="A348" s="4" t="str">
        <f>HYPERLINK("http://amigo.geneontology.org/cgi-bin/amigo/term-details.cgi?term=GO:0008936","GO:0008936")</f>
        <v>GO:0008936</v>
      </c>
      <c r="B348" t="s">
        <v>1964</v>
      </c>
      <c r="C348">
        <v>3</v>
      </c>
      <c r="D348">
        <v>3</v>
      </c>
      <c r="E348" s="2">
        <v>4.7193214181640199E-4</v>
      </c>
      <c r="F348">
        <v>6.6070499854296401E-3</v>
      </c>
      <c r="G348" t="s">
        <v>1963</v>
      </c>
    </row>
    <row r="349" spans="1:7" x14ac:dyDescent="0.25">
      <c r="A349" s="4" t="str">
        <f>HYPERLINK("http://amigo.geneontology.org/cgi-bin/amigo/term-details.cgi?term=GO:0042040","GO:0042040")</f>
        <v>GO:0042040</v>
      </c>
      <c r="B349" t="s">
        <v>1962</v>
      </c>
      <c r="C349">
        <v>3</v>
      </c>
      <c r="D349">
        <v>3</v>
      </c>
      <c r="E349" s="2">
        <v>4.7193214181640199E-4</v>
      </c>
      <c r="F349">
        <v>6.6070499854296401E-3</v>
      </c>
      <c r="G349" t="s">
        <v>1018</v>
      </c>
    </row>
    <row r="350" spans="1:7" x14ac:dyDescent="0.25">
      <c r="A350" s="4" t="str">
        <f>HYPERLINK("http://amigo.geneontology.org/cgi-bin/amigo/term-details.cgi?term=GO:0018315","GO:0018315")</f>
        <v>GO:0018315</v>
      </c>
      <c r="B350" t="s">
        <v>1961</v>
      </c>
      <c r="C350">
        <v>3</v>
      </c>
      <c r="D350">
        <v>3</v>
      </c>
      <c r="E350" s="2">
        <v>4.7193214181640199E-4</v>
      </c>
      <c r="F350">
        <v>6.6070499854296401E-3</v>
      </c>
      <c r="G350" t="s">
        <v>1018</v>
      </c>
    </row>
    <row r="351" spans="1:7" x14ac:dyDescent="0.25">
      <c r="A351" s="4" t="str">
        <f>HYPERLINK("http://amigo.geneontology.org/cgi-bin/amigo/term-details.cgi?term=GO:0010817","GO:0010817")</f>
        <v>GO:0010817</v>
      </c>
      <c r="B351" t="s">
        <v>1960</v>
      </c>
      <c r="C351">
        <v>384</v>
      </c>
      <c r="D351">
        <v>49</v>
      </c>
      <c r="E351" s="2">
        <v>4.7231266694119499E-4</v>
      </c>
      <c r="F351">
        <v>6.1400646702355396E-3</v>
      </c>
      <c r="G351" t="s">
        <v>1959</v>
      </c>
    </row>
    <row r="352" spans="1:7" x14ac:dyDescent="0.25">
      <c r="A352" s="4" t="str">
        <f>HYPERLINK("http://amigo.geneontology.org/cgi-bin/amigo/term-details.cgi?term=GO:0004476","GO:0004476")</f>
        <v>GO:0004476</v>
      </c>
      <c r="B352" t="s">
        <v>187</v>
      </c>
      <c r="C352">
        <v>6</v>
      </c>
      <c r="D352">
        <v>4</v>
      </c>
      <c r="E352" s="2">
        <v>4.8459431550898702E-4</v>
      </c>
      <c r="F352">
        <v>6.2997261016168298E-3</v>
      </c>
      <c r="G352" t="s">
        <v>989</v>
      </c>
    </row>
    <row r="353" spans="1:7" x14ac:dyDescent="0.25">
      <c r="A353" s="4" t="str">
        <f>HYPERLINK("http://amigo.geneontology.org/cgi-bin/amigo/term-details.cgi?term=GO:0019008","GO:0019008")</f>
        <v>GO:0019008</v>
      </c>
      <c r="B353" t="s">
        <v>913</v>
      </c>
      <c r="C353">
        <v>6</v>
      </c>
      <c r="D353">
        <v>4</v>
      </c>
      <c r="E353" s="2">
        <v>4.8459431550898702E-4</v>
      </c>
      <c r="F353">
        <v>6.2997261016168298E-3</v>
      </c>
      <c r="G353" t="s">
        <v>1020</v>
      </c>
    </row>
    <row r="354" spans="1:7" x14ac:dyDescent="0.25">
      <c r="A354" s="4" t="str">
        <f>HYPERLINK("http://amigo.geneontology.org/cgi-bin/amigo/term-details.cgi?term=GO:0042446","GO:0042446")</f>
        <v>GO:0042446</v>
      </c>
      <c r="B354" t="s">
        <v>1958</v>
      </c>
      <c r="C354">
        <v>259</v>
      </c>
      <c r="D354">
        <v>36</v>
      </c>
      <c r="E354" s="2">
        <v>5.3043492084490996E-4</v>
      </c>
      <c r="F354">
        <v>6.8956539709838297E-3</v>
      </c>
      <c r="G354" t="s">
        <v>1957</v>
      </c>
    </row>
    <row r="355" spans="1:7" x14ac:dyDescent="0.25">
      <c r="A355" s="4" t="str">
        <f>HYPERLINK("http://amigo.geneontology.org/cgi-bin/amigo/term-details.cgi?term=GO:0071369","GO:0071369")</f>
        <v>GO:0071369</v>
      </c>
      <c r="B355" t="s">
        <v>584</v>
      </c>
      <c r="C355">
        <v>52</v>
      </c>
      <c r="D355">
        <v>12</v>
      </c>
      <c r="E355" s="2">
        <v>5.3283412046885596E-4</v>
      </c>
      <c r="F355">
        <v>6.9268435660951198E-3</v>
      </c>
      <c r="G355" t="s">
        <v>1956</v>
      </c>
    </row>
    <row r="356" spans="1:7" x14ac:dyDescent="0.25">
      <c r="A356" s="4" t="str">
        <f>HYPERLINK("http://amigo.geneontology.org/cgi-bin/amigo/term-details.cgi?term=GO:0009873","GO:0009873")</f>
        <v>GO:0009873</v>
      </c>
      <c r="B356" t="s">
        <v>583</v>
      </c>
      <c r="C356">
        <v>52</v>
      </c>
      <c r="D356">
        <v>12</v>
      </c>
      <c r="E356" s="2">
        <v>5.3283412046885596E-4</v>
      </c>
      <c r="F356">
        <v>6.9268435660951198E-3</v>
      </c>
      <c r="G356" t="s">
        <v>1956</v>
      </c>
    </row>
    <row r="357" spans="1:7" x14ac:dyDescent="0.25">
      <c r="A357" s="4" t="str">
        <f>HYPERLINK("http://amigo.geneontology.org/cgi-bin/amigo/term-details.cgi?term=GO:0034204","GO:0034204")</f>
        <v>GO:0034204</v>
      </c>
      <c r="B357" t="s">
        <v>1955</v>
      </c>
      <c r="C357">
        <v>20</v>
      </c>
      <c r="D357">
        <v>7</v>
      </c>
      <c r="E357" s="2">
        <v>5.4018181185376503E-4</v>
      </c>
      <c r="F357">
        <v>6.4821817422451803E-3</v>
      </c>
      <c r="G357" t="s">
        <v>1936</v>
      </c>
    </row>
    <row r="358" spans="1:7" x14ac:dyDescent="0.25">
      <c r="A358" s="4" t="str">
        <f>HYPERLINK("http://amigo.geneontology.org/cgi-bin/amigo/term-details.cgi?term=GO:0045332","GO:0045332")</f>
        <v>GO:0045332</v>
      </c>
      <c r="B358" t="s">
        <v>1954</v>
      </c>
      <c r="C358">
        <v>20</v>
      </c>
      <c r="D358">
        <v>7</v>
      </c>
      <c r="E358" s="2">
        <v>5.4018181185376503E-4</v>
      </c>
      <c r="F358">
        <v>6.4821817422451803E-3</v>
      </c>
      <c r="G358" t="s">
        <v>1936</v>
      </c>
    </row>
    <row r="359" spans="1:7" x14ac:dyDescent="0.25">
      <c r="A359" s="4" t="str">
        <f>HYPERLINK("http://amigo.geneontology.org/cgi-bin/amigo/term-details.cgi?term=GO:0004664","GO:0004664")</f>
        <v>GO:0004664</v>
      </c>
      <c r="B359" t="s">
        <v>114</v>
      </c>
      <c r="C359">
        <v>20</v>
      </c>
      <c r="D359">
        <v>7</v>
      </c>
      <c r="E359" s="2">
        <v>5.4018181185376503E-4</v>
      </c>
      <c r="F359">
        <v>7.0223635540989397E-3</v>
      </c>
      <c r="G359" t="s">
        <v>1210</v>
      </c>
    </row>
    <row r="360" spans="1:7" x14ac:dyDescent="0.25">
      <c r="A360" s="4" t="str">
        <f>HYPERLINK("http://amigo.geneontology.org/cgi-bin/amigo/term-details.cgi?term=GO:0016668","GO:0016668")</f>
        <v>GO:0016668</v>
      </c>
      <c r="B360" t="s">
        <v>275</v>
      </c>
      <c r="C360">
        <v>32</v>
      </c>
      <c r="D360">
        <v>9</v>
      </c>
      <c r="E360" s="2">
        <v>5.6199306995809498E-4</v>
      </c>
      <c r="F360">
        <v>6.7439168394971402E-3</v>
      </c>
      <c r="G360" t="s">
        <v>1023</v>
      </c>
    </row>
    <row r="361" spans="1:7" x14ac:dyDescent="0.25">
      <c r="A361" s="4" t="str">
        <f>HYPERLINK("http://amigo.geneontology.org/cgi-bin/amigo/term-details.cgi?term=GO:0006970","GO:0006970")</f>
        <v>GO:0006970</v>
      </c>
      <c r="B361" t="s">
        <v>1953</v>
      </c>
      <c r="C361">
        <v>279</v>
      </c>
      <c r="D361">
        <v>38</v>
      </c>
      <c r="E361" s="2">
        <v>5.6433850478775495E-4</v>
      </c>
      <c r="F361">
        <v>6.7720620574530698E-3</v>
      </c>
      <c r="G361" t="s">
        <v>1952</v>
      </c>
    </row>
    <row r="362" spans="1:7" x14ac:dyDescent="0.25">
      <c r="A362" s="4" t="str">
        <f>HYPERLINK("http://amigo.geneontology.org/cgi-bin/amigo/term-details.cgi?term=GO:0000041","GO:0000041")</f>
        <v>GO:0000041</v>
      </c>
      <c r="B362" t="s">
        <v>1951</v>
      </c>
      <c r="C362">
        <v>124</v>
      </c>
      <c r="D362">
        <v>21</v>
      </c>
      <c r="E362" s="2">
        <v>5.9040071182951996E-4</v>
      </c>
      <c r="F362">
        <v>7.0848085419542399E-3</v>
      </c>
      <c r="G362" t="s">
        <v>1950</v>
      </c>
    </row>
    <row r="363" spans="1:7" x14ac:dyDescent="0.25">
      <c r="A363" s="4" t="str">
        <f>HYPERLINK("http://amigo.geneontology.org/cgi-bin/amigo/term-details.cgi?term=GO:0016706","GO:0016706")</f>
        <v>GO:0016706</v>
      </c>
      <c r="B363" t="s">
        <v>1949</v>
      </c>
      <c r="C363">
        <v>251</v>
      </c>
      <c r="D363">
        <v>35</v>
      </c>
      <c r="E363" s="2">
        <v>5.91887720926261E-4</v>
      </c>
      <c r="F363">
        <v>7.1026526511151298E-3</v>
      </c>
      <c r="G363" t="s">
        <v>1948</v>
      </c>
    </row>
    <row r="364" spans="1:7" x14ac:dyDescent="0.25">
      <c r="A364" s="4" t="str">
        <f>HYPERLINK("http://amigo.geneontology.org/cgi-bin/amigo/term-details.cgi?term=GO:0009646","GO:0009646")</f>
        <v>GO:0009646</v>
      </c>
      <c r="B364" t="s">
        <v>1947</v>
      </c>
      <c r="C364">
        <v>15</v>
      </c>
      <c r="D364">
        <v>6</v>
      </c>
      <c r="E364" s="2">
        <v>6.0052066950926097E-4</v>
      </c>
      <c r="F364">
        <v>7.2062480341111403E-3</v>
      </c>
      <c r="G364" t="s">
        <v>1946</v>
      </c>
    </row>
    <row r="365" spans="1:7" x14ac:dyDescent="0.25">
      <c r="A365" s="4" t="str">
        <f>HYPERLINK("http://amigo.geneontology.org/cgi-bin/amigo/term-details.cgi?term=GO:0030001","GO:0030001")</f>
        <v>GO:0030001</v>
      </c>
      <c r="B365" t="s">
        <v>220</v>
      </c>
      <c r="C365">
        <v>860</v>
      </c>
      <c r="D365">
        <v>94</v>
      </c>
      <c r="E365" s="2">
        <v>6.0326768284074304E-4</v>
      </c>
      <c r="F365">
        <v>7.2392121940889204E-3</v>
      </c>
      <c r="G365" t="s">
        <v>1945</v>
      </c>
    </row>
    <row r="366" spans="1:7" x14ac:dyDescent="0.25">
      <c r="A366" s="4" t="str">
        <f>HYPERLINK("http://amigo.geneontology.org/cgi-bin/amigo/term-details.cgi?term=GO:0023014","GO:0023014")</f>
        <v>GO:0023014</v>
      </c>
      <c r="B366" t="s">
        <v>1944</v>
      </c>
      <c r="C366">
        <v>116</v>
      </c>
      <c r="D366">
        <v>20</v>
      </c>
      <c r="E366" s="2">
        <v>6.2303358159467904E-4</v>
      </c>
      <c r="F366">
        <v>7.4764029791361498E-3</v>
      </c>
      <c r="G366" t="s">
        <v>1943</v>
      </c>
    </row>
    <row r="367" spans="1:7" x14ac:dyDescent="0.25">
      <c r="A367" s="4" t="str">
        <f>HYPERLINK("http://amigo.geneontology.org/cgi-bin/amigo/term-details.cgi?term=GO:0000305","GO:0000305")</f>
        <v>GO:0000305</v>
      </c>
      <c r="B367" t="s">
        <v>291</v>
      </c>
      <c r="C367">
        <v>39</v>
      </c>
      <c r="D367">
        <v>10</v>
      </c>
      <c r="E367" s="2">
        <v>6.30773868898239E-4</v>
      </c>
      <c r="F367">
        <v>7.5692864267788698E-3</v>
      </c>
      <c r="G367" t="s">
        <v>1942</v>
      </c>
    </row>
    <row r="368" spans="1:7" x14ac:dyDescent="0.25">
      <c r="A368" s="4" t="str">
        <f>HYPERLINK("http://amigo.geneontology.org/cgi-bin/amigo/term-details.cgi?term=GO:0000303","GO:0000303")</f>
        <v>GO:0000303</v>
      </c>
      <c r="B368" t="s">
        <v>290</v>
      </c>
      <c r="C368">
        <v>39</v>
      </c>
      <c r="D368">
        <v>10</v>
      </c>
      <c r="E368" s="2">
        <v>6.30773868898239E-4</v>
      </c>
      <c r="F368">
        <v>7.5692864267788698E-3</v>
      </c>
      <c r="G368" t="s">
        <v>1942</v>
      </c>
    </row>
    <row r="369" spans="1:7" x14ac:dyDescent="0.25">
      <c r="A369" s="4" t="str">
        <f>HYPERLINK("http://amigo.geneontology.org/cgi-bin/amigo/term-details.cgi?term=GO:0015238","GO:0015238")</f>
        <v>GO:0015238</v>
      </c>
      <c r="B369" t="s">
        <v>914</v>
      </c>
      <c r="C369">
        <v>271</v>
      </c>
      <c r="D369">
        <v>37</v>
      </c>
      <c r="E369" s="2">
        <v>6.3125684758227104E-4</v>
      </c>
      <c r="F369">
        <v>7.5750821709872603E-3</v>
      </c>
      <c r="G369" t="s">
        <v>1941</v>
      </c>
    </row>
    <row r="370" spans="1:7" x14ac:dyDescent="0.25">
      <c r="A370" s="4" t="str">
        <f>HYPERLINK("http://amigo.geneontology.org/cgi-bin/amigo/term-details.cgi?term=GO:0032559","GO:0032559")</f>
        <v>GO:0032559</v>
      </c>
      <c r="B370" t="s">
        <v>268</v>
      </c>
      <c r="C370">
        <v>11276</v>
      </c>
      <c r="D370">
        <v>964</v>
      </c>
      <c r="E370" s="2">
        <v>6.5027090794496096E-4</v>
      </c>
      <c r="F370">
        <v>7.8032508953395302E-3</v>
      </c>
      <c r="G370" t="s">
        <v>1940</v>
      </c>
    </row>
    <row r="371" spans="1:7" x14ac:dyDescent="0.25">
      <c r="A371" s="4" t="str">
        <f>HYPERLINK("http://amigo.geneontology.org/cgi-bin/amigo/term-details.cgi?term=GO:0019787","GO:0019787")</f>
        <v>GO:0019787</v>
      </c>
      <c r="B371" t="s">
        <v>949</v>
      </c>
      <c r="C371">
        <v>669</v>
      </c>
      <c r="D371">
        <v>76</v>
      </c>
      <c r="E371" s="2">
        <v>6.5089429084432904E-4</v>
      </c>
      <c r="F371">
        <v>7.8107314901319502E-3</v>
      </c>
      <c r="G371" t="s">
        <v>1939</v>
      </c>
    </row>
    <row r="372" spans="1:7" x14ac:dyDescent="0.25">
      <c r="A372" s="4" t="str">
        <f>HYPERLINK("http://amigo.geneontology.org/cgi-bin/amigo/term-details.cgi?term=GO:0032446","GO:0032446")</f>
        <v>GO:0032446</v>
      </c>
      <c r="B372" t="s">
        <v>356</v>
      </c>
      <c r="C372">
        <v>811</v>
      </c>
      <c r="D372">
        <v>89</v>
      </c>
      <c r="E372" s="2">
        <v>7.2989446825736802E-4</v>
      </c>
      <c r="F372">
        <v>8.7587336190884206E-3</v>
      </c>
      <c r="G372" t="s">
        <v>1938</v>
      </c>
    </row>
    <row r="373" spans="1:7" x14ac:dyDescent="0.25">
      <c r="A373" s="4" t="str">
        <f>HYPERLINK("http://amigo.geneontology.org/cgi-bin/amigo/term-details.cgi?term=GO:0016682","GO:0016682")</f>
        <v>GO:0016682</v>
      </c>
      <c r="B373" t="s">
        <v>196</v>
      </c>
      <c r="C373">
        <v>126</v>
      </c>
      <c r="D373">
        <v>21</v>
      </c>
      <c r="E373" s="2">
        <v>7.3280014804505899E-4</v>
      </c>
      <c r="F373">
        <v>8.7936017765406996E-3</v>
      </c>
      <c r="G373" t="s">
        <v>1279</v>
      </c>
    </row>
    <row r="374" spans="1:7" x14ac:dyDescent="0.25">
      <c r="A374" s="4" t="str">
        <f>HYPERLINK("http://amigo.geneontology.org/cgi-bin/amigo/term-details.cgi?term=GO:0097035","GO:0097035")</f>
        <v>GO:0097035</v>
      </c>
      <c r="B374" t="s">
        <v>1937</v>
      </c>
      <c r="C374">
        <v>21</v>
      </c>
      <c r="D374">
        <v>7</v>
      </c>
      <c r="E374" s="2">
        <v>7.5601222464933399E-4</v>
      </c>
      <c r="F374">
        <v>9.0721466957920001E-3</v>
      </c>
      <c r="G374" t="s">
        <v>1936</v>
      </c>
    </row>
    <row r="375" spans="1:7" x14ac:dyDescent="0.25">
      <c r="A375" s="4" t="str">
        <f>HYPERLINK("http://amigo.geneontology.org/cgi-bin/amigo/term-details.cgi?term=GO:0003995","GO:0003995")</f>
        <v>GO:0003995</v>
      </c>
      <c r="B375" t="s">
        <v>165</v>
      </c>
      <c r="C375">
        <v>21</v>
      </c>
      <c r="D375">
        <v>7</v>
      </c>
      <c r="E375" s="2">
        <v>7.5601222464933399E-4</v>
      </c>
      <c r="F375">
        <v>9.0721466957920001E-3</v>
      </c>
      <c r="G375" t="s">
        <v>1281</v>
      </c>
    </row>
    <row r="376" spans="1:7" x14ac:dyDescent="0.25">
      <c r="A376" s="4" t="str">
        <f>HYPERLINK("http://amigo.geneontology.org/cgi-bin/amigo/term-details.cgi?term=GO:0006672","GO:0006672")</f>
        <v>GO:0006672</v>
      </c>
      <c r="B376" t="s">
        <v>89</v>
      </c>
      <c r="C376">
        <v>27</v>
      </c>
      <c r="D376">
        <v>8</v>
      </c>
      <c r="E376" s="2">
        <v>7.75661897216297E-4</v>
      </c>
      <c r="F376">
        <v>9.3079427665955592E-3</v>
      </c>
      <c r="G376" t="s">
        <v>1935</v>
      </c>
    </row>
    <row r="377" spans="1:7" x14ac:dyDescent="0.25">
      <c r="A377" s="4" t="str">
        <f>HYPERLINK("http://amigo.geneontology.org/cgi-bin/amigo/term-details.cgi?term=GO:0015291","GO:0015291")</f>
        <v>GO:0015291</v>
      </c>
      <c r="B377" t="s">
        <v>91</v>
      </c>
      <c r="C377">
        <v>527</v>
      </c>
      <c r="D377">
        <v>62</v>
      </c>
      <c r="E377" s="2">
        <v>8.1900550290586196E-4</v>
      </c>
      <c r="F377">
        <v>9.8280660348703391E-3</v>
      </c>
      <c r="G377" t="s">
        <v>1934</v>
      </c>
    </row>
    <row r="378" spans="1:7" x14ac:dyDescent="0.25">
      <c r="A378" s="4" t="str">
        <f>HYPERLINK("http://amigo.geneontology.org/cgi-bin/amigo/term-details.cgi?term=GO:0009651","GO:0009651")</f>
        <v>GO:0009651</v>
      </c>
      <c r="B378" t="s">
        <v>1933</v>
      </c>
      <c r="C378">
        <v>237</v>
      </c>
      <c r="D378">
        <v>33</v>
      </c>
      <c r="E378" s="2">
        <v>8.5363810842068605E-4</v>
      </c>
      <c r="F378">
        <v>1.02436573010482E-2</v>
      </c>
      <c r="G378" t="s">
        <v>1932</v>
      </c>
    </row>
    <row r="379" spans="1:7" x14ac:dyDescent="0.25">
      <c r="A379" s="4" t="str">
        <f>HYPERLINK("http://amigo.geneontology.org/cgi-bin/amigo/term-details.cgi?term=GO:0010942","GO:0010942")</f>
        <v>GO:0010942</v>
      </c>
      <c r="B379" t="s">
        <v>1931</v>
      </c>
      <c r="C379">
        <v>11</v>
      </c>
      <c r="D379">
        <v>5</v>
      </c>
      <c r="E379" s="2">
        <v>8.8510528008723202E-4</v>
      </c>
      <c r="F379">
        <v>1.06212633610467E-2</v>
      </c>
      <c r="G379" t="s">
        <v>1930</v>
      </c>
    </row>
    <row r="380" spans="1:7" x14ac:dyDescent="0.25">
      <c r="A380" s="4" t="str">
        <f>HYPERLINK("http://amigo.geneontology.org/cgi-bin/amigo/term-details.cgi?term=GO:0016653","GO:0016653")</f>
        <v>GO:0016653</v>
      </c>
      <c r="B380" t="s">
        <v>970</v>
      </c>
      <c r="C380">
        <v>16</v>
      </c>
      <c r="D380">
        <v>6</v>
      </c>
      <c r="E380" s="2">
        <v>8.9766025916337999E-4</v>
      </c>
      <c r="F380">
        <v>1.07719231099605E-2</v>
      </c>
      <c r="G380" t="s">
        <v>1286</v>
      </c>
    </row>
    <row r="381" spans="1:7" x14ac:dyDescent="0.25">
      <c r="A381" s="4" t="str">
        <f>HYPERLINK("http://amigo.geneontology.org/cgi-bin/amigo/term-details.cgi?term=GO:0015696","GO:0015696")</f>
        <v>GO:0015696</v>
      </c>
      <c r="B381" t="s">
        <v>308</v>
      </c>
      <c r="C381">
        <v>34</v>
      </c>
      <c r="D381">
        <v>9</v>
      </c>
      <c r="E381" s="2">
        <v>9.1172001674647495E-4</v>
      </c>
      <c r="F381">
        <v>1.09406402009577E-2</v>
      </c>
      <c r="G381" t="s">
        <v>1026</v>
      </c>
    </row>
    <row r="382" spans="1:7" x14ac:dyDescent="0.25">
      <c r="A382" s="4" t="str">
        <f>HYPERLINK("http://amigo.geneontology.org/cgi-bin/amigo/term-details.cgi?term=GO:0006418","GO:0006418")</f>
        <v>GO:0006418</v>
      </c>
      <c r="B382" t="s">
        <v>184</v>
      </c>
      <c r="C382">
        <v>248</v>
      </c>
      <c r="D382">
        <v>34</v>
      </c>
      <c r="E382" s="2">
        <v>9.4787089824511399E-4</v>
      </c>
      <c r="F382">
        <v>1.13744507789413E-2</v>
      </c>
      <c r="G382" t="s">
        <v>1865</v>
      </c>
    </row>
    <row r="383" spans="1:7" x14ac:dyDescent="0.25">
      <c r="A383" s="4" t="str">
        <f>HYPERLINK("http://amigo.geneontology.org/cgi-bin/amigo/term-details.cgi?term=GO:0070588","GO:0070588")</f>
        <v>GO:0070588</v>
      </c>
      <c r="B383" t="s">
        <v>300</v>
      </c>
      <c r="C383">
        <v>48</v>
      </c>
      <c r="D383">
        <v>11</v>
      </c>
      <c r="E383" s="2">
        <v>9.5627728013608301E-4</v>
      </c>
      <c r="F383">
        <v>1.1475327361632899E-2</v>
      </c>
      <c r="G383" t="s">
        <v>238</v>
      </c>
    </row>
    <row r="384" spans="1:7" x14ac:dyDescent="0.25">
      <c r="A384" s="4" t="str">
        <f>HYPERLINK("http://amigo.geneontology.org/cgi-bin/amigo/term-details.cgi?term=GO:0030554","GO:0030554")</f>
        <v>GO:0030554</v>
      </c>
      <c r="B384" t="s">
        <v>267</v>
      </c>
      <c r="C384">
        <v>11364</v>
      </c>
      <c r="D384">
        <v>968</v>
      </c>
      <c r="E384" s="2">
        <v>9.6705950475148999E-4</v>
      </c>
      <c r="F384">
        <v>1.1604714057017801E-2</v>
      </c>
      <c r="G384" t="s">
        <v>1929</v>
      </c>
    </row>
    <row r="385" spans="1:7" x14ac:dyDescent="0.25">
      <c r="A385" s="4" t="str">
        <f>HYPERLINK("http://amigo.geneontology.org/cgi-bin/amigo/term-details.cgi?term=GO:1902223","GO:1902223")</f>
        <v>GO:1902223</v>
      </c>
      <c r="B385" t="s">
        <v>1928</v>
      </c>
      <c r="C385">
        <v>28</v>
      </c>
      <c r="D385">
        <v>8</v>
      </c>
      <c r="E385">
        <v>1.0123135155354799E-3</v>
      </c>
      <c r="F385">
        <v>1.21477621864258E-2</v>
      </c>
      <c r="G385" t="s">
        <v>1701</v>
      </c>
    </row>
    <row r="386" spans="1:7" x14ac:dyDescent="0.25">
      <c r="A386" s="4" t="str">
        <f>HYPERLINK("http://amigo.geneontology.org/cgi-bin/amigo/term-details.cgi?term=GO:0009094","GO:0009094")</f>
        <v>GO:0009094</v>
      </c>
      <c r="B386" t="s">
        <v>113</v>
      </c>
      <c r="C386">
        <v>28</v>
      </c>
      <c r="D386">
        <v>8</v>
      </c>
      <c r="E386">
        <v>1.0123135155354799E-3</v>
      </c>
      <c r="F386">
        <v>1.21477621864258E-2</v>
      </c>
      <c r="G386" t="s">
        <v>1701</v>
      </c>
    </row>
    <row r="387" spans="1:7" x14ac:dyDescent="0.25">
      <c r="A387" s="4" t="str">
        <f>HYPERLINK("http://amigo.geneontology.org/cgi-bin/amigo/term-details.cgi?term=GO:0000145","GO:0000145")</f>
        <v>GO:0000145</v>
      </c>
      <c r="B387" t="s">
        <v>214</v>
      </c>
      <c r="C387">
        <v>174</v>
      </c>
      <c r="D387">
        <v>26</v>
      </c>
      <c r="E387">
        <v>1.02757059515385E-3</v>
      </c>
      <c r="F387">
        <v>1.1303276546692401E-2</v>
      </c>
      <c r="G387" t="s">
        <v>1679</v>
      </c>
    </row>
    <row r="388" spans="1:7" x14ac:dyDescent="0.25">
      <c r="A388" s="4" t="str">
        <f>HYPERLINK("http://amigo.geneontology.org/cgi-bin/amigo/term-details.cgi?term=GO:0055065","GO:0055065")</f>
        <v>GO:0055065</v>
      </c>
      <c r="B388" t="s">
        <v>1011</v>
      </c>
      <c r="C388">
        <v>71</v>
      </c>
      <c r="D388">
        <v>14</v>
      </c>
      <c r="E388">
        <v>1.02927388185554E-3</v>
      </c>
      <c r="F388">
        <v>1.1322012700410901E-2</v>
      </c>
      <c r="G388" t="s">
        <v>1927</v>
      </c>
    </row>
    <row r="389" spans="1:7" x14ac:dyDescent="0.25">
      <c r="A389" s="4" t="str">
        <f>HYPERLINK("http://amigo.geneontology.org/cgi-bin/amigo/term-details.cgi?term=GO:0046482","GO:0046482")</f>
        <v>GO:0046482</v>
      </c>
      <c r="B389" t="s">
        <v>1926</v>
      </c>
      <c r="C389">
        <v>22</v>
      </c>
      <c r="D389">
        <v>7</v>
      </c>
      <c r="E389">
        <v>1.0346669947183501E-3</v>
      </c>
      <c r="F389">
        <v>1.1381336941901901E-2</v>
      </c>
      <c r="G389" t="s">
        <v>1925</v>
      </c>
    </row>
    <row r="390" spans="1:7" x14ac:dyDescent="0.25">
      <c r="A390" s="4" t="str">
        <f>HYPERLINK("http://amigo.geneontology.org/cgi-bin/amigo/term-details.cgi?term=GO:0006413","GO:0006413")</f>
        <v>GO:0006413</v>
      </c>
      <c r="B390" t="s">
        <v>235</v>
      </c>
      <c r="C390">
        <v>156</v>
      </c>
      <c r="D390">
        <v>24</v>
      </c>
      <c r="E390">
        <v>1.04120970248124E-3</v>
      </c>
      <c r="F390">
        <v>1.14533067272936E-2</v>
      </c>
      <c r="G390" t="s">
        <v>1796</v>
      </c>
    </row>
    <row r="391" spans="1:7" x14ac:dyDescent="0.25">
      <c r="A391" s="4" t="str">
        <f>HYPERLINK("http://amigo.geneontology.org/cgi-bin/amigo/term-details.cgi?term=GO:0009308","GO:0009308")</f>
        <v>GO:0009308</v>
      </c>
      <c r="B391" t="s">
        <v>318</v>
      </c>
      <c r="C391">
        <v>298</v>
      </c>
      <c r="D391">
        <v>39</v>
      </c>
      <c r="E391">
        <v>1.0436187340964801E-3</v>
      </c>
      <c r="F391">
        <v>1.14798060750613E-2</v>
      </c>
      <c r="G391" t="s">
        <v>1924</v>
      </c>
    </row>
    <row r="392" spans="1:7" x14ac:dyDescent="0.25">
      <c r="A392" s="4" t="str">
        <f>HYPERLINK("http://amigo.geneontology.org/cgi-bin/amigo/term-details.cgi?term=GO:0009625","GO:0009625")</f>
        <v>GO:0009625</v>
      </c>
      <c r="B392" t="s">
        <v>1923</v>
      </c>
      <c r="C392">
        <v>7</v>
      </c>
      <c r="D392">
        <v>4</v>
      </c>
      <c r="E392">
        <v>1.0607163509926501E-3</v>
      </c>
      <c r="F392">
        <v>1.16678798609192E-2</v>
      </c>
      <c r="G392" t="s">
        <v>1922</v>
      </c>
    </row>
    <row r="393" spans="1:7" x14ac:dyDescent="0.25">
      <c r="A393" s="4" t="str">
        <f>HYPERLINK("http://amigo.geneontology.org/cgi-bin/amigo/term-details.cgi?term=GO:0010033","GO:0010033")</f>
        <v>GO:0010033</v>
      </c>
      <c r="B393" t="s">
        <v>1921</v>
      </c>
      <c r="C393">
        <v>1410</v>
      </c>
      <c r="D393">
        <v>142</v>
      </c>
      <c r="E393">
        <v>1.06899935023559E-3</v>
      </c>
      <c r="F393">
        <v>1.17589928525915E-2</v>
      </c>
      <c r="G393" t="s">
        <v>1920</v>
      </c>
    </row>
    <row r="394" spans="1:7" x14ac:dyDescent="0.25">
      <c r="A394" s="4" t="str">
        <f>HYPERLINK("http://amigo.geneontology.org/cgi-bin/amigo/term-details.cgi?term=GO:0051336","GO:0051336")</f>
        <v>GO:0051336</v>
      </c>
      <c r="B394" t="s">
        <v>1919</v>
      </c>
      <c r="C394">
        <v>148</v>
      </c>
      <c r="D394">
        <v>23</v>
      </c>
      <c r="E394">
        <v>1.1390983581719501E-3</v>
      </c>
      <c r="F394">
        <v>1.25300819398915E-2</v>
      </c>
      <c r="G394" t="s">
        <v>1918</v>
      </c>
    </row>
    <row r="395" spans="1:7" x14ac:dyDescent="0.25">
      <c r="A395" s="4" t="str">
        <f>HYPERLINK("http://amigo.geneontology.org/cgi-bin/amigo/term-details.cgi?term=GO:0006415","GO:0006415")</f>
        <v>GO:0006415</v>
      </c>
      <c r="B395" t="s">
        <v>261</v>
      </c>
      <c r="C395">
        <v>35</v>
      </c>
      <c r="D395">
        <v>9</v>
      </c>
      <c r="E395">
        <v>1.1432693694224301E-3</v>
      </c>
      <c r="F395">
        <v>1.25759630636467E-2</v>
      </c>
      <c r="G395" t="s">
        <v>1203</v>
      </c>
    </row>
    <row r="396" spans="1:7" x14ac:dyDescent="0.25">
      <c r="A396" s="4" t="str">
        <f>HYPERLINK("http://amigo.geneontology.org/cgi-bin/amigo/term-details.cgi?term=GO:0008079","GO:0008079")</f>
        <v>GO:0008079</v>
      </c>
      <c r="B396" t="s">
        <v>260</v>
      </c>
      <c r="C396">
        <v>35</v>
      </c>
      <c r="D396">
        <v>9</v>
      </c>
      <c r="E396">
        <v>1.1432693694224301E-3</v>
      </c>
      <c r="F396">
        <v>1.25759630636467E-2</v>
      </c>
      <c r="G396" t="s">
        <v>1203</v>
      </c>
    </row>
    <row r="397" spans="1:7" x14ac:dyDescent="0.25">
      <c r="A397" s="4" t="str">
        <f>HYPERLINK("http://amigo.geneontology.org/cgi-bin/amigo/term-details.cgi?term=GO:0003747","GO:0003747")</f>
        <v>GO:0003747</v>
      </c>
      <c r="B397" t="s">
        <v>259</v>
      </c>
      <c r="C397">
        <v>35</v>
      </c>
      <c r="D397">
        <v>9</v>
      </c>
      <c r="E397">
        <v>1.1432693694224301E-3</v>
      </c>
      <c r="F397">
        <v>1.25759630636467E-2</v>
      </c>
      <c r="G397" t="s">
        <v>1203</v>
      </c>
    </row>
    <row r="398" spans="1:7" x14ac:dyDescent="0.25">
      <c r="A398" s="4" t="str">
        <f>HYPERLINK("http://amigo.geneontology.org/cgi-bin/amigo/term-details.cgi?term=GO:0042579","GO:0042579")</f>
        <v>GO:0042579</v>
      </c>
      <c r="B398" t="s">
        <v>98</v>
      </c>
      <c r="C398">
        <v>194</v>
      </c>
      <c r="D398">
        <v>28</v>
      </c>
      <c r="E398">
        <v>1.16570064147424E-3</v>
      </c>
      <c r="F398">
        <v>1.2822707056216701E-2</v>
      </c>
      <c r="G398" t="s">
        <v>1917</v>
      </c>
    </row>
    <row r="399" spans="1:7" x14ac:dyDescent="0.25">
      <c r="A399" s="4" t="str">
        <f>HYPERLINK("http://amigo.geneontology.org/cgi-bin/amigo/term-details.cgi?term=GO:0005777","GO:0005777")</f>
        <v>GO:0005777</v>
      </c>
      <c r="B399" t="s">
        <v>97</v>
      </c>
      <c r="C399">
        <v>194</v>
      </c>
      <c r="D399">
        <v>28</v>
      </c>
      <c r="E399">
        <v>1.16570064147424E-3</v>
      </c>
      <c r="F399">
        <v>1.2822707056216701E-2</v>
      </c>
      <c r="G399" t="s">
        <v>1917</v>
      </c>
    </row>
    <row r="400" spans="1:7" x14ac:dyDescent="0.25">
      <c r="A400" s="4" t="str">
        <f>HYPERLINK("http://amigo.geneontology.org/cgi-bin/amigo/term-details.cgi?term=GO:0009408","GO:0009408")</f>
        <v>GO:0009408</v>
      </c>
      <c r="B400" t="s">
        <v>1060</v>
      </c>
      <c r="C400">
        <v>213</v>
      </c>
      <c r="D400">
        <v>30</v>
      </c>
      <c r="E400">
        <v>1.1863691699856801E-3</v>
      </c>
      <c r="F400">
        <v>1.3050060869842501E-2</v>
      </c>
      <c r="G400" t="s">
        <v>1916</v>
      </c>
    </row>
    <row r="401" spans="1:7" x14ac:dyDescent="0.25">
      <c r="A401" s="4" t="str">
        <f>HYPERLINK("http://amigo.geneontology.org/cgi-bin/amigo/term-details.cgi?term=GO:0019219","GO:0019219")</f>
        <v>GO:0019219</v>
      </c>
      <c r="B401" t="s">
        <v>338</v>
      </c>
      <c r="C401">
        <v>4838</v>
      </c>
      <c r="D401">
        <v>433</v>
      </c>
      <c r="E401">
        <v>1.1973960570766399E-3</v>
      </c>
      <c r="F401">
        <v>1.3171356627843E-2</v>
      </c>
      <c r="G401" t="s">
        <v>1915</v>
      </c>
    </row>
    <row r="402" spans="1:7" x14ac:dyDescent="0.25">
      <c r="A402" s="4" t="str">
        <f>HYPERLINK("http://amigo.geneontology.org/cgi-bin/amigo/term-details.cgi?term=GO:0006887","GO:0006887")</f>
        <v>GO:0006887</v>
      </c>
      <c r="B402" t="s">
        <v>142</v>
      </c>
      <c r="C402">
        <v>195</v>
      </c>
      <c r="D402">
        <v>28</v>
      </c>
      <c r="E402">
        <v>1.26174831349464E-3</v>
      </c>
      <c r="F402">
        <v>1.3879231448441E-2</v>
      </c>
      <c r="G402" t="s">
        <v>1640</v>
      </c>
    </row>
    <row r="403" spans="1:7" x14ac:dyDescent="0.25">
      <c r="A403" s="4" t="str">
        <f>HYPERLINK("http://amigo.geneontology.org/cgi-bin/amigo/term-details.cgi?term=GO:0006498","GO:0006498")</f>
        <v>GO:0006498</v>
      </c>
      <c r="B403" t="s">
        <v>1914</v>
      </c>
      <c r="C403">
        <v>57</v>
      </c>
      <c r="D403">
        <v>12</v>
      </c>
      <c r="E403">
        <v>1.26984060629007E-3</v>
      </c>
      <c r="F403">
        <v>1.39682466691908E-2</v>
      </c>
      <c r="G403" t="s">
        <v>1819</v>
      </c>
    </row>
    <row r="404" spans="1:7" x14ac:dyDescent="0.25">
      <c r="A404" s="4" t="str">
        <f>HYPERLINK("http://amigo.geneontology.org/cgi-bin/amigo/term-details.cgi?term=GO:0018377","GO:0018377")</f>
        <v>GO:0018377</v>
      </c>
      <c r="B404" t="s">
        <v>1913</v>
      </c>
      <c r="C404">
        <v>57</v>
      </c>
      <c r="D404">
        <v>12</v>
      </c>
      <c r="E404">
        <v>1.26984060629007E-3</v>
      </c>
      <c r="F404">
        <v>1.39682466691908E-2</v>
      </c>
      <c r="G404" t="s">
        <v>1819</v>
      </c>
    </row>
    <row r="405" spans="1:7" x14ac:dyDescent="0.25">
      <c r="A405" s="4" t="str">
        <f>HYPERLINK("http://amigo.geneontology.org/cgi-bin/amigo/term-details.cgi?term=GO:0006499","GO:0006499")</f>
        <v>GO:0006499</v>
      </c>
      <c r="B405" t="s">
        <v>1912</v>
      </c>
      <c r="C405">
        <v>57</v>
      </c>
      <c r="D405">
        <v>12</v>
      </c>
      <c r="E405">
        <v>1.26984060629007E-3</v>
      </c>
      <c r="F405">
        <v>1.39682466691908E-2</v>
      </c>
      <c r="G405" t="s">
        <v>1819</v>
      </c>
    </row>
    <row r="406" spans="1:7" x14ac:dyDescent="0.25">
      <c r="A406" s="4" t="str">
        <f>HYPERLINK("http://amigo.geneontology.org/cgi-bin/amigo/term-details.cgi?term=GO:0016830","GO:0016830")</f>
        <v>GO:0016830</v>
      </c>
      <c r="B406" t="s">
        <v>932</v>
      </c>
      <c r="C406">
        <v>321</v>
      </c>
      <c r="D406">
        <v>41</v>
      </c>
      <c r="E406">
        <v>1.27093485607344E-3</v>
      </c>
      <c r="F406">
        <v>1.39802834168078E-2</v>
      </c>
      <c r="G406" t="s">
        <v>1911</v>
      </c>
    </row>
    <row r="407" spans="1:7" x14ac:dyDescent="0.25">
      <c r="A407" s="4" t="str">
        <f>HYPERLINK("http://amigo.geneontology.org/cgi-bin/amigo/term-details.cgi?term=GO:0004364","GO:0004364")</f>
        <v>GO:0004364</v>
      </c>
      <c r="B407" t="s">
        <v>1910</v>
      </c>
      <c r="C407">
        <v>17</v>
      </c>
      <c r="D407">
        <v>6</v>
      </c>
      <c r="E407">
        <v>1.29623510576817E-3</v>
      </c>
      <c r="F407">
        <v>1.42585861634499E-2</v>
      </c>
      <c r="G407" t="s">
        <v>1909</v>
      </c>
    </row>
    <row r="408" spans="1:7" x14ac:dyDescent="0.25">
      <c r="A408" s="4" t="str">
        <f>HYPERLINK("http://amigo.geneontology.org/cgi-bin/amigo/term-details.cgi?term=GO:0009916","GO:0009916")</f>
        <v>GO:0009916</v>
      </c>
      <c r="B408" t="s">
        <v>1191</v>
      </c>
      <c r="C408">
        <v>17</v>
      </c>
      <c r="D408">
        <v>6</v>
      </c>
      <c r="E408">
        <v>1.29623510576817E-3</v>
      </c>
      <c r="F408">
        <v>1.42585861634499E-2</v>
      </c>
      <c r="G408" t="s">
        <v>1190</v>
      </c>
    </row>
    <row r="409" spans="1:7" x14ac:dyDescent="0.25">
      <c r="A409" s="4" t="str">
        <f>HYPERLINK("http://amigo.geneontology.org/cgi-bin/amigo/term-details.cgi?term=GO:0005770","GO:0005770")</f>
        <v>GO:0005770</v>
      </c>
      <c r="B409" t="s">
        <v>1908</v>
      </c>
      <c r="C409">
        <v>17</v>
      </c>
      <c r="D409">
        <v>6</v>
      </c>
      <c r="E409">
        <v>1.29623510576817E-3</v>
      </c>
      <c r="F409">
        <v>1.42585861634499E-2</v>
      </c>
      <c r="G409" t="s">
        <v>1907</v>
      </c>
    </row>
    <row r="410" spans="1:7" x14ac:dyDescent="0.25">
      <c r="A410" s="4" t="str">
        <f>HYPERLINK("http://amigo.geneontology.org/cgi-bin/amigo/term-details.cgi?term=GO:0044248","GO:0044248")</f>
        <v>GO:0044248</v>
      </c>
      <c r="B410" t="s">
        <v>1906</v>
      </c>
      <c r="C410">
        <v>2129</v>
      </c>
      <c r="D410">
        <v>204</v>
      </c>
      <c r="E410">
        <v>1.3112219652885199E-3</v>
      </c>
      <c r="F410">
        <v>1.44234416181737E-2</v>
      </c>
      <c r="G410" t="s">
        <v>1905</v>
      </c>
    </row>
    <row r="411" spans="1:7" x14ac:dyDescent="0.25">
      <c r="A411" s="4" t="str">
        <f>HYPERLINK("http://amigo.geneontology.org/cgi-bin/amigo/term-details.cgi?term=GO:0009404","GO:0009404")</f>
        <v>GO:0009404</v>
      </c>
      <c r="B411" t="s">
        <v>1904</v>
      </c>
      <c r="C411">
        <v>73</v>
      </c>
      <c r="D411">
        <v>14</v>
      </c>
      <c r="E411">
        <v>1.36532790298591E-3</v>
      </c>
      <c r="F411">
        <v>1.5018606932844999E-2</v>
      </c>
      <c r="G411" t="s">
        <v>1903</v>
      </c>
    </row>
    <row r="412" spans="1:7" x14ac:dyDescent="0.25">
      <c r="A412" s="4" t="str">
        <f>HYPERLINK("http://amigo.geneontology.org/cgi-bin/amigo/term-details.cgi?term=GO:0005388","GO:0005388")</f>
        <v>GO:0005388</v>
      </c>
      <c r="B412" t="s">
        <v>271</v>
      </c>
      <c r="C412">
        <v>43</v>
      </c>
      <c r="D412">
        <v>10</v>
      </c>
      <c r="E412">
        <v>1.4285633404134701E-3</v>
      </c>
      <c r="F412">
        <v>1.5714196744548201E-2</v>
      </c>
      <c r="G412" t="s">
        <v>270</v>
      </c>
    </row>
    <row r="413" spans="1:7" x14ac:dyDescent="0.25">
      <c r="A413" s="4" t="str">
        <f>HYPERLINK("http://amigo.geneontology.org/cgi-bin/amigo/term-details.cgi?term=GO:0044448","GO:0044448")</f>
        <v>GO:0044448</v>
      </c>
      <c r="B413" t="s">
        <v>215</v>
      </c>
      <c r="C413">
        <v>178</v>
      </c>
      <c r="D413">
        <v>26</v>
      </c>
      <c r="E413">
        <v>1.4364952896031701E-3</v>
      </c>
      <c r="F413">
        <v>1.5801448185634899E-2</v>
      </c>
      <c r="G413" t="s">
        <v>1679</v>
      </c>
    </row>
    <row r="414" spans="1:7" x14ac:dyDescent="0.25">
      <c r="A414" s="4" t="str">
        <f>HYPERLINK("http://amigo.geneontology.org/cgi-bin/amigo/term-details.cgi?term=GO:0005768","GO:0005768")</f>
        <v>GO:0005768</v>
      </c>
      <c r="B414" t="s">
        <v>1902</v>
      </c>
      <c r="C414">
        <v>197</v>
      </c>
      <c r="D414">
        <v>28</v>
      </c>
      <c r="E414">
        <v>1.4745523832236499E-3</v>
      </c>
      <c r="F414">
        <v>1.6220076215460202E-2</v>
      </c>
      <c r="G414" t="s">
        <v>1901</v>
      </c>
    </row>
    <row r="415" spans="1:7" x14ac:dyDescent="0.25">
      <c r="A415" s="4" t="str">
        <f>HYPERLINK("http://amigo.geneontology.org/cgi-bin/amigo/term-details.cgi?term=GO:0043648","GO:0043648")</f>
        <v>GO:0043648</v>
      </c>
      <c r="B415" t="s">
        <v>223</v>
      </c>
      <c r="C415">
        <v>151</v>
      </c>
      <c r="D415">
        <v>23</v>
      </c>
      <c r="E415">
        <v>1.49775272802932E-3</v>
      </c>
      <c r="F415">
        <v>1.6475280008322601E-2</v>
      </c>
      <c r="G415" t="s">
        <v>1900</v>
      </c>
    </row>
    <row r="416" spans="1:7" x14ac:dyDescent="0.25">
      <c r="A416" s="4" t="str">
        <f>HYPERLINK("http://amigo.geneontology.org/cgi-bin/amigo/term-details.cgi?term=GO:0043038","GO:0043038")</f>
        <v>GO:0043038</v>
      </c>
      <c r="B416" t="s">
        <v>175</v>
      </c>
      <c r="C416">
        <v>255</v>
      </c>
      <c r="D416">
        <v>34</v>
      </c>
      <c r="E416">
        <v>1.53213344075207E-3</v>
      </c>
      <c r="F416">
        <v>1.68534678482728E-2</v>
      </c>
      <c r="G416" t="s">
        <v>1865</v>
      </c>
    </row>
    <row r="417" spans="1:7" x14ac:dyDescent="0.25">
      <c r="A417" s="4" t="str">
        <f>HYPERLINK("http://amigo.geneontology.org/cgi-bin/amigo/term-details.cgi?term=GO:0043039","GO:0043039")</f>
        <v>GO:0043039</v>
      </c>
      <c r="B417" t="s">
        <v>174</v>
      </c>
      <c r="C417">
        <v>255</v>
      </c>
      <c r="D417">
        <v>34</v>
      </c>
      <c r="E417">
        <v>1.53213344075207E-3</v>
      </c>
      <c r="F417">
        <v>1.68534678482728E-2</v>
      </c>
      <c r="G417" t="s">
        <v>1865</v>
      </c>
    </row>
    <row r="418" spans="1:7" x14ac:dyDescent="0.25">
      <c r="A418" s="4" t="str">
        <f>HYPERLINK("http://amigo.geneontology.org/cgi-bin/amigo/term-details.cgi?term=GO:1901607","GO:1901607")</f>
        <v>GO:1901607</v>
      </c>
      <c r="B418" t="s">
        <v>137</v>
      </c>
      <c r="C418">
        <v>520</v>
      </c>
      <c r="D418">
        <v>60</v>
      </c>
      <c r="E418">
        <v>1.5585604640054201E-3</v>
      </c>
      <c r="F418">
        <v>1.7144165104059601E-2</v>
      </c>
      <c r="G418" t="s">
        <v>1899</v>
      </c>
    </row>
    <row r="419" spans="1:7" x14ac:dyDescent="0.25">
      <c r="A419" s="4" t="str">
        <f>HYPERLINK("http://amigo.geneontology.org/cgi-bin/amigo/term-details.cgi?term=GO:0006812","GO:0006812")</f>
        <v>GO:0006812</v>
      </c>
      <c r="B419" t="s">
        <v>140</v>
      </c>
      <c r="C419">
        <v>1370</v>
      </c>
      <c r="D419">
        <v>137</v>
      </c>
      <c r="E419">
        <v>1.6785587217188001E-3</v>
      </c>
      <c r="F419">
        <v>1.8464145938906801E-2</v>
      </c>
      <c r="G419" t="s">
        <v>1898</v>
      </c>
    </row>
    <row r="420" spans="1:7" x14ac:dyDescent="0.25">
      <c r="A420" s="4" t="str">
        <f>HYPERLINK("http://amigo.geneontology.org/cgi-bin/amigo/term-details.cgi?term=GO:0016831","GO:0016831")</f>
        <v>GO:0016831</v>
      </c>
      <c r="B420" t="s">
        <v>305</v>
      </c>
      <c r="C420">
        <v>237</v>
      </c>
      <c r="D420">
        <v>32</v>
      </c>
      <c r="E420">
        <v>1.68477841336742E-3</v>
      </c>
      <c r="F420">
        <v>1.8532562547041598E-2</v>
      </c>
      <c r="G420" t="s">
        <v>1285</v>
      </c>
    </row>
    <row r="421" spans="1:7" x14ac:dyDescent="0.25">
      <c r="A421" s="4" t="str">
        <f>HYPERLINK("http://amigo.geneontology.org/cgi-bin/amigo/term-details.cgi?term=GO:0098771","GO:0098771")</f>
        <v>GO:0098771</v>
      </c>
      <c r="B421" t="s">
        <v>115</v>
      </c>
      <c r="C421">
        <v>91</v>
      </c>
      <c r="D421">
        <v>16</v>
      </c>
      <c r="E421">
        <v>1.6887536022600199E-3</v>
      </c>
      <c r="F421">
        <v>1.6887536022600201E-2</v>
      </c>
      <c r="G421" t="s">
        <v>1897</v>
      </c>
    </row>
    <row r="422" spans="1:7" x14ac:dyDescent="0.25">
      <c r="A422" s="4" t="str">
        <f>HYPERLINK("http://amigo.geneontology.org/cgi-bin/amigo/term-details.cgi?term=GO:0006749","GO:0006749")</f>
        <v>GO:0006749</v>
      </c>
      <c r="B422" t="s">
        <v>269</v>
      </c>
      <c r="C422">
        <v>44</v>
      </c>
      <c r="D422">
        <v>10</v>
      </c>
      <c r="E422">
        <v>1.7212653929409799E-3</v>
      </c>
      <c r="F422">
        <v>1.72126539294098E-2</v>
      </c>
      <c r="G422" t="s">
        <v>1022</v>
      </c>
    </row>
    <row r="423" spans="1:7" x14ac:dyDescent="0.25">
      <c r="A423" s="4" t="str">
        <f>HYPERLINK("http://amigo.geneontology.org/cgi-bin/amigo/term-details.cgi?term=GO:0010310","GO:0010310")</f>
        <v>GO:0010310</v>
      </c>
      <c r="B423" t="s">
        <v>1896</v>
      </c>
      <c r="C423">
        <v>44</v>
      </c>
      <c r="D423">
        <v>10</v>
      </c>
      <c r="E423">
        <v>1.7212653929409799E-3</v>
      </c>
      <c r="F423">
        <v>1.72126539294098E-2</v>
      </c>
      <c r="G423" t="s">
        <v>1697</v>
      </c>
    </row>
    <row r="424" spans="1:7" x14ac:dyDescent="0.25">
      <c r="A424" s="4" t="str">
        <f>HYPERLINK("http://amigo.geneontology.org/cgi-bin/amigo/term-details.cgi?term=GO:0008443","GO:0008443")</f>
        <v>GO:0008443</v>
      </c>
      <c r="B424" t="s">
        <v>143</v>
      </c>
      <c r="C424">
        <v>44</v>
      </c>
      <c r="D424">
        <v>10</v>
      </c>
      <c r="E424">
        <v>1.7212653929409799E-3</v>
      </c>
      <c r="F424">
        <v>1.72126539294098E-2</v>
      </c>
      <c r="G424" t="s">
        <v>1015</v>
      </c>
    </row>
    <row r="425" spans="1:7" x14ac:dyDescent="0.25">
      <c r="A425" s="4" t="str">
        <f>HYPERLINK("http://amigo.geneontology.org/cgi-bin/amigo/term-details.cgi?term=GO:0005991","GO:0005991")</f>
        <v>GO:0005991</v>
      </c>
      <c r="B425" t="s">
        <v>157</v>
      </c>
      <c r="C425">
        <v>59</v>
      </c>
      <c r="D425">
        <v>12</v>
      </c>
      <c r="E425">
        <v>1.7387077355405099E-3</v>
      </c>
      <c r="F425">
        <v>1.7387077355405098E-2</v>
      </c>
      <c r="G425" t="s">
        <v>1211</v>
      </c>
    </row>
    <row r="426" spans="1:7" x14ac:dyDescent="0.25">
      <c r="A426" s="4" t="str">
        <f>HYPERLINK("http://amigo.geneontology.org/cgi-bin/amigo/term-details.cgi?term=GO:1900457","GO:1900457")</f>
        <v>GO:1900457</v>
      </c>
      <c r="B426" t="s">
        <v>1895</v>
      </c>
      <c r="C426">
        <v>4</v>
      </c>
      <c r="D426">
        <v>3</v>
      </c>
      <c r="E426">
        <v>1.7775339183221401E-3</v>
      </c>
      <c r="F426">
        <v>1.7775339183221401E-2</v>
      </c>
      <c r="G426" t="s">
        <v>1893</v>
      </c>
    </row>
    <row r="427" spans="1:7" x14ac:dyDescent="0.25">
      <c r="A427" s="4" t="str">
        <f>HYPERLINK("http://amigo.geneontology.org/cgi-bin/amigo/term-details.cgi?term=GO:1900459","GO:1900459")</f>
        <v>GO:1900459</v>
      </c>
      <c r="B427" t="s">
        <v>1894</v>
      </c>
      <c r="C427">
        <v>4</v>
      </c>
      <c r="D427">
        <v>3</v>
      </c>
      <c r="E427">
        <v>1.7775339183221401E-3</v>
      </c>
      <c r="F427">
        <v>1.7775339183221401E-2</v>
      </c>
      <c r="G427" t="s">
        <v>1893</v>
      </c>
    </row>
    <row r="428" spans="1:7" x14ac:dyDescent="0.25">
      <c r="A428" s="4" t="str">
        <f>HYPERLINK("http://amigo.geneontology.org/cgi-bin/amigo/term-details.cgi?term=GO:0015149","GO:0015149")</f>
        <v>GO:0015149</v>
      </c>
      <c r="B428" t="s">
        <v>1892</v>
      </c>
      <c r="C428">
        <v>4</v>
      </c>
      <c r="D428">
        <v>3</v>
      </c>
      <c r="E428">
        <v>1.7775339183221401E-3</v>
      </c>
      <c r="F428">
        <v>1.7775339183221401E-2</v>
      </c>
      <c r="G428" t="s">
        <v>1706</v>
      </c>
    </row>
    <row r="429" spans="1:7" x14ac:dyDescent="0.25">
      <c r="A429" s="4" t="str">
        <f>HYPERLINK("http://amigo.geneontology.org/cgi-bin/amigo/term-details.cgi?term=GO:0010618","GO:0010618")</f>
        <v>GO:0010618</v>
      </c>
      <c r="B429" t="s">
        <v>1891</v>
      </c>
      <c r="C429">
        <v>4</v>
      </c>
      <c r="D429">
        <v>3</v>
      </c>
      <c r="E429">
        <v>1.7775339183221401E-3</v>
      </c>
      <c r="F429">
        <v>1.7775339183221401E-2</v>
      </c>
      <c r="G429" t="s">
        <v>1890</v>
      </c>
    </row>
    <row r="430" spans="1:7" x14ac:dyDescent="0.25">
      <c r="A430" s="4" t="str">
        <f>HYPERLINK("http://amigo.geneontology.org/cgi-bin/amigo/term-details.cgi?term=GO:0034595","GO:0034595")</f>
        <v>GO:0034595</v>
      </c>
      <c r="B430" t="s">
        <v>1889</v>
      </c>
      <c r="C430">
        <v>4</v>
      </c>
      <c r="D430">
        <v>3</v>
      </c>
      <c r="E430">
        <v>1.7775339183221401E-3</v>
      </c>
      <c r="F430">
        <v>1.7775339183221401E-2</v>
      </c>
      <c r="G430" t="s">
        <v>1514</v>
      </c>
    </row>
    <row r="431" spans="1:7" x14ac:dyDescent="0.25">
      <c r="A431" s="4" t="str">
        <f>HYPERLINK("http://amigo.geneontology.org/cgi-bin/amigo/term-details.cgi?term=GO:0034593","GO:0034593")</f>
        <v>GO:0034593</v>
      </c>
      <c r="B431" t="s">
        <v>1888</v>
      </c>
      <c r="C431">
        <v>4</v>
      </c>
      <c r="D431">
        <v>3</v>
      </c>
      <c r="E431">
        <v>1.7775339183221401E-3</v>
      </c>
      <c r="F431">
        <v>1.7775339183221401E-2</v>
      </c>
      <c r="G431" t="s">
        <v>1514</v>
      </c>
    </row>
    <row r="432" spans="1:7" x14ac:dyDescent="0.25">
      <c r="A432" s="4" t="str">
        <f>HYPERLINK("http://amigo.geneontology.org/cgi-bin/amigo/term-details.cgi?term=GO:0106018","GO:0106018")</f>
        <v>GO:0106018</v>
      </c>
      <c r="B432" t="s">
        <v>1887</v>
      </c>
      <c r="C432">
        <v>4</v>
      </c>
      <c r="D432">
        <v>3</v>
      </c>
      <c r="E432">
        <v>1.7775339183221401E-3</v>
      </c>
      <c r="F432">
        <v>1.7775339183221401E-2</v>
      </c>
      <c r="G432" t="s">
        <v>1514</v>
      </c>
    </row>
    <row r="433" spans="1:7" x14ac:dyDescent="0.25">
      <c r="A433" s="4" t="str">
        <f>HYPERLINK("http://amigo.geneontology.org/cgi-bin/amigo/term-details.cgi?term=GO:0043813","GO:0043813")</f>
        <v>GO:0043813</v>
      </c>
      <c r="B433" t="s">
        <v>1886</v>
      </c>
      <c r="C433">
        <v>4</v>
      </c>
      <c r="D433">
        <v>3</v>
      </c>
      <c r="E433">
        <v>1.7775339183221401E-3</v>
      </c>
      <c r="F433">
        <v>1.7775339183221401E-2</v>
      </c>
      <c r="G433" t="s">
        <v>1514</v>
      </c>
    </row>
    <row r="434" spans="1:7" x14ac:dyDescent="0.25">
      <c r="A434" s="4" t="str">
        <f>HYPERLINK("http://amigo.geneontology.org/cgi-bin/amigo/term-details.cgi?term=GO:0072337","GO:0072337")</f>
        <v>GO:0072337</v>
      </c>
      <c r="B434" t="s">
        <v>1885</v>
      </c>
      <c r="C434">
        <v>4</v>
      </c>
      <c r="D434">
        <v>3</v>
      </c>
      <c r="E434">
        <v>1.7775339183221401E-3</v>
      </c>
      <c r="F434">
        <v>1.7775339183221401E-2</v>
      </c>
      <c r="G434" t="s">
        <v>1703</v>
      </c>
    </row>
    <row r="435" spans="1:7" x14ac:dyDescent="0.25">
      <c r="A435" s="4" t="str">
        <f>HYPERLINK("http://amigo.geneontology.org/cgi-bin/amigo/term-details.cgi?term=GO:0016623","GO:0016623")</f>
        <v>GO:0016623</v>
      </c>
      <c r="B435" t="s">
        <v>1884</v>
      </c>
      <c r="C435">
        <v>4</v>
      </c>
      <c r="D435">
        <v>3</v>
      </c>
      <c r="E435">
        <v>1.7775339183221401E-3</v>
      </c>
      <c r="F435">
        <v>1.7775339183221401E-2</v>
      </c>
      <c r="G435" t="s">
        <v>1882</v>
      </c>
    </row>
    <row r="436" spans="1:7" x14ac:dyDescent="0.25">
      <c r="A436" s="4" t="str">
        <f>HYPERLINK("http://amigo.geneontology.org/cgi-bin/amigo/term-details.cgi?term=GO:0050162","GO:0050162")</f>
        <v>GO:0050162</v>
      </c>
      <c r="B436" t="s">
        <v>1883</v>
      </c>
      <c r="C436">
        <v>4</v>
      </c>
      <c r="D436">
        <v>3</v>
      </c>
      <c r="E436">
        <v>1.7775339183221401E-3</v>
      </c>
      <c r="F436">
        <v>1.7775339183221401E-2</v>
      </c>
      <c r="G436" t="s">
        <v>1882</v>
      </c>
    </row>
    <row r="437" spans="1:7" x14ac:dyDescent="0.25">
      <c r="A437" s="4" t="str">
        <f>HYPERLINK("http://amigo.geneontology.org/cgi-bin/amigo/term-details.cgi?term=GO:1900750","GO:1900750")</f>
        <v>GO:1900750</v>
      </c>
      <c r="B437" t="s">
        <v>1881</v>
      </c>
      <c r="C437">
        <v>4</v>
      </c>
      <c r="D437">
        <v>3</v>
      </c>
      <c r="E437">
        <v>1.7775339183221401E-3</v>
      </c>
      <c r="F437">
        <v>1.7775339183221401E-2</v>
      </c>
      <c r="G437" t="s">
        <v>1879</v>
      </c>
    </row>
    <row r="438" spans="1:7" x14ac:dyDescent="0.25">
      <c r="A438" s="4" t="str">
        <f>HYPERLINK("http://amigo.geneontology.org/cgi-bin/amigo/term-details.cgi?term=GO:0043295","GO:0043295")</f>
        <v>GO:0043295</v>
      </c>
      <c r="B438" t="s">
        <v>1880</v>
      </c>
      <c r="C438">
        <v>4</v>
      </c>
      <c r="D438">
        <v>3</v>
      </c>
      <c r="E438">
        <v>1.7775339183221401E-3</v>
      </c>
      <c r="F438">
        <v>1.7775339183221401E-2</v>
      </c>
      <c r="G438" t="s">
        <v>1879</v>
      </c>
    </row>
    <row r="439" spans="1:7" x14ac:dyDescent="0.25">
      <c r="A439" s="4" t="str">
        <f>HYPERLINK("http://amigo.geneontology.org/cgi-bin/amigo/term-details.cgi?term=GO:0034045","GO:0034045")</f>
        <v>GO:0034045</v>
      </c>
      <c r="B439" t="s">
        <v>1878</v>
      </c>
      <c r="C439">
        <v>4</v>
      </c>
      <c r="D439">
        <v>3</v>
      </c>
      <c r="E439">
        <v>1.7775339183221401E-3</v>
      </c>
      <c r="F439">
        <v>1.7775339183221401E-2</v>
      </c>
      <c r="G439" t="s">
        <v>1877</v>
      </c>
    </row>
    <row r="440" spans="1:7" x14ac:dyDescent="0.25">
      <c r="A440" s="4" t="str">
        <f>HYPERLINK("http://amigo.geneontology.org/cgi-bin/amigo/term-details.cgi?term=GO:0009000","GO:0009000")</f>
        <v>GO:0009000</v>
      </c>
      <c r="B440" t="s">
        <v>1876</v>
      </c>
      <c r="C440">
        <v>4</v>
      </c>
      <c r="D440">
        <v>3</v>
      </c>
      <c r="E440">
        <v>1.7775339183221401E-3</v>
      </c>
      <c r="F440">
        <v>1.7775339183221401E-2</v>
      </c>
      <c r="G440" t="s">
        <v>1018</v>
      </c>
    </row>
    <row r="441" spans="1:7" x14ac:dyDescent="0.25">
      <c r="A441" s="4" t="str">
        <f>HYPERLINK("http://amigo.geneontology.org/cgi-bin/amigo/term-details.cgi?term=GO:0000302","GO:0000302")</f>
        <v>GO:0000302</v>
      </c>
      <c r="B441" t="s">
        <v>292</v>
      </c>
      <c r="C441">
        <v>153</v>
      </c>
      <c r="D441">
        <v>23</v>
      </c>
      <c r="E441">
        <v>1.78718574610509E-3</v>
      </c>
      <c r="F441">
        <v>1.78718574610509E-2</v>
      </c>
      <c r="G441" t="s">
        <v>1875</v>
      </c>
    </row>
    <row r="442" spans="1:7" x14ac:dyDescent="0.25">
      <c r="A442" s="4" t="str">
        <f>HYPERLINK("http://amigo.geneontology.org/cgi-bin/amigo/term-details.cgi?term=GO:0015804","GO:0015804")</f>
        <v>GO:0015804</v>
      </c>
      <c r="B442" t="s">
        <v>1874</v>
      </c>
      <c r="C442">
        <v>18</v>
      </c>
      <c r="D442">
        <v>6</v>
      </c>
      <c r="E442">
        <v>1.81694899066868E-3</v>
      </c>
      <c r="F442">
        <v>1.8169489906686799E-2</v>
      </c>
      <c r="G442" t="s">
        <v>1872</v>
      </c>
    </row>
    <row r="443" spans="1:7" x14ac:dyDescent="0.25">
      <c r="A443" s="4" t="str">
        <f>HYPERLINK("http://amigo.geneontology.org/cgi-bin/amigo/term-details.cgi?term=GO:0015824","GO:0015824")</f>
        <v>GO:0015824</v>
      </c>
      <c r="B443" t="s">
        <v>1873</v>
      </c>
      <c r="C443">
        <v>18</v>
      </c>
      <c r="D443">
        <v>6</v>
      </c>
      <c r="E443">
        <v>1.81694899066868E-3</v>
      </c>
      <c r="F443">
        <v>1.8169489906686799E-2</v>
      </c>
      <c r="G443" t="s">
        <v>1872</v>
      </c>
    </row>
    <row r="444" spans="1:7" x14ac:dyDescent="0.25">
      <c r="A444" s="4" t="str">
        <f>HYPERLINK("http://amigo.geneontology.org/cgi-bin/amigo/term-details.cgi?term=GO:0098869","GO:0098869")</f>
        <v>GO:0098869</v>
      </c>
      <c r="B444" t="s">
        <v>293</v>
      </c>
      <c r="C444">
        <v>24</v>
      </c>
      <c r="D444">
        <v>7</v>
      </c>
      <c r="E444">
        <v>1.8288659267756799E-3</v>
      </c>
      <c r="F444">
        <v>1.8288659267756802E-2</v>
      </c>
      <c r="G444" t="s">
        <v>224</v>
      </c>
    </row>
    <row r="445" spans="1:7" x14ac:dyDescent="0.25">
      <c r="A445" s="4" t="str">
        <f>HYPERLINK("http://amigo.geneontology.org/cgi-bin/amigo/term-details.cgi?term=GO:0071450","GO:0071450")</f>
        <v>GO:0071450</v>
      </c>
      <c r="B445" t="s">
        <v>287</v>
      </c>
      <c r="C445">
        <v>24</v>
      </c>
      <c r="D445">
        <v>7</v>
      </c>
      <c r="E445">
        <v>1.8288659267756799E-3</v>
      </c>
      <c r="F445">
        <v>1.8288659267756802E-2</v>
      </c>
      <c r="G445" t="s">
        <v>224</v>
      </c>
    </row>
    <row r="446" spans="1:7" x14ac:dyDescent="0.25">
      <c r="A446" s="4" t="str">
        <f>HYPERLINK("http://amigo.geneontology.org/cgi-bin/amigo/term-details.cgi?term=GO:0071451","GO:0071451")</f>
        <v>GO:0071451</v>
      </c>
      <c r="B446" t="s">
        <v>286</v>
      </c>
      <c r="C446">
        <v>24</v>
      </c>
      <c r="D446">
        <v>7</v>
      </c>
      <c r="E446">
        <v>1.8288659267756799E-3</v>
      </c>
      <c r="F446">
        <v>1.8288659267756802E-2</v>
      </c>
      <c r="G446" t="s">
        <v>224</v>
      </c>
    </row>
    <row r="447" spans="1:7" x14ac:dyDescent="0.25">
      <c r="A447" s="4" t="str">
        <f>HYPERLINK("http://amigo.geneontology.org/cgi-bin/amigo/term-details.cgi?term=GO:0019430","GO:0019430")</f>
        <v>GO:0019430</v>
      </c>
      <c r="B447" t="s">
        <v>285</v>
      </c>
      <c r="C447">
        <v>24</v>
      </c>
      <c r="D447">
        <v>7</v>
      </c>
      <c r="E447">
        <v>1.8288659267756799E-3</v>
      </c>
      <c r="F447">
        <v>1.8288659267756802E-2</v>
      </c>
      <c r="G447" t="s">
        <v>224</v>
      </c>
    </row>
    <row r="448" spans="1:7" x14ac:dyDescent="0.25">
      <c r="A448" s="4" t="str">
        <f>HYPERLINK("http://amigo.geneontology.org/cgi-bin/amigo/term-details.cgi?term=GO:0006886","GO:0006886")</f>
        <v>GO:0006886</v>
      </c>
      <c r="B448" t="s">
        <v>661</v>
      </c>
      <c r="C448">
        <v>1015</v>
      </c>
      <c r="D448">
        <v>105</v>
      </c>
      <c r="E448">
        <v>1.9305661546839201E-3</v>
      </c>
      <c r="F448">
        <v>1.9305661546839201E-2</v>
      </c>
      <c r="G448" t="s">
        <v>1871</v>
      </c>
    </row>
    <row r="449" spans="1:7" x14ac:dyDescent="0.25">
      <c r="A449" s="4" t="str">
        <f>HYPERLINK("http://amigo.geneontology.org/cgi-bin/amigo/term-details.cgi?term=GO:0015085","GO:0015085")</f>
        <v>GO:0015085</v>
      </c>
      <c r="B449" t="s">
        <v>239</v>
      </c>
      <c r="C449">
        <v>60</v>
      </c>
      <c r="D449">
        <v>12</v>
      </c>
      <c r="E449">
        <v>2.0216161647206802E-3</v>
      </c>
      <c r="F449">
        <v>2.0216161647206798E-2</v>
      </c>
      <c r="G449" t="s">
        <v>1016</v>
      </c>
    </row>
    <row r="450" spans="1:7" x14ac:dyDescent="0.25">
      <c r="A450" s="4" t="str">
        <f>HYPERLINK("http://amigo.geneontology.org/cgi-bin/amigo/term-details.cgi?term=GO:0035091","GO:0035091")</f>
        <v>GO:0035091</v>
      </c>
      <c r="B450" t="s">
        <v>131</v>
      </c>
      <c r="C450">
        <v>68</v>
      </c>
      <c r="D450">
        <v>13</v>
      </c>
      <c r="E450">
        <v>2.0560349857286098E-3</v>
      </c>
      <c r="F450">
        <v>2.0560349857286098E-2</v>
      </c>
      <c r="G450" t="s">
        <v>1221</v>
      </c>
    </row>
    <row r="451" spans="1:7" x14ac:dyDescent="0.25">
      <c r="A451" s="4" t="str">
        <f>HYPERLINK("http://amigo.geneontology.org/cgi-bin/amigo/term-details.cgi?term=GO:0046189","GO:0046189")</f>
        <v>GO:0046189</v>
      </c>
      <c r="B451" t="s">
        <v>1870</v>
      </c>
      <c r="C451">
        <v>68</v>
      </c>
      <c r="D451">
        <v>13</v>
      </c>
      <c r="E451">
        <v>2.0560349857286098E-3</v>
      </c>
      <c r="F451">
        <v>2.0560349857286098E-2</v>
      </c>
      <c r="G451" t="s">
        <v>1839</v>
      </c>
    </row>
    <row r="452" spans="1:7" x14ac:dyDescent="0.25">
      <c r="A452" s="4" t="str">
        <f>HYPERLINK("http://amigo.geneontology.org/cgi-bin/amigo/term-details.cgi?term=GO:0005945","GO:0005945")</f>
        <v>GO:0005945</v>
      </c>
      <c r="B452" t="s">
        <v>1869</v>
      </c>
      <c r="C452">
        <v>31</v>
      </c>
      <c r="D452">
        <v>8</v>
      </c>
      <c r="E452">
        <v>2.08254115319135E-3</v>
      </c>
      <c r="F452">
        <v>2.0825411531913501E-2</v>
      </c>
      <c r="G452" t="s">
        <v>1868</v>
      </c>
    </row>
    <row r="453" spans="1:7" x14ac:dyDescent="0.25">
      <c r="A453" s="4" t="str">
        <f>HYPERLINK("http://amigo.geneontology.org/cgi-bin/amigo/term-details.cgi?term=GO:1901575","GO:1901575")</f>
        <v>GO:1901575</v>
      </c>
      <c r="B453" t="s">
        <v>1063</v>
      </c>
      <c r="C453">
        <v>2326</v>
      </c>
      <c r="D453">
        <v>219</v>
      </c>
      <c r="E453">
        <v>2.0885147882163E-3</v>
      </c>
      <c r="F453">
        <v>2.0885147882162999E-2</v>
      </c>
      <c r="G453" t="s">
        <v>1867</v>
      </c>
    </row>
    <row r="454" spans="1:7" x14ac:dyDescent="0.25">
      <c r="A454" s="4" t="str">
        <f>HYPERLINK("http://amigo.geneontology.org/cgi-bin/amigo/term-details.cgi?term=GO:0003955","GO:0003955")</f>
        <v>GO:0003955</v>
      </c>
      <c r="B454" t="s">
        <v>135</v>
      </c>
      <c r="C454">
        <v>38</v>
      </c>
      <c r="D454">
        <v>9</v>
      </c>
      <c r="E454">
        <v>2.1344689182371101E-3</v>
      </c>
      <c r="F454">
        <v>2.1344689182371101E-2</v>
      </c>
      <c r="G454" t="s">
        <v>1866</v>
      </c>
    </row>
    <row r="455" spans="1:7" x14ac:dyDescent="0.25">
      <c r="A455" s="4" t="str">
        <f>HYPERLINK("http://amigo.geneontology.org/cgi-bin/amigo/term-details.cgi?term=GO:0016875","GO:0016875")</f>
        <v>GO:0016875</v>
      </c>
      <c r="B455" t="s">
        <v>867</v>
      </c>
      <c r="C455">
        <v>261</v>
      </c>
      <c r="D455">
        <v>34</v>
      </c>
      <c r="E455">
        <v>2.2600445622917198E-3</v>
      </c>
      <c r="F455">
        <v>2.2600445622917201E-2</v>
      </c>
      <c r="G455" t="s">
        <v>1865</v>
      </c>
    </row>
    <row r="456" spans="1:7" x14ac:dyDescent="0.25">
      <c r="A456" s="4" t="str">
        <f>HYPERLINK("http://amigo.geneontology.org/cgi-bin/amigo/term-details.cgi?term=GO:0004812","GO:0004812")</f>
        <v>GO:0004812</v>
      </c>
      <c r="B456" t="s">
        <v>176</v>
      </c>
      <c r="C456">
        <v>261</v>
      </c>
      <c r="D456">
        <v>34</v>
      </c>
      <c r="E456">
        <v>2.2600445622917198E-3</v>
      </c>
      <c r="F456">
        <v>2.2600445622917201E-2</v>
      </c>
      <c r="G456" t="s">
        <v>1865</v>
      </c>
    </row>
    <row r="457" spans="1:7" x14ac:dyDescent="0.25">
      <c r="A457" s="4" t="str">
        <f>HYPERLINK("http://amigo.geneontology.org/cgi-bin/amigo/term-details.cgi?term=GO:0019748","GO:0019748")</f>
        <v>GO:0019748</v>
      </c>
      <c r="B457" t="s">
        <v>1220</v>
      </c>
      <c r="C457">
        <v>362</v>
      </c>
      <c r="D457">
        <v>44</v>
      </c>
      <c r="E457">
        <v>2.3145770915396599E-3</v>
      </c>
      <c r="F457">
        <v>2.3145770915396598E-2</v>
      </c>
      <c r="G457" t="s">
        <v>1864</v>
      </c>
    </row>
    <row r="458" spans="1:7" x14ac:dyDescent="0.25">
      <c r="A458" s="4" t="str">
        <f>HYPERLINK("http://amigo.geneontology.org/cgi-bin/amigo/term-details.cgi?term=GO:0006855","GO:0006855")</f>
        <v>GO:0006855</v>
      </c>
      <c r="B458" t="s">
        <v>118</v>
      </c>
      <c r="C458">
        <v>242</v>
      </c>
      <c r="D458">
        <v>32</v>
      </c>
      <c r="E458">
        <v>2.3556989144291299E-3</v>
      </c>
      <c r="F458">
        <v>2.3556989144291302E-2</v>
      </c>
      <c r="G458" t="s">
        <v>1863</v>
      </c>
    </row>
    <row r="459" spans="1:7" x14ac:dyDescent="0.25">
      <c r="A459" s="4" t="str">
        <f>HYPERLINK("http://amigo.geneontology.org/cgi-bin/amigo/term-details.cgi?term=GO:0043090","GO:0043090")</f>
        <v>GO:0043090</v>
      </c>
      <c r="B459" t="s">
        <v>1862</v>
      </c>
      <c r="C459">
        <v>19</v>
      </c>
      <c r="D459">
        <v>6</v>
      </c>
      <c r="E459">
        <v>2.4818384242728899E-3</v>
      </c>
      <c r="F459">
        <v>2.4818384242728898E-2</v>
      </c>
      <c r="G459" t="s">
        <v>1861</v>
      </c>
    </row>
    <row r="460" spans="1:7" x14ac:dyDescent="0.25">
      <c r="A460" s="4" t="str">
        <f>HYPERLINK("http://amigo.geneontology.org/cgi-bin/amigo/term-details.cgi?term=GO:0006551","GO:0006551")</f>
        <v>GO:0006551</v>
      </c>
      <c r="B460" t="s">
        <v>155</v>
      </c>
      <c r="C460">
        <v>19</v>
      </c>
      <c r="D460">
        <v>6</v>
      </c>
      <c r="E460">
        <v>2.4818384242728899E-3</v>
      </c>
      <c r="F460">
        <v>2.4818384242728898E-2</v>
      </c>
      <c r="G460" t="s">
        <v>1860</v>
      </c>
    </row>
    <row r="461" spans="1:7" x14ac:dyDescent="0.25">
      <c r="A461" s="4" t="str">
        <f>HYPERLINK("http://amigo.geneontology.org/cgi-bin/amigo/term-details.cgi?term=GO:0004351","GO:0004351")</f>
        <v>GO:0004351</v>
      </c>
      <c r="B461" t="s">
        <v>234</v>
      </c>
      <c r="C461">
        <v>19</v>
      </c>
      <c r="D461">
        <v>6</v>
      </c>
      <c r="E461">
        <v>2.4818384242728899E-3</v>
      </c>
      <c r="F461">
        <v>2.4818384242728898E-2</v>
      </c>
      <c r="G461" t="s">
        <v>233</v>
      </c>
    </row>
    <row r="462" spans="1:7" x14ac:dyDescent="0.25">
      <c r="A462" s="4" t="str">
        <f>HYPERLINK("http://amigo.geneontology.org/cgi-bin/amigo/term-details.cgi?term=GO:0033036","GO:0033036")</f>
        <v>GO:0033036</v>
      </c>
      <c r="B462" t="s">
        <v>866</v>
      </c>
      <c r="C462">
        <v>1835</v>
      </c>
      <c r="D462">
        <v>176</v>
      </c>
      <c r="E462">
        <v>2.5738733664338299E-3</v>
      </c>
      <c r="F462">
        <v>2.3164860297904401E-2</v>
      </c>
      <c r="G462" t="s">
        <v>1859</v>
      </c>
    </row>
    <row r="463" spans="1:7" x14ac:dyDescent="0.25">
      <c r="A463" s="4" t="str">
        <f>HYPERLINK("http://amigo.geneontology.org/cgi-bin/amigo/term-details.cgi?term=GO:0004564","GO:0004564")</f>
        <v>GO:0004564</v>
      </c>
      <c r="B463" t="s">
        <v>207</v>
      </c>
      <c r="C463">
        <v>32</v>
      </c>
      <c r="D463">
        <v>8</v>
      </c>
      <c r="E463">
        <v>2.5893905143485798E-3</v>
      </c>
      <c r="F463">
        <v>2.3304514629137199E-2</v>
      </c>
      <c r="G463" t="s">
        <v>1858</v>
      </c>
    </row>
    <row r="464" spans="1:7" x14ac:dyDescent="0.25">
      <c r="A464" s="4" t="str">
        <f>HYPERLINK("http://amigo.geneontology.org/cgi-bin/amigo/term-details.cgi?term=GO:0090599","GO:0090599")</f>
        <v>GO:0090599</v>
      </c>
      <c r="B464" t="s">
        <v>206</v>
      </c>
      <c r="C464">
        <v>32</v>
      </c>
      <c r="D464">
        <v>8</v>
      </c>
      <c r="E464">
        <v>2.5893905143485798E-3</v>
      </c>
      <c r="F464">
        <v>2.3304514629137199E-2</v>
      </c>
      <c r="G464" t="s">
        <v>1858</v>
      </c>
    </row>
    <row r="465" spans="1:7" x14ac:dyDescent="0.25">
      <c r="A465" s="4" t="str">
        <f>HYPERLINK("http://amigo.geneontology.org/cgi-bin/amigo/term-details.cgi?term=GO:0004575","GO:0004575")</f>
        <v>GO:0004575</v>
      </c>
      <c r="B465" t="s">
        <v>205</v>
      </c>
      <c r="C465">
        <v>32</v>
      </c>
      <c r="D465">
        <v>8</v>
      </c>
      <c r="E465">
        <v>2.5893905143485798E-3</v>
      </c>
      <c r="F465">
        <v>2.3304514629137199E-2</v>
      </c>
      <c r="G465" t="s">
        <v>1858</v>
      </c>
    </row>
    <row r="466" spans="1:7" x14ac:dyDescent="0.25">
      <c r="A466" s="4" t="str">
        <f>HYPERLINK("http://amigo.geneontology.org/cgi-bin/amigo/term-details.cgi?term=GO:0099568","GO:0099568")</f>
        <v>GO:0099568</v>
      </c>
      <c r="B466" t="s">
        <v>217</v>
      </c>
      <c r="C466">
        <v>186</v>
      </c>
      <c r="D466">
        <v>26</v>
      </c>
      <c r="E466">
        <v>2.6862576246355001E-3</v>
      </c>
      <c r="F466">
        <v>2.4176318621719501E-2</v>
      </c>
      <c r="G466" t="s">
        <v>1679</v>
      </c>
    </row>
    <row r="467" spans="1:7" x14ac:dyDescent="0.25">
      <c r="A467" s="4" t="str">
        <f>HYPERLINK("http://amigo.geneontology.org/cgi-bin/amigo/term-details.cgi?term=GO:0005938","GO:0005938")</f>
        <v>GO:0005938</v>
      </c>
      <c r="B467" t="s">
        <v>216</v>
      </c>
      <c r="C467">
        <v>186</v>
      </c>
      <c r="D467">
        <v>26</v>
      </c>
      <c r="E467">
        <v>2.6862576246355001E-3</v>
      </c>
      <c r="F467">
        <v>2.4176318621719501E-2</v>
      </c>
      <c r="G467" t="s">
        <v>1679</v>
      </c>
    </row>
    <row r="468" spans="1:7" x14ac:dyDescent="0.25">
      <c r="A468" s="4" t="str">
        <f>HYPERLINK("http://amigo.geneontology.org/cgi-bin/amigo/term-details.cgi?term=GO:0015020","GO:0015020")</f>
        <v>GO:0015020</v>
      </c>
      <c r="B468" t="s">
        <v>172</v>
      </c>
      <c r="C468">
        <v>40</v>
      </c>
      <c r="D468">
        <v>9</v>
      </c>
      <c r="E468">
        <v>3.1089529562626501E-3</v>
      </c>
      <c r="F468">
        <v>2.79805766063638E-2</v>
      </c>
      <c r="G468" t="s">
        <v>1857</v>
      </c>
    </row>
    <row r="469" spans="1:7" x14ac:dyDescent="0.25">
      <c r="A469" s="4" t="str">
        <f>HYPERLINK("http://amigo.geneontology.org/cgi-bin/amigo/term-details.cgi?term=GO:0006536","GO:0006536")</f>
        <v>GO:0006536</v>
      </c>
      <c r="B469" t="s">
        <v>236</v>
      </c>
      <c r="C469">
        <v>40</v>
      </c>
      <c r="D469">
        <v>9</v>
      </c>
      <c r="E469">
        <v>3.1089529562626501E-3</v>
      </c>
      <c r="F469">
        <v>2.79805766063638E-2</v>
      </c>
      <c r="G469" t="s">
        <v>1856</v>
      </c>
    </row>
    <row r="470" spans="1:7" x14ac:dyDescent="0.25">
      <c r="A470" s="4" t="str">
        <f>HYPERLINK("http://amigo.geneontology.org/cgi-bin/amigo/term-details.cgi?term=GO:0008652","GO:0008652")</f>
        <v>GO:0008652</v>
      </c>
      <c r="B470" t="s">
        <v>567</v>
      </c>
      <c r="C470">
        <v>644</v>
      </c>
      <c r="D470">
        <v>70</v>
      </c>
      <c r="E470">
        <v>3.1384709584513998E-3</v>
      </c>
      <c r="F470">
        <v>2.8246238626062601E-2</v>
      </c>
      <c r="G470" t="s">
        <v>1855</v>
      </c>
    </row>
    <row r="471" spans="1:7" x14ac:dyDescent="0.25">
      <c r="A471" s="4" t="str">
        <f>HYPERLINK("http://amigo.geneontology.org/cgi-bin/amigo/term-details.cgi?term=GO:0009313","GO:0009313")</f>
        <v>GO:0009313</v>
      </c>
      <c r="B471" t="s">
        <v>1854</v>
      </c>
      <c r="C471">
        <v>14</v>
      </c>
      <c r="D471">
        <v>5</v>
      </c>
      <c r="E471">
        <v>3.1461007187857798E-3</v>
      </c>
      <c r="F471">
        <v>2.8314906469072101E-2</v>
      </c>
      <c r="G471" t="s">
        <v>1853</v>
      </c>
    </row>
    <row r="472" spans="1:7" x14ac:dyDescent="0.25">
      <c r="A472" s="4" t="str">
        <f>HYPERLINK("http://amigo.geneontology.org/cgi-bin/amigo/term-details.cgi?term=GO:0006359","GO:0006359")</f>
        <v>GO:0006359</v>
      </c>
      <c r="B472" t="s">
        <v>1852</v>
      </c>
      <c r="C472">
        <v>14</v>
      </c>
      <c r="D472">
        <v>5</v>
      </c>
      <c r="E472">
        <v>3.1461007187857798E-3</v>
      </c>
      <c r="F472">
        <v>2.8314906469072101E-2</v>
      </c>
      <c r="G472" t="s">
        <v>1851</v>
      </c>
    </row>
    <row r="473" spans="1:7" x14ac:dyDescent="0.25">
      <c r="A473" s="4" t="str">
        <f>HYPERLINK("http://amigo.geneontology.org/cgi-bin/amigo/term-details.cgi?term=GO:0033866","GO:0033866")</f>
        <v>GO:0033866</v>
      </c>
      <c r="B473" t="s">
        <v>110</v>
      </c>
      <c r="C473">
        <v>14</v>
      </c>
      <c r="D473">
        <v>5</v>
      </c>
      <c r="E473">
        <v>3.1461007187857798E-3</v>
      </c>
      <c r="F473">
        <v>2.8314906469072101E-2</v>
      </c>
      <c r="G473" t="s">
        <v>1850</v>
      </c>
    </row>
    <row r="474" spans="1:7" x14ac:dyDescent="0.25">
      <c r="A474" s="4" t="str">
        <f>HYPERLINK("http://amigo.geneontology.org/cgi-bin/amigo/term-details.cgi?term=GO:0034030","GO:0034030")</f>
        <v>GO:0034030</v>
      </c>
      <c r="B474" t="s">
        <v>109</v>
      </c>
      <c r="C474">
        <v>14</v>
      </c>
      <c r="D474">
        <v>5</v>
      </c>
      <c r="E474">
        <v>3.1461007187857798E-3</v>
      </c>
      <c r="F474">
        <v>2.8314906469072101E-2</v>
      </c>
      <c r="G474" t="s">
        <v>1850</v>
      </c>
    </row>
    <row r="475" spans="1:7" x14ac:dyDescent="0.25">
      <c r="A475" s="4" t="str">
        <f>HYPERLINK("http://amigo.geneontology.org/cgi-bin/amigo/term-details.cgi?term=GO:0034033","GO:0034033")</f>
        <v>GO:0034033</v>
      </c>
      <c r="B475" t="s">
        <v>108</v>
      </c>
      <c r="C475">
        <v>14</v>
      </c>
      <c r="D475">
        <v>5</v>
      </c>
      <c r="E475">
        <v>3.1461007187857798E-3</v>
      </c>
      <c r="F475">
        <v>2.8314906469072101E-2</v>
      </c>
      <c r="G475" t="s">
        <v>1850</v>
      </c>
    </row>
    <row r="476" spans="1:7" x14ac:dyDescent="0.25">
      <c r="A476" s="4" t="str">
        <f>HYPERLINK("http://amigo.geneontology.org/cgi-bin/amigo/term-details.cgi?term=GO:0015937","GO:0015937")</f>
        <v>GO:0015937</v>
      </c>
      <c r="B476" t="s">
        <v>107</v>
      </c>
      <c r="C476">
        <v>14</v>
      </c>
      <c r="D476">
        <v>5</v>
      </c>
      <c r="E476">
        <v>3.1461007187857798E-3</v>
      </c>
      <c r="F476">
        <v>2.8314906469072101E-2</v>
      </c>
      <c r="G476" t="s">
        <v>1850</v>
      </c>
    </row>
    <row r="477" spans="1:7" x14ac:dyDescent="0.25">
      <c r="A477" s="4" t="str">
        <f>HYPERLINK("http://amigo.geneontology.org/cgi-bin/amigo/term-details.cgi?term=GO:0065008","GO:0065008")</f>
        <v>GO:0065008</v>
      </c>
      <c r="B477" t="s">
        <v>828</v>
      </c>
      <c r="C477">
        <v>1360</v>
      </c>
      <c r="D477">
        <v>134</v>
      </c>
      <c r="E477">
        <v>3.1495983215006598E-3</v>
      </c>
      <c r="F477">
        <v>2.83463848935059E-2</v>
      </c>
      <c r="G477" t="s">
        <v>1849</v>
      </c>
    </row>
    <row r="478" spans="1:7" x14ac:dyDescent="0.25">
      <c r="A478" s="4" t="str">
        <f>HYPERLINK("http://amigo.geneontology.org/cgi-bin/amigo/term-details.cgi?term=GO:0009889","GO:0009889")</f>
        <v>GO:0009889</v>
      </c>
      <c r="B478" t="s">
        <v>944</v>
      </c>
      <c r="C478">
        <v>4992</v>
      </c>
      <c r="D478">
        <v>440</v>
      </c>
      <c r="E478">
        <v>3.1539389338552798E-3</v>
      </c>
      <c r="F478">
        <v>2.8385450404697501E-2</v>
      </c>
      <c r="G478" t="s">
        <v>1848</v>
      </c>
    </row>
    <row r="479" spans="1:7" x14ac:dyDescent="0.25">
      <c r="A479" s="4" t="str">
        <f>HYPERLINK("http://amigo.geneontology.org/cgi-bin/amigo/term-details.cgi?term=GO:0042737","GO:0042737")</f>
        <v>GO:0042737</v>
      </c>
      <c r="B479" t="s">
        <v>1847</v>
      </c>
      <c r="C479">
        <v>473</v>
      </c>
      <c r="D479">
        <v>54</v>
      </c>
      <c r="E479">
        <v>3.2163348405761299E-3</v>
      </c>
      <c r="F479">
        <v>2.8947013565185201E-2</v>
      </c>
      <c r="G479" t="s">
        <v>1846</v>
      </c>
    </row>
    <row r="480" spans="1:7" x14ac:dyDescent="0.25">
      <c r="A480" s="4" t="str">
        <f>HYPERLINK("http://amigo.geneontology.org/cgi-bin/amigo/term-details.cgi?term=GO:0019184","GO:0019184")</f>
        <v>GO:0019184</v>
      </c>
      <c r="B480" t="s">
        <v>303</v>
      </c>
      <c r="C480">
        <v>20</v>
      </c>
      <c r="D480">
        <v>6</v>
      </c>
      <c r="E480">
        <v>3.3139769724278099E-3</v>
      </c>
      <c r="F480">
        <v>2.9825792751850301E-2</v>
      </c>
      <c r="G480" t="s">
        <v>99</v>
      </c>
    </row>
    <row r="481" spans="1:7" x14ac:dyDescent="0.25">
      <c r="A481" s="4" t="str">
        <f>HYPERLINK("http://amigo.geneontology.org/cgi-bin/amigo/term-details.cgi?term=GO:0006750","GO:0006750")</f>
        <v>GO:0006750</v>
      </c>
      <c r="B481" t="s">
        <v>302</v>
      </c>
      <c r="C481">
        <v>20</v>
      </c>
      <c r="D481">
        <v>6</v>
      </c>
      <c r="E481">
        <v>3.3139769724278099E-3</v>
      </c>
      <c r="F481">
        <v>2.9825792751850301E-2</v>
      </c>
      <c r="G481" t="s">
        <v>99</v>
      </c>
    </row>
    <row r="482" spans="1:7" x14ac:dyDescent="0.25">
      <c r="A482" s="4" t="str">
        <f>HYPERLINK("http://amigo.geneontology.org/cgi-bin/amigo/term-details.cgi?term=GO:0004806","GO:0004806")</f>
        <v>GO:0004806</v>
      </c>
      <c r="B482" t="s">
        <v>1845</v>
      </c>
      <c r="C482">
        <v>80</v>
      </c>
      <c r="D482">
        <v>14</v>
      </c>
      <c r="E482">
        <v>3.3387142048254101E-3</v>
      </c>
      <c r="F482">
        <v>3.0048427843428701E-2</v>
      </c>
      <c r="G482" t="s">
        <v>1844</v>
      </c>
    </row>
    <row r="483" spans="1:7" x14ac:dyDescent="0.25">
      <c r="A483" s="4" t="str">
        <f>HYPERLINK("http://amigo.geneontology.org/cgi-bin/amigo/term-details.cgi?term=GO:2000112","GO:2000112")</f>
        <v>GO:2000112</v>
      </c>
      <c r="B483" t="s">
        <v>320</v>
      </c>
      <c r="C483">
        <v>4936</v>
      </c>
      <c r="D483">
        <v>435</v>
      </c>
      <c r="E483">
        <v>3.3514075508894701E-3</v>
      </c>
      <c r="F483">
        <v>3.01626679580052E-2</v>
      </c>
      <c r="G483" t="s">
        <v>1829</v>
      </c>
    </row>
    <row r="484" spans="1:7" x14ac:dyDescent="0.25">
      <c r="A484" s="4" t="str">
        <f>HYPERLINK("http://amigo.geneontology.org/cgi-bin/amigo/term-details.cgi?term=GO:0005886","GO:0005886")</f>
        <v>GO:0005886</v>
      </c>
      <c r="B484" t="s">
        <v>622</v>
      </c>
      <c r="C484">
        <v>1135</v>
      </c>
      <c r="D484">
        <v>114</v>
      </c>
      <c r="E484">
        <v>3.3581552417186601E-3</v>
      </c>
      <c r="F484">
        <v>3.02233971754679E-2</v>
      </c>
      <c r="G484" t="s">
        <v>1843</v>
      </c>
    </row>
    <row r="485" spans="1:7" x14ac:dyDescent="0.25">
      <c r="A485" s="4" t="str">
        <f>HYPERLINK("http://amigo.geneontology.org/cgi-bin/amigo/term-details.cgi?term=GO:0005771","GO:0005771")</f>
        <v>GO:0005771</v>
      </c>
      <c r="B485" t="s">
        <v>1842</v>
      </c>
      <c r="C485">
        <v>9</v>
      </c>
      <c r="D485">
        <v>4</v>
      </c>
      <c r="E485">
        <v>3.3622973852203901E-3</v>
      </c>
      <c r="F485">
        <v>3.0260676466983501E-2</v>
      </c>
      <c r="G485" t="s">
        <v>1841</v>
      </c>
    </row>
    <row r="486" spans="1:7" x14ac:dyDescent="0.25">
      <c r="A486" s="4" t="str">
        <f>HYPERLINK("http://amigo.geneontology.org/cgi-bin/amigo/term-details.cgi?term=GO:0004420","GO:0004420")</f>
        <v>GO:0004420</v>
      </c>
      <c r="B486" t="s">
        <v>222</v>
      </c>
      <c r="C486">
        <v>9</v>
      </c>
      <c r="D486">
        <v>4</v>
      </c>
      <c r="E486">
        <v>3.3622973852203901E-3</v>
      </c>
      <c r="F486">
        <v>3.0260676466983501E-2</v>
      </c>
      <c r="G486" t="s">
        <v>221</v>
      </c>
    </row>
    <row r="487" spans="1:7" x14ac:dyDescent="0.25">
      <c r="A487" s="4" t="str">
        <f>HYPERLINK("http://amigo.geneontology.org/cgi-bin/amigo/term-details.cgi?term=GO:0018958","GO:0018958")</f>
        <v>GO:0018958</v>
      </c>
      <c r="B487" t="s">
        <v>1840</v>
      </c>
      <c r="C487">
        <v>72</v>
      </c>
      <c r="D487">
        <v>13</v>
      </c>
      <c r="E487">
        <v>3.4754028816128399E-3</v>
      </c>
      <c r="F487">
        <v>3.1278625934515497E-2</v>
      </c>
      <c r="G487" t="s">
        <v>1839</v>
      </c>
    </row>
    <row r="488" spans="1:7" x14ac:dyDescent="0.25">
      <c r="A488" s="4" t="str">
        <f>HYPERLINK("http://amigo.geneontology.org/cgi-bin/amigo/term-details.cgi?term=GO:0006605","GO:0006605")</f>
        <v>GO:0006605</v>
      </c>
      <c r="B488" t="s">
        <v>640</v>
      </c>
      <c r="C488">
        <v>539</v>
      </c>
      <c r="D488">
        <v>60</v>
      </c>
      <c r="E488">
        <v>3.5134491054721901E-3</v>
      </c>
      <c r="F488">
        <v>3.1621041949249702E-2</v>
      </c>
      <c r="G488" t="s">
        <v>1838</v>
      </c>
    </row>
    <row r="489" spans="1:7" x14ac:dyDescent="0.25">
      <c r="A489" s="4" t="str">
        <f>HYPERLINK("http://amigo.geneontology.org/cgi-bin/amigo/term-details.cgi?term=GO:0016747","GO:0016747")</f>
        <v>GO:0016747</v>
      </c>
      <c r="B489" t="s">
        <v>978</v>
      </c>
      <c r="C489">
        <v>1353</v>
      </c>
      <c r="D489">
        <v>133</v>
      </c>
      <c r="E489">
        <v>3.5215118685876299E-3</v>
      </c>
      <c r="F489">
        <v>3.1693606817288701E-2</v>
      </c>
      <c r="G489" t="s">
        <v>1837</v>
      </c>
    </row>
    <row r="490" spans="1:7" x14ac:dyDescent="0.25">
      <c r="A490" s="4" t="str">
        <f>HYPERLINK("http://amigo.geneontology.org/cgi-bin/amigo/term-details.cgi?term=GO:0016857","GO:0016857")</f>
        <v>GO:0016857</v>
      </c>
      <c r="B490" t="s">
        <v>161</v>
      </c>
      <c r="C490">
        <v>56</v>
      </c>
      <c r="D490">
        <v>11</v>
      </c>
      <c r="E490">
        <v>3.5450760732795199E-3</v>
      </c>
      <c r="F490">
        <v>3.1905684659515599E-2</v>
      </c>
      <c r="G490" t="s">
        <v>1021</v>
      </c>
    </row>
    <row r="491" spans="1:7" x14ac:dyDescent="0.25">
      <c r="A491" s="4" t="str">
        <f>HYPERLINK("http://amigo.geneontology.org/cgi-bin/amigo/term-details.cgi?term=GO:0022411","GO:0022411")</f>
        <v>GO:0022411</v>
      </c>
      <c r="B491" t="s">
        <v>928</v>
      </c>
      <c r="C491">
        <v>64</v>
      </c>
      <c r="D491">
        <v>12</v>
      </c>
      <c r="E491">
        <v>3.55379565668927E-3</v>
      </c>
      <c r="F491">
        <v>3.1984160910203403E-2</v>
      </c>
      <c r="G491" t="s">
        <v>1836</v>
      </c>
    </row>
    <row r="492" spans="1:7" x14ac:dyDescent="0.25">
      <c r="A492" s="4" t="str">
        <f>HYPERLINK("http://amigo.geneontology.org/cgi-bin/amigo/term-details.cgi?term=GO:0006631","GO:0006631")</f>
        <v>GO:0006631</v>
      </c>
      <c r="B492" t="s">
        <v>1835</v>
      </c>
      <c r="C492">
        <v>648</v>
      </c>
      <c r="D492">
        <v>70</v>
      </c>
      <c r="E492">
        <v>3.63963495333023E-3</v>
      </c>
      <c r="F492">
        <v>3.2756714579972097E-2</v>
      </c>
      <c r="G492" t="s">
        <v>1834</v>
      </c>
    </row>
    <row r="493" spans="1:7" x14ac:dyDescent="0.25">
      <c r="A493" s="4" t="str">
        <f>HYPERLINK("http://amigo.geneontology.org/cgi-bin/amigo/term-details.cgi?term=GO:1990748","GO:1990748")</f>
        <v>GO:1990748</v>
      </c>
      <c r="B493" t="s">
        <v>294</v>
      </c>
      <c r="C493">
        <v>27</v>
      </c>
      <c r="D493">
        <v>7</v>
      </c>
      <c r="E493">
        <v>3.8172766590683798E-3</v>
      </c>
      <c r="F493">
        <v>3.4355489931615399E-2</v>
      </c>
      <c r="G493" t="s">
        <v>224</v>
      </c>
    </row>
    <row r="494" spans="1:7" x14ac:dyDescent="0.25">
      <c r="A494" s="4" t="str">
        <f>HYPERLINK("http://amigo.geneontology.org/cgi-bin/amigo/term-details.cgi?term=GO:0034050","GO:0034050")</f>
        <v>GO:0034050</v>
      </c>
      <c r="B494" t="s">
        <v>1833</v>
      </c>
      <c r="C494">
        <v>27</v>
      </c>
      <c r="D494">
        <v>7</v>
      </c>
      <c r="E494">
        <v>3.8172766590683798E-3</v>
      </c>
      <c r="F494">
        <v>3.4355489931615399E-2</v>
      </c>
      <c r="G494" t="s">
        <v>1831</v>
      </c>
    </row>
    <row r="495" spans="1:7" x14ac:dyDescent="0.25">
      <c r="A495" s="4" t="str">
        <f>HYPERLINK("http://amigo.geneontology.org/cgi-bin/amigo/term-details.cgi?term=GO:0009626","GO:0009626")</f>
        <v>GO:0009626</v>
      </c>
      <c r="B495" t="s">
        <v>1832</v>
      </c>
      <c r="C495">
        <v>27</v>
      </c>
      <c r="D495">
        <v>7</v>
      </c>
      <c r="E495">
        <v>3.8172766590683798E-3</v>
      </c>
      <c r="F495">
        <v>3.4355489931615399E-2</v>
      </c>
      <c r="G495" t="s">
        <v>1831</v>
      </c>
    </row>
    <row r="496" spans="1:7" x14ac:dyDescent="0.25">
      <c r="A496" s="4" t="str">
        <f>HYPERLINK("http://amigo.geneontology.org/cgi-bin/amigo/term-details.cgi?term=GO:0015297","GO:0015297")</f>
        <v>GO:0015297</v>
      </c>
      <c r="B496" t="s">
        <v>112</v>
      </c>
      <c r="C496">
        <v>362</v>
      </c>
      <c r="D496">
        <v>43</v>
      </c>
      <c r="E496">
        <v>3.9186382159270101E-3</v>
      </c>
      <c r="F496">
        <v>3.5267743943343102E-2</v>
      </c>
      <c r="G496" t="s">
        <v>1830</v>
      </c>
    </row>
    <row r="497" spans="1:7" x14ac:dyDescent="0.25">
      <c r="A497" s="4" t="str">
        <f>HYPERLINK("http://amigo.geneontology.org/cgi-bin/amigo/term-details.cgi?term=GO:0010556","GO:0010556")</f>
        <v>GO:0010556</v>
      </c>
      <c r="B497" t="s">
        <v>322</v>
      </c>
      <c r="C497">
        <v>4948</v>
      </c>
      <c r="D497">
        <v>435</v>
      </c>
      <c r="E497">
        <v>3.9209204405191598E-3</v>
      </c>
      <c r="F497">
        <v>3.5288283964672498E-2</v>
      </c>
      <c r="G497" t="s">
        <v>1829</v>
      </c>
    </row>
    <row r="498" spans="1:7" x14ac:dyDescent="0.25">
      <c r="A498" s="4" t="str">
        <f>HYPERLINK("http://amigo.geneontology.org/cgi-bin/amigo/term-details.cgi?term=GO:1901681","GO:1901681")</f>
        <v>GO:1901681</v>
      </c>
      <c r="B498" t="s">
        <v>1828</v>
      </c>
      <c r="C498">
        <v>65</v>
      </c>
      <c r="D498">
        <v>12</v>
      </c>
      <c r="E498">
        <v>4.05522307828011E-3</v>
      </c>
      <c r="F498">
        <v>3.6497007704521002E-2</v>
      </c>
      <c r="G498" t="s">
        <v>1827</v>
      </c>
    </row>
    <row r="499" spans="1:7" x14ac:dyDescent="0.25">
      <c r="A499" s="4" t="str">
        <f>HYPERLINK("http://amigo.geneontology.org/cgi-bin/amigo/term-details.cgi?term=GO:0031326","GO:0031326")</f>
        <v>GO:0031326</v>
      </c>
      <c r="B499" t="s">
        <v>321</v>
      </c>
      <c r="C499">
        <v>4975</v>
      </c>
      <c r="D499">
        <v>437</v>
      </c>
      <c r="E499">
        <v>4.0615009752771897E-3</v>
      </c>
      <c r="F499">
        <v>3.6553508777494699E-2</v>
      </c>
      <c r="G499" t="s">
        <v>1826</v>
      </c>
    </row>
    <row r="500" spans="1:7" x14ac:dyDescent="0.25">
      <c r="A500" s="4" t="str">
        <f>HYPERLINK("http://amigo.geneontology.org/cgi-bin/amigo/term-details.cgi?term=GO:0051193","GO:0051193")</f>
        <v>GO:0051193</v>
      </c>
      <c r="B500" t="s">
        <v>1825</v>
      </c>
      <c r="C500">
        <v>57</v>
      </c>
      <c r="D500">
        <v>11</v>
      </c>
      <c r="E500">
        <v>4.0891541195550501E-3</v>
      </c>
      <c r="F500">
        <v>3.68023870759955E-2</v>
      </c>
      <c r="G500" t="s">
        <v>1824</v>
      </c>
    </row>
    <row r="501" spans="1:7" x14ac:dyDescent="0.25">
      <c r="A501" s="4" t="str">
        <f>HYPERLINK("http://amigo.geneontology.org/cgi-bin/amigo/term-details.cgi?term=GO:0004049","GO:0004049")</f>
        <v>GO:0004049</v>
      </c>
      <c r="B501" t="s">
        <v>213</v>
      </c>
      <c r="C501">
        <v>5</v>
      </c>
      <c r="D501">
        <v>3</v>
      </c>
      <c r="E501">
        <v>4.1854989360463899E-3</v>
      </c>
      <c r="F501">
        <v>3.7669490424417501E-2</v>
      </c>
      <c r="G501" t="s">
        <v>78</v>
      </c>
    </row>
    <row r="502" spans="1:7" x14ac:dyDescent="0.25">
      <c r="A502" s="4" t="str">
        <f>HYPERLINK("http://amigo.geneontology.org/cgi-bin/amigo/term-details.cgi?term=GO:0004419","GO:0004419")</f>
        <v>GO:0004419</v>
      </c>
      <c r="B502" t="s">
        <v>1823</v>
      </c>
      <c r="C502">
        <v>5</v>
      </c>
      <c r="D502">
        <v>3</v>
      </c>
      <c r="E502">
        <v>4.1854989360463899E-3</v>
      </c>
      <c r="F502">
        <v>3.7669490424417501E-2</v>
      </c>
      <c r="G502" t="s">
        <v>1822</v>
      </c>
    </row>
    <row r="503" spans="1:7" x14ac:dyDescent="0.25">
      <c r="A503" s="4" t="str">
        <f>HYPERLINK("http://amigo.geneontology.org/cgi-bin/amigo/term-details.cgi?term=GO:0003868","GO:0003868")</f>
        <v>GO:0003868</v>
      </c>
      <c r="B503" t="s">
        <v>101</v>
      </c>
      <c r="C503">
        <v>5</v>
      </c>
      <c r="D503">
        <v>3</v>
      </c>
      <c r="E503">
        <v>4.1854989360463899E-3</v>
      </c>
      <c r="F503">
        <v>3.7669490424417501E-2</v>
      </c>
      <c r="G503" t="s">
        <v>1010</v>
      </c>
    </row>
    <row r="504" spans="1:7" x14ac:dyDescent="0.25">
      <c r="A504" s="4" t="str">
        <f>HYPERLINK("http://amigo.geneontology.org/cgi-bin/amigo/term-details.cgi?term=GO:0008265","GO:0008265")</f>
        <v>GO:0008265</v>
      </c>
      <c r="B504" t="s">
        <v>918</v>
      </c>
      <c r="C504">
        <v>5</v>
      </c>
      <c r="D504">
        <v>3</v>
      </c>
      <c r="E504">
        <v>4.1854989360463899E-3</v>
      </c>
      <c r="F504">
        <v>3.7669490424417501E-2</v>
      </c>
      <c r="G504" t="s">
        <v>1018</v>
      </c>
    </row>
    <row r="505" spans="1:7" x14ac:dyDescent="0.25">
      <c r="A505" s="4" t="str">
        <f>HYPERLINK("http://amigo.geneontology.org/cgi-bin/amigo/term-details.cgi?term=GO:0005758","GO:0005758")</f>
        <v>GO:0005758</v>
      </c>
      <c r="B505" t="s">
        <v>1233</v>
      </c>
      <c r="C505">
        <v>21</v>
      </c>
      <c r="D505">
        <v>6</v>
      </c>
      <c r="E505">
        <v>4.3371628711628696E-3</v>
      </c>
      <c r="F505">
        <v>3.9034465840465798E-2</v>
      </c>
      <c r="G505" t="s">
        <v>1635</v>
      </c>
    </row>
    <row r="506" spans="1:7" x14ac:dyDescent="0.25">
      <c r="A506" s="4" t="str">
        <f>HYPERLINK("http://amigo.geneontology.org/cgi-bin/amigo/term-details.cgi?term=GO:0004602","GO:0004602")</f>
        <v>GO:0004602</v>
      </c>
      <c r="B506" t="s">
        <v>160</v>
      </c>
      <c r="C506">
        <v>15</v>
      </c>
      <c r="D506">
        <v>5</v>
      </c>
      <c r="E506">
        <v>4.41889074332193E-3</v>
      </c>
      <c r="F506">
        <v>3.9770016689897297E-2</v>
      </c>
      <c r="G506" t="s">
        <v>1014</v>
      </c>
    </row>
    <row r="507" spans="1:7" x14ac:dyDescent="0.25">
      <c r="A507" s="4" t="str">
        <f>HYPERLINK("http://amigo.geneontology.org/cgi-bin/amigo/term-details.cgi?term=GO:0005342","GO:0005342")</f>
        <v>GO:0005342</v>
      </c>
      <c r="B507" t="s">
        <v>179</v>
      </c>
      <c r="C507">
        <v>118</v>
      </c>
      <c r="D507">
        <v>18</v>
      </c>
      <c r="E507">
        <v>4.5387202468487198E-3</v>
      </c>
      <c r="F507">
        <v>4.0848482221638498E-2</v>
      </c>
      <c r="G507" t="s">
        <v>1821</v>
      </c>
    </row>
    <row r="508" spans="1:7" x14ac:dyDescent="0.25">
      <c r="A508" s="4" t="str">
        <f>HYPERLINK("http://amigo.geneontology.org/cgi-bin/amigo/term-details.cgi?term=GO:0046943","GO:0046943")</f>
        <v>GO:0046943</v>
      </c>
      <c r="B508" t="s">
        <v>178</v>
      </c>
      <c r="C508">
        <v>118</v>
      </c>
      <c r="D508">
        <v>18</v>
      </c>
      <c r="E508">
        <v>4.5387202468487198E-3</v>
      </c>
      <c r="F508">
        <v>4.0848482221638498E-2</v>
      </c>
      <c r="G508" t="s">
        <v>1821</v>
      </c>
    </row>
    <row r="509" spans="1:7" x14ac:dyDescent="0.25">
      <c r="A509" s="4" t="str">
        <f>HYPERLINK("http://amigo.geneontology.org/cgi-bin/amigo/term-details.cgi?term=GO:0031365","GO:0031365")</f>
        <v>GO:0031365</v>
      </c>
      <c r="B509" t="s">
        <v>1820</v>
      </c>
      <c r="C509">
        <v>66</v>
      </c>
      <c r="D509">
        <v>12</v>
      </c>
      <c r="E509">
        <v>4.6118486122023496E-3</v>
      </c>
      <c r="F509">
        <v>4.1506637509821101E-2</v>
      </c>
      <c r="G509" t="s">
        <v>1819</v>
      </c>
    </row>
    <row r="510" spans="1:7" x14ac:dyDescent="0.25">
      <c r="A510" s="4" t="str">
        <f>HYPERLINK("http://amigo.geneontology.org/cgi-bin/amigo/term-details.cgi?term=GO:0019363","GO:0019363")</f>
        <v>GO:0019363</v>
      </c>
      <c r="B510" t="s">
        <v>1374</v>
      </c>
      <c r="C510">
        <v>35</v>
      </c>
      <c r="D510">
        <v>8</v>
      </c>
      <c r="E510">
        <v>4.7012313867592602E-3</v>
      </c>
      <c r="F510">
        <v>4.2311082480833297E-2</v>
      </c>
      <c r="G510" t="s">
        <v>1818</v>
      </c>
    </row>
    <row r="511" spans="1:7" x14ac:dyDescent="0.25">
      <c r="A511" s="4" t="str">
        <f>HYPERLINK("http://amigo.geneontology.org/cgi-bin/amigo/term-details.cgi?term=GO:0061025","GO:0061025")</f>
        <v>GO:0061025</v>
      </c>
      <c r="B511" t="s">
        <v>1817</v>
      </c>
      <c r="C511">
        <v>35</v>
      </c>
      <c r="D511">
        <v>8</v>
      </c>
      <c r="E511">
        <v>4.7012313867592602E-3</v>
      </c>
      <c r="F511">
        <v>4.2311082480833297E-2</v>
      </c>
      <c r="G511" t="s">
        <v>1816</v>
      </c>
    </row>
    <row r="512" spans="1:7" x14ac:dyDescent="0.25">
      <c r="A512" s="4" t="str">
        <f>HYPERLINK("http://amigo.geneontology.org/cgi-bin/amigo/term-details.cgi?term=GO:0043170","GO:0043170")</f>
        <v>GO:0043170</v>
      </c>
      <c r="B512" t="s">
        <v>884</v>
      </c>
      <c r="C512">
        <v>17684</v>
      </c>
      <c r="D512">
        <v>1459</v>
      </c>
      <c r="E512">
        <v>4.7827157003432598E-3</v>
      </c>
      <c r="F512">
        <v>3.8261725602746099E-2</v>
      </c>
      <c r="G512" t="s">
        <v>1815</v>
      </c>
    </row>
    <row r="513" spans="1:7" x14ac:dyDescent="0.25">
      <c r="A513" s="4" t="str">
        <f>HYPERLINK("http://amigo.geneontology.org/cgi-bin/amigo/term-details.cgi?term=GO:0016679","GO:0016679")</f>
        <v>GO:0016679</v>
      </c>
      <c r="B513" t="s">
        <v>1215</v>
      </c>
      <c r="C513">
        <v>147</v>
      </c>
      <c r="D513">
        <v>21</v>
      </c>
      <c r="E513">
        <v>5.0604074132060504E-3</v>
      </c>
      <c r="F513">
        <v>4.0483259305648403E-2</v>
      </c>
      <c r="G513" t="s">
        <v>1279</v>
      </c>
    </row>
    <row r="514" spans="1:7" x14ac:dyDescent="0.25">
      <c r="A514" s="4" t="str">
        <f>HYPERLINK("http://amigo.geneontology.org/cgi-bin/amigo/term-details.cgi?term=GO:0044440","GO:0044440")</f>
        <v>GO:0044440</v>
      </c>
      <c r="B514" t="s">
        <v>1814</v>
      </c>
      <c r="C514">
        <v>43</v>
      </c>
      <c r="D514">
        <v>9</v>
      </c>
      <c r="E514">
        <v>5.1910521310596603E-3</v>
      </c>
      <c r="F514">
        <v>4.1528417048477297E-2</v>
      </c>
      <c r="G514" t="s">
        <v>1812</v>
      </c>
    </row>
    <row r="515" spans="1:7" x14ac:dyDescent="0.25">
      <c r="A515" s="4" t="str">
        <f>HYPERLINK("http://amigo.geneontology.org/cgi-bin/amigo/term-details.cgi?term=GO:0010008","GO:0010008")</f>
        <v>GO:0010008</v>
      </c>
      <c r="B515" t="s">
        <v>1813</v>
      </c>
      <c r="C515">
        <v>43</v>
      </c>
      <c r="D515">
        <v>9</v>
      </c>
      <c r="E515">
        <v>5.1910521310596603E-3</v>
      </c>
      <c r="F515">
        <v>4.1528417048477297E-2</v>
      </c>
      <c r="G515" t="s">
        <v>1812</v>
      </c>
    </row>
    <row r="516" spans="1:7" x14ac:dyDescent="0.25">
      <c r="A516" s="4" t="str">
        <f>HYPERLINK("http://amigo.geneontology.org/cgi-bin/amigo/term-details.cgi?term=GO:0015171","GO:0015171")</f>
        <v>GO:0015171</v>
      </c>
      <c r="B516" t="s">
        <v>177</v>
      </c>
      <c r="C516">
        <v>84</v>
      </c>
      <c r="D516">
        <v>14</v>
      </c>
      <c r="E516">
        <v>5.2502546253606099E-3</v>
      </c>
      <c r="F516">
        <v>4.20020370028849E-2</v>
      </c>
      <c r="G516" t="s">
        <v>1278</v>
      </c>
    </row>
    <row r="517" spans="1:7" x14ac:dyDescent="0.25">
      <c r="A517" s="4" t="str">
        <f>HYPERLINK("http://amigo.geneontology.org/cgi-bin/amigo/term-details.cgi?term=GO:0045493","GO:0045493")</f>
        <v>GO:0045493</v>
      </c>
      <c r="B517" t="s">
        <v>1811</v>
      </c>
      <c r="C517">
        <v>10</v>
      </c>
      <c r="D517">
        <v>4</v>
      </c>
      <c r="E517">
        <v>5.2598976709887597E-3</v>
      </c>
      <c r="F517">
        <v>4.2079181367910098E-2</v>
      </c>
      <c r="G517" t="s">
        <v>1810</v>
      </c>
    </row>
    <row r="518" spans="1:7" x14ac:dyDescent="0.25">
      <c r="A518" s="4" t="str">
        <f>HYPERLINK("http://amigo.geneontology.org/cgi-bin/amigo/term-details.cgi?term=GO:0010337","GO:0010337")</f>
        <v>GO:0010337</v>
      </c>
      <c r="B518" t="s">
        <v>1809</v>
      </c>
      <c r="C518">
        <v>10</v>
      </c>
      <c r="D518">
        <v>4</v>
      </c>
      <c r="E518">
        <v>5.2598976709887597E-3</v>
      </c>
      <c r="F518">
        <v>4.2079181367910098E-2</v>
      </c>
      <c r="G518" t="s">
        <v>1808</v>
      </c>
    </row>
    <row r="519" spans="1:7" x14ac:dyDescent="0.25">
      <c r="A519" s="4" t="str">
        <f>HYPERLINK("http://amigo.geneontology.org/cgi-bin/amigo/term-details.cgi?term=GO:0005310","GO:0005310")</f>
        <v>GO:0005310</v>
      </c>
      <c r="B519" t="s">
        <v>1807</v>
      </c>
      <c r="C519">
        <v>10</v>
      </c>
      <c r="D519">
        <v>4</v>
      </c>
      <c r="E519">
        <v>5.2598976709887597E-3</v>
      </c>
      <c r="F519">
        <v>4.2079181367910098E-2</v>
      </c>
      <c r="G519" t="s">
        <v>1806</v>
      </c>
    </row>
    <row r="520" spans="1:7" x14ac:dyDescent="0.25">
      <c r="A520" s="4" t="str">
        <f>HYPERLINK("http://amigo.geneontology.org/cgi-bin/amigo/term-details.cgi?term=GO:0009098","GO:0009098")</f>
        <v>GO:0009098</v>
      </c>
      <c r="B520" t="s">
        <v>154</v>
      </c>
      <c r="C520">
        <v>10</v>
      </c>
      <c r="D520">
        <v>4</v>
      </c>
      <c r="E520">
        <v>5.2598976709887597E-3</v>
      </c>
      <c r="F520">
        <v>4.2079181367910098E-2</v>
      </c>
      <c r="G520" t="s">
        <v>1805</v>
      </c>
    </row>
    <row r="521" spans="1:7" x14ac:dyDescent="0.25">
      <c r="A521" s="4" t="str">
        <f>HYPERLINK("http://amigo.geneontology.org/cgi-bin/amigo/term-details.cgi?term=GO:0009698","GO:0009698")</f>
        <v>GO:0009698</v>
      </c>
      <c r="B521" t="s">
        <v>1219</v>
      </c>
      <c r="C521">
        <v>157</v>
      </c>
      <c r="D521">
        <v>22</v>
      </c>
      <c r="E521">
        <v>5.28216002916945E-3</v>
      </c>
      <c r="F521">
        <v>4.22572802333556E-2</v>
      </c>
      <c r="G521" t="s">
        <v>1804</v>
      </c>
    </row>
    <row r="522" spans="1:7" x14ac:dyDescent="0.25">
      <c r="A522" s="4" t="str">
        <f>HYPERLINK("http://amigo.geneontology.org/cgi-bin/amigo/term-details.cgi?term=GO:0043624","GO:0043624")</f>
        <v>GO:0043624</v>
      </c>
      <c r="B522" t="s">
        <v>262</v>
      </c>
      <c r="C522">
        <v>59</v>
      </c>
      <c r="D522">
        <v>11</v>
      </c>
      <c r="E522">
        <v>5.3757645218308302E-3</v>
      </c>
      <c r="F522">
        <v>4.3006116174646697E-2</v>
      </c>
      <c r="G522" t="s">
        <v>1734</v>
      </c>
    </row>
    <row r="523" spans="1:7" x14ac:dyDescent="0.25">
      <c r="A523" s="4" t="str">
        <f>HYPERLINK("http://amigo.geneontology.org/cgi-bin/amigo/term-details.cgi?term=GO:0015926","GO:0015926")</f>
        <v>GO:0015926</v>
      </c>
      <c r="B523" t="s">
        <v>182</v>
      </c>
      <c r="C523">
        <v>59</v>
      </c>
      <c r="D523">
        <v>11</v>
      </c>
      <c r="E523">
        <v>5.3757645218308302E-3</v>
      </c>
      <c r="F523">
        <v>4.3006116174646697E-2</v>
      </c>
      <c r="G523" t="s">
        <v>1803</v>
      </c>
    </row>
    <row r="524" spans="1:7" x14ac:dyDescent="0.25">
      <c r="A524" s="4" t="str">
        <f>HYPERLINK("http://amigo.geneontology.org/cgi-bin/amigo/term-details.cgi?term=GO:0098656","GO:0098656")</f>
        <v>GO:0098656</v>
      </c>
      <c r="B524" t="s">
        <v>1802</v>
      </c>
      <c r="C524">
        <v>167</v>
      </c>
      <c r="D524">
        <v>23</v>
      </c>
      <c r="E524">
        <v>5.4660269121283196E-3</v>
      </c>
      <c r="F524">
        <v>4.3728215297026599E-2</v>
      </c>
      <c r="G524" t="s">
        <v>1801</v>
      </c>
    </row>
    <row r="525" spans="1:7" x14ac:dyDescent="0.25">
      <c r="A525" s="4" t="str">
        <f>HYPERLINK("http://amigo.geneontology.org/cgi-bin/amigo/term-details.cgi?term=GO:0032940","GO:0032940")</f>
        <v>GO:0032940</v>
      </c>
      <c r="B525" t="s">
        <v>130</v>
      </c>
      <c r="C525">
        <v>216</v>
      </c>
      <c r="D525">
        <v>28</v>
      </c>
      <c r="E525">
        <v>5.5619110458542901E-3</v>
      </c>
      <c r="F525">
        <v>4.44952883668343E-2</v>
      </c>
      <c r="G525" t="s">
        <v>1640</v>
      </c>
    </row>
    <row r="526" spans="1:7" x14ac:dyDescent="0.25">
      <c r="A526" s="4" t="str">
        <f>HYPERLINK("http://amigo.geneontology.org/cgi-bin/amigo/term-details.cgi?term=GO:0002238","GO:0002238")</f>
        <v>GO:0002238</v>
      </c>
      <c r="B526" t="s">
        <v>1800</v>
      </c>
      <c r="C526">
        <v>22</v>
      </c>
      <c r="D526">
        <v>6</v>
      </c>
      <c r="E526">
        <v>5.5755988247213296E-3</v>
      </c>
      <c r="F526">
        <v>4.4604790597770602E-2</v>
      </c>
      <c r="G526" t="s">
        <v>1799</v>
      </c>
    </row>
    <row r="527" spans="1:7" x14ac:dyDescent="0.25">
      <c r="A527" s="4" t="str">
        <f>HYPERLINK("http://amigo.geneontology.org/cgi-bin/amigo/term-details.cgi?term=GO:0010583","GO:0010583")</f>
        <v>GO:0010583</v>
      </c>
      <c r="B527" t="s">
        <v>1798</v>
      </c>
      <c r="C527">
        <v>22</v>
      </c>
      <c r="D527">
        <v>6</v>
      </c>
      <c r="E527">
        <v>5.5755988247213296E-3</v>
      </c>
      <c r="F527">
        <v>4.4604790597770602E-2</v>
      </c>
      <c r="G527" t="s">
        <v>1797</v>
      </c>
    </row>
    <row r="528" spans="1:7" x14ac:dyDescent="0.25">
      <c r="A528" s="4" t="str">
        <f>HYPERLINK("http://amigo.geneontology.org/cgi-bin/amigo/term-details.cgi?term=GO:0003743","GO:0003743")</f>
        <v>GO:0003743</v>
      </c>
      <c r="B528" t="s">
        <v>145</v>
      </c>
      <c r="C528">
        <v>177</v>
      </c>
      <c r="D528">
        <v>24</v>
      </c>
      <c r="E528">
        <v>5.6150468182837501E-3</v>
      </c>
      <c r="F528">
        <v>4.492037454627E-2</v>
      </c>
      <c r="G528" t="s">
        <v>1796</v>
      </c>
    </row>
    <row r="529" spans="1:7" x14ac:dyDescent="0.25">
      <c r="A529" s="4" t="str">
        <f>HYPERLINK("http://amigo.geneontology.org/cgi-bin/amigo/term-details.cgi?term=GO:0009312","GO:0009312")</f>
        <v>GO:0009312</v>
      </c>
      <c r="B529" t="s">
        <v>1206</v>
      </c>
      <c r="C529">
        <v>85</v>
      </c>
      <c r="D529">
        <v>14</v>
      </c>
      <c r="E529">
        <v>5.8447208060579802E-3</v>
      </c>
      <c r="F529">
        <v>4.67577664484638E-2</v>
      </c>
      <c r="G529" t="s">
        <v>1795</v>
      </c>
    </row>
    <row r="530" spans="1:7" x14ac:dyDescent="0.25">
      <c r="A530" s="4" t="str">
        <f>HYPERLINK("http://amigo.geneontology.org/cgi-bin/amigo/term-details.cgi?term=GO:0004712","GO:0004712")</f>
        <v>GO:0004712</v>
      </c>
      <c r="B530" t="s">
        <v>1794</v>
      </c>
      <c r="C530">
        <v>29</v>
      </c>
      <c r="D530">
        <v>7</v>
      </c>
      <c r="E530">
        <v>5.8496612788843999E-3</v>
      </c>
      <c r="F530">
        <v>4.6797290231075199E-2</v>
      </c>
      <c r="G530" t="s">
        <v>1793</v>
      </c>
    </row>
    <row r="531" spans="1:7" x14ac:dyDescent="0.25">
      <c r="A531" s="4" t="str">
        <f>HYPERLINK("http://amigo.geneontology.org/cgi-bin/amigo/term-details.cgi?term=GO:0051540","GO:0051540")</f>
        <v>GO:0051540</v>
      </c>
      <c r="B531" t="s">
        <v>839</v>
      </c>
      <c r="C531">
        <v>329</v>
      </c>
      <c r="D531">
        <v>39</v>
      </c>
      <c r="E531">
        <v>5.9708893228097998E-3</v>
      </c>
      <c r="F531">
        <v>4.7767114582478398E-2</v>
      </c>
      <c r="G531" t="s">
        <v>1792</v>
      </c>
    </row>
    <row r="532" spans="1:7" x14ac:dyDescent="0.25">
      <c r="A532" s="4" t="str">
        <f>HYPERLINK("http://amigo.geneontology.org/cgi-bin/amigo/term-details.cgi?term=GO:0051536","GO:0051536")</f>
        <v>GO:0051536</v>
      </c>
      <c r="B532" t="s">
        <v>838</v>
      </c>
      <c r="C532">
        <v>329</v>
      </c>
      <c r="D532">
        <v>39</v>
      </c>
      <c r="E532">
        <v>5.9708893228097998E-3</v>
      </c>
      <c r="F532">
        <v>4.7767114582478398E-2</v>
      </c>
      <c r="G532" t="s">
        <v>1792</v>
      </c>
    </row>
    <row r="533" spans="1:7" x14ac:dyDescent="0.25">
      <c r="A533" s="4" t="str">
        <f>HYPERLINK("http://amigo.geneontology.org/cgi-bin/amigo/term-details.cgi?term=GO:0034051","GO:0034051")</f>
        <v>GO:0034051</v>
      </c>
      <c r="B533" t="s">
        <v>1791</v>
      </c>
      <c r="C533">
        <v>2</v>
      </c>
      <c r="D533">
        <v>2</v>
      </c>
      <c r="E533">
        <v>6.0625189494351202E-3</v>
      </c>
      <c r="F533">
        <v>4.8500151595481003E-2</v>
      </c>
      <c r="G533" t="s">
        <v>1790</v>
      </c>
    </row>
    <row r="534" spans="1:7" x14ac:dyDescent="0.25">
      <c r="A534" s="4" t="str">
        <f>HYPERLINK("http://amigo.geneontology.org/cgi-bin/amigo/term-details.cgi?term=GO:0004780","GO:0004780")</f>
        <v>GO:0004780</v>
      </c>
      <c r="B534" t="s">
        <v>1789</v>
      </c>
      <c r="C534">
        <v>2</v>
      </c>
      <c r="D534">
        <v>2</v>
      </c>
      <c r="E534">
        <v>6.0625189494351202E-3</v>
      </c>
      <c r="F534">
        <v>4.8500151595481003E-2</v>
      </c>
      <c r="G534" t="s">
        <v>1788</v>
      </c>
    </row>
    <row r="535" spans="1:7" x14ac:dyDescent="0.25">
      <c r="A535" s="4" t="str">
        <f>HYPERLINK("http://amigo.geneontology.org/cgi-bin/amigo/term-details.cgi?term=GO:0042981","GO:0042981")</f>
        <v>GO:0042981</v>
      </c>
      <c r="B535" t="s">
        <v>1787</v>
      </c>
      <c r="C535">
        <v>2</v>
      </c>
      <c r="D535">
        <v>2</v>
      </c>
      <c r="E535">
        <v>6.0625189494351202E-3</v>
      </c>
      <c r="F535">
        <v>4.8500151595481003E-2</v>
      </c>
      <c r="G535" t="s">
        <v>1785</v>
      </c>
    </row>
    <row r="536" spans="1:7" x14ac:dyDescent="0.25">
      <c r="A536" s="4" t="str">
        <f>HYPERLINK("http://amigo.geneontology.org/cgi-bin/amigo/term-details.cgi?term=GO:0043066","GO:0043066")</f>
        <v>GO:0043066</v>
      </c>
      <c r="B536" t="s">
        <v>1786</v>
      </c>
      <c r="C536">
        <v>2</v>
      </c>
      <c r="D536">
        <v>2</v>
      </c>
      <c r="E536">
        <v>6.0625189494351202E-3</v>
      </c>
      <c r="F536">
        <v>4.8500151595481003E-2</v>
      </c>
      <c r="G536" t="s">
        <v>1785</v>
      </c>
    </row>
    <row r="537" spans="1:7" x14ac:dyDescent="0.25">
      <c r="A537" s="4" t="str">
        <f>HYPERLINK("http://amigo.geneontology.org/cgi-bin/amigo/term-details.cgi?term=GO:0048317","GO:0048317")</f>
        <v>GO:0048317</v>
      </c>
      <c r="B537" t="s">
        <v>1784</v>
      </c>
      <c r="C537">
        <v>2</v>
      </c>
      <c r="D537">
        <v>2</v>
      </c>
      <c r="E537">
        <v>6.0625189494351202E-3</v>
      </c>
      <c r="F537">
        <v>4.8500151595481003E-2</v>
      </c>
      <c r="G537" t="s">
        <v>1486</v>
      </c>
    </row>
    <row r="538" spans="1:7" x14ac:dyDescent="0.25">
      <c r="A538" s="4" t="str">
        <f>HYPERLINK("http://amigo.geneontology.org/cgi-bin/amigo/term-details.cgi?term=GO:0048482","GO:0048482")</f>
        <v>GO:0048482</v>
      </c>
      <c r="B538" t="s">
        <v>1783</v>
      </c>
      <c r="C538">
        <v>2</v>
      </c>
      <c r="D538">
        <v>2</v>
      </c>
      <c r="E538">
        <v>6.0625189494351202E-3</v>
      </c>
      <c r="F538">
        <v>4.8500151595481003E-2</v>
      </c>
      <c r="G538" t="s">
        <v>1486</v>
      </c>
    </row>
    <row r="539" spans="1:7" x14ac:dyDescent="0.25">
      <c r="A539" s="4" t="str">
        <f>HYPERLINK("http://amigo.geneontology.org/cgi-bin/amigo/term-details.cgi?term=GO:0033609","GO:0033609")</f>
        <v>GO:0033609</v>
      </c>
      <c r="B539" t="s">
        <v>1782</v>
      </c>
      <c r="C539">
        <v>2</v>
      </c>
      <c r="D539">
        <v>2</v>
      </c>
      <c r="E539">
        <v>6.0625189494351202E-3</v>
      </c>
      <c r="F539">
        <v>4.8500151595481003E-2</v>
      </c>
      <c r="G539" t="s">
        <v>1779</v>
      </c>
    </row>
    <row r="540" spans="1:7" x14ac:dyDescent="0.25">
      <c r="A540" s="4" t="str">
        <f>HYPERLINK("http://amigo.geneontology.org/cgi-bin/amigo/term-details.cgi?term=GO:0033611","GO:0033611")</f>
        <v>GO:0033611</v>
      </c>
      <c r="B540" t="s">
        <v>1781</v>
      </c>
      <c r="C540">
        <v>2</v>
      </c>
      <c r="D540">
        <v>2</v>
      </c>
      <c r="E540">
        <v>6.0625189494351202E-3</v>
      </c>
      <c r="F540">
        <v>4.8500151595481003E-2</v>
      </c>
      <c r="G540" t="s">
        <v>1779</v>
      </c>
    </row>
    <row r="541" spans="1:7" x14ac:dyDescent="0.25">
      <c r="A541" s="4" t="str">
        <f>HYPERLINK("http://amigo.geneontology.org/cgi-bin/amigo/term-details.cgi?term=GO:0050203","GO:0050203")</f>
        <v>GO:0050203</v>
      </c>
      <c r="B541" t="s">
        <v>1780</v>
      </c>
      <c r="C541">
        <v>2</v>
      </c>
      <c r="D541">
        <v>2</v>
      </c>
      <c r="E541">
        <v>6.0625189494351202E-3</v>
      </c>
      <c r="F541">
        <v>4.8500151595481003E-2</v>
      </c>
      <c r="G541" t="s">
        <v>1779</v>
      </c>
    </row>
    <row r="542" spans="1:7" x14ac:dyDescent="0.25">
      <c r="A542" s="4" t="str">
        <f>HYPERLINK("http://amigo.geneontology.org/cgi-bin/amigo/term-details.cgi?term=GO:0009835","GO:0009835")</f>
        <v>GO:0009835</v>
      </c>
      <c r="B542" t="s">
        <v>1778</v>
      </c>
      <c r="C542">
        <v>2</v>
      </c>
      <c r="D542">
        <v>2</v>
      </c>
      <c r="E542">
        <v>6.0625189494351202E-3</v>
      </c>
      <c r="F542">
        <v>4.8500151595481003E-2</v>
      </c>
      <c r="G542" t="s">
        <v>1777</v>
      </c>
    </row>
    <row r="543" spans="1:7" x14ac:dyDescent="0.25">
      <c r="A543" s="4" t="str">
        <f>HYPERLINK("http://amigo.geneontology.org/cgi-bin/amigo/term-details.cgi?term=GO:0005355","GO:0005355")</f>
        <v>GO:0005355</v>
      </c>
      <c r="B543" t="s">
        <v>1776</v>
      </c>
      <c r="C543">
        <v>2</v>
      </c>
      <c r="D543">
        <v>2</v>
      </c>
      <c r="E543">
        <v>6.0625189494351202E-3</v>
      </c>
      <c r="F543">
        <v>4.8500151595481003E-2</v>
      </c>
      <c r="G543" t="s">
        <v>1772</v>
      </c>
    </row>
    <row r="544" spans="1:7" x14ac:dyDescent="0.25">
      <c r="A544" s="4" t="str">
        <f>HYPERLINK("http://amigo.geneontology.org/cgi-bin/amigo/term-details.cgi?term=GO:0009679","GO:0009679")</f>
        <v>GO:0009679</v>
      </c>
      <c r="B544" t="s">
        <v>1775</v>
      </c>
      <c r="C544">
        <v>2</v>
      </c>
      <c r="D544">
        <v>2</v>
      </c>
      <c r="E544">
        <v>6.0625189494351202E-3</v>
      </c>
      <c r="F544">
        <v>4.8500151595481003E-2</v>
      </c>
      <c r="G544" t="s">
        <v>1772</v>
      </c>
    </row>
    <row r="545" spans="1:7" x14ac:dyDescent="0.25">
      <c r="A545" s="4" t="str">
        <f>HYPERLINK("http://amigo.geneontology.org/cgi-bin/amigo/term-details.cgi?term=GO:0005356","GO:0005356")</f>
        <v>GO:0005356</v>
      </c>
      <c r="B545" t="s">
        <v>1774</v>
      </c>
      <c r="C545">
        <v>2</v>
      </c>
      <c r="D545">
        <v>2</v>
      </c>
      <c r="E545">
        <v>6.0625189494351202E-3</v>
      </c>
      <c r="F545">
        <v>4.8500151595481003E-2</v>
      </c>
      <c r="G545" t="s">
        <v>1772</v>
      </c>
    </row>
    <row r="546" spans="1:7" x14ac:dyDescent="0.25">
      <c r="A546" s="4" t="str">
        <f>HYPERLINK("http://amigo.geneontology.org/cgi-bin/amigo/term-details.cgi?term=GO:0005358","GO:0005358")</f>
        <v>GO:0005358</v>
      </c>
      <c r="B546" t="s">
        <v>1773</v>
      </c>
      <c r="C546">
        <v>2</v>
      </c>
      <c r="D546">
        <v>2</v>
      </c>
      <c r="E546">
        <v>6.0625189494351202E-3</v>
      </c>
      <c r="F546">
        <v>4.8500151595481003E-2</v>
      </c>
      <c r="G546" t="s">
        <v>1772</v>
      </c>
    </row>
    <row r="547" spans="1:7" x14ac:dyDescent="0.25">
      <c r="A547" s="4" t="str">
        <f>HYPERLINK("http://amigo.geneontology.org/cgi-bin/amigo/term-details.cgi?term=GO:0010353","GO:0010353")</f>
        <v>GO:0010353</v>
      </c>
      <c r="B547" t="s">
        <v>1771</v>
      </c>
      <c r="C547">
        <v>2</v>
      </c>
      <c r="D547">
        <v>2</v>
      </c>
      <c r="E547">
        <v>6.0625189494351202E-3</v>
      </c>
      <c r="F547">
        <v>4.8500151595481003E-2</v>
      </c>
      <c r="G547" t="s">
        <v>1484</v>
      </c>
    </row>
    <row r="548" spans="1:7" x14ac:dyDescent="0.25">
      <c r="A548" s="4" t="str">
        <f>HYPERLINK("http://amigo.geneontology.org/cgi-bin/amigo/term-details.cgi?term=GO:0071327","GO:0071327")</f>
        <v>GO:0071327</v>
      </c>
      <c r="B548" t="s">
        <v>1770</v>
      </c>
      <c r="C548">
        <v>2</v>
      </c>
      <c r="D548">
        <v>2</v>
      </c>
      <c r="E548">
        <v>6.0625189494351202E-3</v>
      </c>
      <c r="F548">
        <v>4.8500151595481003E-2</v>
      </c>
      <c r="G548" t="s">
        <v>1484</v>
      </c>
    </row>
    <row r="549" spans="1:7" x14ac:dyDescent="0.25">
      <c r="A549" s="4" t="str">
        <f>HYPERLINK("http://amigo.geneontology.org/cgi-bin/amigo/term-details.cgi?term=GO:0080151","GO:0080151")</f>
        <v>GO:0080151</v>
      </c>
      <c r="B549" t="s">
        <v>1769</v>
      </c>
      <c r="C549">
        <v>2</v>
      </c>
      <c r="D549">
        <v>2</v>
      </c>
      <c r="E549">
        <v>6.0625189494351202E-3</v>
      </c>
      <c r="F549">
        <v>4.8500151595481003E-2</v>
      </c>
      <c r="G549" t="s">
        <v>1484</v>
      </c>
    </row>
    <row r="550" spans="1:7" x14ac:dyDescent="0.25">
      <c r="A550" s="4" t="str">
        <f>HYPERLINK("http://amigo.geneontology.org/cgi-bin/amigo/term-details.cgi?term=GO:2000068","GO:2000068")</f>
        <v>GO:2000068</v>
      </c>
      <c r="B550" t="s">
        <v>1768</v>
      </c>
      <c r="C550">
        <v>2</v>
      </c>
      <c r="D550">
        <v>2</v>
      </c>
      <c r="E550">
        <v>6.0625189494351202E-3</v>
      </c>
      <c r="F550">
        <v>4.8500151595481003E-2</v>
      </c>
      <c r="G550" t="s">
        <v>1484</v>
      </c>
    </row>
    <row r="551" spans="1:7" x14ac:dyDescent="0.25">
      <c r="A551" s="4" t="str">
        <f>HYPERLINK("http://amigo.geneontology.org/cgi-bin/amigo/term-details.cgi?term=GO:1900367","GO:1900367")</f>
        <v>GO:1900367</v>
      </c>
      <c r="B551" t="s">
        <v>1767</v>
      </c>
      <c r="C551">
        <v>2</v>
      </c>
      <c r="D551">
        <v>2</v>
      </c>
      <c r="E551">
        <v>6.0625189494351202E-3</v>
      </c>
      <c r="F551">
        <v>4.8500151595481003E-2</v>
      </c>
      <c r="G551" t="s">
        <v>1484</v>
      </c>
    </row>
    <row r="552" spans="1:7" x14ac:dyDescent="0.25">
      <c r="A552" s="4" t="str">
        <f>HYPERLINK("http://amigo.geneontology.org/cgi-bin/amigo/term-details.cgi?term=GO:0051176","GO:0051176")</f>
        <v>GO:0051176</v>
      </c>
      <c r="B552" t="s">
        <v>1766</v>
      </c>
      <c r="C552">
        <v>2</v>
      </c>
      <c r="D552">
        <v>2</v>
      </c>
      <c r="E552">
        <v>6.0625189494351202E-3</v>
      </c>
      <c r="F552">
        <v>4.8500151595481003E-2</v>
      </c>
      <c r="G552" t="s">
        <v>1484</v>
      </c>
    </row>
    <row r="553" spans="1:7" x14ac:dyDescent="0.25">
      <c r="A553" s="4" t="str">
        <f>HYPERLINK("http://amigo.geneontology.org/cgi-bin/amigo/term-details.cgi?term=GO:0052318","GO:0052318")</f>
        <v>GO:0052318</v>
      </c>
      <c r="B553" t="s">
        <v>1765</v>
      </c>
      <c r="C553">
        <v>2</v>
      </c>
      <c r="D553">
        <v>2</v>
      </c>
      <c r="E553">
        <v>6.0625189494351202E-3</v>
      </c>
      <c r="F553">
        <v>4.8500151595481003E-2</v>
      </c>
      <c r="G553" t="s">
        <v>1484</v>
      </c>
    </row>
    <row r="554" spans="1:7" x14ac:dyDescent="0.25">
      <c r="A554" s="4" t="str">
        <f>HYPERLINK("http://amigo.geneontology.org/cgi-bin/amigo/term-details.cgi?term=GO:0052319","GO:0052319")</f>
        <v>GO:0052319</v>
      </c>
      <c r="B554" t="s">
        <v>1764</v>
      </c>
      <c r="C554">
        <v>2</v>
      </c>
      <c r="D554">
        <v>2</v>
      </c>
      <c r="E554">
        <v>6.0625189494351202E-3</v>
      </c>
      <c r="F554">
        <v>4.8500151595481003E-2</v>
      </c>
      <c r="G554" t="s">
        <v>1484</v>
      </c>
    </row>
    <row r="555" spans="1:7" x14ac:dyDescent="0.25">
      <c r="A555" s="4" t="str">
        <f>HYPERLINK("http://amigo.geneontology.org/cgi-bin/amigo/term-details.cgi?term=GO:0052320","GO:0052320")</f>
        <v>GO:0052320</v>
      </c>
      <c r="B555" t="s">
        <v>1763</v>
      </c>
      <c r="C555">
        <v>2</v>
      </c>
      <c r="D555">
        <v>2</v>
      </c>
      <c r="E555">
        <v>6.0625189494351202E-3</v>
      </c>
      <c r="F555">
        <v>4.8500151595481003E-2</v>
      </c>
      <c r="G555" t="s">
        <v>1484</v>
      </c>
    </row>
    <row r="556" spans="1:7" x14ac:dyDescent="0.25">
      <c r="A556" s="4" t="str">
        <f>HYPERLINK("http://amigo.geneontology.org/cgi-bin/amigo/term-details.cgi?term=GO:0052322","GO:0052322")</f>
        <v>GO:0052322</v>
      </c>
      <c r="B556" t="s">
        <v>1762</v>
      </c>
      <c r="C556">
        <v>2</v>
      </c>
      <c r="D556">
        <v>2</v>
      </c>
      <c r="E556">
        <v>6.0625189494351202E-3</v>
      </c>
      <c r="F556">
        <v>4.8500151595481003E-2</v>
      </c>
      <c r="G556" t="s">
        <v>1484</v>
      </c>
    </row>
    <row r="557" spans="1:7" x14ac:dyDescent="0.25">
      <c r="A557" s="4" t="str">
        <f>HYPERLINK("http://amigo.geneontology.org/cgi-bin/amigo/term-details.cgi?term=GO:1901182","GO:1901182")</f>
        <v>GO:1901182</v>
      </c>
      <c r="B557" t="s">
        <v>1761</v>
      </c>
      <c r="C557">
        <v>2</v>
      </c>
      <c r="D557">
        <v>2</v>
      </c>
      <c r="E557">
        <v>6.0625189494351202E-3</v>
      </c>
      <c r="F557">
        <v>4.8500151595481003E-2</v>
      </c>
      <c r="G557" t="s">
        <v>1484</v>
      </c>
    </row>
    <row r="558" spans="1:7" x14ac:dyDescent="0.25">
      <c r="A558" s="4" t="str">
        <f>HYPERLINK("http://amigo.geneontology.org/cgi-bin/amigo/term-details.cgi?term=GO:1901183","GO:1901183")</f>
        <v>GO:1901183</v>
      </c>
      <c r="B558" t="s">
        <v>1760</v>
      </c>
      <c r="C558">
        <v>2</v>
      </c>
      <c r="D558">
        <v>2</v>
      </c>
      <c r="E558">
        <v>6.0625189494351202E-3</v>
      </c>
      <c r="F558">
        <v>4.8500151595481003E-2</v>
      </c>
      <c r="G558" t="s">
        <v>1484</v>
      </c>
    </row>
    <row r="559" spans="1:7" x14ac:dyDescent="0.25">
      <c r="A559" s="4" t="str">
        <f>HYPERLINK("http://amigo.geneontology.org/cgi-bin/amigo/term-details.cgi?term=GO:0052633","GO:0052633")</f>
        <v>GO:0052633</v>
      </c>
      <c r="B559" t="s">
        <v>1759</v>
      </c>
      <c r="C559">
        <v>2</v>
      </c>
      <c r="D559">
        <v>2</v>
      </c>
      <c r="E559">
        <v>6.0625189494351202E-3</v>
      </c>
      <c r="F559">
        <v>4.8500151595481003E-2</v>
      </c>
      <c r="G559" t="s">
        <v>1604</v>
      </c>
    </row>
    <row r="560" spans="1:7" x14ac:dyDescent="0.25">
      <c r="A560" s="4" t="str">
        <f>HYPERLINK("http://amigo.geneontology.org/cgi-bin/amigo/term-details.cgi?term=GO:0004168","GO:0004168")</f>
        <v>GO:0004168</v>
      </c>
      <c r="B560" t="s">
        <v>1758</v>
      </c>
      <c r="C560">
        <v>2</v>
      </c>
      <c r="D560">
        <v>2</v>
      </c>
      <c r="E560">
        <v>6.0625189494351202E-3</v>
      </c>
      <c r="F560">
        <v>4.8500151595481003E-2</v>
      </c>
      <c r="G560" t="s">
        <v>1756</v>
      </c>
    </row>
    <row r="561" spans="1:7" x14ac:dyDescent="0.25">
      <c r="A561" s="4" t="str">
        <f>HYPERLINK("http://amigo.geneontology.org/cgi-bin/amigo/term-details.cgi?term=GO:0043048","GO:0043048")</f>
        <v>GO:0043048</v>
      </c>
      <c r="B561" t="s">
        <v>1757</v>
      </c>
      <c r="C561">
        <v>2</v>
      </c>
      <c r="D561">
        <v>2</v>
      </c>
      <c r="E561">
        <v>6.0625189494351202E-3</v>
      </c>
      <c r="F561">
        <v>4.8500151595481003E-2</v>
      </c>
      <c r="G561" t="s">
        <v>1756</v>
      </c>
    </row>
    <row r="562" spans="1:7" x14ac:dyDescent="0.25">
      <c r="A562" s="4" t="str">
        <f>HYPERLINK("http://amigo.geneontology.org/cgi-bin/amigo/term-details.cgi?term=GO:0016849","GO:0016849")</f>
        <v>GO:0016849</v>
      </c>
      <c r="B562" t="s">
        <v>1277</v>
      </c>
      <c r="C562">
        <v>2</v>
      </c>
      <c r="D562">
        <v>2</v>
      </c>
      <c r="E562">
        <v>6.0625189494351202E-3</v>
      </c>
      <c r="F562">
        <v>4.8500151595481003E-2</v>
      </c>
      <c r="G562" t="s">
        <v>1275</v>
      </c>
    </row>
    <row r="563" spans="1:7" x14ac:dyDescent="0.25">
      <c r="A563" s="4" t="str">
        <f>HYPERLINK("http://amigo.geneontology.org/cgi-bin/amigo/term-details.cgi?term=GO:0008685","GO:0008685")</f>
        <v>GO:0008685</v>
      </c>
      <c r="B563" t="s">
        <v>1276</v>
      </c>
      <c r="C563">
        <v>2</v>
      </c>
      <c r="D563">
        <v>2</v>
      </c>
      <c r="E563">
        <v>6.0625189494351202E-3</v>
      </c>
      <c r="F563">
        <v>4.8500151595481003E-2</v>
      </c>
      <c r="G563" t="s">
        <v>1275</v>
      </c>
    </row>
    <row r="564" spans="1:7" x14ac:dyDescent="0.25">
      <c r="A564" s="4" t="str">
        <f>HYPERLINK("http://amigo.geneontology.org/cgi-bin/amigo/term-details.cgi?term=GO:0033557","GO:0033557")</f>
        <v>GO:0033557</v>
      </c>
      <c r="B564" t="s">
        <v>1274</v>
      </c>
      <c r="C564">
        <v>2</v>
      </c>
      <c r="D564">
        <v>2</v>
      </c>
      <c r="E564">
        <v>6.0625189494351202E-3</v>
      </c>
      <c r="F564">
        <v>4.8500151595481003E-2</v>
      </c>
      <c r="G564" t="s">
        <v>1230</v>
      </c>
    </row>
    <row r="565" spans="1:7" x14ac:dyDescent="0.25">
      <c r="A565" s="4" t="str">
        <f>HYPERLINK("http://amigo.geneontology.org/cgi-bin/amigo/term-details.cgi?term=GO:0010187","GO:0010187")</f>
        <v>GO:0010187</v>
      </c>
      <c r="B565" t="s">
        <v>1755</v>
      </c>
      <c r="C565">
        <v>2</v>
      </c>
      <c r="D565">
        <v>2</v>
      </c>
      <c r="E565">
        <v>6.0625189494351202E-3</v>
      </c>
      <c r="F565">
        <v>4.8500151595481003E-2</v>
      </c>
      <c r="G565" t="s">
        <v>1480</v>
      </c>
    </row>
    <row r="566" spans="1:7" x14ac:dyDescent="0.25">
      <c r="A566" s="4" t="str">
        <f>HYPERLINK("http://amigo.geneontology.org/cgi-bin/amigo/term-details.cgi?term=GO:0080124","GO:0080124")</f>
        <v>GO:0080124</v>
      </c>
      <c r="B566" t="s">
        <v>1754</v>
      </c>
      <c r="C566">
        <v>2</v>
      </c>
      <c r="D566">
        <v>2</v>
      </c>
      <c r="E566">
        <v>6.0625189494351202E-3</v>
      </c>
      <c r="F566">
        <v>4.8500151595481003E-2</v>
      </c>
      <c r="G566" t="s">
        <v>1753</v>
      </c>
    </row>
    <row r="567" spans="1:7" x14ac:dyDescent="0.25">
      <c r="A567" s="4" t="str">
        <f>HYPERLINK("http://amigo.geneontology.org/cgi-bin/amigo/term-details.cgi?term=GO:0046401","GO:0046401")</f>
        <v>GO:0046401</v>
      </c>
      <c r="B567" t="s">
        <v>1752</v>
      </c>
      <c r="C567">
        <v>2</v>
      </c>
      <c r="D567">
        <v>2</v>
      </c>
      <c r="E567">
        <v>6.0625189494351202E-3</v>
      </c>
      <c r="F567">
        <v>4.8500151595481003E-2</v>
      </c>
      <c r="G567" t="s">
        <v>1750</v>
      </c>
    </row>
    <row r="568" spans="1:7" x14ac:dyDescent="0.25">
      <c r="A568" s="4" t="str">
        <f>HYPERLINK("http://amigo.geneontology.org/cgi-bin/amigo/term-details.cgi?term=GO:0009244","GO:0009244")</f>
        <v>GO:0009244</v>
      </c>
      <c r="B568" t="s">
        <v>1751</v>
      </c>
      <c r="C568">
        <v>2</v>
      </c>
      <c r="D568">
        <v>2</v>
      </c>
      <c r="E568">
        <v>6.0625189494351202E-3</v>
      </c>
      <c r="F568">
        <v>4.8500151595481003E-2</v>
      </c>
      <c r="G568" t="s">
        <v>1750</v>
      </c>
    </row>
    <row r="569" spans="1:7" x14ac:dyDescent="0.25">
      <c r="A569" s="4" t="str">
        <f>HYPERLINK("http://amigo.geneontology.org/cgi-bin/amigo/term-details.cgi?term=GO:0005720","GO:0005720")</f>
        <v>GO:0005720</v>
      </c>
      <c r="B569" t="s">
        <v>1749</v>
      </c>
      <c r="C569">
        <v>2</v>
      </c>
      <c r="D569">
        <v>2</v>
      </c>
      <c r="E569">
        <v>6.0625189494351202E-3</v>
      </c>
      <c r="F569">
        <v>4.8500151595481003E-2</v>
      </c>
      <c r="G569" t="s">
        <v>1477</v>
      </c>
    </row>
    <row r="570" spans="1:7" x14ac:dyDescent="0.25">
      <c r="A570" s="4" t="str">
        <f>HYPERLINK("http://amigo.geneontology.org/cgi-bin/amigo/term-details.cgi?term=GO:0052684","GO:0052684")</f>
        <v>GO:0052684</v>
      </c>
      <c r="B570" t="s">
        <v>1748</v>
      </c>
      <c r="C570">
        <v>2</v>
      </c>
      <c r="D570">
        <v>2</v>
      </c>
      <c r="E570">
        <v>6.0625189494351202E-3</v>
      </c>
      <c r="F570">
        <v>4.8500151595481003E-2</v>
      </c>
      <c r="G570" t="s">
        <v>1747</v>
      </c>
    </row>
    <row r="571" spans="1:7" x14ac:dyDescent="0.25">
      <c r="A571" s="4" t="str">
        <f>HYPERLINK("http://amigo.geneontology.org/cgi-bin/amigo/term-details.cgi?term=GO:0050347","GO:0050347")</f>
        <v>GO:0050347</v>
      </c>
      <c r="B571" t="s">
        <v>1746</v>
      </c>
      <c r="C571">
        <v>2</v>
      </c>
      <c r="D571">
        <v>2</v>
      </c>
      <c r="E571">
        <v>6.0625189494351202E-3</v>
      </c>
      <c r="F571">
        <v>4.8500151595481003E-2</v>
      </c>
      <c r="G571" t="s">
        <v>1745</v>
      </c>
    </row>
    <row r="572" spans="1:7" x14ac:dyDescent="0.25">
      <c r="A572" s="4" t="str">
        <f>HYPERLINK("http://amigo.geneontology.org/cgi-bin/amigo/term-details.cgi?term=GO:0008514","GO:0008514")</f>
        <v>GO:0008514</v>
      </c>
      <c r="B572" t="s">
        <v>1744</v>
      </c>
      <c r="C572">
        <v>140</v>
      </c>
      <c r="D572">
        <v>20</v>
      </c>
      <c r="E572">
        <v>6.1198343752869797E-3</v>
      </c>
      <c r="F572">
        <v>4.89586750022959E-2</v>
      </c>
      <c r="G572" t="s">
        <v>1743</v>
      </c>
    </row>
    <row r="573" spans="1:7" x14ac:dyDescent="0.25">
      <c r="A573" s="4" t="str">
        <f>HYPERLINK("http://amigo.geneontology.org/cgi-bin/amigo/term-details.cgi?term=GO:0005319","GO:0005319")</f>
        <v>GO:0005319</v>
      </c>
      <c r="B573" t="s">
        <v>814</v>
      </c>
      <c r="C573">
        <v>60</v>
      </c>
      <c r="D573">
        <v>11</v>
      </c>
      <c r="E573">
        <v>6.1287366023012897E-3</v>
      </c>
      <c r="F573">
        <v>4.9029892818410303E-2</v>
      </c>
      <c r="G573" t="s">
        <v>327</v>
      </c>
    </row>
    <row r="574" spans="1:7" x14ac:dyDescent="0.25">
      <c r="A574" s="4" t="str">
        <f>HYPERLINK("http://amigo.geneontology.org/cgi-bin/amigo/term-details.cgi?term=GO:0019318","GO:0019318")</f>
        <v>GO:0019318</v>
      </c>
      <c r="B574" t="s">
        <v>481</v>
      </c>
      <c r="C574">
        <v>268</v>
      </c>
      <c r="D574">
        <v>33</v>
      </c>
      <c r="E574">
        <v>6.1842295335644802E-3</v>
      </c>
      <c r="F574">
        <v>4.94738362685158E-2</v>
      </c>
      <c r="G574" t="s">
        <v>1742</v>
      </c>
    </row>
    <row r="575" spans="1:7" x14ac:dyDescent="0.25">
      <c r="A575" s="4" t="str">
        <f>HYPERLINK("http://amigo.geneontology.org/cgi-bin/amigo/term-details.cgi?term=GO:0006351","GO:0006351")</f>
        <v>GO:0006351</v>
      </c>
      <c r="B575" t="s">
        <v>1741</v>
      </c>
      <c r="C575">
        <v>2018</v>
      </c>
      <c r="D575">
        <v>188</v>
      </c>
      <c r="E575">
        <v>6.2279418630672703E-3</v>
      </c>
      <c r="F575">
        <v>4.3595593041470898E-2</v>
      </c>
      <c r="G575" t="s">
        <v>1740</v>
      </c>
    </row>
    <row r="576" spans="1:7" x14ac:dyDescent="0.25">
      <c r="A576" s="4" t="str">
        <f>HYPERLINK("http://amigo.geneontology.org/cgi-bin/amigo/term-details.cgi?term=GO:0009266","GO:0009266")</f>
        <v>GO:0009266</v>
      </c>
      <c r="B576" t="s">
        <v>1061</v>
      </c>
      <c r="C576">
        <v>436</v>
      </c>
      <c r="D576">
        <v>49</v>
      </c>
      <c r="E576">
        <v>6.44858074574032E-3</v>
      </c>
      <c r="F576">
        <v>4.5140065220182199E-2</v>
      </c>
      <c r="G576" t="s">
        <v>1739</v>
      </c>
    </row>
    <row r="577" spans="1:7" x14ac:dyDescent="0.25">
      <c r="A577" s="4" t="str">
        <f>HYPERLINK("http://amigo.geneontology.org/cgi-bin/amigo/term-details.cgi?term=GO:0009135","GO:0009135")</f>
        <v>GO:0009135</v>
      </c>
      <c r="B577" t="s">
        <v>679</v>
      </c>
      <c r="C577">
        <v>259</v>
      </c>
      <c r="D577">
        <v>32</v>
      </c>
      <c r="E577">
        <v>6.5976033707579396E-3</v>
      </c>
      <c r="F577">
        <v>4.6183223595305502E-2</v>
      </c>
      <c r="G577" t="s">
        <v>1564</v>
      </c>
    </row>
    <row r="578" spans="1:7" x14ac:dyDescent="0.25">
      <c r="A578" s="4" t="str">
        <f>HYPERLINK("http://amigo.geneontology.org/cgi-bin/amigo/term-details.cgi?term=GO:0009185","GO:0009185")</f>
        <v>GO:0009185</v>
      </c>
      <c r="B578" t="s">
        <v>678</v>
      </c>
      <c r="C578">
        <v>259</v>
      </c>
      <c r="D578">
        <v>32</v>
      </c>
      <c r="E578">
        <v>6.5976033707579396E-3</v>
      </c>
      <c r="F578">
        <v>4.6183223595305502E-2</v>
      </c>
      <c r="G578" t="s">
        <v>1564</v>
      </c>
    </row>
    <row r="579" spans="1:7" x14ac:dyDescent="0.25">
      <c r="A579" s="4" t="str">
        <f>HYPERLINK("http://amigo.geneontology.org/cgi-bin/amigo/term-details.cgi?term=GO:0009179","GO:0009179")</f>
        <v>GO:0009179</v>
      </c>
      <c r="B579" t="s">
        <v>677</v>
      </c>
      <c r="C579">
        <v>259</v>
      </c>
      <c r="D579">
        <v>32</v>
      </c>
      <c r="E579">
        <v>6.5976033707579396E-3</v>
      </c>
      <c r="F579">
        <v>4.6183223595305502E-2</v>
      </c>
      <c r="G579" t="s">
        <v>1564</v>
      </c>
    </row>
    <row r="580" spans="1:7" x14ac:dyDescent="0.25">
      <c r="A580" s="4" t="str">
        <f>HYPERLINK("http://amigo.geneontology.org/cgi-bin/amigo/term-details.cgi?term=GO:0046031","GO:0046031")</f>
        <v>GO:0046031</v>
      </c>
      <c r="B580" t="s">
        <v>676</v>
      </c>
      <c r="C580">
        <v>259</v>
      </c>
      <c r="D580">
        <v>32</v>
      </c>
      <c r="E580">
        <v>6.5976033707579396E-3</v>
      </c>
      <c r="F580">
        <v>4.6183223595305502E-2</v>
      </c>
      <c r="G580" t="s">
        <v>1564</v>
      </c>
    </row>
    <row r="581" spans="1:7" x14ac:dyDescent="0.25">
      <c r="A581" s="4" t="str">
        <f>HYPERLINK("http://amigo.geneontology.org/cgi-bin/amigo/term-details.cgi?term=GO:0006757","GO:0006757")</f>
        <v>GO:0006757</v>
      </c>
      <c r="B581" t="s">
        <v>675</v>
      </c>
      <c r="C581">
        <v>259</v>
      </c>
      <c r="D581">
        <v>32</v>
      </c>
      <c r="E581">
        <v>6.5976033707579396E-3</v>
      </c>
      <c r="F581">
        <v>4.6183223595305502E-2</v>
      </c>
      <c r="G581" t="s">
        <v>1564</v>
      </c>
    </row>
    <row r="582" spans="1:7" x14ac:dyDescent="0.25">
      <c r="A582" s="4" t="str">
        <f>HYPERLINK("http://amigo.geneontology.org/cgi-bin/amigo/term-details.cgi?term=GO:0006096","GO:0006096")</f>
        <v>GO:0006096</v>
      </c>
      <c r="B582" t="s">
        <v>674</v>
      </c>
      <c r="C582">
        <v>259</v>
      </c>
      <c r="D582">
        <v>32</v>
      </c>
      <c r="E582">
        <v>6.5976033707579396E-3</v>
      </c>
      <c r="F582">
        <v>4.6183223595305502E-2</v>
      </c>
      <c r="G582" t="s">
        <v>1564</v>
      </c>
    </row>
    <row r="583" spans="1:7" x14ac:dyDescent="0.25">
      <c r="A583" s="4" t="str">
        <f>HYPERLINK("http://amigo.geneontology.org/cgi-bin/amigo/term-details.cgi?term=GO:0090693","GO:0090693")</f>
        <v>GO:0090693</v>
      </c>
      <c r="B583" t="s">
        <v>1738</v>
      </c>
      <c r="C583">
        <v>37</v>
      </c>
      <c r="D583">
        <v>8</v>
      </c>
      <c r="E583">
        <v>6.7119215144806604E-3</v>
      </c>
      <c r="F583">
        <v>4.69834506013646E-2</v>
      </c>
      <c r="G583" t="s">
        <v>1736</v>
      </c>
    </row>
    <row r="584" spans="1:7" x14ac:dyDescent="0.25">
      <c r="A584" s="4" t="str">
        <f>HYPERLINK("http://amigo.geneontology.org/cgi-bin/amigo/term-details.cgi?term=GO:0010150","GO:0010150")</f>
        <v>GO:0010150</v>
      </c>
      <c r="B584" t="s">
        <v>1737</v>
      </c>
      <c r="C584">
        <v>37</v>
      </c>
      <c r="D584">
        <v>8</v>
      </c>
      <c r="E584">
        <v>6.7119215144806604E-3</v>
      </c>
      <c r="F584">
        <v>4.69834506013646E-2</v>
      </c>
      <c r="G584" t="s">
        <v>1736</v>
      </c>
    </row>
    <row r="585" spans="1:7" x14ac:dyDescent="0.25">
      <c r="A585" s="4" t="str">
        <f>HYPERLINK("http://amigo.geneontology.org/cgi-bin/amigo/term-details.cgi?term=GO:0046907","GO:0046907")</f>
        <v>GO:0046907</v>
      </c>
      <c r="B585" t="s">
        <v>707</v>
      </c>
      <c r="C585">
        <v>1093</v>
      </c>
      <c r="D585">
        <v>108</v>
      </c>
      <c r="E585">
        <v>6.7646800266778504E-3</v>
      </c>
      <c r="F585">
        <v>4.7352760186745002E-2</v>
      </c>
      <c r="G585" t="s">
        <v>1735</v>
      </c>
    </row>
    <row r="586" spans="1:7" x14ac:dyDescent="0.25">
      <c r="A586" s="4" t="str">
        <f>HYPERLINK("http://amigo.geneontology.org/cgi-bin/amigo/term-details.cgi?term=GO:0032984","GO:0032984")</f>
        <v>GO:0032984</v>
      </c>
      <c r="B586" t="s">
        <v>264</v>
      </c>
      <c r="C586">
        <v>61</v>
      </c>
      <c r="D586">
        <v>11</v>
      </c>
      <c r="E586">
        <v>6.9620182740085202E-3</v>
      </c>
      <c r="F586">
        <v>4.8734127918059603E-2</v>
      </c>
      <c r="G586" t="s">
        <v>1734</v>
      </c>
    </row>
    <row r="587" spans="1:7" x14ac:dyDescent="0.25">
      <c r="A587" s="4" t="str">
        <f>HYPERLINK("http://amigo.geneontology.org/cgi-bin/amigo/term-details.cgi?term=GO:0043241","GO:0043241")</f>
        <v>GO:0043241</v>
      </c>
      <c r="B587" t="s">
        <v>263</v>
      </c>
      <c r="C587">
        <v>61</v>
      </c>
      <c r="D587">
        <v>11</v>
      </c>
      <c r="E587">
        <v>6.9620182740085202E-3</v>
      </c>
      <c r="F587">
        <v>4.8734127918059603E-2</v>
      </c>
      <c r="G587" t="s">
        <v>1734</v>
      </c>
    </row>
    <row r="588" spans="1:7" x14ac:dyDescent="0.25">
      <c r="A588" s="4" t="str">
        <f>HYPERLINK("http://amigo.geneontology.org/cgi-bin/amigo/term-details.cgi?term=GO:0071944","GO:0071944")</f>
        <v>GO:0071944</v>
      </c>
      <c r="B588" t="s">
        <v>1733</v>
      </c>
      <c r="C588">
        <v>1731</v>
      </c>
      <c r="D588">
        <v>163</v>
      </c>
      <c r="E588">
        <v>7.0503392063697504E-3</v>
      </c>
      <c r="F588">
        <v>4.9352374444588197E-2</v>
      </c>
      <c r="G588" t="s">
        <v>1732</v>
      </c>
    </row>
    <row r="589" spans="1:7" x14ac:dyDescent="0.25">
      <c r="A589" s="4" t="str">
        <f>HYPERLINK("http://amigo.geneontology.org/cgi-bin/amigo/term-details.cgi?term=GO:1900673","GO:1900673")</f>
        <v>GO:1900673</v>
      </c>
      <c r="B589" t="s">
        <v>1731</v>
      </c>
      <c r="C589">
        <v>23</v>
      </c>
      <c r="D589">
        <v>6</v>
      </c>
      <c r="E589">
        <v>7.0535719229132699E-3</v>
      </c>
      <c r="F589">
        <v>4.9375003460392898E-2</v>
      </c>
      <c r="G589" t="s">
        <v>1725</v>
      </c>
    </row>
    <row r="590" spans="1:7" x14ac:dyDescent="0.25">
      <c r="A590" s="4" t="str">
        <f>HYPERLINK("http://amigo.geneontology.org/cgi-bin/amigo/term-details.cgi?term=GO:0043449","GO:0043449")</f>
        <v>GO:0043449</v>
      </c>
      <c r="B590" t="s">
        <v>1730</v>
      </c>
      <c r="C590">
        <v>23</v>
      </c>
      <c r="D590">
        <v>6</v>
      </c>
      <c r="E590">
        <v>7.0535719229132699E-3</v>
      </c>
      <c r="F590">
        <v>4.9375003460392898E-2</v>
      </c>
      <c r="G590" t="s">
        <v>1725</v>
      </c>
    </row>
    <row r="591" spans="1:7" x14ac:dyDescent="0.25">
      <c r="A591" s="4" t="str">
        <f>HYPERLINK("http://amigo.geneontology.org/cgi-bin/amigo/term-details.cgi?term=GO:0009692","GO:0009692")</f>
        <v>GO:0009692</v>
      </c>
      <c r="B591" t="s">
        <v>1729</v>
      </c>
      <c r="C591">
        <v>23</v>
      </c>
      <c r="D591">
        <v>6</v>
      </c>
      <c r="E591">
        <v>7.0535719229132699E-3</v>
      </c>
      <c r="F591">
        <v>4.9375003460392898E-2</v>
      </c>
      <c r="G591" t="s">
        <v>1725</v>
      </c>
    </row>
    <row r="592" spans="1:7" x14ac:dyDescent="0.25">
      <c r="A592" s="4" t="str">
        <f>HYPERLINK("http://amigo.geneontology.org/cgi-bin/amigo/term-details.cgi?term=GO:1900674","GO:1900674")</f>
        <v>GO:1900674</v>
      </c>
      <c r="B592" t="s">
        <v>1728</v>
      </c>
      <c r="C592">
        <v>23</v>
      </c>
      <c r="D592">
        <v>6</v>
      </c>
      <c r="E592">
        <v>7.0535719229132699E-3</v>
      </c>
      <c r="F592">
        <v>4.9375003460392898E-2</v>
      </c>
      <c r="G592" t="s">
        <v>1725</v>
      </c>
    </row>
    <row r="593" spans="1:7" x14ac:dyDescent="0.25">
      <c r="A593" s="4" t="str">
        <f>HYPERLINK("http://amigo.geneontology.org/cgi-bin/amigo/term-details.cgi?term=GO:0043450","GO:0043450")</f>
        <v>GO:0043450</v>
      </c>
      <c r="B593" t="s">
        <v>1727</v>
      </c>
      <c r="C593">
        <v>23</v>
      </c>
      <c r="D593">
        <v>6</v>
      </c>
      <c r="E593">
        <v>7.0535719229132699E-3</v>
      </c>
      <c r="F593">
        <v>4.9375003460392898E-2</v>
      </c>
      <c r="G593" t="s">
        <v>1725</v>
      </c>
    </row>
    <row r="594" spans="1:7" x14ac:dyDescent="0.25">
      <c r="A594" s="4" t="str">
        <f>HYPERLINK("http://amigo.geneontology.org/cgi-bin/amigo/term-details.cgi?term=GO:0009693","GO:0009693")</f>
        <v>GO:0009693</v>
      </c>
      <c r="B594" t="s">
        <v>1726</v>
      </c>
      <c r="C594">
        <v>23</v>
      </c>
      <c r="D594">
        <v>6</v>
      </c>
      <c r="E594">
        <v>7.0535719229132699E-3</v>
      </c>
      <c r="F594">
        <v>4.9375003460392898E-2</v>
      </c>
      <c r="G594" t="s">
        <v>1725</v>
      </c>
    </row>
    <row r="595" spans="1:7" x14ac:dyDescent="0.25">
      <c r="A595" s="4" t="str">
        <f>HYPERLINK("http://amigo.geneontology.org/cgi-bin/amigo/term-details.cgi?term=GO:0016783","GO:0016783")</f>
        <v>GO:0016783</v>
      </c>
      <c r="B595" t="s">
        <v>1724</v>
      </c>
      <c r="C595">
        <v>45</v>
      </c>
      <c r="D595">
        <v>9</v>
      </c>
      <c r="E595">
        <v>7.0889507391175997E-3</v>
      </c>
      <c r="F595">
        <v>4.9622655173823201E-2</v>
      </c>
      <c r="G595" t="s">
        <v>1723</v>
      </c>
    </row>
    <row r="596" spans="1:7" x14ac:dyDescent="0.25">
      <c r="A596" s="4" t="str">
        <f>HYPERLINK("http://amigo.geneontology.org/cgi-bin/amigo/term-details.cgi?term=GO:0016705","GO:0016705")</f>
        <v>GO:0016705</v>
      </c>
      <c r="B596" t="s">
        <v>1722</v>
      </c>
      <c r="C596">
        <v>2131</v>
      </c>
      <c r="D596">
        <v>197</v>
      </c>
      <c r="E596">
        <v>7.0905574334722303E-3</v>
      </c>
      <c r="F596">
        <v>4.9633902034305601E-2</v>
      </c>
      <c r="G596" t="s">
        <v>1721</v>
      </c>
    </row>
    <row r="597" spans="1:7" x14ac:dyDescent="0.25">
      <c r="A597" s="4" t="str">
        <f>HYPERLINK("http://amigo.geneontology.org/cgi-bin/amigo/term-details.cgi?term=GO:0006801","GO:0006801")</f>
        <v>GO:0006801</v>
      </c>
      <c r="B597" t="s">
        <v>225</v>
      </c>
      <c r="C597">
        <v>30</v>
      </c>
      <c r="D597">
        <v>7</v>
      </c>
      <c r="E597">
        <v>7.1256766145053703E-3</v>
      </c>
      <c r="F597">
        <v>4.9879736301537601E-2</v>
      </c>
      <c r="G597" t="s">
        <v>224</v>
      </c>
    </row>
    <row r="598" spans="1:7" x14ac:dyDescent="0.25">
      <c r="A598" s="4" t="str">
        <f>HYPERLINK("http://amigo.geneontology.org/cgi-bin/amigo/term-details.cgi?term=GO:0097237","GO:0097237")</f>
        <v>GO:0097237</v>
      </c>
      <c r="B598" t="s">
        <v>1720</v>
      </c>
      <c r="C598">
        <v>30</v>
      </c>
      <c r="D598">
        <v>7</v>
      </c>
      <c r="E598">
        <v>7.1256766145053703E-3</v>
      </c>
      <c r="F598">
        <v>4.9879736301537601E-2</v>
      </c>
      <c r="G598" t="s">
        <v>224</v>
      </c>
    </row>
    <row r="599" spans="1:7" x14ac:dyDescent="0.25">
      <c r="A599" s="4" t="str">
        <f>HYPERLINK("http://amigo.geneontology.org/cgi-bin/amigo/term-details.cgi?term=GO:0034614","GO:0034614")</f>
        <v>GO:0034614</v>
      </c>
      <c r="B599" t="s">
        <v>288</v>
      </c>
      <c r="C599">
        <v>30</v>
      </c>
      <c r="D599">
        <v>7</v>
      </c>
      <c r="E599">
        <v>7.1256766145053703E-3</v>
      </c>
      <c r="F599">
        <v>4.9879736301537601E-2</v>
      </c>
      <c r="G599" t="s">
        <v>224</v>
      </c>
    </row>
    <row r="600" spans="1:7" x14ac:dyDescent="0.25">
      <c r="A600" s="4" t="str">
        <f>HYPERLINK("http://amigo.geneontology.org/cgi-bin/amigo/term-details.cgi?term=GO:0046912","GO:0046912")</f>
        <v>GO:0046912</v>
      </c>
      <c r="B600" t="s">
        <v>964</v>
      </c>
      <c r="C600">
        <v>30</v>
      </c>
      <c r="D600">
        <v>7</v>
      </c>
      <c r="E600">
        <v>7.1256766145053703E-3</v>
      </c>
      <c r="F600">
        <v>4.9879736301537601E-2</v>
      </c>
      <c r="G600" t="s">
        <v>1719</v>
      </c>
    </row>
    <row r="601" spans="1:7" x14ac:dyDescent="0.25">
      <c r="A601" s="4" t="str">
        <f>HYPERLINK("http://amigo.geneontology.org/cgi-bin/amigo/term-details.cgi?term=GO:0051716","GO:0051716")</f>
        <v>GO:0051716</v>
      </c>
      <c r="B601" t="s">
        <v>840</v>
      </c>
      <c r="C601">
        <v>2514</v>
      </c>
      <c r="D601">
        <v>229</v>
      </c>
      <c r="E601">
        <v>7.5480562840532098E-3</v>
      </c>
      <c r="F601">
        <v>5.28363939883724E-2</v>
      </c>
      <c r="G601" t="s">
        <v>1718</v>
      </c>
    </row>
    <row r="602" spans="1:7" x14ac:dyDescent="0.25">
      <c r="A602" s="4" t="str">
        <f>HYPERLINK("http://amigo.geneontology.org/cgi-bin/amigo/term-details.cgi?term=GO:0009628","GO:0009628")</f>
        <v>GO:0009628</v>
      </c>
      <c r="B602" t="s">
        <v>1717</v>
      </c>
      <c r="C602">
        <v>1316</v>
      </c>
      <c r="D602">
        <v>127</v>
      </c>
      <c r="E602">
        <v>7.6206332031007497E-3</v>
      </c>
      <c r="F602">
        <v>5.33444324217053E-2</v>
      </c>
      <c r="G602" t="s">
        <v>1716</v>
      </c>
    </row>
    <row r="603" spans="1:7" x14ac:dyDescent="0.25">
      <c r="A603" s="4" t="str">
        <f>HYPERLINK("http://amigo.geneontology.org/cgi-bin/amigo/term-details.cgi?term=GO:0004827","GO:0004827")</f>
        <v>GO:0004827</v>
      </c>
      <c r="B603" t="s">
        <v>202</v>
      </c>
      <c r="C603">
        <v>11</v>
      </c>
      <c r="D603">
        <v>4</v>
      </c>
      <c r="E603">
        <v>7.7597790374162104E-3</v>
      </c>
      <c r="F603">
        <v>5.43184532619135E-2</v>
      </c>
      <c r="G603" t="s">
        <v>200</v>
      </c>
    </row>
    <row r="604" spans="1:7" x14ac:dyDescent="0.25">
      <c r="A604" s="4" t="str">
        <f>HYPERLINK("http://amigo.geneontology.org/cgi-bin/amigo/term-details.cgi?term=GO:0006433","GO:0006433")</f>
        <v>GO:0006433</v>
      </c>
      <c r="B604" t="s">
        <v>201</v>
      </c>
      <c r="C604">
        <v>11</v>
      </c>
      <c r="D604">
        <v>4</v>
      </c>
      <c r="E604">
        <v>7.7597790374162104E-3</v>
      </c>
      <c r="F604">
        <v>5.43184532619135E-2</v>
      </c>
      <c r="G604" t="s">
        <v>200</v>
      </c>
    </row>
    <row r="605" spans="1:7" x14ac:dyDescent="0.25">
      <c r="A605" s="4" t="str">
        <f>HYPERLINK("http://amigo.geneontology.org/cgi-bin/amigo/term-details.cgi?term=GO:0070647","GO:0070647")</f>
        <v>GO:0070647</v>
      </c>
      <c r="B605" t="s">
        <v>339</v>
      </c>
      <c r="C605">
        <v>973</v>
      </c>
      <c r="D605">
        <v>97</v>
      </c>
      <c r="E605">
        <v>7.7664800931666698E-3</v>
      </c>
      <c r="F605">
        <v>5.4365360652166697E-2</v>
      </c>
      <c r="G605" t="s">
        <v>1715</v>
      </c>
    </row>
    <row r="606" spans="1:7" x14ac:dyDescent="0.25">
      <c r="A606" s="4" t="str">
        <f>HYPERLINK("http://amigo.geneontology.org/cgi-bin/amigo/term-details.cgi?term=GO:0043900","GO:0043900")</f>
        <v>GO:0043900</v>
      </c>
      <c r="B606" t="s">
        <v>1714</v>
      </c>
      <c r="C606">
        <v>62</v>
      </c>
      <c r="D606">
        <v>11</v>
      </c>
      <c r="E606">
        <v>7.8811605105371801E-3</v>
      </c>
      <c r="F606">
        <v>5.5168123573760199E-2</v>
      </c>
      <c r="G606" t="s">
        <v>1713</v>
      </c>
    </row>
    <row r="607" spans="1:7" x14ac:dyDescent="0.25">
      <c r="A607" s="4" t="str">
        <f>HYPERLINK("http://amigo.geneontology.org/cgi-bin/amigo/term-details.cgi?term=GO:0004452","GO:0004452")</f>
        <v>GO:0004452</v>
      </c>
      <c r="B607" t="s">
        <v>88</v>
      </c>
      <c r="C607">
        <v>6</v>
      </c>
      <c r="D607">
        <v>3</v>
      </c>
      <c r="E607">
        <v>7.88640355636217E-3</v>
      </c>
      <c r="F607">
        <v>5.5204824894535098E-2</v>
      </c>
      <c r="G607" t="s">
        <v>1008</v>
      </c>
    </row>
    <row r="608" spans="1:7" x14ac:dyDescent="0.25">
      <c r="A608" s="4" t="str">
        <f>HYPERLINK("http://amigo.geneontology.org/cgi-bin/amigo/term-details.cgi?term=GO:0000995","GO:0000995")</f>
        <v>GO:0000995</v>
      </c>
      <c r="B608" t="s">
        <v>1712</v>
      </c>
      <c r="C608">
        <v>6</v>
      </c>
      <c r="D608">
        <v>3</v>
      </c>
      <c r="E608">
        <v>7.88640355636217E-3</v>
      </c>
      <c r="F608">
        <v>5.5204824894535098E-2</v>
      </c>
      <c r="G608" t="s">
        <v>1709</v>
      </c>
    </row>
    <row r="609" spans="1:7" x14ac:dyDescent="0.25">
      <c r="A609" s="4" t="str">
        <f>HYPERLINK("http://amigo.geneontology.org/cgi-bin/amigo/term-details.cgi?term=GO:0001007","GO:0001007")</f>
        <v>GO:0001007</v>
      </c>
      <c r="B609" t="s">
        <v>1711</v>
      </c>
      <c r="C609">
        <v>6</v>
      </c>
      <c r="D609">
        <v>3</v>
      </c>
      <c r="E609">
        <v>7.88640355636217E-3</v>
      </c>
      <c r="F609">
        <v>5.5204824894535098E-2</v>
      </c>
      <c r="G609" t="s">
        <v>1709</v>
      </c>
    </row>
    <row r="610" spans="1:7" x14ac:dyDescent="0.25">
      <c r="A610" s="4" t="str">
        <f>HYPERLINK("http://amigo.geneontology.org/cgi-bin/amigo/term-details.cgi?term=GO:0001026","GO:0001026")</f>
        <v>GO:0001026</v>
      </c>
      <c r="B610" t="s">
        <v>1710</v>
      </c>
      <c r="C610">
        <v>6</v>
      </c>
      <c r="D610">
        <v>3</v>
      </c>
      <c r="E610">
        <v>7.88640355636217E-3</v>
      </c>
      <c r="F610">
        <v>5.5204824894535098E-2</v>
      </c>
      <c r="G610" t="s">
        <v>1709</v>
      </c>
    </row>
    <row r="611" spans="1:7" x14ac:dyDescent="0.25">
      <c r="A611" s="4" t="str">
        <f>HYPERLINK("http://amigo.geneontology.org/cgi-bin/amigo/term-details.cgi?term=GO:0006658","GO:0006658")</f>
        <v>GO:0006658</v>
      </c>
      <c r="B611" t="s">
        <v>87</v>
      </c>
      <c r="C611">
        <v>6</v>
      </c>
      <c r="D611">
        <v>3</v>
      </c>
      <c r="E611">
        <v>7.88640355636217E-3</v>
      </c>
      <c r="F611">
        <v>5.5204824894535098E-2</v>
      </c>
      <c r="G611" t="s">
        <v>1007</v>
      </c>
    </row>
    <row r="612" spans="1:7" x14ac:dyDescent="0.25">
      <c r="A612" s="4" t="str">
        <f>HYPERLINK("http://amigo.geneontology.org/cgi-bin/amigo/term-details.cgi?term=GO:0006659","GO:0006659")</f>
        <v>GO:0006659</v>
      </c>
      <c r="B612" t="s">
        <v>86</v>
      </c>
      <c r="C612">
        <v>6</v>
      </c>
      <c r="D612">
        <v>3</v>
      </c>
      <c r="E612">
        <v>7.88640355636217E-3</v>
      </c>
      <c r="F612">
        <v>5.5204824894535098E-2</v>
      </c>
      <c r="G612" t="s">
        <v>1007</v>
      </c>
    </row>
    <row r="613" spans="1:7" x14ac:dyDescent="0.25">
      <c r="A613" s="4" t="str">
        <f>HYPERLINK("http://amigo.geneontology.org/cgi-bin/amigo/term-details.cgi?term=GO:0015145","GO:0015145")</f>
        <v>GO:0015145</v>
      </c>
      <c r="B613" t="s">
        <v>1708</v>
      </c>
      <c r="C613">
        <v>6</v>
      </c>
      <c r="D613">
        <v>3</v>
      </c>
      <c r="E613">
        <v>7.88640355636217E-3</v>
      </c>
      <c r="F613">
        <v>5.5204824894535098E-2</v>
      </c>
      <c r="G613" t="s">
        <v>1706</v>
      </c>
    </row>
    <row r="614" spans="1:7" x14ac:dyDescent="0.25">
      <c r="A614" s="4" t="str">
        <f>HYPERLINK("http://amigo.geneontology.org/cgi-bin/amigo/term-details.cgi?term=GO:0015749","GO:0015749")</f>
        <v>GO:0015749</v>
      </c>
      <c r="B614" t="s">
        <v>1707</v>
      </c>
      <c r="C614">
        <v>6</v>
      </c>
      <c r="D614">
        <v>3</v>
      </c>
      <c r="E614">
        <v>7.88640355636217E-3</v>
      </c>
      <c r="F614">
        <v>5.5204824894535098E-2</v>
      </c>
      <c r="G614" t="s">
        <v>1706</v>
      </c>
    </row>
    <row r="615" spans="1:7" x14ac:dyDescent="0.25">
      <c r="A615" s="4" t="str">
        <f>HYPERLINK("http://amigo.geneontology.org/cgi-bin/amigo/term-details.cgi?term=GO:0004612","GO:0004612")</f>
        <v>GO:0004612</v>
      </c>
      <c r="B615" t="s">
        <v>186</v>
      </c>
      <c r="C615">
        <v>6</v>
      </c>
      <c r="D615">
        <v>3</v>
      </c>
      <c r="E615">
        <v>7.88640355636217E-3</v>
      </c>
      <c r="F615">
        <v>5.5204824894535098E-2</v>
      </c>
      <c r="G615" t="s">
        <v>103</v>
      </c>
    </row>
    <row r="616" spans="1:7" x14ac:dyDescent="0.25">
      <c r="A616" s="4" t="str">
        <f>HYPERLINK("http://amigo.geneontology.org/cgi-bin/amigo/term-details.cgi?term=GO:0090482","GO:0090482")</f>
        <v>GO:0090482</v>
      </c>
      <c r="B616" t="s">
        <v>1705</v>
      </c>
      <c r="C616">
        <v>6</v>
      </c>
      <c r="D616">
        <v>3</v>
      </c>
      <c r="E616">
        <v>7.88640355636217E-3</v>
      </c>
      <c r="F616">
        <v>5.5204824894535098E-2</v>
      </c>
      <c r="G616" t="s">
        <v>1703</v>
      </c>
    </row>
    <row r="617" spans="1:7" x14ac:dyDescent="0.25">
      <c r="A617" s="4" t="str">
        <f>HYPERLINK("http://amigo.geneontology.org/cgi-bin/amigo/term-details.cgi?term=GO:0051180","GO:0051180")</f>
        <v>GO:0051180</v>
      </c>
      <c r="B617" t="s">
        <v>1704</v>
      </c>
      <c r="C617">
        <v>6</v>
      </c>
      <c r="D617">
        <v>3</v>
      </c>
      <c r="E617">
        <v>7.88640355636217E-3</v>
      </c>
      <c r="F617">
        <v>5.5204824894535098E-2</v>
      </c>
      <c r="G617" t="s">
        <v>1703</v>
      </c>
    </row>
    <row r="618" spans="1:7" x14ac:dyDescent="0.25">
      <c r="A618" s="4" t="str">
        <f>HYPERLINK("http://amigo.geneontology.org/cgi-bin/amigo/term-details.cgi?term=GO:1900426","GO:1900426")</f>
        <v>GO:1900426</v>
      </c>
      <c r="B618" t="s">
        <v>1702</v>
      </c>
      <c r="C618">
        <v>6</v>
      </c>
      <c r="D618">
        <v>3</v>
      </c>
      <c r="E618">
        <v>7.88640355636217E-3</v>
      </c>
      <c r="F618">
        <v>5.5204824894535098E-2</v>
      </c>
      <c r="G618" t="s">
        <v>1456</v>
      </c>
    </row>
    <row r="619" spans="1:7" x14ac:dyDescent="0.25">
      <c r="A619" s="4" t="str">
        <f>HYPERLINK("http://amigo.geneontology.org/cgi-bin/amigo/term-details.cgi?term=GO:0005785","GO:0005785")</f>
        <v>GO:0005785</v>
      </c>
      <c r="B619" t="s">
        <v>185</v>
      </c>
      <c r="C619">
        <v>6</v>
      </c>
      <c r="D619">
        <v>3</v>
      </c>
      <c r="E619">
        <v>7.88640355636217E-3</v>
      </c>
      <c r="F619">
        <v>5.5204824894535098E-2</v>
      </c>
      <c r="G619" t="s">
        <v>102</v>
      </c>
    </row>
    <row r="620" spans="1:7" x14ac:dyDescent="0.25">
      <c r="A620" s="4" t="str">
        <f>HYPERLINK("http://amigo.geneontology.org/cgi-bin/amigo/term-details.cgi?term=GO:0009443","GO:0009443")</f>
        <v>GO:0009443</v>
      </c>
      <c r="B620" t="s">
        <v>1283</v>
      </c>
      <c r="C620">
        <v>6</v>
      </c>
      <c r="D620">
        <v>3</v>
      </c>
      <c r="E620">
        <v>7.88640355636217E-3</v>
      </c>
      <c r="F620">
        <v>5.5204824894535098E-2</v>
      </c>
      <c r="G620" t="s">
        <v>1282</v>
      </c>
    </row>
    <row r="621" spans="1:7" x14ac:dyDescent="0.25">
      <c r="A621" s="4" t="str">
        <f>HYPERLINK("http://amigo.geneontology.org/cgi-bin/amigo/term-details.cgi?term=GO:0004325","GO:0004325")</f>
        <v>GO:0004325</v>
      </c>
      <c r="B621" t="s">
        <v>1173</v>
      </c>
      <c r="C621">
        <v>6</v>
      </c>
      <c r="D621">
        <v>3</v>
      </c>
      <c r="E621">
        <v>7.88640355636217E-3</v>
      </c>
      <c r="F621">
        <v>5.5204824894535098E-2</v>
      </c>
      <c r="G621" t="s">
        <v>1172</v>
      </c>
    </row>
    <row r="622" spans="1:7" x14ac:dyDescent="0.25">
      <c r="A622" s="4" t="str">
        <f>HYPERLINK("http://amigo.geneontology.org/cgi-bin/amigo/term-details.cgi?term=GO:0052736","GO:0052736")</f>
        <v>GO:0052736</v>
      </c>
      <c r="B622" t="s">
        <v>83</v>
      </c>
      <c r="C622">
        <v>6</v>
      </c>
      <c r="D622">
        <v>3</v>
      </c>
      <c r="E622">
        <v>7.88640355636217E-3</v>
      </c>
      <c r="F622">
        <v>5.5204824894535098E-2</v>
      </c>
      <c r="G622" t="s">
        <v>1006</v>
      </c>
    </row>
    <row r="623" spans="1:7" x14ac:dyDescent="0.25">
      <c r="A623" s="4" t="str">
        <f>HYPERLINK("http://amigo.geneontology.org/cgi-bin/amigo/term-details.cgi?term=GO:0052861","GO:0052861")</f>
        <v>GO:0052861</v>
      </c>
      <c r="B623" t="s">
        <v>82</v>
      </c>
      <c r="C623">
        <v>6</v>
      </c>
      <c r="D623">
        <v>3</v>
      </c>
      <c r="E623">
        <v>7.88640355636217E-3</v>
      </c>
      <c r="F623">
        <v>5.5204824894535098E-2</v>
      </c>
      <c r="G623" t="s">
        <v>1006</v>
      </c>
    </row>
    <row r="624" spans="1:7" x14ac:dyDescent="0.25">
      <c r="A624" s="4" t="str">
        <f>HYPERLINK("http://amigo.geneontology.org/cgi-bin/amigo/term-details.cgi?term=GO:0004594","GO:0004594")</f>
        <v>GO:0004594</v>
      </c>
      <c r="B624" t="s">
        <v>80</v>
      </c>
      <c r="C624">
        <v>6</v>
      </c>
      <c r="D624">
        <v>3</v>
      </c>
      <c r="E624">
        <v>7.88640355636217E-3</v>
      </c>
      <c r="F624">
        <v>5.5204824894535098E-2</v>
      </c>
      <c r="G624" t="s">
        <v>1005</v>
      </c>
    </row>
    <row r="625" spans="1:7" x14ac:dyDescent="0.25">
      <c r="A625" s="4" t="str">
        <f>HYPERLINK("http://amigo.geneontology.org/cgi-bin/amigo/term-details.cgi?term=GO:0004362","GO:0004362")</f>
        <v>GO:0004362</v>
      </c>
      <c r="B625" t="s">
        <v>81</v>
      </c>
      <c r="C625">
        <v>6</v>
      </c>
      <c r="D625">
        <v>3</v>
      </c>
      <c r="E625">
        <v>7.88640355636217E-3</v>
      </c>
      <c r="F625">
        <v>5.5204824894535098E-2</v>
      </c>
      <c r="G625" t="s">
        <v>1004</v>
      </c>
    </row>
    <row r="626" spans="1:7" x14ac:dyDescent="0.25">
      <c r="A626" s="4" t="str">
        <f>HYPERLINK("http://amigo.geneontology.org/cgi-bin/amigo/term-details.cgi?term=GO:0009095","GO:0009095")</f>
        <v>GO:0009095</v>
      </c>
      <c r="B626" t="s">
        <v>991</v>
      </c>
      <c r="C626">
        <v>38</v>
      </c>
      <c r="D626">
        <v>8</v>
      </c>
      <c r="E626">
        <v>7.9325755396444601E-3</v>
      </c>
      <c r="F626">
        <v>5.5528028777511201E-2</v>
      </c>
      <c r="G626" t="s">
        <v>1701</v>
      </c>
    </row>
    <row r="627" spans="1:7" x14ac:dyDescent="0.25">
      <c r="A627" s="4" t="str">
        <f>HYPERLINK("http://amigo.geneontology.org/cgi-bin/amigo/term-details.cgi?term=GO:0061733","GO:0061733")</f>
        <v>GO:0061733</v>
      </c>
      <c r="B627" t="s">
        <v>168</v>
      </c>
      <c r="C627">
        <v>38</v>
      </c>
      <c r="D627">
        <v>8</v>
      </c>
      <c r="E627">
        <v>7.9325755396444601E-3</v>
      </c>
      <c r="F627">
        <v>5.5528028777511201E-2</v>
      </c>
      <c r="G627" t="s">
        <v>1280</v>
      </c>
    </row>
    <row r="628" spans="1:7" x14ac:dyDescent="0.25">
      <c r="A628" s="4" t="str">
        <f>HYPERLINK("http://amigo.geneontology.org/cgi-bin/amigo/term-details.cgi?term=GO:0004402","GO:0004402")</f>
        <v>GO:0004402</v>
      </c>
      <c r="B628" t="s">
        <v>167</v>
      </c>
      <c r="C628">
        <v>38</v>
      </c>
      <c r="D628">
        <v>8</v>
      </c>
      <c r="E628">
        <v>7.9325755396444601E-3</v>
      </c>
      <c r="F628">
        <v>5.5528028777511201E-2</v>
      </c>
      <c r="G628" t="s">
        <v>1280</v>
      </c>
    </row>
    <row r="629" spans="1:7" x14ac:dyDescent="0.25">
      <c r="A629" s="4" t="str">
        <f>HYPERLINK("http://amigo.geneontology.org/cgi-bin/amigo/term-details.cgi?term=GO:0097659","GO:0097659")</f>
        <v>GO:0097659</v>
      </c>
      <c r="B629" t="s">
        <v>1700</v>
      </c>
      <c r="C629">
        <v>2043</v>
      </c>
      <c r="D629">
        <v>189</v>
      </c>
      <c r="E629">
        <v>7.98586668282604E-3</v>
      </c>
      <c r="F629">
        <v>5.59010667797823E-2</v>
      </c>
      <c r="G629" t="s">
        <v>1687</v>
      </c>
    </row>
    <row r="630" spans="1:7" x14ac:dyDescent="0.25">
      <c r="A630" s="4" t="str">
        <f>HYPERLINK("http://amigo.geneontology.org/cgi-bin/amigo/term-details.cgi?term=GO:0055075","GO:0055075")</f>
        <v>GO:0055075</v>
      </c>
      <c r="B630" t="s">
        <v>1699</v>
      </c>
      <c r="C630">
        <v>17</v>
      </c>
      <c r="D630">
        <v>5</v>
      </c>
      <c r="E630">
        <v>7.9874562834340596E-3</v>
      </c>
      <c r="F630">
        <v>5.5912193984038398E-2</v>
      </c>
      <c r="G630" t="s">
        <v>1698</v>
      </c>
    </row>
    <row r="631" spans="1:7" x14ac:dyDescent="0.25">
      <c r="A631" s="4" t="str">
        <f>HYPERLINK("http://amigo.geneontology.org/cgi-bin/amigo/term-details.cgi?term=GO:2000377","GO:2000377")</f>
        <v>GO:2000377</v>
      </c>
      <c r="B631" t="s">
        <v>429</v>
      </c>
      <c r="C631">
        <v>54</v>
      </c>
      <c r="D631">
        <v>10</v>
      </c>
      <c r="E631">
        <v>8.15730612525053E-3</v>
      </c>
      <c r="F631">
        <v>5.7101142876753698E-2</v>
      </c>
      <c r="G631" t="s">
        <v>1697</v>
      </c>
    </row>
    <row r="632" spans="1:7" x14ac:dyDescent="0.25">
      <c r="A632" s="4" t="str">
        <f>HYPERLINK("http://amigo.geneontology.org/cgi-bin/amigo/term-details.cgi?term=GO:0010118","GO:0010118")</f>
        <v>GO:0010118</v>
      </c>
      <c r="B632" t="s">
        <v>1696</v>
      </c>
      <c r="C632">
        <v>31</v>
      </c>
      <c r="D632">
        <v>7</v>
      </c>
      <c r="E632">
        <v>8.5965911236411396E-3</v>
      </c>
      <c r="F632">
        <v>6.0176137865487998E-2</v>
      </c>
      <c r="G632" t="s">
        <v>1695</v>
      </c>
    </row>
    <row r="633" spans="1:7" x14ac:dyDescent="0.25">
      <c r="A633" s="4" t="str">
        <f>HYPERLINK("http://amigo.geneontology.org/cgi-bin/amigo/term-details.cgi?term=GO:0070482","GO:0070482")</f>
        <v>GO:0070482</v>
      </c>
      <c r="B633" t="s">
        <v>1694</v>
      </c>
      <c r="C633">
        <v>31</v>
      </c>
      <c r="D633">
        <v>7</v>
      </c>
      <c r="E633">
        <v>8.5965911236411396E-3</v>
      </c>
      <c r="F633">
        <v>6.0176137865487998E-2</v>
      </c>
      <c r="G633" t="s">
        <v>1693</v>
      </c>
    </row>
    <row r="634" spans="1:7" x14ac:dyDescent="0.25">
      <c r="A634" s="4" t="str">
        <f>HYPERLINK("http://amigo.geneontology.org/cgi-bin/amigo/term-details.cgi?term=GO:0003333","GO:0003333")</f>
        <v>GO:0003333</v>
      </c>
      <c r="B634" t="s">
        <v>146</v>
      </c>
      <c r="C634">
        <v>89</v>
      </c>
      <c r="D634">
        <v>14</v>
      </c>
      <c r="E634">
        <v>8.7825187790791601E-3</v>
      </c>
      <c r="F634">
        <v>6.1477631453554102E-2</v>
      </c>
      <c r="G634" t="s">
        <v>1278</v>
      </c>
    </row>
    <row r="635" spans="1:7" x14ac:dyDescent="0.25">
      <c r="A635" s="4" t="str">
        <f>HYPERLINK("http://amigo.geneontology.org/cgi-bin/amigo/term-details.cgi?term=GO:0009816","GO:0009816")</f>
        <v>GO:0009816</v>
      </c>
      <c r="B635" t="s">
        <v>1692</v>
      </c>
      <c r="C635">
        <v>24</v>
      </c>
      <c r="D635">
        <v>6</v>
      </c>
      <c r="E635">
        <v>8.7951405883179706E-3</v>
      </c>
      <c r="F635">
        <v>6.1565984118225801E-2</v>
      </c>
      <c r="G635" t="s">
        <v>1691</v>
      </c>
    </row>
    <row r="636" spans="1:7" x14ac:dyDescent="0.25">
      <c r="A636" s="4" t="str">
        <f>HYPERLINK("http://amigo.geneontology.org/cgi-bin/amigo/term-details.cgi?term=GO:0015035","GO:0015035")</f>
        <v>GO:0015035</v>
      </c>
      <c r="B636" t="s">
        <v>1212</v>
      </c>
      <c r="C636">
        <v>285</v>
      </c>
      <c r="D636">
        <v>34</v>
      </c>
      <c r="E636">
        <v>8.8485193398920702E-3</v>
      </c>
      <c r="F636">
        <v>6.1939635379244497E-2</v>
      </c>
      <c r="G636" t="s">
        <v>1690</v>
      </c>
    </row>
    <row r="637" spans="1:7" x14ac:dyDescent="0.25">
      <c r="A637" s="4" t="str">
        <f>HYPERLINK("http://amigo.geneontology.org/cgi-bin/amigo/term-details.cgi?term=GO:0044275","GO:0044275")</f>
        <v>GO:0044275</v>
      </c>
      <c r="B637" t="s">
        <v>609</v>
      </c>
      <c r="C637">
        <v>63</v>
      </c>
      <c r="D637">
        <v>11</v>
      </c>
      <c r="E637">
        <v>8.8918129491684095E-3</v>
      </c>
      <c r="F637">
        <v>6.2242690644178901E-2</v>
      </c>
      <c r="G637" t="s">
        <v>1689</v>
      </c>
    </row>
    <row r="638" spans="1:7" x14ac:dyDescent="0.25">
      <c r="A638" s="4" t="str">
        <f>HYPERLINK("http://amigo.geneontology.org/cgi-bin/amigo/term-details.cgi?term=GO:0042625","GO:0042625")</f>
        <v>GO:0042625</v>
      </c>
      <c r="B638" t="s">
        <v>134</v>
      </c>
      <c r="C638">
        <v>194</v>
      </c>
      <c r="D638">
        <v>25</v>
      </c>
      <c r="E638">
        <v>9.0602903609603002E-3</v>
      </c>
      <c r="F638">
        <v>6.34220325267221E-2</v>
      </c>
      <c r="G638" t="s">
        <v>1688</v>
      </c>
    </row>
    <row r="639" spans="1:7" x14ac:dyDescent="0.25">
      <c r="A639" s="4" t="str">
        <f>HYPERLINK("http://amigo.geneontology.org/cgi-bin/amigo/term-details.cgi?term=GO:0019829","GO:0019829")</f>
        <v>GO:0019829</v>
      </c>
      <c r="B639" t="s">
        <v>133</v>
      </c>
      <c r="C639">
        <v>194</v>
      </c>
      <c r="D639">
        <v>25</v>
      </c>
      <c r="E639">
        <v>9.0602903609603002E-3</v>
      </c>
      <c r="F639">
        <v>6.34220325267221E-2</v>
      </c>
      <c r="G639" t="s">
        <v>1688</v>
      </c>
    </row>
    <row r="640" spans="1:7" x14ac:dyDescent="0.25">
      <c r="A640" s="4" t="str">
        <f>HYPERLINK("http://amigo.geneontology.org/cgi-bin/amigo/term-details.cgi?term=GO:0032774","GO:0032774")</f>
        <v>GO:0032774</v>
      </c>
      <c r="B640" t="s">
        <v>1409</v>
      </c>
      <c r="C640">
        <v>2051</v>
      </c>
      <c r="D640">
        <v>189</v>
      </c>
      <c r="E640">
        <v>9.24343998338217E-3</v>
      </c>
      <c r="F640">
        <v>6.47040798836752E-2</v>
      </c>
      <c r="G640" t="s">
        <v>1687</v>
      </c>
    </row>
    <row r="641" spans="1:7" x14ac:dyDescent="0.25">
      <c r="A641" s="4" t="str">
        <f>HYPERLINK("http://amigo.geneontology.org/cgi-bin/amigo/term-details.cgi?term=GO:0015662","GO:0015662")</f>
        <v>GO:0015662</v>
      </c>
      <c r="B641" t="s">
        <v>272</v>
      </c>
      <c r="C641">
        <v>55</v>
      </c>
      <c r="D641">
        <v>10</v>
      </c>
      <c r="E641">
        <v>9.2899384940125698E-3</v>
      </c>
      <c r="F641">
        <v>6.5029569458087993E-2</v>
      </c>
      <c r="G641" t="s">
        <v>270</v>
      </c>
    </row>
    <row r="642" spans="1:7" x14ac:dyDescent="0.25">
      <c r="A642" s="4" t="str">
        <f>HYPERLINK("http://amigo.geneontology.org/cgi-bin/amigo/term-details.cgi?term=GO:0046939","GO:0046939")</f>
        <v>GO:0046939</v>
      </c>
      <c r="B642" t="s">
        <v>683</v>
      </c>
      <c r="C642">
        <v>307</v>
      </c>
      <c r="D642">
        <v>36</v>
      </c>
      <c r="E642">
        <v>9.3987850553811196E-3</v>
      </c>
      <c r="F642">
        <v>6.5791495387667806E-2</v>
      </c>
      <c r="G642" t="s">
        <v>1686</v>
      </c>
    </row>
    <row r="643" spans="1:7" x14ac:dyDescent="0.25">
      <c r="A643" s="4" t="str">
        <f>HYPERLINK("http://amigo.geneontology.org/cgi-bin/amigo/term-details.cgi?term=GO:0043543","GO:0043543")</f>
        <v>GO:0043543</v>
      </c>
      <c r="B643" t="s">
        <v>1685</v>
      </c>
      <c r="C643">
        <v>99</v>
      </c>
      <c r="D643">
        <v>15</v>
      </c>
      <c r="E643">
        <v>9.6208973529808995E-3</v>
      </c>
      <c r="F643">
        <v>6.7346281470866298E-2</v>
      </c>
      <c r="G643" t="s">
        <v>1684</v>
      </c>
    </row>
    <row r="644" spans="1:7" x14ac:dyDescent="0.25">
      <c r="A644" s="4" t="str">
        <f>HYPERLINK("http://amigo.geneontology.org/cgi-bin/amigo/term-details.cgi?term=GO:0045454","GO:0045454")</f>
        <v>GO:0045454</v>
      </c>
      <c r="B644" t="s">
        <v>96</v>
      </c>
      <c r="C644">
        <v>435</v>
      </c>
      <c r="D644">
        <v>48</v>
      </c>
      <c r="E644">
        <v>9.6319822654891297E-3</v>
      </c>
      <c r="F644">
        <v>6.7423875858423896E-2</v>
      </c>
      <c r="G644" t="s">
        <v>1683</v>
      </c>
    </row>
    <row r="645" spans="1:7" x14ac:dyDescent="0.25">
      <c r="A645" s="4" t="str">
        <f>HYPERLINK("http://amigo.geneontology.org/cgi-bin/amigo/term-details.cgi?term=GO:0072525","GO:0072525")</f>
        <v>GO:0072525</v>
      </c>
      <c r="B645" t="s">
        <v>1682</v>
      </c>
      <c r="C645">
        <v>64</v>
      </c>
      <c r="D645">
        <v>11</v>
      </c>
      <c r="E645">
        <v>9.9997033307245593E-3</v>
      </c>
      <c r="F645">
        <v>6.9997923315071903E-2</v>
      </c>
      <c r="G645" t="s">
        <v>1681</v>
      </c>
    </row>
    <row r="646" spans="1:7" x14ac:dyDescent="0.25">
      <c r="A646" s="4" t="str">
        <f>HYPERLINK("http://amigo.geneontology.org/cgi-bin/amigo/term-details.cgi?term=GO:0099023","GO:0099023")</f>
        <v>GO:0099023</v>
      </c>
      <c r="B646" t="s">
        <v>1680</v>
      </c>
      <c r="C646">
        <v>206</v>
      </c>
      <c r="D646">
        <v>26</v>
      </c>
      <c r="E646">
        <v>1.02438762573763E-2</v>
      </c>
      <c r="F646">
        <v>7.1707133801634501E-2</v>
      </c>
      <c r="G646" t="s">
        <v>1679</v>
      </c>
    </row>
    <row r="647" spans="1:7" x14ac:dyDescent="0.25">
      <c r="A647" s="4" t="str">
        <f>HYPERLINK("http://amigo.geneontology.org/cgi-bin/amigo/term-details.cgi?term=GO:0071462","GO:0071462")</f>
        <v>GO:0071462</v>
      </c>
      <c r="B647" t="s">
        <v>1678</v>
      </c>
      <c r="C647">
        <v>18</v>
      </c>
      <c r="D647">
        <v>5</v>
      </c>
      <c r="E647">
        <v>1.03607283192275E-2</v>
      </c>
      <c r="F647">
        <v>7.2525098234592494E-2</v>
      </c>
      <c r="G647" t="s">
        <v>1676</v>
      </c>
    </row>
    <row r="648" spans="1:7" x14ac:dyDescent="0.25">
      <c r="A648" s="4" t="str">
        <f>HYPERLINK("http://amigo.geneontology.org/cgi-bin/amigo/term-details.cgi?term=GO:0042631","GO:0042631")</f>
        <v>GO:0042631</v>
      </c>
      <c r="B648" t="s">
        <v>1677</v>
      </c>
      <c r="C648">
        <v>18</v>
      </c>
      <c r="D648">
        <v>5</v>
      </c>
      <c r="E648">
        <v>1.03607283192275E-2</v>
      </c>
      <c r="F648">
        <v>7.2525098234592494E-2</v>
      </c>
      <c r="G648" t="s">
        <v>1676</v>
      </c>
    </row>
    <row r="649" spans="1:7" x14ac:dyDescent="0.25">
      <c r="A649" s="4" t="str">
        <f>HYPERLINK("http://amigo.geneontology.org/cgi-bin/amigo/term-details.cgi?term=GO:0009642","GO:0009642")</f>
        <v>GO:0009642</v>
      </c>
      <c r="B649" t="s">
        <v>1675</v>
      </c>
      <c r="C649">
        <v>147</v>
      </c>
      <c r="D649">
        <v>20</v>
      </c>
      <c r="E649">
        <v>1.0381642902419099E-2</v>
      </c>
      <c r="F649">
        <v>7.2671500316934007E-2</v>
      </c>
      <c r="G649" t="s">
        <v>1674</v>
      </c>
    </row>
    <row r="650" spans="1:7" x14ac:dyDescent="0.25">
      <c r="A650" s="4" t="str">
        <f>HYPERLINK("http://amigo.geneontology.org/cgi-bin/amigo/term-details.cgi?term=GO:0006525","GO:0006525")</f>
        <v>GO:0006525</v>
      </c>
      <c r="B650" t="s">
        <v>1673</v>
      </c>
      <c r="C650">
        <v>56</v>
      </c>
      <c r="D650">
        <v>10</v>
      </c>
      <c r="E650">
        <v>1.05388216292325E-2</v>
      </c>
      <c r="F650">
        <v>7.3771751404627994E-2</v>
      </c>
      <c r="G650" t="s">
        <v>1672</v>
      </c>
    </row>
    <row r="651" spans="1:7" x14ac:dyDescent="0.25">
      <c r="A651" s="4" t="str">
        <f>HYPERLINK("http://amigo.geneontology.org/cgi-bin/amigo/term-details.cgi?term=GO:0034212","GO:0034212")</f>
        <v>GO:0034212</v>
      </c>
      <c r="B651" t="s">
        <v>169</v>
      </c>
      <c r="C651">
        <v>40</v>
      </c>
      <c r="D651">
        <v>8</v>
      </c>
      <c r="E651">
        <v>1.08633192847153E-2</v>
      </c>
      <c r="F651">
        <v>7.60432349930074E-2</v>
      </c>
      <c r="G651" t="s">
        <v>1280</v>
      </c>
    </row>
    <row r="652" spans="1:7" x14ac:dyDescent="0.25">
      <c r="A652" s="4" t="str">
        <f>HYPERLINK("http://amigo.geneontology.org/cgi-bin/amigo/term-details.cgi?term=GO:0010286","GO:0010286")</f>
        <v>GO:0010286</v>
      </c>
      <c r="B652" t="s">
        <v>1671</v>
      </c>
      <c r="C652">
        <v>40</v>
      </c>
      <c r="D652">
        <v>8</v>
      </c>
      <c r="E652">
        <v>1.08633192847153E-2</v>
      </c>
      <c r="F652">
        <v>7.60432349930074E-2</v>
      </c>
      <c r="G652" t="s">
        <v>1670</v>
      </c>
    </row>
    <row r="653" spans="1:7" x14ac:dyDescent="0.25">
      <c r="A653" s="4" t="str">
        <f>HYPERLINK("http://amigo.geneontology.org/cgi-bin/amigo/term-details.cgi?term=GO:0004084","GO:0004084")</f>
        <v>GO:0004084</v>
      </c>
      <c r="B653" t="s">
        <v>111</v>
      </c>
      <c r="C653">
        <v>12</v>
      </c>
      <c r="D653">
        <v>4</v>
      </c>
      <c r="E653">
        <v>1.0929597015642899E-2</v>
      </c>
      <c r="F653">
        <v>7.6507179109500695E-2</v>
      </c>
      <c r="G653" t="s">
        <v>1002</v>
      </c>
    </row>
    <row r="654" spans="1:7" x14ac:dyDescent="0.25">
      <c r="A654" s="4" t="str">
        <f>HYPERLINK("http://amigo.geneontology.org/cgi-bin/amigo/term-details.cgi?term=GO:0004363","GO:0004363")</f>
        <v>GO:0004363</v>
      </c>
      <c r="B654" t="s">
        <v>199</v>
      </c>
      <c r="C654">
        <v>12</v>
      </c>
      <c r="D654">
        <v>4</v>
      </c>
      <c r="E654">
        <v>1.0929597015642899E-2</v>
      </c>
      <c r="F654">
        <v>7.6507179109500695E-2</v>
      </c>
      <c r="G654" t="s">
        <v>198</v>
      </c>
    </row>
    <row r="655" spans="1:7" x14ac:dyDescent="0.25">
      <c r="A655" s="4" t="str">
        <f>HYPERLINK("http://amigo.geneontology.org/cgi-bin/amigo/term-details.cgi?term=GO:0031323","GO:0031323")</f>
        <v>GO:0031323</v>
      </c>
      <c r="B655" t="s">
        <v>940</v>
      </c>
      <c r="C655">
        <v>5266</v>
      </c>
      <c r="D655">
        <v>454</v>
      </c>
      <c r="E655">
        <v>1.1071650613178999E-2</v>
      </c>
      <c r="F655">
        <v>7.7501554292253402E-2</v>
      </c>
      <c r="G655" t="s">
        <v>1669</v>
      </c>
    </row>
    <row r="656" spans="1:7" x14ac:dyDescent="0.25">
      <c r="A656" s="4" t="str">
        <f>HYPERLINK("http://amigo.geneontology.org/cgi-bin/amigo/term-details.cgi?term=GO:0009108","GO:0009108")</f>
        <v>GO:0009108</v>
      </c>
      <c r="B656" t="s">
        <v>1003</v>
      </c>
      <c r="C656">
        <v>332</v>
      </c>
      <c r="D656">
        <v>38</v>
      </c>
      <c r="E656">
        <v>1.13325126162777E-2</v>
      </c>
      <c r="F656">
        <v>6.7995075697666496E-2</v>
      </c>
      <c r="G656" t="s">
        <v>1668</v>
      </c>
    </row>
    <row r="657" spans="1:7" x14ac:dyDescent="0.25">
      <c r="A657" s="4" t="str">
        <f>HYPERLINK("http://amigo.geneontology.org/cgi-bin/amigo/term-details.cgi?term=GO:0023056","GO:0023056")</f>
        <v>GO:0023056</v>
      </c>
      <c r="B657" t="s">
        <v>1667</v>
      </c>
      <c r="C657">
        <v>33</v>
      </c>
      <c r="D657">
        <v>7</v>
      </c>
      <c r="E657">
        <v>1.21877015510729E-2</v>
      </c>
      <c r="F657">
        <v>7.3126209306437595E-2</v>
      </c>
      <c r="G657" t="s">
        <v>1579</v>
      </c>
    </row>
    <row r="658" spans="1:7" x14ac:dyDescent="0.25">
      <c r="A658" s="4" t="str">
        <f>HYPERLINK("http://amigo.geneontology.org/cgi-bin/amigo/term-details.cgi?term=GO:0009967","GO:0009967")</f>
        <v>GO:0009967</v>
      </c>
      <c r="B658" t="s">
        <v>1666</v>
      </c>
      <c r="C658">
        <v>33</v>
      </c>
      <c r="D658">
        <v>7</v>
      </c>
      <c r="E658">
        <v>1.21877015510729E-2</v>
      </c>
      <c r="F658">
        <v>7.3126209306437595E-2</v>
      </c>
      <c r="G658" t="s">
        <v>1579</v>
      </c>
    </row>
    <row r="659" spans="1:7" x14ac:dyDescent="0.25">
      <c r="A659" s="4" t="str">
        <f>HYPERLINK("http://amigo.geneontology.org/cgi-bin/amigo/term-details.cgi?term=GO:0015698","GO:0015698")</f>
        <v>GO:0015698</v>
      </c>
      <c r="B659" t="s">
        <v>467</v>
      </c>
      <c r="C659">
        <v>199</v>
      </c>
      <c r="D659">
        <v>25</v>
      </c>
      <c r="E659">
        <v>1.22901343430399E-2</v>
      </c>
      <c r="F659">
        <v>7.37408060582396E-2</v>
      </c>
      <c r="G659" t="s">
        <v>1665</v>
      </c>
    </row>
    <row r="660" spans="1:7" x14ac:dyDescent="0.25">
      <c r="A660" s="4" t="str">
        <f>HYPERLINK("http://amigo.geneontology.org/cgi-bin/amigo/term-details.cgi?term=GO:0006643","GO:0006643")</f>
        <v>GO:0006643</v>
      </c>
      <c r="B660" t="s">
        <v>490</v>
      </c>
      <c r="C660">
        <v>179</v>
      </c>
      <c r="D660">
        <v>23</v>
      </c>
      <c r="E660">
        <v>1.23196417087759E-2</v>
      </c>
      <c r="F660">
        <v>7.3917850252655806E-2</v>
      </c>
      <c r="G660" t="s">
        <v>1664</v>
      </c>
    </row>
    <row r="661" spans="1:7" x14ac:dyDescent="0.25">
      <c r="A661" s="4" t="str">
        <f>HYPERLINK("http://amigo.geneontology.org/cgi-bin/amigo/term-details.cgi?term=GO:0051188","GO:0051188")</f>
        <v>GO:0051188</v>
      </c>
      <c r="B661" t="s">
        <v>93</v>
      </c>
      <c r="C661">
        <v>696</v>
      </c>
      <c r="D661">
        <v>71</v>
      </c>
      <c r="E661">
        <v>1.24924495427541E-2</v>
      </c>
      <c r="F661">
        <v>7.4954697256524594E-2</v>
      </c>
      <c r="G661" t="s">
        <v>1663</v>
      </c>
    </row>
    <row r="662" spans="1:7" x14ac:dyDescent="0.25">
      <c r="A662" s="4" t="str">
        <f>HYPERLINK("http://amigo.geneontology.org/cgi-bin/amigo/term-details.cgi?term=GO:0016854","GO:0016854")</f>
        <v>GO:0016854</v>
      </c>
      <c r="B662" t="s">
        <v>917</v>
      </c>
      <c r="C662">
        <v>66</v>
      </c>
      <c r="D662">
        <v>11</v>
      </c>
      <c r="E662">
        <v>1.25303694486711E-2</v>
      </c>
      <c r="F662">
        <v>7.5182216692027098E-2</v>
      </c>
      <c r="G662" t="s">
        <v>1021</v>
      </c>
    </row>
    <row r="663" spans="1:7" x14ac:dyDescent="0.25">
      <c r="A663" s="4" t="str">
        <f>HYPERLINK("http://amigo.geneontology.org/cgi-bin/amigo/term-details.cgi?term=GO:0016409","GO:0016409")</f>
        <v>GO:0016409</v>
      </c>
      <c r="B663" t="s">
        <v>1662</v>
      </c>
      <c r="C663">
        <v>66</v>
      </c>
      <c r="D663">
        <v>11</v>
      </c>
      <c r="E663">
        <v>1.25303694486711E-2</v>
      </c>
      <c r="F663">
        <v>7.5182216692027098E-2</v>
      </c>
      <c r="G663" t="s">
        <v>1661</v>
      </c>
    </row>
    <row r="664" spans="1:7" x14ac:dyDescent="0.25">
      <c r="A664" s="4" t="str">
        <f>HYPERLINK("http://amigo.geneontology.org/cgi-bin/amigo/term-details.cgi?term=GO:0006814","GO:0006814")</f>
        <v>GO:0006814</v>
      </c>
      <c r="B664" t="s">
        <v>211</v>
      </c>
      <c r="C664">
        <v>66</v>
      </c>
      <c r="D664">
        <v>11</v>
      </c>
      <c r="E664">
        <v>1.25303694486711E-2</v>
      </c>
      <c r="F664">
        <v>7.5182216692027098E-2</v>
      </c>
      <c r="G664" t="s">
        <v>1660</v>
      </c>
    </row>
    <row r="665" spans="1:7" x14ac:dyDescent="0.25">
      <c r="A665" s="4" t="str">
        <f>HYPERLINK("http://amigo.geneontology.org/cgi-bin/amigo/term-details.cgi?term=GO:0044036","GO:0044036")</f>
        <v>GO:0044036</v>
      </c>
      <c r="B665" t="s">
        <v>189</v>
      </c>
      <c r="C665">
        <v>388</v>
      </c>
      <c r="D665">
        <v>43</v>
      </c>
      <c r="E665">
        <v>1.2711681801473499E-2</v>
      </c>
      <c r="F665">
        <v>7.6270090808841506E-2</v>
      </c>
      <c r="G665" t="s">
        <v>1659</v>
      </c>
    </row>
    <row r="666" spans="1:7" x14ac:dyDescent="0.25">
      <c r="A666" s="4" t="str">
        <f>HYPERLINK("http://amigo.geneontology.org/cgi-bin/amigo/term-details.cgi?term=GO:0009808","GO:0009808")</f>
        <v>GO:0009808</v>
      </c>
      <c r="B666" t="s">
        <v>1218</v>
      </c>
      <c r="C666">
        <v>93</v>
      </c>
      <c r="D666">
        <v>14</v>
      </c>
      <c r="E666">
        <v>1.27769357803551E-2</v>
      </c>
      <c r="F666">
        <v>7.6661614682130994E-2</v>
      </c>
      <c r="G666" t="s">
        <v>1658</v>
      </c>
    </row>
    <row r="667" spans="1:7" x14ac:dyDescent="0.25">
      <c r="A667" s="4" t="str">
        <f>HYPERLINK("http://amigo.geneontology.org/cgi-bin/amigo/term-details.cgi?term=GO:0004867","GO:0004867")</f>
        <v>GO:0004867</v>
      </c>
      <c r="B667" t="s">
        <v>144</v>
      </c>
      <c r="C667">
        <v>335</v>
      </c>
      <c r="D667">
        <v>38</v>
      </c>
      <c r="E667">
        <v>1.29650279607157E-2</v>
      </c>
      <c r="F667">
        <v>7.7790167764294496E-2</v>
      </c>
      <c r="G667" t="s">
        <v>1657</v>
      </c>
    </row>
    <row r="668" spans="1:7" x14ac:dyDescent="0.25">
      <c r="A668" s="4" t="str">
        <f>HYPERLINK("http://amigo.geneontology.org/cgi-bin/amigo/term-details.cgi?term=GO:0006915","GO:0006915")</f>
        <v>GO:0006915</v>
      </c>
      <c r="B668" t="s">
        <v>1656</v>
      </c>
      <c r="C668">
        <v>7</v>
      </c>
      <c r="D668">
        <v>3</v>
      </c>
      <c r="E668">
        <v>1.30056689616208E-2</v>
      </c>
      <c r="F668">
        <v>7.8034013769724894E-2</v>
      </c>
      <c r="G668" t="s">
        <v>1655</v>
      </c>
    </row>
    <row r="669" spans="1:7" x14ac:dyDescent="0.25">
      <c r="A669" s="4" t="str">
        <f>HYPERLINK("http://amigo.geneontology.org/cgi-bin/amigo/term-details.cgi?term=GO:0006572","GO:0006572")</f>
        <v>GO:0006572</v>
      </c>
      <c r="B669" t="s">
        <v>1654</v>
      </c>
      <c r="C669">
        <v>7</v>
      </c>
      <c r="D669">
        <v>3</v>
      </c>
      <c r="E669">
        <v>1.30056689616208E-2</v>
      </c>
      <c r="F669">
        <v>7.8034013769724894E-2</v>
      </c>
      <c r="G669" t="s">
        <v>1010</v>
      </c>
    </row>
    <row r="670" spans="1:7" x14ac:dyDescent="0.25">
      <c r="A670" s="4" t="str">
        <f>HYPERLINK("http://amigo.geneontology.org/cgi-bin/amigo/term-details.cgi?term=GO:0033179","GO:0033179")</f>
        <v>GO:0033179</v>
      </c>
      <c r="B670" t="s">
        <v>1001</v>
      </c>
      <c r="C670">
        <v>26</v>
      </c>
      <c r="D670">
        <v>6</v>
      </c>
      <c r="E670">
        <v>1.3162371790703E-2</v>
      </c>
      <c r="F670">
        <v>7.8974230744218499E-2</v>
      </c>
      <c r="G670" t="s">
        <v>1000</v>
      </c>
    </row>
    <row r="671" spans="1:7" x14ac:dyDescent="0.25">
      <c r="A671" s="4" t="str">
        <f>HYPERLINK("http://amigo.geneontology.org/cgi-bin/amigo/term-details.cgi?term=GO:0033743","GO:0033743")</f>
        <v>GO:0033743</v>
      </c>
      <c r="B671" t="s">
        <v>1653</v>
      </c>
      <c r="C671">
        <v>19</v>
      </c>
      <c r="D671">
        <v>5</v>
      </c>
      <c r="E671">
        <v>1.3174617567381201E-2</v>
      </c>
      <c r="F671">
        <v>7.9047705404287405E-2</v>
      </c>
      <c r="G671" t="s">
        <v>1652</v>
      </c>
    </row>
    <row r="672" spans="1:7" x14ac:dyDescent="0.25">
      <c r="A672" s="4" t="str">
        <f>HYPERLINK("http://amigo.geneontology.org/cgi-bin/amigo/term-details.cgi?term=GO:0016787","GO:0016787")</f>
        <v>GO:0016787</v>
      </c>
      <c r="B672" t="s">
        <v>890</v>
      </c>
      <c r="C672">
        <v>9814</v>
      </c>
      <c r="D672">
        <v>820</v>
      </c>
      <c r="E672">
        <v>1.3420318797731701E-2</v>
      </c>
      <c r="F672">
        <v>8.0521912786390606E-2</v>
      </c>
      <c r="G672" t="s">
        <v>1651</v>
      </c>
    </row>
    <row r="673" spans="1:7" x14ac:dyDescent="0.25">
      <c r="A673" s="4" t="str">
        <f>HYPERLINK("http://amigo.geneontology.org/cgi-bin/amigo/term-details.cgi?term=GO:1901362","GO:1901362")</f>
        <v>GO:1901362</v>
      </c>
      <c r="B673" t="s">
        <v>776</v>
      </c>
      <c r="C673">
        <v>3553</v>
      </c>
      <c r="D673">
        <v>312</v>
      </c>
      <c r="E673">
        <v>1.3825637255470201E-2</v>
      </c>
      <c r="F673">
        <v>8.29538235328212E-2</v>
      </c>
      <c r="G673" t="s">
        <v>1650</v>
      </c>
    </row>
    <row r="674" spans="1:7" x14ac:dyDescent="0.25">
      <c r="A674" s="4" t="str">
        <f>HYPERLINK("http://amigo.geneontology.org/cgi-bin/amigo/term-details.cgi?term=GO:0015293","GO:0015293")</f>
        <v>GO:0015293</v>
      </c>
      <c r="B674" t="s">
        <v>1649</v>
      </c>
      <c r="C674">
        <v>67</v>
      </c>
      <c r="D674">
        <v>11</v>
      </c>
      <c r="E674">
        <v>1.39647935669008E-2</v>
      </c>
      <c r="F674">
        <v>8.3788761401405301E-2</v>
      </c>
      <c r="G674" t="s">
        <v>1648</v>
      </c>
    </row>
    <row r="675" spans="1:7" x14ac:dyDescent="0.25">
      <c r="A675" s="4" t="str">
        <f>HYPERLINK("http://amigo.geneontology.org/cgi-bin/amigo/term-details.cgi?term=GO:0055067","GO:0055067")</f>
        <v>GO:0055067</v>
      </c>
      <c r="B675" t="s">
        <v>1647</v>
      </c>
      <c r="C675">
        <v>34</v>
      </c>
      <c r="D675">
        <v>7</v>
      </c>
      <c r="E675">
        <v>1.4339480453908199E-2</v>
      </c>
      <c r="F675">
        <v>8.6036882723449296E-2</v>
      </c>
      <c r="G675" t="s">
        <v>1646</v>
      </c>
    </row>
    <row r="676" spans="1:7" x14ac:dyDescent="0.25">
      <c r="A676" s="4" t="str">
        <f>HYPERLINK("http://amigo.geneontology.org/cgi-bin/amigo/term-details.cgi?term=GO:0022853","GO:0022853")</f>
        <v>GO:0022853</v>
      </c>
      <c r="B676" t="s">
        <v>121</v>
      </c>
      <c r="C676">
        <v>212</v>
      </c>
      <c r="D676">
        <v>26</v>
      </c>
      <c r="E676">
        <v>1.4483230973930899E-2</v>
      </c>
      <c r="F676">
        <v>8.6899385843585294E-2</v>
      </c>
      <c r="G676" t="s">
        <v>1645</v>
      </c>
    </row>
    <row r="677" spans="1:7" x14ac:dyDescent="0.25">
      <c r="A677" s="4" t="str">
        <f>HYPERLINK("http://amigo.geneontology.org/cgi-bin/amigo/term-details.cgi?term=GO:0055076","GO:0055076")</f>
        <v>GO:0055076</v>
      </c>
      <c r="B677" t="s">
        <v>998</v>
      </c>
      <c r="C677">
        <v>42</v>
      </c>
      <c r="D677">
        <v>8</v>
      </c>
      <c r="E677">
        <v>1.4524751801951201E-2</v>
      </c>
      <c r="F677">
        <v>8.7148510811707297E-2</v>
      </c>
      <c r="G677" t="s">
        <v>1644</v>
      </c>
    </row>
    <row r="678" spans="1:7" x14ac:dyDescent="0.25">
      <c r="A678" s="4" t="str">
        <f>HYPERLINK("http://amigo.geneontology.org/cgi-bin/amigo/term-details.cgi?term=GO:0019438","GO:0019438")</f>
        <v>GO:0019438</v>
      </c>
      <c r="B678" t="s">
        <v>778</v>
      </c>
      <c r="C678">
        <v>3279</v>
      </c>
      <c r="D678">
        <v>289</v>
      </c>
      <c r="E678">
        <v>1.47055632548516E-2</v>
      </c>
      <c r="F678">
        <v>8.8233379529109895E-2</v>
      </c>
      <c r="G678" t="s">
        <v>1643</v>
      </c>
    </row>
    <row r="679" spans="1:7" x14ac:dyDescent="0.25">
      <c r="A679" s="4" t="str">
        <f>HYPERLINK("http://amigo.geneontology.org/cgi-bin/amigo/term-details.cgi?term=GO:0046352","GO:0046352")</f>
        <v>GO:0046352</v>
      </c>
      <c r="B679" t="s">
        <v>1642</v>
      </c>
      <c r="C679">
        <v>13</v>
      </c>
      <c r="D679">
        <v>4</v>
      </c>
      <c r="E679">
        <v>1.48270852422481E-2</v>
      </c>
      <c r="F679">
        <v>8.8962511453488796E-2</v>
      </c>
      <c r="G679" t="s">
        <v>1641</v>
      </c>
    </row>
    <row r="680" spans="1:7" x14ac:dyDescent="0.25">
      <c r="A680" s="4" t="str">
        <f>HYPERLINK("http://amigo.geneontology.org/cgi-bin/amigo/term-details.cgi?term=GO:0046903","GO:0046903")</f>
        <v>GO:0046903</v>
      </c>
      <c r="B680" t="s">
        <v>100</v>
      </c>
      <c r="C680">
        <v>233</v>
      </c>
      <c r="D680">
        <v>28</v>
      </c>
      <c r="E680">
        <v>1.48600246043116E-2</v>
      </c>
      <c r="F680">
        <v>8.9160147625869907E-2</v>
      </c>
      <c r="G680" t="s">
        <v>1640</v>
      </c>
    </row>
    <row r="681" spans="1:7" x14ac:dyDescent="0.25">
      <c r="A681" s="4" t="str">
        <f>HYPERLINK("http://amigo.geneontology.org/cgi-bin/amigo/term-details.cgi?term=GO:0034220","GO:0034220")</f>
        <v>GO:0034220</v>
      </c>
      <c r="B681" t="s">
        <v>1639</v>
      </c>
      <c r="C681">
        <v>850</v>
      </c>
      <c r="D681">
        <v>84</v>
      </c>
      <c r="E681">
        <v>1.5160865300884001E-2</v>
      </c>
      <c r="F681">
        <v>9.0965191805304296E-2</v>
      </c>
      <c r="G681" t="s">
        <v>1638</v>
      </c>
    </row>
    <row r="682" spans="1:7" x14ac:dyDescent="0.25">
      <c r="A682" s="4" t="str">
        <f>HYPERLINK("http://amigo.geneontology.org/cgi-bin/amigo/term-details.cgi?term=GO:0015075","GO:0015075")</f>
        <v>GO:0015075</v>
      </c>
      <c r="B682" t="s">
        <v>1637</v>
      </c>
      <c r="C682">
        <v>1384</v>
      </c>
      <c r="D682">
        <v>130</v>
      </c>
      <c r="E682">
        <v>1.57130472479814E-2</v>
      </c>
      <c r="F682">
        <v>9.4278283487888803E-2</v>
      </c>
      <c r="G682" t="s">
        <v>1636</v>
      </c>
    </row>
    <row r="683" spans="1:7" x14ac:dyDescent="0.25">
      <c r="A683" s="4" t="str">
        <f>HYPERLINK("http://amigo.geneontology.org/cgi-bin/amigo/term-details.cgi?term=GO:0031970","GO:0031970")</f>
        <v>GO:0031970</v>
      </c>
      <c r="B683" t="s">
        <v>1234</v>
      </c>
      <c r="C683">
        <v>27</v>
      </c>
      <c r="D683">
        <v>6</v>
      </c>
      <c r="E683">
        <v>1.5832398969585802E-2</v>
      </c>
      <c r="F683">
        <v>9.4994393817515302E-2</v>
      </c>
      <c r="G683" t="s">
        <v>1635</v>
      </c>
    </row>
    <row r="684" spans="1:7" x14ac:dyDescent="0.25">
      <c r="A684" s="4" t="str">
        <f>HYPERLINK("http://amigo.geneontology.org/cgi-bin/amigo/term-details.cgi?term=GO:0001666","GO:0001666")</f>
        <v>GO:0001666</v>
      </c>
      <c r="B684" t="s">
        <v>1634</v>
      </c>
      <c r="C684">
        <v>27</v>
      </c>
      <c r="D684">
        <v>6</v>
      </c>
      <c r="E684">
        <v>1.5832398969585802E-2</v>
      </c>
      <c r="F684">
        <v>9.4994393817515302E-2</v>
      </c>
      <c r="G684" t="s">
        <v>1528</v>
      </c>
    </row>
    <row r="685" spans="1:7" x14ac:dyDescent="0.25">
      <c r="A685" s="4" t="str">
        <f>HYPERLINK("http://amigo.geneontology.org/cgi-bin/amigo/term-details.cgi?term=GO:0016833","GO:0016833")</f>
        <v>GO:0016833</v>
      </c>
      <c r="B685" t="s">
        <v>1633</v>
      </c>
      <c r="C685">
        <v>27</v>
      </c>
      <c r="D685">
        <v>6</v>
      </c>
      <c r="E685">
        <v>1.5832398969585802E-2</v>
      </c>
      <c r="F685">
        <v>9.4994393817515302E-2</v>
      </c>
      <c r="G685" t="s">
        <v>1632</v>
      </c>
    </row>
    <row r="686" spans="1:7" x14ac:dyDescent="0.25">
      <c r="A686" s="4" t="str">
        <f>HYPERLINK("http://amigo.geneontology.org/cgi-bin/amigo/term-details.cgi?term=GO:0006165","GO:0006165")</f>
        <v>GO:0006165</v>
      </c>
      <c r="B686" t="s">
        <v>682</v>
      </c>
      <c r="C686">
        <v>276</v>
      </c>
      <c r="D686">
        <v>32</v>
      </c>
      <c r="E686">
        <v>1.58862503546226E-2</v>
      </c>
      <c r="F686">
        <v>9.5317502127736001E-2</v>
      </c>
      <c r="G686" t="s">
        <v>1564</v>
      </c>
    </row>
    <row r="687" spans="1:7" x14ac:dyDescent="0.25">
      <c r="A687" s="4" t="str">
        <f>HYPERLINK("http://amigo.geneontology.org/cgi-bin/amigo/term-details.cgi?term=GO:0052646","GO:0052646")</f>
        <v>GO:0052646</v>
      </c>
      <c r="B687" t="s">
        <v>996</v>
      </c>
      <c r="C687">
        <v>20</v>
      </c>
      <c r="D687">
        <v>5</v>
      </c>
      <c r="E687">
        <v>1.6461497765188401E-2</v>
      </c>
      <c r="F687">
        <v>9.8768986591130398E-2</v>
      </c>
      <c r="G687" t="s">
        <v>994</v>
      </c>
    </row>
    <row r="688" spans="1:7" x14ac:dyDescent="0.25">
      <c r="A688" s="4" t="str">
        <f>HYPERLINK("http://amigo.geneontology.org/cgi-bin/amigo/term-details.cgi?term=GO:0006072","GO:0006072")</f>
        <v>GO:0006072</v>
      </c>
      <c r="B688" t="s">
        <v>995</v>
      </c>
      <c r="C688">
        <v>20</v>
      </c>
      <c r="D688">
        <v>5</v>
      </c>
      <c r="E688">
        <v>1.6461497765188401E-2</v>
      </c>
      <c r="F688">
        <v>9.8768986591130398E-2</v>
      </c>
      <c r="G688" t="s">
        <v>994</v>
      </c>
    </row>
    <row r="689" spans="1:7" x14ac:dyDescent="0.25">
      <c r="A689" s="4" t="str">
        <f>HYPERLINK("http://amigo.geneontology.org/cgi-bin/amigo/term-details.cgi?term=GO:0030091","GO:0030091")</f>
        <v>GO:0030091</v>
      </c>
      <c r="B689" t="s">
        <v>1631</v>
      </c>
      <c r="C689">
        <v>35</v>
      </c>
      <c r="D689">
        <v>7</v>
      </c>
      <c r="E689">
        <v>1.6749042721334002E-2</v>
      </c>
      <c r="F689">
        <v>0.100494256328004</v>
      </c>
      <c r="G689" t="s">
        <v>1630</v>
      </c>
    </row>
    <row r="690" spans="1:7" x14ac:dyDescent="0.25">
      <c r="A690" s="4" t="str">
        <f>HYPERLINK("http://amigo.geneontology.org/cgi-bin/amigo/term-details.cgi?term=GO:0098661","GO:0098661")</f>
        <v>GO:0098661</v>
      </c>
      <c r="B690" t="s">
        <v>1629</v>
      </c>
      <c r="C690">
        <v>35</v>
      </c>
      <c r="D690">
        <v>7</v>
      </c>
      <c r="E690">
        <v>1.6749042721334002E-2</v>
      </c>
      <c r="F690">
        <v>0.100494256328004</v>
      </c>
      <c r="G690" t="s">
        <v>1628</v>
      </c>
    </row>
    <row r="691" spans="1:7" x14ac:dyDescent="0.25">
      <c r="A691" s="4" t="str">
        <f>HYPERLINK("http://amigo.geneontology.org/cgi-bin/amigo/term-details.cgi?term=GO:0008470","GO:0008470")</f>
        <v>GO:0008470</v>
      </c>
      <c r="B691" t="s">
        <v>1627</v>
      </c>
      <c r="C691">
        <v>3</v>
      </c>
      <c r="D691">
        <v>2</v>
      </c>
      <c r="E691">
        <v>1.7243692563636202E-2</v>
      </c>
      <c r="F691">
        <v>0.10346215538181699</v>
      </c>
      <c r="G691" t="s">
        <v>1626</v>
      </c>
    </row>
    <row r="692" spans="1:7" x14ac:dyDescent="0.25">
      <c r="A692" s="4" t="str">
        <f>HYPERLINK("http://amigo.geneontology.org/cgi-bin/amigo/term-details.cgi?term=GO:0004357","GO:0004357")</f>
        <v>GO:0004357</v>
      </c>
      <c r="B692" t="s">
        <v>1273</v>
      </c>
      <c r="C692">
        <v>3</v>
      </c>
      <c r="D692">
        <v>2</v>
      </c>
      <c r="E692">
        <v>1.7243692563636202E-2</v>
      </c>
      <c r="F692">
        <v>0.10346215538181699</v>
      </c>
      <c r="G692" t="s">
        <v>1272</v>
      </c>
    </row>
    <row r="693" spans="1:7" x14ac:dyDescent="0.25">
      <c r="A693" s="4" t="str">
        <f>HYPERLINK("http://amigo.geneontology.org/cgi-bin/amigo/term-details.cgi?term=GO:0003992","GO:0003992")</f>
        <v>GO:0003992</v>
      </c>
      <c r="B693" t="s">
        <v>1625</v>
      </c>
      <c r="C693">
        <v>3</v>
      </c>
      <c r="D693">
        <v>2</v>
      </c>
      <c r="E693">
        <v>1.7243692563636202E-2</v>
      </c>
      <c r="F693">
        <v>0.10346215538181699</v>
      </c>
      <c r="G693" t="s">
        <v>1624</v>
      </c>
    </row>
    <row r="694" spans="1:7" x14ac:dyDescent="0.25">
      <c r="A694" s="4" t="str">
        <f>HYPERLINK("http://amigo.geneontology.org/cgi-bin/amigo/term-details.cgi?term=GO:0017003","GO:0017003")</f>
        <v>GO:0017003</v>
      </c>
      <c r="B694" t="s">
        <v>1271</v>
      </c>
      <c r="C694">
        <v>3</v>
      </c>
      <c r="D694">
        <v>2</v>
      </c>
      <c r="E694">
        <v>1.7243692563636202E-2</v>
      </c>
      <c r="F694">
        <v>0.10346215538181699</v>
      </c>
      <c r="G694" t="s">
        <v>1270</v>
      </c>
    </row>
    <row r="695" spans="1:7" x14ac:dyDescent="0.25">
      <c r="A695" s="4" t="str">
        <f>HYPERLINK("http://amigo.geneontology.org/cgi-bin/amigo/term-details.cgi?term=GO:0000164","GO:0000164")</f>
        <v>GO:0000164</v>
      </c>
      <c r="B695" t="s">
        <v>1623</v>
      </c>
      <c r="C695">
        <v>3</v>
      </c>
      <c r="D695">
        <v>2</v>
      </c>
      <c r="E695">
        <v>1.7243692563636202E-2</v>
      </c>
      <c r="F695">
        <v>0.10346215538181699</v>
      </c>
      <c r="G695" t="s">
        <v>1620</v>
      </c>
    </row>
    <row r="696" spans="1:7" x14ac:dyDescent="0.25">
      <c r="A696" s="4" t="str">
        <f>HYPERLINK("http://amigo.geneontology.org/cgi-bin/amigo/term-details.cgi?term=GO:0010923","GO:0010923")</f>
        <v>GO:0010923</v>
      </c>
      <c r="B696" t="s">
        <v>1622</v>
      </c>
      <c r="C696">
        <v>3</v>
      </c>
      <c r="D696">
        <v>2</v>
      </c>
      <c r="E696">
        <v>1.7243692563636202E-2</v>
      </c>
      <c r="F696">
        <v>0.10346215538181699</v>
      </c>
      <c r="G696" t="s">
        <v>1620</v>
      </c>
    </row>
    <row r="697" spans="1:7" x14ac:dyDescent="0.25">
      <c r="A697" s="4" t="str">
        <f>HYPERLINK("http://amigo.geneontology.org/cgi-bin/amigo/term-details.cgi?term=GO:0032515","GO:0032515")</f>
        <v>GO:0032515</v>
      </c>
      <c r="B697" t="s">
        <v>1621</v>
      </c>
      <c r="C697">
        <v>3</v>
      </c>
      <c r="D697">
        <v>2</v>
      </c>
      <c r="E697">
        <v>1.7243692563636202E-2</v>
      </c>
      <c r="F697">
        <v>0.10346215538181699</v>
      </c>
      <c r="G697" t="s">
        <v>1620</v>
      </c>
    </row>
    <row r="698" spans="1:7" x14ac:dyDescent="0.25">
      <c r="A698" s="4" t="str">
        <f>HYPERLINK("http://amigo.geneontology.org/cgi-bin/amigo/term-details.cgi?term=GO:0098581","GO:0098581")</f>
        <v>GO:0098581</v>
      </c>
      <c r="B698" t="s">
        <v>1619</v>
      </c>
      <c r="C698">
        <v>3</v>
      </c>
      <c r="D698">
        <v>2</v>
      </c>
      <c r="E698">
        <v>1.7243692563636202E-2</v>
      </c>
      <c r="F698">
        <v>0.10346215538181699</v>
      </c>
      <c r="G698" t="s">
        <v>1616</v>
      </c>
    </row>
    <row r="699" spans="1:7" x14ac:dyDescent="0.25">
      <c r="A699" s="4" t="str">
        <f>HYPERLINK("http://amigo.geneontology.org/cgi-bin/amigo/term-details.cgi?term=GO:0098543","GO:0098543")</f>
        <v>GO:0098543</v>
      </c>
      <c r="B699" t="s">
        <v>1618</v>
      </c>
      <c r="C699">
        <v>3</v>
      </c>
      <c r="D699">
        <v>2</v>
      </c>
      <c r="E699">
        <v>1.7243692563636202E-2</v>
      </c>
      <c r="F699">
        <v>0.10346215538181699</v>
      </c>
      <c r="G699" t="s">
        <v>1616</v>
      </c>
    </row>
    <row r="700" spans="1:7" x14ac:dyDescent="0.25">
      <c r="A700" s="4" t="str">
        <f>HYPERLINK("http://amigo.geneontology.org/cgi-bin/amigo/term-details.cgi?term=GO:0016045","GO:0016045")</f>
        <v>GO:0016045</v>
      </c>
      <c r="B700" t="s">
        <v>1617</v>
      </c>
      <c r="C700">
        <v>3</v>
      </c>
      <c r="D700">
        <v>2</v>
      </c>
      <c r="E700">
        <v>1.7243692563636202E-2</v>
      </c>
      <c r="F700">
        <v>0.10346215538181699</v>
      </c>
      <c r="G700" t="s">
        <v>1616</v>
      </c>
    </row>
    <row r="701" spans="1:7" x14ac:dyDescent="0.25">
      <c r="A701" s="4" t="str">
        <f>HYPERLINK("http://amigo.geneontology.org/cgi-bin/amigo/term-details.cgi?term=GO:0009395","GO:0009395")</f>
        <v>GO:0009395</v>
      </c>
      <c r="B701" t="s">
        <v>1615</v>
      </c>
      <c r="C701">
        <v>3</v>
      </c>
      <c r="D701">
        <v>2</v>
      </c>
      <c r="E701">
        <v>1.7243692563636202E-2</v>
      </c>
      <c r="F701">
        <v>0.10346215538181699</v>
      </c>
      <c r="G701" t="s">
        <v>1614</v>
      </c>
    </row>
    <row r="702" spans="1:7" x14ac:dyDescent="0.25">
      <c r="A702" s="4" t="str">
        <f>HYPERLINK("http://amigo.geneontology.org/cgi-bin/amigo/term-details.cgi?term=GO:0004126","GO:0004126")</f>
        <v>GO:0004126</v>
      </c>
      <c r="B702" t="s">
        <v>1269</v>
      </c>
      <c r="C702">
        <v>3</v>
      </c>
      <c r="D702">
        <v>2</v>
      </c>
      <c r="E702">
        <v>1.7243692563636202E-2</v>
      </c>
      <c r="F702">
        <v>0.10346215538181699</v>
      </c>
      <c r="G702" t="s">
        <v>1263</v>
      </c>
    </row>
    <row r="703" spans="1:7" x14ac:dyDescent="0.25">
      <c r="A703" s="4" t="str">
        <f>HYPERLINK("http://amigo.geneontology.org/cgi-bin/amigo/term-details.cgi?term=GO:0046087","GO:0046087")</f>
        <v>GO:0046087</v>
      </c>
      <c r="B703" t="s">
        <v>1268</v>
      </c>
      <c r="C703">
        <v>3</v>
      </c>
      <c r="D703">
        <v>2</v>
      </c>
      <c r="E703">
        <v>1.7243692563636202E-2</v>
      </c>
      <c r="F703">
        <v>0.10346215538181699</v>
      </c>
      <c r="G703" t="s">
        <v>1263</v>
      </c>
    </row>
    <row r="704" spans="1:7" x14ac:dyDescent="0.25">
      <c r="A704" s="4" t="str">
        <f>HYPERLINK("http://amigo.geneontology.org/cgi-bin/amigo/term-details.cgi?term=GO:0046135","GO:0046135")</f>
        <v>GO:0046135</v>
      </c>
      <c r="B704" t="s">
        <v>1267</v>
      </c>
      <c r="C704">
        <v>3</v>
      </c>
      <c r="D704">
        <v>2</v>
      </c>
      <c r="E704">
        <v>1.7243692563636202E-2</v>
      </c>
      <c r="F704">
        <v>0.10346215538181699</v>
      </c>
      <c r="G704" t="s">
        <v>1263</v>
      </c>
    </row>
    <row r="705" spans="1:7" x14ac:dyDescent="0.25">
      <c r="A705" s="4" t="str">
        <f>HYPERLINK("http://amigo.geneontology.org/cgi-bin/amigo/term-details.cgi?term=GO:0046133","GO:0046133")</f>
        <v>GO:0046133</v>
      </c>
      <c r="B705" t="s">
        <v>1266</v>
      </c>
      <c r="C705">
        <v>3</v>
      </c>
      <c r="D705">
        <v>2</v>
      </c>
      <c r="E705">
        <v>1.7243692563636202E-2</v>
      </c>
      <c r="F705">
        <v>0.10346215538181699</v>
      </c>
      <c r="G705" t="s">
        <v>1263</v>
      </c>
    </row>
    <row r="706" spans="1:7" x14ac:dyDescent="0.25">
      <c r="A706" s="4" t="str">
        <f>HYPERLINK("http://amigo.geneontology.org/cgi-bin/amigo/term-details.cgi?term=GO:0006216","GO:0006216")</f>
        <v>GO:0006216</v>
      </c>
      <c r="B706" t="s">
        <v>1265</v>
      </c>
      <c r="C706">
        <v>3</v>
      </c>
      <c r="D706">
        <v>2</v>
      </c>
      <c r="E706">
        <v>1.7243692563636202E-2</v>
      </c>
      <c r="F706">
        <v>0.10346215538181699</v>
      </c>
      <c r="G706" t="s">
        <v>1263</v>
      </c>
    </row>
    <row r="707" spans="1:7" x14ac:dyDescent="0.25">
      <c r="A707" s="4" t="str">
        <f>HYPERLINK("http://amigo.geneontology.org/cgi-bin/amigo/term-details.cgi?term=GO:0009972","GO:0009972")</f>
        <v>GO:0009972</v>
      </c>
      <c r="B707" t="s">
        <v>1264</v>
      </c>
      <c r="C707">
        <v>3</v>
      </c>
      <c r="D707">
        <v>2</v>
      </c>
      <c r="E707">
        <v>1.7243692563636202E-2</v>
      </c>
      <c r="F707">
        <v>0.10346215538181699</v>
      </c>
      <c r="G707" t="s">
        <v>1263</v>
      </c>
    </row>
    <row r="708" spans="1:7" x14ac:dyDescent="0.25">
      <c r="A708" s="4" t="str">
        <f>HYPERLINK("http://amigo.geneontology.org/cgi-bin/amigo/term-details.cgi?term=GO:0045181","GO:0045181")</f>
        <v>GO:0045181</v>
      </c>
      <c r="B708" t="s">
        <v>1262</v>
      </c>
      <c r="C708">
        <v>3</v>
      </c>
      <c r="D708">
        <v>2</v>
      </c>
      <c r="E708">
        <v>1.7243692563636202E-2</v>
      </c>
      <c r="F708">
        <v>0.10346215538181699</v>
      </c>
      <c r="G708" t="s">
        <v>1260</v>
      </c>
    </row>
    <row r="709" spans="1:7" x14ac:dyDescent="0.25">
      <c r="A709" s="4" t="str">
        <f>HYPERLINK("http://amigo.geneontology.org/cgi-bin/amigo/term-details.cgi?term=GO:0016040","GO:0016040")</f>
        <v>GO:0016040</v>
      </c>
      <c r="B709" t="s">
        <v>1261</v>
      </c>
      <c r="C709">
        <v>3</v>
      </c>
      <c r="D709">
        <v>2</v>
      </c>
      <c r="E709">
        <v>1.7243692563636202E-2</v>
      </c>
      <c r="F709">
        <v>0.10346215538181699</v>
      </c>
      <c r="G709" t="s">
        <v>1260</v>
      </c>
    </row>
    <row r="710" spans="1:7" x14ac:dyDescent="0.25">
      <c r="A710" s="4" t="str">
        <f>HYPERLINK("http://amigo.geneontology.org/cgi-bin/amigo/term-details.cgi?term=GO:0004801","GO:0004801")</f>
        <v>GO:0004801</v>
      </c>
      <c r="B710" t="s">
        <v>1259</v>
      </c>
      <c r="C710">
        <v>3</v>
      </c>
      <c r="D710">
        <v>2</v>
      </c>
      <c r="E710">
        <v>1.7243692563636202E-2</v>
      </c>
      <c r="F710">
        <v>0.10346215538181699</v>
      </c>
      <c r="G710" t="s">
        <v>1258</v>
      </c>
    </row>
    <row r="711" spans="1:7" x14ac:dyDescent="0.25">
      <c r="A711" s="4" t="str">
        <f>HYPERLINK("http://amigo.geneontology.org/cgi-bin/amigo/term-details.cgi?term=GO:0033587","GO:0033587")</f>
        <v>GO:0033587</v>
      </c>
      <c r="B711" t="s">
        <v>1613</v>
      </c>
      <c r="C711">
        <v>3</v>
      </c>
      <c r="D711">
        <v>2</v>
      </c>
      <c r="E711">
        <v>1.7243692563636202E-2</v>
      </c>
      <c r="F711">
        <v>0.10346215538181699</v>
      </c>
      <c r="G711" t="s">
        <v>1258</v>
      </c>
    </row>
    <row r="712" spans="1:7" x14ac:dyDescent="0.25">
      <c r="A712" s="4" t="str">
        <f>HYPERLINK("http://amigo.geneontology.org/cgi-bin/amigo/term-details.cgi?term=GO:0050515","GO:0050515")</f>
        <v>GO:0050515</v>
      </c>
      <c r="B712" t="s">
        <v>1257</v>
      </c>
      <c r="C712">
        <v>3</v>
      </c>
      <c r="D712">
        <v>2</v>
      </c>
      <c r="E712">
        <v>1.7243692563636202E-2</v>
      </c>
      <c r="F712">
        <v>0.10346215538181699</v>
      </c>
      <c r="G712" t="s">
        <v>1256</v>
      </c>
    </row>
    <row r="713" spans="1:7" x14ac:dyDescent="0.25">
      <c r="A713" s="4" t="str">
        <f>HYPERLINK("http://amigo.geneontology.org/cgi-bin/amigo/term-details.cgi?term=GO:0006824","GO:0006824")</f>
        <v>GO:0006824</v>
      </c>
      <c r="B713" t="s">
        <v>1612</v>
      </c>
      <c r="C713">
        <v>3</v>
      </c>
      <c r="D713">
        <v>2</v>
      </c>
      <c r="E713">
        <v>1.7243692563636202E-2</v>
      </c>
      <c r="F713">
        <v>0.10346215538181699</v>
      </c>
      <c r="G713" t="s">
        <v>1607</v>
      </c>
    </row>
    <row r="714" spans="1:7" x14ac:dyDescent="0.25">
      <c r="A714" s="4" t="str">
        <f>HYPERLINK("http://amigo.geneontology.org/cgi-bin/amigo/term-details.cgi?term=GO:0015087","GO:0015087")</f>
        <v>GO:0015087</v>
      </c>
      <c r="B714" t="s">
        <v>1611</v>
      </c>
      <c r="C714">
        <v>3</v>
      </c>
      <c r="D714">
        <v>2</v>
      </c>
      <c r="E714">
        <v>1.7243692563636202E-2</v>
      </c>
      <c r="F714">
        <v>0.10346215538181699</v>
      </c>
      <c r="G714" t="s">
        <v>1607</v>
      </c>
    </row>
    <row r="715" spans="1:7" x14ac:dyDescent="0.25">
      <c r="A715" s="4" t="str">
        <f>HYPERLINK("http://amigo.geneontology.org/cgi-bin/amigo/term-details.cgi?term=GO:0015099","GO:0015099")</f>
        <v>GO:0015099</v>
      </c>
      <c r="B715" t="s">
        <v>1610</v>
      </c>
      <c r="C715">
        <v>3</v>
      </c>
      <c r="D715">
        <v>2</v>
      </c>
      <c r="E715">
        <v>1.7243692563636202E-2</v>
      </c>
      <c r="F715">
        <v>0.10346215538181699</v>
      </c>
      <c r="G715" t="s">
        <v>1607</v>
      </c>
    </row>
    <row r="716" spans="1:7" x14ac:dyDescent="0.25">
      <c r="A716" s="4" t="str">
        <f>HYPERLINK("http://amigo.geneontology.org/cgi-bin/amigo/term-details.cgi?term=GO:0015675","GO:0015675")</f>
        <v>GO:0015675</v>
      </c>
      <c r="B716" t="s">
        <v>1609</v>
      </c>
      <c r="C716">
        <v>3</v>
      </c>
      <c r="D716">
        <v>2</v>
      </c>
      <c r="E716">
        <v>1.7243692563636202E-2</v>
      </c>
      <c r="F716">
        <v>0.10346215538181699</v>
      </c>
      <c r="G716" t="s">
        <v>1607</v>
      </c>
    </row>
    <row r="717" spans="1:7" x14ac:dyDescent="0.25">
      <c r="A717" s="4" t="str">
        <f>HYPERLINK("http://amigo.geneontology.org/cgi-bin/amigo/term-details.cgi?term=GO:0035444","GO:0035444")</f>
        <v>GO:0035444</v>
      </c>
      <c r="B717" t="s">
        <v>1608</v>
      </c>
      <c r="C717">
        <v>3</v>
      </c>
      <c r="D717">
        <v>2</v>
      </c>
      <c r="E717">
        <v>1.7243692563636202E-2</v>
      </c>
      <c r="F717">
        <v>0.10346215538181699</v>
      </c>
      <c r="G717" t="s">
        <v>1607</v>
      </c>
    </row>
    <row r="718" spans="1:7" x14ac:dyDescent="0.25">
      <c r="A718" s="4" t="str">
        <f>HYPERLINK("http://amigo.geneontology.org/cgi-bin/amigo/term-details.cgi?term=GO:0050993","GO:0050993")</f>
        <v>GO:0050993</v>
      </c>
      <c r="B718" t="s">
        <v>1254</v>
      </c>
      <c r="C718">
        <v>3</v>
      </c>
      <c r="D718">
        <v>2</v>
      </c>
      <c r="E718">
        <v>1.7243692563636202E-2</v>
      </c>
      <c r="F718">
        <v>0.10346215538181699</v>
      </c>
      <c r="G718" t="s">
        <v>1250</v>
      </c>
    </row>
    <row r="719" spans="1:7" x14ac:dyDescent="0.25">
      <c r="A719" s="4" t="str">
        <f>HYPERLINK("http://amigo.geneontology.org/cgi-bin/amigo/term-details.cgi?term=GO:0050992","GO:0050992")</f>
        <v>GO:0050992</v>
      </c>
      <c r="B719" t="s">
        <v>1253</v>
      </c>
      <c r="C719">
        <v>3</v>
      </c>
      <c r="D719">
        <v>2</v>
      </c>
      <c r="E719">
        <v>1.7243692563636202E-2</v>
      </c>
      <c r="F719">
        <v>0.10346215538181699</v>
      </c>
      <c r="G719" t="s">
        <v>1250</v>
      </c>
    </row>
    <row r="720" spans="1:7" x14ac:dyDescent="0.25">
      <c r="A720" s="4" t="str">
        <f>HYPERLINK("http://amigo.geneontology.org/cgi-bin/amigo/term-details.cgi?term=GO:0016726","GO:0016726")</f>
        <v>GO:0016726</v>
      </c>
      <c r="B720" t="s">
        <v>1252</v>
      </c>
      <c r="C720">
        <v>3</v>
      </c>
      <c r="D720">
        <v>2</v>
      </c>
      <c r="E720">
        <v>1.7243692563636202E-2</v>
      </c>
      <c r="F720">
        <v>0.10346215538181699</v>
      </c>
      <c r="G720" t="s">
        <v>1250</v>
      </c>
    </row>
    <row r="721" spans="1:7" x14ac:dyDescent="0.25">
      <c r="A721" s="4" t="str">
        <f>HYPERLINK("http://amigo.geneontology.org/cgi-bin/amigo/term-details.cgi?term=GO:0051745","GO:0051745")</f>
        <v>GO:0051745</v>
      </c>
      <c r="B721" t="s">
        <v>1251</v>
      </c>
      <c r="C721">
        <v>3</v>
      </c>
      <c r="D721">
        <v>2</v>
      </c>
      <c r="E721">
        <v>1.7243692563636202E-2</v>
      </c>
      <c r="F721">
        <v>0.10346215538181699</v>
      </c>
      <c r="G721" t="s">
        <v>1250</v>
      </c>
    </row>
    <row r="722" spans="1:7" x14ac:dyDescent="0.25">
      <c r="A722" s="4" t="str">
        <f>HYPERLINK("http://amigo.geneontology.org/cgi-bin/amigo/term-details.cgi?term=GO:2000031","GO:2000031")</f>
        <v>GO:2000031</v>
      </c>
      <c r="B722" t="s">
        <v>1606</v>
      </c>
      <c r="C722">
        <v>3</v>
      </c>
      <c r="D722">
        <v>2</v>
      </c>
      <c r="E722">
        <v>1.7243692563636202E-2</v>
      </c>
      <c r="F722">
        <v>0.10346215538181699</v>
      </c>
      <c r="G722" t="s">
        <v>1484</v>
      </c>
    </row>
    <row r="723" spans="1:7" x14ac:dyDescent="0.25">
      <c r="A723" s="4" t="str">
        <f>HYPERLINK("http://amigo.geneontology.org/cgi-bin/amigo/term-details.cgi?term=GO:0004648","GO:0004648")</f>
        <v>GO:0004648</v>
      </c>
      <c r="B723" t="s">
        <v>1249</v>
      </c>
      <c r="C723">
        <v>3</v>
      </c>
      <c r="D723">
        <v>2</v>
      </c>
      <c r="E723">
        <v>1.7243692563636202E-2</v>
      </c>
      <c r="F723">
        <v>0.10346215538181699</v>
      </c>
      <c r="G723" t="s">
        <v>1248</v>
      </c>
    </row>
    <row r="724" spans="1:7" x14ac:dyDescent="0.25">
      <c r="A724" s="4" t="str">
        <f>HYPERLINK("http://amigo.geneontology.org/cgi-bin/amigo/term-details.cgi?term=GO:0004048","GO:0004048")</f>
        <v>GO:0004048</v>
      </c>
      <c r="B724" t="s">
        <v>1247</v>
      </c>
      <c r="C724">
        <v>3</v>
      </c>
      <c r="D724">
        <v>2</v>
      </c>
      <c r="E724">
        <v>1.7243692563636202E-2</v>
      </c>
      <c r="F724">
        <v>0.10346215538181699</v>
      </c>
      <c r="G724" t="s">
        <v>1246</v>
      </c>
    </row>
    <row r="725" spans="1:7" x14ac:dyDescent="0.25">
      <c r="A725" s="4" t="str">
        <f>HYPERLINK("http://amigo.geneontology.org/cgi-bin/amigo/term-details.cgi?term=GO:0048027","GO:0048027")</f>
        <v>GO:0048027</v>
      </c>
      <c r="B725" t="s">
        <v>1605</v>
      </c>
      <c r="C725">
        <v>3</v>
      </c>
      <c r="D725">
        <v>2</v>
      </c>
      <c r="E725">
        <v>1.7243692563636202E-2</v>
      </c>
      <c r="F725">
        <v>0.10346215538181699</v>
      </c>
      <c r="G725" t="s">
        <v>1604</v>
      </c>
    </row>
    <row r="726" spans="1:7" x14ac:dyDescent="0.25">
      <c r="A726" s="4" t="str">
        <f>HYPERLINK("http://amigo.geneontology.org/cgi-bin/amigo/term-details.cgi?term=GO:0044571","GO:0044571")</f>
        <v>GO:0044571</v>
      </c>
      <c r="B726" t="s">
        <v>1603</v>
      </c>
      <c r="C726">
        <v>3</v>
      </c>
      <c r="D726">
        <v>2</v>
      </c>
      <c r="E726">
        <v>1.7243692563636202E-2</v>
      </c>
      <c r="F726">
        <v>0.10346215538181699</v>
      </c>
      <c r="G726" t="s">
        <v>1602</v>
      </c>
    </row>
    <row r="727" spans="1:7" x14ac:dyDescent="0.25">
      <c r="A727" s="4" t="str">
        <f>HYPERLINK("http://amigo.geneontology.org/cgi-bin/amigo/term-details.cgi?term=GO:0000421","GO:0000421")</f>
        <v>GO:0000421</v>
      </c>
      <c r="B727" t="s">
        <v>1601</v>
      </c>
      <c r="C727">
        <v>3</v>
      </c>
      <c r="D727">
        <v>2</v>
      </c>
      <c r="E727">
        <v>1.7243692563636202E-2</v>
      </c>
      <c r="F727">
        <v>0.10346215538181699</v>
      </c>
      <c r="G727" t="s">
        <v>1598</v>
      </c>
    </row>
    <row r="728" spans="1:7" x14ac:dyDescent="0.25">
      <c r="A728" s="4" t="str">
        <f>HYPERLINK("http://amigo.geneontology.org/cgi-bin/amigo/term-details.cgi?term=GO:0033107","GO:0033107")</f>
        <v>GO:0033107</v>
      </c>
      <c r="B728" t="s">
        <v>1600</v>
      </c>
      <c r="C728">
        <v>3</v>
      </c>
      <c r="D728">
        <v>2</v>
      </c>
      <c r="E728">
        <v>1.7243692563636202E-2</v>
      </c>
      <c r="F728">
        <v>0.10346215538181699</v>
      </c>
      <c r="G728" t="s">
        <v>1598</v>
      </c>
    </row>
    <row r="729" spans="1:7" x14ac:dyDescent="0.25">
      <c r="A729" s="4" t="str">
        <f>HYPERLINK("http://amigo.geneontology.org/cgi-bin/amigo/term-details.cgi?term=GO:0033110","GO:0033110")</f>
        <v>GO:0033110</v>
      </c>
      <c r="B729" t="s">
        <v>1599</v>
      </c>
      <c r="C729">
        <v>3</v>
      </c>
      <c r="D729">
        <v>2</v>
      </c>
      <c r="E729">
        <v>1.7243692563636202E-2</v>
      </c>
      <c r="F729">
        <v>0.10346215538181699</v>
      </c>
      <c r="G729" t="s">
        <v>1598</v>
      </c>
    </row>
    <row r="730" spans="1:7" x14ac:dyDescent="0.25">
      <c r="A730" s="4" t="str">
        <f>HYPERLINK("http://amigo.geneontology.org/cgi-bin/amigo/term-details.cgi?term=GO:0030366","GO:0030366")</f>
        <v>GO:0030366</v>
      </c>
      <c r="B730" t="s">
        <v>1245</v>
      </c>
      <c r="C730">
        <v>3</v>
      </c>
      <c r="D730">
        <v>2</v>
      </c>
      <c r="E730">
        <v>1.7243692563636202E-2</v>
      </c>
      <c r="F730">
        <v>0.10346215538181699</v>
      </c>
      <c r="G730" t="s">
        <v>1244</v>
      </c>
    </row>
    <row r="731" spans="1:7" x14ac:dyDescent="0.25">
      <c r="A731" s="4" t="str">
        <f>HYPERLINK("http://amigo.geneontology.org/cgi-bin/amigo/term-details.cgi?term=GO:0052862","GO:0052862")</f>
        <v>GO:0052862</v>
      </c>
      <c r="B731" t="s">
        <v>1597</v>
      </c>
      <c r="C731">
        <v>3</v>
      </c>
      <c r="D731">
        <v>2</v>
      </c>
      <c r="E731">
        <v>1.7243692563636202E-2</v>
      </c>
      <c r="F731">
        <v>0.10346215538181699</v>
      </c>
      <c r="G731" t="s">
        <v>1596</v>
      </c>
    </row>
    <row r="732" spans="1:7" x14ac:dyDescent="0.25">
      <c r="A732" s="4" t="str">
        <f>HYPERLINK("http://amigo.geneontology.org/cgi-bin/amigo/term-details.cgi?term=GO:0008455","GO:0008455")</f>
        <v>GO:0008455</v>
      </c>
      <c r="B732" t="s">
        <v>1241</v>
      </c>
      <c r="C732">
        <v>3</v>
      </c>
      <c r="D732">
        <v>2</v>
      </c>
      <c r="E732">
        <v>1.7243692563636202E-2</v>
      </c>
      <c r="F732">
        <v>0.10346215538181699</v>
      </c>
      <c r="G732" t="s">
        <v>1240</v>
      </c>
    </row>
    <row r="733" spans="1:7" x14ac:dyDescent="0.25">
      <c r="A733" s="4" t="str">
        <f>HYPERLINK("http://amigo.geneontology.org/cgi-bin/amigo/term-details.cgi?term=GO:0001716","GO:0001716")</f>
        <v>GO:0001716</v>
      </c>
      <c r="B733" t="s">
        <v>1239</v>
      </c>
      <c r="C733">
        <v>3</v>
      </c>
      <c r="D733">
        <v>2</v>
      </c>
      <c r="E733">
        <v>1.7243692563636202E-2</v>
      </c>
      <c r="F733">
        <v>0.10346215538181699</v>
      </c>
      <c r="G733" t="s">
        <v>1236</v>
      </c>
    </row>
    <row r="734" spans="1:7" x14ac:dyDescent="0.25">
      <c r="A734" s="4" t="str">
        <f>HYPERLINK("http://amigo.geneontology.org/cgi-bin/amigo/term-details.cgi?term=GO:0015922","GO:0015922")</f>
        <v>GO:0015922</v>
      </c>
      <c r="B734" t="s">
        <v>1238</v>
      </c>
      <c r="C734">
        <v>3</v>
      </c>
      <c r="D734">
        <v>2</v>
      </c>
      <c r="E734">
        <v>1.7243692563636202E-2</v>
      </c>
      <c r="F734">
        <v>0.10346215538181699</v>
      </c>
      <c r="G734" t="s">
        <v>1236</v>
      </c>
    </row>
    <row r="735" spans="1:7" x14ac:dyDescent="0.25">
      <c r="A735" s="4" t="str">
        <f>HYPERLINK("http://amigo.geneontology.org/cgi-bin/amigo/term-details.cgi?term=GO:0008734","GO:0008734")</f>
        <v>GO:0008734</v>
      </c>
      <c r="B735" t="s">
        <v>1237</v>
      </c>
      <c r="C735">
        <v>3</v>
      </c>
      <c r="D735">
        <v>2</v>
      </c>
      <c r="E735">
        <v>1.7243692563636202E-2</v>
      </c>
      <c r="F735">
        <v>0.10346215538181699</v>
      </c>
      <c r="G735" t="s">
        <v>1236</v>
      </c>
    </row>
    <row r="736" spans="1:7" x14ac:dyDescent="0.25">
      <c r="A736" s="4" t="str">
        <f>HYPERLINK("http://amigo.geneontology.org/cgi-bin/amigo/term-details.cgi?term=GO:0001727","GO:0001727")</f>
        <v>GO:0001727</v>
      </c>
      <c r="B736" t="s">
        <v>1595</v>
      </c>
      <c r="C736">
        <v>3</v>
      </c>
      <c r="D736">
        <v>2</v>
      </c>
      <c r="E736">
        <v>1.7243692563636202E-2</v>
      </c>
      <c r="F736">
        <v>0.10346215538181699</v>
      </c>
      <c r="G736" t="s">
        <v>1593</v>
      </c>
    </row>
    <row r="737" spans="1:7" x14ac:dyDescent="0.25">
      <c r="A737" s="4" t="str">
        <f>HYPERLINK("http://amigo.geneontology.org/cgi-bin/amigo/term-details.cgi?term=GO:0001729","GO:0001729")</f>
        <v>GO:0001729</v>
      </c>
      <c r="B737" t="s">
        <v>1594</v>
      </c>
      <c r="C737">
        <v>3</v>
      </c>
      <c r="D737">
        <v>2</v>
      </c>
      <c r="E737">
        <v>1.7243692563636202E-2</v>
      </c>
      <c r="F737">
        <v>0.10346215538181699</v>
      </c>
      <c r="G737" t="s">
        <v>1593</v>
      </c>
    </row>
    <row r="738" spans="1:7" x14ac:dyDescent="0.25">
      <c r="A738" s="4" t="str">
        <f>HYPERLINK("http://amigo.geneontology.org/cgi-bin/amigo/term-details.cgi?term=GO:0031201","GO:0031201")</f>
        <v>GO:0031201</v>
      </c>
      <c r="B738" t="s">
        <v>1592</v>
      </c>
      <c r="C738">
        <v>3</v>
      </c>
      <c r="D738">
        <v>2</v>
      </c>
      <c r="E738">
        <v>1.7243692563636202E-2</v>
      </c>
      <c r="F738">
        <v>0.10346215538181699</v>
      </c>
      <c r="G738" t="s">
        <v>1591</v>
      </c>
    </row>
    <row r="739" spans="1:7" x14ac:dyDescent="0.25">
      <c r="A739" s="4" t="str">
        <f>HYPERLINK("http://amigo.geneontology.org/cgi-bin/amigo/term-details.cgi?term=GO:0016614","GO:0016614")</f>
        <v>GO:0016614</v>
      </c>
      <c r="B739" t="s">
        <v>829</v>
      </c>
      <c r="C739">
        <v>617</v>
      </c>
      <c r="D739">
        <v>63</v>
      </c>
      <c r="E739">
        <v>1.73436654532634E-2</v>
      </c>
      <c r="F739">
        <v>0.10406199271958</v>
      </c>
      <c r="G739" t="s">
        <v>1590</v>
      </c>
    </row>
    <row r="740" spans="1:7" x14ac:dyDescent="0.25">
      <c r="A740" s="4" t="str">
        <f>HYPERLINK("http://amigo.geneontology.org/cgi-bin/amigo/term-details.cgi?term=GO:0055080","GO:0055080")</f>
        <v>GO:0055080</v>
      </c>
      <c r="B740" t="s">
        <v>116</v>
      </c>
      <c r="C740">
        <v>135</v>
      </c>
      <c r="D740">
        <v>18</v>
      </c>
      <c r="E740">
        <v>1.7545525605937001E-2</v>
      </c>
      <c r="F740">
        <v>0.10527315363562199</v>
      </c>
      <c r="G740" t="s">
        <v>1589</v>
      </c>
    </row>
    <row r="741" spans="1:7" x14ac:dyDescent="0.25">
      <c r="A741" s="4" t="str">
        <f>HYPERLINK("http://amigo.geneontology.org/cgi-bin/amigo/term-details.cgi?term=GO:0004553","GO:0004553")</f>
        <v>GO:0004553</v>
      </c>
      <c r="B741" t="s">
        <v>76</v>
      </c>
      <c r="C741">
        <v>1509</v>
      </c>
      <c r="D741">
        <v>140</v>
      </c>
      <c r="E741">
        <v>1.82430904177803E-2</v>
      </c>
      <c r="F741">
        <v>0.10945854250668099</v>
      </c>
      <c r="G741" t="s">
        <v>1588</v>
      </c>
    </row>
    <row r="742" spans="1:7" x14ac:dyDescent="0.25">
      <c r="A742" s="4" t="str">
        <f>HYPERLINK("http://amigo.geneontology.org/cgi-bin/amigo/term-details.cgi?term=GO:0051606","GO:0051606")</f>
        <v>GO:0051606</v>
      </c>
      <c r="B742" t="s">
        <v>1587</v>
      </c>
      <c r="C742">
        <v>61</v>
      </c>
      <c r="D742">
        <v>10</v>
      </c>
      <c r="E742">
        <v>1.8776186629265099E-2</v>
      </c>
      <c r="F742">
        <v>0.11265711977559</v>
      </c>
      <c r="G742" t="s">
        <v>1586</v>
      </c>
    </row>
    <row r="743" spans="1:7" x14ac:dyDescent="0.25">
      <c r="A743" s="4" t="str">
        <f>HYPERLINK("http://amigo.geneontology.org/cgi-bin/amigo/term-details.cgi?term=GO:0015018","GO:0015018")</f>
        <v>GO:0015018</v>
      </c>
      <c r="B743" t="s">
        <v>171</v>
      </c>
      <c r="C743">
        <v>28</v>
      </c>
      <c r="D743">
        <v>6</v>
      </c>
      <c r="E743">
        <v>1.8854253859921601E-2</v>
      </c>
      <c r="F743">
        <v>0.11312552315953001</v>
      </c>
      <c r="G743" t="s">
        <v>170</v>
      </c>
    </row>
    <row r="744" spans="1:7" x14ac:dyDescent="0.25">
      <c r="A744" s="4" t="str">
        <f>HYPERLINK("http://amigo.geneontology.org/cgi-bin/amigo/term-details.cgi?term=GO:0016861","GO:0016861")</f>
        <v>GO:0016861</v>
      </c>
      <c r="B744" t="s">
        <v>422</v>
      </c>
      <c r="C744">
        <v>44</v>
      </c>
      <c r="D744">
        <v>8</v>
      </c>
      <c r="E744">
        <v>1.9008143503812702E-2</v>
      </c>
      <c r="F744">
        <v>0.11404886102287599</v>
      </c>
      <c r="G744" t="s">
        <v>1585</v>
      </c>
    </row>
    <row r="745" spans="1:7" x14ac:dyDescent="0.25">
      <c r="A745" s="4" t="str">
        <f>HYPERLINK("http://amigo.geneontology.org/cgi-bin/amigo/term-details.cgi?term=GO:0006563","GO:0006563")</f>
        <v>GO:0006563</v>
      </c>
      <c r="B745" t="s">
        <v>533</v>
      </c>
      <c r="C745">
        <v>70</v>
      </c>
      <c r="D745">
        <v>11</v>
      </c>
      <c r="E745">
        <v>1.9014060874739398E-2</v>
      </c>
      <c r="F745">
        <v>0.114084365248436</v>
      </c>
      <c r="G745" t="s">
        <v>1584</v>
      </c>
    </row>
    <row r="746" spans="1:7" x14ac:dyDescent="0.25">
      <c r="A746" s="4" t="str">
        <f>HYPERLINK("http://amigo.geneontology.org/cgi-bin/amigo/term-details.cgi?term=GO:0004713","GO:0004713")</f>
        <v>GO:0004713</v>
      </c>
      <c r="B746" t="s">
        <v>92</v>
      </c>
      <c r="C746">
        <v>156</v>
      </c>
      <c r="D746">
        <v>20</v>
      </c>
      <c r="E746">
        <v>1.9033815101448599E-2</v>
      </c>
      <c r="F746">
        <v>0.114202890608692</v>
      </c>
      <c r="G746" t="s">
        <v>1583</v>
      </c>
    </row>
    <row r="747" spans="1:7" x14ac:dyDescent="0.25">
      <c r="A747" s="4" t="str">
        <f>HYPERLINK("http://amigo.geneontology.org/cgi-bin/amigo/term-details.cgi?term=GO:0009581","GO:0009581")</f>
        <v>GO:0009581</v>
      </c>
      <c r="B747" t="s">
        <v>1582</v>
      </c>
      <c r="C747">
        <v>36</v>
      </c>
      <c r="D747">
        <v>7</v>
      </c>
      <c r="E747">
        <v>1.943084865407E-2</v>
      </c>
      <c r="F747">
        <v>0.11658509192442</v>
      </c>
      <c r="G747" t="s">
        <v>1581</v>
      </c>
    </row>
    <row r="748" spans="1:7" x14ac:dyDescent="0.25">
      <c r="A748" s="4" t="str">
        <f>HYPERLINK("http://amigo.geneontology.org/cgi-bin/amigo/term-details.cgi?term=GO:0010647","GO:0010647")</f>
        <v>GO:0010647</v>
      </c>
      <c r="B748" t="s">
        <v>1580</v>
      </c>
      <c r="C748">
        <v>36</v>
      </c>
      <c r="D748">
        <v>7</v>
      </c>
      <c r="E748">
        <v>1.943084865407E-2</v>
      </c>
      <c r="F748">
        <v>0.11658509192442</v>
      </c>
      <c r="G748" t="s">
        <v>1579</v>
      </c>
    </row>
    <row r="749" spans="1:7" x14ac:dyDescent="0.25">
      <c r="A749" s="4" t="str">
        <f>HYPERLINK("http://amigo.geneontology.org/cgi-bin/amigo/term-details.cgi?term=GO:0004367","GO:0004367")</f>
        <v>GO:0004367</v>
      </c>
      <c r="B749" t="s">
        <v>993</v>
      </c>
      <c r="C749">
        <v>14</v>
      </c>
      <c r="D749">
        <v>4</v>
      </c>
      <c r="E749">
        <v>1.9499479053075398E-2</v>
      </c>
      <c r="F749">
        <v>0.116996874318452</v>
      </c>
      <c r="G749" t="s">
        <v>971</v>
      </c>
    </row>
    <row r="750" spans="1:7" x14ac:dyDescent="0.25">
      <c r="A750" s="4" t="str">
        <f>HYPERLINK("http://amigo.geneontology.org/cgi-bin/amigo/term-details.cgi?term=GO:0046168","GO:0046168")</f>
        <v>GO:0046168</v>
      </c>
      <c r="B750" t="s">
        <v>992</v>
      </c>
      <c r="C750">
        <v>14</v>
      </c>
      <c r="D750">
        <v>4</v>
      </c>
      <c r="E750">
        <v>1.9499479053075398E-2</v>
      </c>
      <c r="F750">
        <v>0.116996874318452</v>
      </c>
      <c r="G750" t="s">
        <v>971</v>
      </c>
    </row>
    <row r="751" spans="1:7" x14ac:dyDescent="0.25">
      <c r="A751" s="4" t="str">
        <f>HYPERLINK("http://amigo.geneontology.org/cgi-bin/amigo/term-details.cgi?term=GO:0004823","GO:0004823")</f>
        <v>GO:0004823</v>
      </c>
      <c r="B751" t="s">
        <v>159</v>
      </c>
      <c r="C751">
        <v>14</v>
      </c>
      <c r="D751">
        <v>4</v>
      </c>
      <c r="E751">
        <v>1.9499479053075398E-2</v>
      </c>
      <c r="F751">
        <v>0.116996874318452</v>
      </c>
      <c r="G751" t="s">
        <v>1235</v>
      </c>
    </row>
    <row r="752" spans="1:7" x14ac:dyDescent="0.25">
      <c r="A752" s="4" t="str">
        <f>HYPERLINK("http://amigo.geneontology.org/cgi-bin/amigo/term-details.cgi?term=GO:0006429","GO:0006429")</f>
        <v>GO:0006429</v>
      </c>
      <c r="B752" t="s">
        <v>158</v>
      </c>
      <c r="C752">
        <v>14</v>
      </c>
      <c r="D752">
        <v>4</v>
      </c>
      <c r="E752">
        <v>1.9499479053075398E-2</v>
      </c>
      <c r="F752">
        <v>0.116996874318452</v>
      </c>
      <c r="G752" t="s">
        <v>1235</v>
      </c>
    </row>
    <row r="753" spans="1:7" x14ac:dyDescent="0.25">
      <c r="A753" s="4" t="str">
        <f>HYPERLINK("http://amigo.geneontology.org/cgi-bin/amigo/term-details.cgi?term=GO:0031683","GO:0031683")</f>
        <v>GO:0031683</v>
      </c>
      <c r="B753" t="s">
        <v>1177</v>
      </c>
      <c r="C753">
        <v>14</v>
      </c>
      <c r="D753">
        <v>4</v>
      </c>
      <c r="E753">
        <v>1.9499479053075398E-2</v>
      </c>
      <c r="F753">
        <v>0.116996874318452</v>
      </c>
      <c r="G753" t="s">
        <v>1176</v>
      </c>
    </row>
    <row r="754" spans="1:7" x14ac:dyDescent="0.25">
      <c r="A754" s="4" t="str">
        <f>HYPERLINK("http://amigo.geneontology.org/cgi-bin/amigo/term-details.cgi?term=GO:0080022","GO:0080022")</f>
        <v>GO:0080022</v>
      </c>
      <c r="B754" t="s">
        <v>1578</v>
      </c>
      <c r="C754">
        <v>8</v>
      </c>
      <c r="D754">
        <v>3</v>
      </c>
      <c r="E754">
        <v>1.9614789915244499E-2</v>
      </c>
      <c r="F754">
        <v>0.11768873949146701</v>
      </c>
      <c r="G754" t="s">
        <v>1577</v>
      </c>
    </row>
    <row r="755" spans="1:7" x14ac:dyDescent="0.25">
      <c r="A755" s="4" t="str">
        <f>HYPERLINK("http://amigo.geneontology.org/cgi-bin/amigo/term-details.cgi?term=GO:0004779","GO:0004779")</f>
        <v>GO:0004779</v>
      </c>
      <c r="B755" t="s">
        <v>1576</v>
      </c>
      <c r="C755">
        <v>8</v>
      </c>
      <c r="D755">
        <v>3</v>
      </c>
      <c r="E755">
        <v>1.9614789915244499E-2</v>
      </c>
      <c r="F755">
        <v>0.11768873949146701</v>
      </c>
      <c r="G755" t="s">
        <v>1575</v>
      </c>
    </row>
    <row r="756" spans="1:7" x14ac:dyDescent="0.25">
      <c r="A756" s="4" t="str">
        <f>HYPERLINK("http://amigo.geneontology.org/cgi-bin/amigo/term-details.cgi?term=GO:1901334","GO:1901334")</f>
        <v>GO:1901334</v>
      </c>
      <c r="B756" t="s">
        <v>1574</v>
      </c>
      <c r="C756">
        <v>8</v>
      </c>
      <c r="D756">
        <v>3</v>
      </c>
      <c r="E756">
        <v>1.9614789915244499E-2</v>
      </c>
      <c r="F756">
        <v>0.11768873949146701</v>
      </c>
      <c r="G756" t="s">
        <v>1570</v>
      </c>
    </row>
    <row r="757" spans="1:7" x14ac:dyDescent="0.25">
      <c r="A757" s="4" t="str">
        <f>HYPERLINK("http://amigo.geneontology.org/cgi-bin/amigo/term-details.cgi?term=GO:1901336","GO:1901336")</f>
        <v>GO:1901336</v>
      </c>
      <c r="B757" t="s">
        <v>1573</v>
      </c>
      <c r="C757">
        <v>8</v>
      </c>
      <c r="D757">
        <v>3</v>
      </c>
      <c r="E757">
        <v>1.9614789915244499E-2</v>
      </c>
      <c r="F757">
        <v>0.11768873949146701</v>
      </c>
      <c r="G757" t="s">
        <v>1570</v>
      </c>
    </row>
    <row r="758" spans="1:7" x14ac:dyDescent="0.25">
      <c r="A758" s="4" t="str">
        <f>HYPERLINK("http://amigo.geneontology.org/cgi-bin/amigo/term-details.cgi?term=GO:1901600","GO:1901600")</f>
        <v>GO:1901600</v>
      </c>
      <c r="B758" t="s">
        <v>1572</v>
      </c>
      <c r="C758">
        <v>8</v>
      </c>
      <c r="D758">
        <v>3</v>
      </c>
      <c r="E758">
        <v>1.9614789915244499E-2</v>
      </c>
      <c r="F758">
        <v>0.11768873949146701</v>
      </c>
      <c r="G758" t="s">
        <v>1570</v>
      </c>
    </row>
    <row r="759" spans="1:7" x14ac:dyDescent="0.25">
      <c r="A759" s="4" t="str">
        <f>HYPERLINK("http://amigo.geneontology.org/cgi-bin/amigo/term-details.cgi?term=GO:1901601","GO:1901601")</f>
        <v>GO:1901601</v>
      </c>
      <c r="B759" t="s">
        <v>1571</v>
      </c>
      <c r="C759">
        <v>8</v>
      </c>
      <c r="D759">
        <v>3</v>
      </c>
      <c r="E759">
        <v>1.9614789915244499E-2</v>
      </c>
      <c r="F759">
        <v>0.11768873949146701</v>
      </c>
      <c r="G759" t="s">
        <v>1570</v>
      </c>
    </row>
    <row r="760" spans="1:7" x14ac:dyDescent="0.25">
      <c r="A760" s="4" t="str">
        <f>HYPERLINK("http://amigo.geneontology.org/cgi-bin/amigo/term-details.cgi?term=GO:1900424","GO:1900424")</f>
        <v>GO:1900424</v>
      </c>
      <c r="B760" t="s">
        <v>1569</v>
      </c>
      <c r="C760">
        <v>8</v>
      </c>
      <c r="D760">
        <v>3</v>
      </c>
      <c r="E760">
        <v>1.9614789915244499E-2</v>
      </c>
      <c r="F760">
        <v>0.11768873949146701</v>
      </c>
      <c r="G760" t="s">
        <v>1456</v>
      </c>
    </row>
    <row r="761" spans="1:7" x14ac:dyDescent="0.25">
      <c r="A761" s="4" t="str">
        <f>HYPERLINK("http://amigo.geneontology.org/cgi-bin/amigo/term-details.cgi?term=GO:0004815","GO:0004815")</f>
        <v>GO:0004815</v>
      </c>
      <c r="B761" t="s">
        <v>1568</v>
      </c>
      <c r="C761">
        <v>8</v>
      </c>
      <c r="D761">
        <v>3</v>
      </c>
      <c r="E761">
        <v>1.9614789915244499E-2</v>
      </c>
      <c r="F761">
        <v>0.11768873949146701</v>
      </c>
      <c r="G761" t="s">
        <v>1566</v>
      </c>
    </row>
    <row r="762" spans="1:7" x14ac:dyDescent="0.25">
      <c r="A762" s="4" t="str">
        <f>HYPERLINK("http://amigo.geneontology.org/cgi-bin/amigo/term-details.cgi?term=GO:0006422","GO:0006422")</f>
        <v>GO:0006422</v>
      </c>
      <c r="B762" t="s">
        <v>1567</v>
      </c>
      <c r="C762">
        <v>8</v>
      </c>
      <c r="D762">
        <v>3</v>
      </c>
      <c r="E762">
        <v>1.9614789915244499E-2</v>
      </c>
      <c r="F762">
        <v>0.11768873949146701</v>
      </c>
      <c r="G762" t="s">
        <v>1566</v>
      </c>
    </row>
    <row r="763" spans="1:7" x14ac:dyDescent="0.25">
      <c r="A763" s="4" t="str">
        <f>HYPERLINK("http://amigo.geneontology.org/cgi-bin/amigo/term-details.cgi?term=GO:0000272","GO:0000272")</f>
        <v>GO:0000272</v>
      </c>
      <c r="B763" t="s">
        <v>534</v>
      </c>
      <c r="C763">
        <v>127</v>
      </c>
      <c r="D763">
        <v>17</v>
      </c>
      <c r="E763">
        <v>1.98539071520446E-2</v>
      </c>
      <c r="F763">
        <v>9.9269535760223404E-2</v>
      </c>
      <c r="G763" t="s">
        <v>1565</v>
      </c>
    </row>
    <row r="764" spans="1:7" x14ac:dyDescent="0.25">
      <c r="A764" s="4" t="str">
        <f>HYPERLINK("http://amigo.geneontology.org/cgi-bin/amigo/term-details.cgi?term=GO:0009132","GO:0009132")</f>
        <v>GO:0009132</v>
      </c>
      <c r="B764" t="s">
        <v>680</v>
      </c>
      <c r="C764">
        <v>281</v>
      </c>
      <c r="D764">
        <v>32</v>
      </c>
      <c r="E764">
        <v>2.0050595245034299E-2</v>
      </c>
      <c r="F764">
        <v>0.100252976225171</v>
      </c>
      <c r="G764" t="s">
        <v>1564</v>
      </c>
    </row>
    <row r="765" spans="1:7" x14ac:dyDescent="0.25">
      <c r="A765" s="4" t="str">
        <f>HYPERLINK("http://amigo.geneontology.org/cgi-bin/amigo/term-details.cgi?term=GO:0016165","GO:0016165")</f>
        <v>GO:0016165</v>
      </c>
      <c r="B765" t="s">
        <v>1563</v>
      </c>
      <c r="C765">
        <v>21</v>
      </c>
      <c r="D765">
        <v>5</v>
      </c>
      <c r="E765">
        <v>2.0250352418874899E-2</v>
      </c>
      <c r="F765">
        <v>0.101251762094374</v>
      </c>
      <c r="G765" t="s">
        <v>1562</v>
      </c>
    </row>
    <row r="766" spans="1:7" x14ac:dyDescent="0.25">
      <c r="A766" s="4" t="str">
        <f>HYPERLINK("http://amigo.geneontology.org/cgi-bin/amigo/term-details.cgi?term=GO:0046916","GO:0046916")</f>
        <v>GO:0046916</v>
      </c>
      <c r="B766" t="s">
        <v>997</v>
      </c>
      <c r="C766">
        <v>21</v>
      </c>
      <c r="D766">
        <v>5</v>
      </c>
      <c r="E766">
        <v>2.0250352418874899E-2</v>
      </c>
      <c r="F766">
        <v>0.101251762094374</v>
      </c>
      <c r="G766" t="s">
        <v>1561</v>
      </c>
    </row>
    <row r="767" spans="1:7" x14ac:dyDescent="0.25">
      <c r="A767" s="4" t="str">
        <f>HYPERLINK("http://amigo.geneontology.org/cgi-bin/amigo/term-details.cgi?term=GO:0009611","GO:0009611")</f>
        <v>GO:0009611</v>
      </c>
      <c r="B767" t="s">
        <v>1560</v>
      </c>
      <c r="C767">
        <v>271</v>
      </c>
      <c r="D767">
        <v>31</v>
      </c>
      <c r="E767">
        <v>2.0609964121610501E-2</v>
      </c>
      <c r="F767">
        <v>0.103049820608052</v>
      </c>
      <c r="G767" t="s">
        <v>1559</v>
      </c>
    </row>
    <row r="768" spans="1:7" x14ac:dyDescent="0.25">
      <c r="A768" s="4" t="str">
        <f>HYPERLINK("http://amigo.geneontology.org/cgi-bin/amigo/term-details.cgi?term=GO:1902222","GO:1902222")</f>
        <v>GO:1902222</v>
      </c>
      <c r="B768" t="s">
        <v>1558</v>
      </c>
      <c r="C768">
        <v>62</v>
      </c>
      <c r="D768">
        <v>10</v>
      </c>
      <c r="E768">
        <v>2.0871383959075899E-2</v>
      </c>
      <c r="F768">
        <v>0.10435691979537901</v>
      </c>
      <c r="G768" t="s">
        <v>1556</v>
      </c>
    </row>
    <row r="769" spans="1:7" x14ac:dyDescent="0.25">
      <c r="A769" s="4" t="str">
        <f>HYPERLINK("http://amigo.geneontology.org/cgi-bin/amigo/term-details.cgi?term=GO:0006559","GO:0006559")</f>
        <v>GO:0006559</v>
      </c>
      <c r="B769" t="s">
        <v>1557</v>
      </c>
      <c r="C769">
        <v>62</v>
      </c>
      <c r="D769">
        <v>10</v>
      </c>
      <c r="E769">
        <v>2.0871383959075899E-2</v>
      </c>
      <c r="F769">
        <v>0.10435691979537901</v>
      </c>
      <c r="G769" t="s">
        <v>1556</v>
      </c>
    </row>
    <row r="770" spans="1:7" x14ac:dyDescent="0.25">
      <c r="A770" s="4" t="str">
        <f>HYPERLINK("http://amigo.geneontology.org/cgi-bin/amigo/term-details.cgi?term=GO:0016874","GO:0016874")</f>
        <v>GO:0016874</v>
      </c>
      <c r="B770" t="s">
        <v>893</v>
      </c>
      <c r="C770">
        <v>922</v>
      </c>
      <c r="D770">
        <v>89</v>
      </c>
      <c r="E770">
        <v>2.1912104495851199E-2</v>
      </c>
      <c r="F770">
        <v>0.109560522479256</v>
      </c>
      <c r="G770" t="s">
        <v>1555</v>
      </c>
    </row>
    <row r="771" spans="1:7" x14ac:dyDescent="0.25">
      <c r="A771" s="4" t="str">
        <f>HYPERLINK("http://amigo.geneontology.org/cgi-bin/amigo/term-details.cgi?term=GO:0009966","GO:0009966")</f>
        <v>GO:0009966</v>
      </c>
      <c r="B771" t="s">
        <v>1554</v>
      </c>
      <c r="C771">
        <v>327</v>
      </c>
      <c r="D771">
        <v>36</v>
      </c>
      <c r="E771">
        <v>2.29814401352968E-2</v>
      </c>
      <c r="F771">
        <v>0.11490720067648399</v>
      </c>
      <c r="G771" t="s">
        <v>1534</v>
      </c>
    </row>
    <row r="772" spans="1:7" x14ac:dyDescent="0.25">
      <c r="A772" s="4" t="str">
        <f>HYPERLINK("http://amigo.geneontology.org/cgi-bin/amigo/term-details.cgi?term=GO:0046686","GO:0046686")</f>
        <v>GO:0046686</v>
      </c>
      <c r="B772" t="s">
        <v>1553</v>
      </c>
      <c r="C772">
        <v>63</v>
      </c>
      <c r="D772">
        <v>10</v>
      </c>
      <c r="E772">
        <v>2.31316803753913E-2</v>
      </c>
      <c r="F772">
        <v>0.115658401876956</v>
      </c>
      <c r="G772" t="s">
        <v>1552</v>
      </c>
    </row>
    <row r="773" spans="1:7" x14ac:dyDescent="0.25">
      <c r="A773" s="4" t="str">
        <f>HYPERLINK("http://amigo.geneontology.org/cgi-bin/amigo/term-details.cgi?term=GO:0051171","GO:0051171")</f>
        <v>GO:0051171</v>
      </c>
      <c r="B773" t="s">
        <v>942</v>
      </c>
      <c r="C773">
        <v>5167</v>
      </c>
      <c r="D773">
        <v>440</v>
      </c>
      <c r="E773">
        <v>2.39438789830826E-2</v>
      </c>
      <c r="F773">
        <v>0.119719394915413</v>
      </c>
      <c r="G773" t="s">
        <v>1551</v>
      </c>
    </row>
    <row r="774" spans="1:7" x14ac:dyDescent="0.25">
      <c r="A774" s="4" t="str">
        <f>HYPERLINK("http://amigo.geneontology.org/cgi-bin/amigo/term-details.cgi?term=GO:0080090","GO:0080090")</f>
        <v>GO:0080090</v>
      </c>
      <c r="B774" t="s">
        <v>941</v>
      </c>
      <c r="C774">
        <v>5204</v>
      </c>
      <c r="D774">
        <v>443</v>
      </c>
      <c r="E774">
        <v>2.3952134680789099E-2</v>
      </c>
      <c r="F774">
        <v>0.119760673403945</v>
      </c>
      <c r="G774" t="s">
        <v>1550</v>
      </c>
    </row>
    <row r="775" spans="1:7" x14ac:dyDescent="0.25">
      <c r="A775" s="4" t="str">
        <f>HYPERLINK("http://amigo.geneontology.org/cgi-bin/amigo/term-details.cgi?term=GO:0099600","GO:0099600")</f>
        <v>GO:0099600</v>
      </c>
      <c r="B775" t="s">
        <v>1549</v>
      </c>
      <c r="C775">
        <v>120</v>
      </c>
      <c r="D775">
        <v>16</v>
      </c>
      <c r="E775">
        <v>2.41219908026853E-2</v>
      </c>
      <c r="F775">
        <v>0.120609954013426</v>
      </c>
      <c r="G775" t="s">
        <v>1547</v>
      </c>
    </row>
    <row r="776" spans="1:7" x14ac:dyDescent="0.25">
      <c r="A776" s="4" t="str">
        <f>HYPERLINK("http://amigo.geneontology.org/cgi-bin/amigo/term-details.cgi?term=GO:0004888","GO:0004888")</f>
        <v>GO:0004888</v>
      </c>
      <c r="B776" t="s">
        <v>1548</v>
      </c>
      <c r="C776">
        <v>120</v>
      </c>
      <c r="D776">
        <v>16</v>
      </c>
      <c r="E776">
        <v>2.41219908026853E-2</v>
      </c>
      <c r="F776">
        <v>0.120609954013426</v>
      </c>
      <c r="G776" t="s">
        <v>1547</v>
      </c>
    </row>
    <row r="777" spans="1:7" x14ac:dyDescent="0.25">
      <c r="A777" s="4" t="str">
        <f>HYPERLINK("http://amigo.geneontology.org/cgi-bin/amigo/term-details.cgi?term=GO:0009817","GO:0009817")</f>
        <v>GO:0009817</v>
      </c>
      <c r="B777" t="s">
        <v>1546</v>
      </c>
      <c r="C777">
        <v>22</v>
      </c>
      <c r="D777">
        <v>5</v>
      </c>
      <c r="E777">
        <v>2.4566456417479801E-2</v>
      </c>
      <c r="F777">
        <v>0.12283228208739901</v>
      </c>
      <c r="G777" t="s">
        <v>1545</v>
      </c>
    </row>
    <row r="778" spans="1:7" x14ac:dyDescent="0.25">
      <c r="A778" s="4" t="str">
        <f>HYPERLINK("http://amigo.geneontology.org/cgi-bin/amigo/term-details.cgi?term=GO:0023051","GO:0023051")</f>
        <v>GO:0023051</v>
      </c>
      <c r="B778" t="s">
        <v>1544</v>
      </c>
      <c r="C778">
        <v>329</v>
      </c>
      <c r="D778">
        <v>36</v>
      </c>
      <c r="E778">
        <v>2.4926123429810099E-2</v>
      </c>
      <c r="F778">
        <v>0.12463061714904999</v>
      </c>
      <c r="G778" t="s">
        <v>1534</v>
      </c>
    </row>
    <row r="779" spans="1:7" x14ac:dyDescent="0.25">
      <c r="A779" s="4" t="str">
        <f>HYPERLINK("http://amigo.geneontology.org/cgi-bin/amigo/term-details.cgi?term=GO:0090576","GO:0090576")</f>
        <v>GO:0090576</v>
      </c>
      <c r="B779" t="s">
        <v>1543</v>
      </c>
      <c r="C779">
        <v>15</v>
      </c>
      <c r="D779">
        <v>4</v>
      </c>
      <c r="E779">
        <v>2.4983329347195899E-2</v>
      </c>
      <c r="F779">
        <v>0.12491664673597901</v>
      </c>
      <c r="G779" t="s">
        <v>1541</v>
      </c>
    </row>
    <row r="780" spans="1:7" x14ac:dyDescent="0.25">
      <c r="A780" s="4" t="str">
        <f>HYPERLINK("http://amigo.geneontology.org/cgi-bin/amigo/term-details.cgi?term=GO:0000126","GO:0000126")</f>
        <v>GO:0000126</v>
      </c>
      <c r="B780" t="s">
        <v>1542</v>
      </c>
      <c r="C780">
        <v>15</v>
      </c>
      <c r="D780">
        <v>4</v>
      </c>
      <c r="E780">
        <v>2.4983329347195899E-2</v>
      </c>
      <c r="F780">
        <v>0.12491664673597901</v>
      </c>
      <c r="G780" t="s">
        <v>1541</v>
      </c>
    </row>
    <row r="781" spans="1:7" x14ac:dyDescent="0.25">
      <c r="A781" s="4" t="str">
        <f>HYPERLINK("http://amigo.geneontology.org/cgi-bin/amigo/term-details.cgi?term=GO:0003997","GO:0003997")</f>
        <v>GO:0003997</v>
      </c>
      <c r="B781" t="s">
        <v>1540</v>
      </c>
      <c r="C781">
        <v>15</v>
      </c>
      <c r="D781">
        <v>4</v>
      </c>
      <c r="E781">
        <v>2.4983329347195899E-2</v>
      </c>
      <c r="F781">
        <v>0.12491664673597901</v>
      </c>
      <c r="G781" t="s">
        <v>1539</v>
      </c>
    </row>
    <row r="782" spans="1:7" x14ac:dyDescent="0.25">
      <c r="A782" s="4" t="str">
        <f>HYPERLINK("http://amigo.geneontology.org/cgi-bin/amigo/term-details.cgi?term=GO:0042623","GO:0042623")</f>
        <v>GO:0042623</v>
      </c>
      <c r="B782" t="s">
        <v>279</v>
      </c>
      <c r="C782">
        <v>755</v>
      </c>
      <c r="D782">
        <v>74</v>
      </c>
      <c r="E782">
        <v>2.5179130766735801E-2</v>
      </c>
      <c r="F782">
        <v>0.12589565383367901</v>
      </c>
      <c r="G782" t="s">
        <v>1538</v>
      </c>
    </row>
    <row r="783" spans="1:7" x14ac:dyDescent="0.25">
      <c r="A783" s="4" t="str">
        <f>HYPERLINK("http://amigo.geneontology.org/cgi-bin/amigo/term-details.cgi?term=GO:0000976","GO:0000976")</f>
        <v>GO:0000976</v>
      </c>
      <c r="B783" t="s">
        <v>1537</v>
      </c>
      <c r="C783">
        <v>38</v>
      </c>
      <c r="D783">
        <v>7</v>
      </c>
      <c r="E783">
        <v>2.56651195902248E-2</v>
      </c>
      <c r="F783">
        <v>0.128325597951124</v>
      </c>
      <c r="G783" t="s">
        <v>1536</v>
      </c>
    </row>
    <row r="784" spans="1:7" x14ac:dyDescent="0.25">
      <c r="A784" s="4" t="str">
        <f>HYPERLINK("http://amigo.geneontology.org/cgi-bin/amigo/term-details.cgi?term=GO:0010646","GO:0010646")</f>
        <v>GO:0010646</v>
      </c>
      <c r="B784" t="s">
        <v>1535</v>
      </c>
      <c r="C784">
        <v>330</v>
      </c>
      <c r="D784">
        <v>36</v>
      </c>
      <c r="E784">
        <v>2.5945654733865901E-2</v>
      </c>
      <c r="F784">
        <v>0.12972827366932899</v>
      </c>
      <c r="G784" t="s">
        <v>1534</v>
      </c>
    </row>
    <row r="785" spans="1:7" x14ac:dyDescent="0.25">
      <c r="A785" s="4" t="str">
        <f>HYPERLINK("http://amigo.geneontology.org/cgi-bin/amigo/term-details.cgi?term=GO:0046434","GO:0046434")</f>
        <v>GO:0046434</v>
      </c>
      <c r="B785" t="s">
        <v>1533</v>
      </c>
      <c r="C785">
        <v>30</v>
      </c>
      <c r="D785">
        <v>6</v>
      </c>
      <c r="E785">
        <v>2.6027026188317998E-2</v>
      </c>
      <c r="F785">
        <v>0.13013513094158999</v>
      </c>
      <c r="G785" t="s">
        <v>1532</v>
      </c>
    </row>
    <row r="786" spans="1:7" x14ac:dyDescent="0.25">
      <c r="A786" s="4" t="str">
        <f>HYPERLINK("http://amigo.geneontology.org/cgi-bin/amigo/term-details.cgi?term=GO:0006885","GO:0006885")</f>
        <v>GO:0006885</v>
      </c>
      <c r="B786" t="s">
        <v>1531</v>
      </c>
      <c r="C786">
        <v>30</v>
      </c>
      <c r="D786">
        <v>6</v>
      </c>
      <c r="E786">
        <v>2.6027026188317998E-2</v>
      </c>
      <c r="F786">
        <v>0.13013513094158999</v>
      </c>
      <c r="G786" t="s">
        <v>1530</v>
      </c>
    </row>
    <row r="787" spans="1:7" x14ac:dyDescent="0.25">
      <c r="A787" s="4" t="str">
        <f>HYPERLINK("http://amigo.geneontology.org/cgi-bin/amigo/term-details.cgi?term=GO:0036293","GO:0036293")</f>
        <v>GO:0036293</v>
      </c>
      <c r="B787" t="s">
        <v>1529</v>
      </c>
      <c r="C787">
        <v>30</v>
      </c>
      <c r="D787">
        <v>6</v>
      </c>
      <c r="E787">
        <v>2.6027026188317998E-2</v>
      </c>
      <c r="F787">
        <v>0.13013513094158999</v>
      </c>
      <c r="G787" t="s">
        <v>1528</v>
      </c>
    </row>
    <row r="788" spans="1:7" x14ac:dyDescent="0.25">
      <c r="A788" s="4" t="str">
        <f>HYPERLINK("http://amigo.geneontology.org/cgi-bin/amigo/term-details.cgi?term=GO:1902358","GO:1902358")</f>
        <v>GO:1902358</v>
      </c>
      <c r="B788" t="s">
        <v>1527</v>
      </c>
      <c r="C788">
        <v>30</v>
      </c>
      <c r="D788">
        <v>6</v>
      </c>
      <c r="E788">
        <v>2.6027026188317998E-2</v>
      </c>
      <c r="F788">
        <v>0.13013513094158999</v>
      </c>
      <c r="G788" t="s">
        <v>973</v>
      </c>
    </row>
    <row r="789" spans="1:7" x14ac:dyDescent="0.25">
      <c r="A789" s="4" t="str">
        <f>HYPERLINK("http://amigo.geneontology.org/cgi-bin/amigo/term-details.cgi?term=GO:0005773","GO:0005773")</f>
        <v>GO:0005773</v>
      </c>
      <c r="B789" t="s">
        <v>1526</v>
      </c>
      <c r="C789">
        <v>552</v>
      </c>
      <c r="D789">
        <v>56</v>
      </c>
      <c r="E789">
        <v>2.6326861939644501E-2</v>
      </c>
      <c r="F789">
        <v>0.13163430969822201</v>
      </c>
      <c r="G789" t="s">
        <v>1525</v>
      </c>
    </row>
    <row r="790" spans="1:7" x14ac:dyDescent="0.25">
      <c r="A790" s="4" t="str">
        <f>HYPERLINK("http://amigo.geneontology.org/cgi-bin/amigo/term-details.cgi?term=GO:0061919","GO:0061919")</f>
        <v>GO:0061919</v>
      </c>
      <c r="B790" t="s">
        <v>1524</v>
      </c>
      <c r="C790">
        <v>83</v>
      </c>
      <c r="D790">
        <v>12</v>
      </c>
      <c r="E790">
        <v>2.6913387204124999E-2</v>
      </c>
      <c r="F790">
        <v>0.134566936020625</v>
      </c>
      <c r="G790" t="s">
        <v>1522</v>
      </c>
    </row>
    <row r="791" spans="1:7" x14ac:dyDescent="0.25">
      <c r="A791" s="4" t="str">
        <f>HYPERLINK("http://amigo.geneontology.org/cgi-bin/amigo/term-details.cgi?term=GO:0006914","GO:0006914")</f>
        <v>GO:0006914</v>
      </c>
      <c r="B791" t="s">
        <v>1523</v>
      </c>
      <c r="C791">
        <v>83</v>
      </c>
      <c r="D791">
        <v>12</v>
      </c>
      <c r="E791">
        <v>2.6913387204124999E-2</v>
      </c>
      <c r="F791">
        <v>0.134566936020625</v>
      </c>
      <c r="G791" t="s">
        <v>1522</v>
      </c>
    </row>
    <row r="792" spans="1:7" x14ac:dyDescent="0.25">
      <c r="A792" s="4" t="str">
        <f>HYPERLINK("http://amigo.geneontology.org/cgi-bin/amigo/term-details.cgi?term=GO:0009074","GO:0009074")</f>
        <v>GO:0009074</v>
      </c>
      <c r="B792" t="s">
        <v>1521</v>
      </c>
      <c r="C792">
        <v>112</v>
      </c>
      <c r="D792">
        <v>15</v>
      </c>
      <c r="E792">
        <v>2.7354436656915899E-2</v>
      </c>
      <c r="F792">
        <v>0.13677218328457899</v>
      </c>
      <c r="G792" t="s">
        <v>1520</v>
      </c>
    </row>
    <row r="793" spans="1:7" x14ac:dyDescent="0.25">
      <c r="A793" s="4" t="str">
        <f>HYPERLINK("http://amigo.geneontology.org/cgi-bin/amigo/term-details.cgi?term=GO:0051182","GO:0051182")</f>
        <v>GO:0051182</v>
      </c>
      <c r="B793" t="s">
        <v>1519</v>
      </c>
      <c r="C793">
        <v>9</v>
      </c>
      <c r="D793">
        <v>3</v>
      </c>
      <c r="E793">
        <v>2.7741036178663501E-2</v>
      </c>
      <c r="F793">
        <v>0.13870518089331699</v>
      </c>
      <c r="G793" t="s">
        <v>1518</v>
      </c>
    </row>
    <row r="794" spans="1:7" x14ac:dyDescent="0.25">
      <c r="A794" s="4" t="str">
        <f>HYPERLINK("http://amigo.geneontology.org/cgi-bin/amigo/term-details.cgi?term=GO:0016639","GO:0016639")</f>
        <v>GO:0016639</v>
      </c>
      <c r="B794" t="s">
        <v>1194</v>
      </c>
      <c r="C794">
        <v>9</v>
      </c>
      <c r="D794">
        <v>3</v>
      </c>
      <c r="E794">
        <v>2.7741036178663501E-2</v>
      </c>
      <c r="F794">
        <v>0.13870518089331699</v>
      </c>
      <c r="G794" t="s">
        <v>1193</v>
      </c>
    </row>
    <row r="795" spans="1:7" x14ac:dyDescent="0.25">
      <c r="A795" s="4" t="str">
        <f>HYPERLINK("http://amigo.geneontology.org/cgi-bin/amigo/term-details.cgi?term=GO:0042762","GO:0042762")</f>
        <v>GO:0042762</v>
      </c>
      <c r="B795" t="s">
        <v>1517</v>
      </c>
      <c r="C795">
        <v>9</v>
      </c>
      <c r="D795">
        <v>3</v>
      </c>
      <c r="E795">
        <v>2.7741036178663501E-2</v>
      </c>
      <c r="F795">
        <v>0.13870518089331699</v>
      </c>
      <c r="G795" t="s">
        <v>1516</v>
      </c>
    </row>
    <row r="796" spans="1:7" x14ac:dyDescent="0.25">
      <c r="A796" s="4" t="str">
        <f>HYPERLINK("http://amigo.geneontology.org/cgi-bin/amigo/term-details.cgi?term=GO:0052745","GO:0052745")</f>
        <v>GO:0052745</v>
      </c>
      <c r="B796" t="s">
        <v>1515</v>
      </c>
      <c r="C796">
        <v>9</v>
      </c>
      <c r="D796">
        <v>3</v>
      </c>
      <c r="E796">
        <v>2.7741036178663501E-2</v>
      </c>
      <c r="F796">
        <v>0.13870518089331699</v>
      </c>
      <c r="G796" t="s">
        <v>1514</v>
      </c>
    </row>
    <row r="797" spans="1:7" x14ac:dyDescent="0.25">
      <c r="A797" s="4" t="str">
        <f>HYPERLINK("http://amigo.geneontology.org/cgi-bin/amigo/term-details.cgi?term=GO:0002833","GO:0002833")</f>
        <v>GO:0002833</v>
      </c>
      <c r="B797" t="s">
        <v>1513</v>
      </c>
      <c r="C797">
        <v>9</v>
      </c>
      <c r="D797">
        <v>3</v>
      </c>
      <c r="E797">
        <v>2.7741036178663501E-2</v>
      </c>
      <c r="F797">
        <v>0.13870518089331699</v>
      </c>
      <c r="G797" t="s">
        <v>1456</v>
      </c>
    </row>
    <row r="798" spans="1:7" x14ac:dyDescent="0.25">
      <c r="A798" s="4" t="str">
        <f>HYPERLINK("http://amigo.geneontology.org/cgi-bin/amigo/term-details.cgi?term=GO:0005047","GO:0005047")</f>
        <v>GO:0005047</v>
      </c>
      <c r="B798" t="s">
        <v>138</v>
      </c>
      <c r="C798">
        <v>9</v>
      </c>
      <c r="D798">
        <v>3</v>
      </c>
      <c r="E798">
        <v>2.7741036178663501E-2</v>
      </c>
      <c r="F798">
        <v>0.13870518089331699</v>
      </c>
      <c r="G798" t="s">
        <v>102</v>
      </c>
    </row>
    <row r="799" spans="1:7" x14ac:dyDescent="0.25">
      <c r="A799" s="4" t="str">
        <f>HYPERLINK("http://amigo.geneontology.org/cgi-bin/amigo/term-details.cgi?term=GO:0008199","GO:0008199")</f>
        <v>GO:0008199</v>
      </c>
      <c r="B799" t="s">
        <v>980</v>
      </c>
      <c r="C799">
        <v>9</v>
      </c>
      <c r="D799">
        <v>3</v>
      </c>
      <c r="E799">
        <v>2.7741036178663501E-2</v>
      </c>
      <c r="F799">
        <v>0.13870518089331699</v>
      </c>
      <c r="G799" t="s">
        <v>979</v>
      </c>
    </row>
    <row r="800" spans="1:7" x14ac:dyDescent="0.25">
      <c r="A800" s="4" t="str">
        <f>HYPERLINK("http://amigo.geneontology.org/cgi-bin/amigo/term-details.cgi?term=GO:0016722","GO:0016722")</f>
        <v>GO:0016722</v>
      </c>
      <c r="B800" t="s">
        <v>1512</v>
      </c>
      <c r="C800">
        <v>9</v>
      </c>
      <c r="D800">
        <v>3</v>
      </c>
      <c r="E800">
        <v>2.7741036178663501E-2</v>
      </c>
      <c r="F800">
        <v>0.13870518089331699</v>
      </c>
      <c r="G800" t="s">
        <v>979</v>
      </c>
    </row>
    <row r="801" spans="1:7" x14ac:dyDescent="0.25">
      <c r="A801" s="4" t="str">
        <f>HYPERLINK("http://amigo.geneontology.org/cgi-bin/amigo/term-details.cgi?term=GO:0016724","GO:0016724")</f>
        <v>GO:0016724</v>
      </c>
      <c r="B801" t="s">
        <v>1511</v>
      </c>
      <c r="C801">
        <v>9</v>
      </c>
      <c r="D801">
        <v>3</v>
      </c>
      <c r="E801">
        <v>2.7741036178663501E-2</v>
      </c>
      <c r="F801">
        <v>0.13870518089331699</v>
      </c>
      <c r="G801" t="s">
        <v>979</v>
      </c>
    </row>
    <row r="802" spans="1:7" x14ac:dyDescent="0.25">
      <c r="A802" s="4" t="str">
        <f>HYPERLINK("http://amigo.geneontology.org/cgi-bin/amigo/term-details.cgi?term=GO:0004322","GO:0004322")</f>
        <v>GO:0004322</v>
      </c>
      <c r="B802" t="s">
        <v>1510</v>
      </c>
      <c r="C802">
        <v>9</v>
      </c>
      <c r="D802">
        <v>3</v>
      </c>
      <c r="E802">
        <v>2.7741036178663501E-2</v>
      </c>
      <c r="F802">
        <v>0.13870518089331699</v>
      </c>
      <c r="G802" t="s">
        <v>979</v>
      </c>
    </row>
    <row r="803" spans="1:7" x14ac:dyDescent="0.25">
      <c r="A803" s="4" t="str">
        <f>HYPERLINK("http://amigo.geneontology.org/cgi-bin/amigo/term-details.cgi?term=GO:0090332","GO:0090332")</f>
        <v>GO:0090332</v>
      </c>
      <c r="B803" t="s">
        <v>1509</v>
      </c>
      <c r="C803">
        <v>9</v>
      </c>
      <c r="D803">
        <v>3</v>
      </c>
      <c r="E803">
        <v>2.7741036178663501E-2</v>
      </c>
      <c r="F803">
        <v>0.13870518089331699</v>
      </c>
      <c r="G803" t="s">
        <v>1508</v>
      </c>
    </row>
    <row r="804" spans="1:7" x14ac:dyDescent="0.25">
      <c r="A804" s="4" t="str">
        <f>HYPERLINK("http://amigo.geneontology.org/cgi-bin/amigo/term-details.cgi?term=GO:0008883","GO:0008883")</f>
        <v>GO:0008883</v>
      </c>
      <c r="B804" t="s">
        <v>1171</v>
      </c>
      <c r="C804">
        <v>9</v>
      </c>
      <c r="D804">
        <v>3</v>
      </c>
      <c r="E804">
        <v>2.7741036178663501E-2</v>
      </c>
      <c r="F804">
        <v>0.13870518089331699</v>
      </c>
      <c r="G804" t="s">
        <v>1170</v>
      </c>
    </row>
    <row r="805" spans="1:7" x14ac:dyDescent="0.25">
      <c r="A805" s="4" t="str">
        <f>HYPERLINK("http://amigo.geneontology.org/cgi-bin/amigo/term-details.cgi?term=GO:0031163","GO:0031163")</f>
        <v>GO:0031163</v>
      </c>
      <c r="B805" t="s">
        <v>219</v>
      </c>
      <c r="C805">
        <v>142</v>
      </c>
      <c r="D805">
        <v>18</v>
      </c>
      <c r="E805">
        <v>2.7781874883815401E-2</v>
      </c>
      <c r="F805">
        <v>0.138909374419077</v>
      </c>
      <c r="G805" t="s">
        <v>1507</v>
      </c>
    </row>
    <row r="806" spans="1:7" x14ac:dyDescent="0.25">
      <c r="A806" s="4" t="str">
        <f>HYPERLINK("http://amigo.geneontology.org/cgi-bin/amigo/term-details.cgi?term=GO:0016226","GO:0016226")</f>
        <v>GO:0016226</v>
      </c>
      <c r="B806" t="s">
        <v>218</v>
      </c>
      <c r="C806">
        <v>142</v>
      </c>
      <c r="D806">
        <v>18</v>
      </c>
      <c r="E806">
        <v>2.7781874883815401E-2</v>
      </c>
      <c r="F806">
        <v>0.138909374419077</v>
      </c>
      <c r="G806" t="s">
        <v>1507</v>
      </c>
    </row>
    <row r="807" spans="1:7" x14ac:dyDescent="0.25">
      <c r="A807" s="4" t="str">
        <f>HYPERLINK("http://amigo.geneontology.org/cgi-bin/amigo/term-details.cgi?term=GO:0007186","GO:0007186")</f>
        <v>GO:0007186</v>
      </c>
      <c r="B807" t="s">
        <v>122</v>
      </c>
      <c r="C807">
        <v>93</v>
      </c>
      <c r="D807">
        <v>13</v>
      </c>
      <c r="E807">
        <v>2.8070566708869999E-2</v>
      </c>
      <c r="F807">
        <v>0.14035283354434999</v>
      </c>
      <c r="G807" t="s">
        <v>1506</v>
      </c>
    </row>
    <row r="808" spans="1:7" x14ac:dyDescent="0.25">
      <c r="A808" s="4" t="str">
        <f>HYPERLINK("http://amigo.geneontology.org/cgi-bin/amigo/term-details.cgi?term=GO:0005992","GO:0005992")</f>
        <v>GO:0005992</v>
      </c>
      <c r="B808" t="s">
        <v>1205</v>
      </c>
      <c r="C808">
        <v>56</v>
      </c>
      <c r="D808">
        <v>9</v>
      </c>
      <c r="E808">
        <v>2.8175452329642098E-2</v>
      </c>
      <c r="F808">
        <v>0.14087726164820999</v>
      </c>
      <c r="G808" t="s">
        <v>1204</v>
      </c>
    </row>
    <row r="809" spans="1:7" x14ac:dyDescent="0.25">
      <c r="A809" s="4" t="str">
        <f>HYPERLINK("http://amigo.geneontology.org/cgi-bin/amigo/term-details.cgi?term=GO:0016788","GO:0016788")</f>
        <v>GO:0016788</v>
      </c>
      <c r="B809" t="s">
        <v>1505</v>
      </c>
      <c r="C809">
        <v>2434</v>
      </c>
      <c r="D809">
        <v>215</v>
      </c>
      <c r="E809">
        <v>2.9127847847438701E-2</v>
      </c>
      <c r="F809">
        <v>0.14563923923719399</v>
      </c>
      <c r="G809" t="s">
        <v>1504</v>
      </c>
    </row>
    <row r="810" spans="1:7" x14ac:dyDescent="0.25">
      <c r="A810" s="4" t="str">
        <f>HYPERLINK("http://amigo.geneontology.org/cgi-bin/amigo/term-details.cgi?term=GO:0034599","GO:0034599")</f>
        <v>GO:0034599</v>
      </c>
      <c r="B810" t="s">
        <v>289</v>
      </c>
      <c r="C810">
        <v>39</v>
      </c>
      <c r="D810">
        <v>7</v>
      </c>
      <c r="E810">
        <v>2.92422669341172E-2</v>
      </c>
      <c r="F810">
        <v>0.146211334670586</v>
      </c>
      <c r="G810" t="s">
        <v>224</v>
      </c>
    </row>
    <row r="811" spans="1:7" x14ac:dyDescent="0.25">
      <c r="A811" s="4" t="str">
        <f>HYPERLINK("http://amigo.geneontology.org/cgi-bin/amigo/term-details.cgi?term=GO:0016860","GO:0016860")</f>
        <v>GO:0016860</v>
      </c>
      <c r="B811" t="s">
        <v>999</v>
      </c>
      <c r="C811">
        <v>84</v>
      </c>
      <c r="D811">
        <v>12</v>
      </c>
      <c r="E811">
        <v>2.9250159550442099E-2</v>
      </c>
      <c r="F811">
        <v>0.14625079775221</v>
      </c>
      <c r="G811" t="s">
        <v>1503</v>
      </c>
    </row>
    <row r="812" spans="1:7" x14ac:dyDescent="0.25">
      <c r="A812" s="4" t="str">
        <f>HYPERLINK("http://amigo.geneontology.org/cgi-bin/amigo/term-details.cgi?term=GO:0016703","GO:0016703")</f>
        <v>GO:0016703</v>
      </c>
      <c r="B812" t="s">
        <v>1199</v>
      </c>
      <c r="C812">
        <v>23</v>
      </c>
      <c r="D812">
        <v>5</v>
      </c>
      <c r="E812">
        <v>2.9431146557808999E-2</v>
      </c>
      <c r="F812">
        <v>0.14715573278904501</v>
      </c>
      <c r="G812" t="s">
        <v>1198</v>
      </c>
    </row>
    <row r="813" spans="1:7" x14ac:dyDescent="0.25">
      <c r="A813" s="4" t="str">
        <f>HYPERLINK("http://amigo.geneontology.org/cgi-bin/amigo/term-details.cgi?term=GO:0042255","GO:0042255")</f>
        <v>GO:0042255</v>
      </c>
      <c r="B813" t="s">
        <v>152</v>
      </c>
      <c r="C813">
        <v>23</v>
      </c>
      <c r="D813">
        <v>5</v>
      </c>
      <c r="E813">
        <v>2.9431146557808999E-2</v>
      </c>
      <c r="F813">
        <v>0.14715573278904501</v>
      </c>
      <c r="G813" t="s">
        <v>1192</v>
      </c>
    </row>
    <row r="814" spans="1:7" x14ac:dyDescent="0.25">
      <c r="A814" s="4" t="str">
        <f>HYPERLINK("http://amigo.geneontology.org/cgi-bin/amigo/term-details.cgi?term=GO:0030148","GO:0030148")</f>
        <v>GO:0030148</v>
      </c>
      <c r="B814" t="s">
        <v>1502</v>
      </c>
      <c r="C814">
        <v>23</v>
      </c>
      <c r="D814">
        <v>5</v>
      </c>
      <c r="E814">
        <v>2.9431146557808999E-2</v>
      </c>
      <c r="F814">
        <v>0.14715573278904501</v>
      </c>
      <c r="G814" t="s">
        <v>1501</v>
      </c>
    </row>
    <row r="815" spans="1:7" x14ac:dyDescent="0.25">
      <c r="A815" s="4" t="str">
        <f>HYPERLINK("http://amigo.geneontology.org/cgi-bin/amigo/term-details.cgi?term=GO:0007264","GO:0007264")</f>
        <v>GO:0007264</v>
      </c>
      <c r="B815" t="s">
        <v>1500</v>
      </c>
      <c r="C815">
        <v>248</v>
      </c>
      <c r="D815">
        <v>28</v>
      </c>
      <c r="E815">
        <v>3.0901785476167801E-2</v>
      </c>
      <c r="F815">
        <v>0.15450892738083899</v>
      </c>
      <c r="G815" t="s">
        <v>1499</v>
      </c>
    </row>
    <row r="816" spans="1:7" x14ac:dyDescent="0.25">
      <c r="A816" s="4" t="str">
        <f>HYPERLINK("http://amigo.geneontology.org/cgi-bin/amigo/term-details.cgi?term=GO:0046351","GO:0046351")</f>
        <v>GO:0046351</v>
      </c>
      <c r="B816" t="s">
        <v>1498</v>
      </c>
      <c r="C816">
        <v>66</v>
      </c>
      <c r="D816">
        <v>10</v>
      </c>
      <c r="E816">
        <v>3.0966501718196499E-2</v>
      </c>
      <c r="F816">
        <v>0.15483250859098199</v>
      </c>
      <c r="G816" t="s">
        <v>1497</v>
      </c>
    </row>
    <row r="817" spans="1:7" x14ac:dyDescent="0.25">
      <c r="A817" s="4" t="str">
        <f>HYPERLINK("http://amigo.geneontology.org/cgi-bin/amigo/term-details.cgi?term=GO:0009063","GO:0009063")</f>
        <v>GO:0009063</v>
      </c>
      <c r="B817" t="s">
        <v>1142</v>
      </c>
      <c r="C817">
        <v>227</v>
      </c>
      <c r="D817">
        <v>26</v>
      </c>
      <c r="E817">
        <v>3.1278967203511303E-2</v>
      </c>
      <c r="F817">
        <v>0.15639483601755599</v>
      </c>
      <c r="G817" t="s">
        <v>1496</v>
      </c>
    </row>
    <row r="818" spans="1:7" x14ac:dyDescent="0.25">
      <c r="A818" s="4" t="str">
        <f>HYPERLINK("http://amigo.geneontology.org/cgi-bin/amigo/term-details.cgi?term=GO:0060090","GO:0060090")</f>
        <v>GO:0060090</v>
      </c>
      <c r="B818" t="s">
        <v>1495</v>
      </c>
      <c r="C818">
        <v>16</v>
      </c>
      <c r="D818">
        <v>4</v>
      </c>
      <c r="E818">
        <v>3.1304622446733502E-2</v>
      </c>
      <c r="F818">
        <v>0.15652311223366699</v>
      </c>
      <c r="G818" t="s">
        <v>1493</v>
      </c>
    </row>
    <row r="819" spans="1:7" x14ac:dyDescent="0.25">
      <c r="A819" s="4" t="str">
        <f>HYPERLINK("http://amigo.geneontology.org/cgi-bin/amigo/term-details.cgi?term=GO:0030674","GO:0030674")</f>
        <v>GO:0030674</v>
      </c>
      <c r="B819" t="s">
        <v>1494</v>
      </c>
      <c r="C819">
        <v>16</v>
      </c>
      <c r="D819">
        <v>4</v>
      </c>
      <c r="E819">
        <v>3.1304622446733502E-2</v>
      </c>
      <c r="F819">
        <v>0.15652311223366699</v>
      </c>
      <c r="G819" t="s">
        <v>1493</v>
      </c>
    </row>
    <row r="820" spans="1:7" x14ac:dyDescent="0.25">
      <c r="A820" s="4" t="str">
        <f>HYPERLINK("http://amigo.geneontology.org/cgi-bin/amigo/term-details.cgi?term=GO:0009298","GO:0009298")</f>
        <v>GO:0009298</v>
      </c>
      <c r="B820" t="s">
        <v>990</v>
      </c>
      <c r="C820">
        <v>16</v>
      </c>
      <c r="D820">
        <v>4</v>
      </c>
      <c r="E820">
        <v>3.1304622446733502E-2</v>
      </c>
      <c r="F820">
        <v>0.15652311223366699</v>
      </c>
      <c r="G820" t="s">
        <v>989</v>
      </c>
    </row>
    <row r="821" spans="1:7" x14ac:dyDescent="0.25">
      <c r="A821" s="4" t="str">
        <f>HYPERLINK("http://amigo.geneontology.org/cgi-bin/amigo/term-details.cgi?term=GO:1903825","GO:1903825")</f>
        <v>GO:1903825</v>
      </c>
      <c r="B821" t="s">
        <v>148</v>
      </c>
      <c r="C821">
        <v>114</v>
      </c>
      <c r="D821">
        <v>15</v>
      </c>
      <c r="E821">
        <v>3.14481675984494E-2</v>
      </c>
      <c r="F821">
        <v>0.157240837992247</v>
      </c>
      <c r="G821" t="s">
        <v>1492</v>
      </c>
    </row>
    <row r="822" spans="1:7" x14ac:dyDescent="0.25">
      <c r="A822" s="4" t="str">
        <f>HYPERLINK("http://amigo.geneontology.org/cgi-bin/amigo/term-details.cgi?term=GO:1905039","GO:1905039")</f>
        <v>GO:1905039</v>
      </c>
      <c r="B822" t="s">
        <v>147</v>
      </c>
      <c r="C822">
        <v>114</v>
      </c>
      <c r="D822">
        <v>15</v>
      </c>
      <c r="E822">
        <v>3.14481675984494E-2</v>
      </c>
      <c r="F822">
        <v>0.157240837992247</v>
      </c>
      <c r="G822" t="s">
        <v>1492</v>
      </c>
    </row>
    <row r="823" spans="1:7" x14ac:dyDescent="0.25">
      <c r="A823" s="4" t="str">
        <f>HYPERLINK("http://amigo.geneontology.org/cgi-bin/amigo/term-details.cgi?term=GO:0008643","GO:0008643")</f>
        <v>GO:0008643</v>
      </c>
      <c r="B823" t="s">
        <v>1491</v>
      </c>
      <c r="C823">
        <v>124</v>
      </c>
      <c r="D823">
        <v>16</v>
      </c>
      <c r="E823">
        <v>3.1612388719465E-2</v>
      </c>
      <c r="F823">
        <v>0.15806194359732501</v>
      </c>
      <c r="G823" t="s">
        <v>1490</v>
      </c>
    </row>
    <row r="824" spans="1:7" x14ac:dyDescent="0.25">
      <c r="A824" s="4" t="str">
        <f>HYPERLINK("http://amigo.geneontology.org/cgi-bin/amigo/term-details.cgi?term=GO:0046271","GO:0046271")</f>
        <v>GO:0046271</v>
      </c>
      <c r="B824" t="s">
        <v>1217</v>
      </c>
      <c r="C824">
        <v>85</v>
      </c>
      <c r="D824">
        <v>12</v>
      </c>
      <c r="E824">
        <v>3.1729860102477699E-2</v>
      </c>
      <c r="F824">
        <v>0.15864930051238799</v>
      </c>
      <c r="G824" t="s">
        <v>1231</v>
      </c>
    </row>
    <row r="825" spans="1:7" x14ac:dyDescent="0.25">
      <c r="A825" s="4" t="str">
        <f>HYPERLINK("http://amigo.geneontology.org/cgi-bin/amigo/term-details.cgi?term=GO:0046274","GO:0046274")</f>
        <v>GO:0046274</v>
      </c>
      <c r="B825" t="s">
        <v>1216</v>
      </c>
      <c r="C825">
        <v>85</v>
      </c>
      <c r="D825">
        <v>12</v>
      </c>
      <c r="E825">
        <v>3.1729860102477699E-2</v>
      </c>
      <c r="F825">
        <v>0.15864930051238799</v>
      </c>
      <c r="G825" t="s">
        <v>1231</v>
      </c>
    </row>
    <row r="826" spans="1:7" x14ac:dyDescent="0.25">
      <c r="A826" s="4" t="str">
        <f>HYPERLINK("http://amigo.geneontology.org/cgi-bin/amigo/term-details.cgi?term=GO:0052716","GO:0052716")</f>
        <v>GO:0052716</v>
      </c>
      <c r="B826" t="s">
        <v>1214</v>
      </c>
      <c r="C826">
        <v>85</v>
      </c>
      <c r="D826">
        <v>12</v>
      </c>
      <c r="E826">
        <v>3.1729860102477699E-2</v>
      </c>
      <c r="F826">
        <v>0.15864930051238799</v>
      </c>
      <c r="G826" t="s">
        <v>1231</v>
      </c>
    </row>
    <row r="827" spans="1:7" x14ac:dyDescent="0.25">
      <c r="A827" s="4" t="str">
        <f>HYPERLINK("http://amigo.geneontology.org/cgi-bin/amigo/term-details.cgi?term=GO:0035556","GO:0035556")</f>
        <v>GO:0035556</v>
      </c>
      <c r="B827" t="s">
        <v>1489</v>
      </c>
      <c r="C827">
        <v>742</v>
      </c>
      <c r="D827">
        <v>72</v>
      </c>
      <c r="E827">
        <v>3.2480647466339399E-2</v>
      </c>
      <c r="F827">
        <v>0.16240323733169701</v>
      </c>
      <c r="G827" t="s">
        <v>1488</v>
      </c>
    </row>
    <row r="828" spans="1:7" x14ac:dyDescent="0.25">
      <c r="A828" s="4" t="str">
        <f>HYPERLINK("http://amigo.geneontology.org/cgi-bin/amigo/term-details.cgi?term=GO:0097708","GO:0097708")</f>
        <v>GO:0097708</v>
      </c>
      <c r="B828" t="s">
        <v>1035</v>
      </c>
      <c r="C828">
        <v>325</v>
      </c>
      <c r="D828">
        <v>35</v>
      </c>
      <c r="E828">
        <v>3.2692135832551601E-2</v>
      </c>
      <c r="F828">
        <v>0.163460679162758</v>
      </c>
      <c r="G828" t="s">
        <v>1449</v>
      </c>
    </row>
    <row r="829" spans="1:7" x14ac:dyDescent="0.25">
      <c r="A829" s="4" t="str">
        <f>HYPERLINK("http://amigo.geneontology.org/cgi-bin/amigo/term-details.cgi?term=GO:0031410","GO:0031410")</f>
        <v>GO:0031410</v>
      </c>
      <c r="B829" t="s">
        <v>1034</v>
      </c>
      <c r="C829">
        <v>325</v>
      </c>
      <c r="D829">
        <v>35</v>
      </c>
      <c r="E829">
        <v>3.2692135832551601E-2</v>
      </c>
      <c r="F829">
        <v>0.163460679162758</v>
      </c>
      <c r="G829" t="s">
        <v>1449</v>
      </c>
    </row>
    <row r="830" spans="1:7" x14ac:dyDescent="0.25">
      <c r="A830" s="4" t="str">
        <f>HYPERLINK("http://amigo.geneontology.org/cgi-bin/amigo/term-details.cgi?term=GO:0048445","GO:0048445")</f>
        <v>GO:0048445</v>
      </c>
      <c r="B830" t="s">
        <v>1487</v>
      </c>
      <c r="C830">
        <v>4</v>
      </c>
      <c r="D830">
        <v>2</v>
      </c>
      <c r="E830">
        <v>3.2709851206666599E-2</v>
      </c>
      <c r="F830">
        <v>0.16354925603333301</v>
      </c>
      <c r="G830" t="s">
        <v>1486</v>
      </c>
    </row>
    <row r="831" spans="1:7" x14ac:dyDescent="0.25">
      <c r="A831" s="4" t="str">
        <f>HYPERLINK("http://amigo.geneontology.org/cgi-bin/amigo/term-details.cgi?term=GO:1900378","GO:1900378")</f>
        <v>GO:1900378</v>
      </c>
      <c r="B831" t="s">
        <v>1485</v>
      </c>
      <c r="C831">
        <v>4</v>
      </c>
      <c r="D831">
        <v>2</v>
      </c>
      <c r="E831">
        <v>3.2709851206666599E-2</v>
      </c>
      <c r="F831">
        <v>0.16354925603333301</v>
      </c>
      <c r="G831" t="s">
        <v>1484</v>
      </c>
    </row>
    <row r="832" spans="1:7" x14ac:dyDescent="0.25">
      <c r="A832" s="4" t="str">
        <f>HYPERLINK("http://amigo.geneontology.org/cgi-bin/amigo/term-details.cgi?term=GO:0016621","GO:0016621")</f>
        <v>GO:0016621</v>
      </c>
      <c r="B832" t="s">
        <v>1483</v>
      </c>
      <c r="C832">
        <v>4</v>
      </c>
      <c r="D832">
        <v>2</v>
      </c>
      <c r="E832">
        <v>3.2709851206666599E-2</v>
      </c>
      <c r="F832">
        <v>0.16354925603333301</v>
      </c>
      <c r="G832" t="s">
        <v>1482</v>
      </c>
    </row>
    <row r="833" spans="1:7" x14ac:dyDescent="0.25">
      <c r="A833" s="4" t="str">
        <f>HYPERLINK("http://amigo.geneontology.org/cgi-bin/amigo/term-details.cgi?term=GO:1902584","GO:1902584")</f>
        <v>GO:1902584</v>
      </c>
      <c r="B833" t="s">
        <v>1481</v>
      </c>
      <c r="C833">
        <v>4</v>
      </c>
      <c r="D833">
        <v>2</v>
      </c>
      <c r="E833">
        <v>3.2709851206666599E-2</v>
      </c>
      <c r="F833">
        <v>0.16354925603333301</v>
      </c>
      <c r="G833" t="s">
        <v>1480</v>
      </c>
    </row>
    <row r="834" spans="1:7" x14ac:dyDescent="0.25">
      <c r="A834" s="4" t="str">
        <f>HYPERLINK("http://amigo.geneontology.org/cgi-bin/amigo/term-details.cgi?term=GO:0040030","GO:0040030")</f>
        <v>GO:0040030</v>
      </c>
      <c r="B834" t="s">
        <v>1479</v>
      </c>
      <c r="C834">
        <v>4</v>
      </c>
      <c r="D834">
        <v>2</v>
      </c>
      <c r="E834">
        <v>3.2709851206666599E-2</v>
      </c>
      <c r="F834">
        <v>0.16354925603333301</v>
      </c>
      <c r="G834" t="s">
        <v>1477</v>
      </c>
    </row>
    <row r="835" spans="1:7" x14ac:dyDescent="0.25">
      <c r="A835" s="4" t="str">
        <f>HYPERLINK("http://amigo.geneontology.org/cgi-bin/amigo/term-details.cgi?term=GO:0045857","GO:0045857")</f>
        <v>GO:0045857</v>
      </c>
      <c r="B835" t="s">
        <v>1478</v>
      </c>
      <c r="C835">
        <v>4</v>
      </c>
      <c r="D835">
        <v>2</v>
      </c>
      <c r="E835">
        <v>3.2709851206666599E-2</v>
      </c>
      <c r="F835">
        <v>0.16354925603333301</v>
      </c>
      <c r="G835" t="s">
        <v>1477</v>
      </c>
    </row>
    <row r="836" spans="1:7" x14ac:dyDescent="0.25">
      <c r="A836" s="4" t="str">
        <f>HYPERLINK("http://amigo.geneontology.org/cgi-bin/amigo/term-details.cgi?term=GO:0004143","GO:0004143")</f>
        <v>GO:0004143</v>
      </c>
      <c r="B836" t="s">
        <v>975</v>
      </c>
      <c r="C836">
        <v>40</v>
      </c>
      <c r="D836">
        <v>7</v>
      </c>
      <c r="E836">
        <v>3.3140831588666798E-2</v>
      </c>
      <c r="F836">
        <v>0.16570415794333401</v>
      </c>
      <c r="G836" t="s">
        <v>1476</v>
      </c>
    </row>
    <row r="837" spans="1:7" x14ac:dyDescent="0.25">
      <c r="A837" s="4" t="str">
        <f>HYPERLINK("http://amigo.geneontology.org/cgi-bin/amigo/term-details.cgi?term=GO:0007205","GO:0007205")</f>
        <v>GO:0007205</v>
      </c>
      <c r="B837" t="s">
        <v>974</v>
      </c>
      <c r="C837">
        <v>40</v>
      </c>
      <c r="D837">
        <v>7</v>
      </c>
      <c r="E837">
        <v>3.3140831588666798E-2</v>
      </c>
      <c r="F837">
        <v>0.16570415794333401</v>
      </c>
      <c r="G837" t="s">
        <v>1476</v>
      </c>
    </row>
    <row r="838" spans="1:7" x14ac:dyDescent="0.25">
      <c r="A838" s="4" t="str">
        <f>HYPERLINK("http://amigo.geneontology.org/cgi-bin/amigo/term-details.cgi?term=GO:0006743","GO:0006743")</f>
        <v>GO:0006743</v>
      </c>
      <c r="B838" t="s">
        <v>1475</v>
      </c>
      <c r="C838">
        <v>40</v>
      </c>
      <c r="D838">
        <v>7</v>
      </c>
      <c r="E838">
        <v>3.3140831588666798E-2</v>
      </c>
      <c r="F838">
        <v>0.16570415794333401</v>
      </c>
      <c r="G838" t="s">
        <v>1473</v>
      </c>
    </row>
    <row r="839" spans="1:7" x14ac:dyDescent="0.25">
      <c r="A839" s="4" t="str">
        <f>HYPERLINK("http://amigo.geneontology.org/cgi-bin/amigo/term-details.cgi?term=GO:0006744","GO:0006744")</f>
        <v>GO:0006744</v>
      </c>
      <c r="B839" t="s">
        <v>1474</v>
      </c>
      <c r="C839">
        <v>40</v>
      </c>
      <c r="D839">
        <v>7</v>
      </c>
      <c r="E839">
        <v>3.3140831588666798E-2</v>
      </c>
      <c r="F839">
        <v>0.16570415794333401</v>
      </c>
      <c r="G839" t="s">
        <v>1473</v>
      </c>
    </row>
    <row r="840" spans="1:7" x14ac:dyDescent="0.25">
      <c r="A840" s="4" t="str">
        <f>HYPERLINK("http://amigo.geneontology.org/cgi-bin/amigo/term-details.cgi?term=GO:0009081","GO:0009081")</f>
        <v>GO:0009081</v>
      </c>
      <c r="B840" t="s">
        <v>1472</v>
      </c>
      <c r="C840">
        <v>67</v>
      </c>
      <c r="D840">
        <v>10</v>
      </c>
      <c r="E840">
        <v>3.3949257536810801E-2</v>
      </c>
      <c r="F840">
        <v>0.169746287684054</v>
      </c>
      <c r="G840" t="s">
        <v>1471</v>
      </c>
    </row>
    <row r="841" spans="1:7" x14ac:dyDescent="0.25">
      <c r="A841" s="4" t="str">
        <f>HYPERLINK("http://amigo.geneontology.org/cgi-bin/amigo/term-details.cgi?term=GO:0019222","GO:0019222")</f>
        <v>GO:0019222</v>
      </c>
      <c r="B841" t="s">
        <v>936</v>
      </c>
      <c r="C841">
        <v>5550</v>
      </c>
      <c r="D841">
        <v>468</v>
      </c>
      <c r="E841">
        <v>3.41527944578826E-2</v>
      </c>
      <c r="F841">
        <v>0.17076397228941301</v>
      </c>
      <c r="G841" t="s">
        <v>1470</v>
      </c>
    </row>
    <row r="842" spans="1:7" x14ac:dyDescent="0.25">
      <c r="A842" s="4" t="str">
        <f>HYPERLINK("http://amigo.geneontology.org/cgi-bin/amigo/term-details.cgi?term=GO:0016192","GO:0016192")</f>
        <v>GO:0016192</v>
      </c>
      <c r="B842" t="s">
        <v>75</v>
      </c>
      <c r="C842">
        <v>802</v>
      </c>
      <c r="D842">
        <v>77</v>
      </c>
      <c r="E842">
        <v>3.43144566091588E-2</v>
      </c>
      <c r="F842">
        <v>0.171572283045794</v>
      </c>
      <c r="G842" t="s">
        <v>1469</v>
      </c>
    </row>
    <row r="843" spans="1:7" x14ac:dyDescent="0.25">
      <c r="A843" s="4" t="str">
        <f>HYPERLINK("http://amigo.geneontology.org/cgi-bin/amigo/term-details.cgi?term=GO:0008610","GO:0008610")</f>
        <v>GO:0008610</v>
      </c>
      <c r="B843" t="s">
        <v>986</v>
      </c>
      <c r="C843">
        <v>1402</v>
      </c>
      <c r="D843">
        <v>128</v>
      </c>
      <c r="E843">
        <v>3.4874857582095298E-2</v>
      </c>
      <c r="F843">
        <v>0.17437428791047599</v>
      </c>
      <c r="G843" t="s">
        <v>1468</v>
      </c>
    </row>
    <row r="844" spans="1:7" x14ac:dyDescent="0.25">
      <c r="A844" s="4" t="str">
        <f>HYPERLINK("http://amigo.geneontology.org/cgi-bin/amigo/term-details.cgi?term=GO:0051186","GO:0051186")</f>
        <v>GO:0051186</v>
      </c>
      <c r="B844" t="s">
        <v>881</v>
      </c>
      <c r="C844">
        <v>1522</v>
      </c>
      <c r="D844">
        <v>138</v>
      </c>
      <c r="E844">
        <v>3.5480556243328097E-2</v>
      </c>
      <c r="F844">
        <v>0.17740278121663999</v>
      </c>
      <c r="G844" t="s">
        <v>1467</v>
      </c>
    </row>
    <row r="845" spans="1:7" x14ac:dyDescent="0.25">
      <c r="A845" s="4" t="str">
        <f>HYPERLINK("http://amigo.geneontology.org/cgi-bin/amigo/term-details.cgi?term=GO:0016298","GO:0016298")</f>
        <v>GO:0016298</v>
      </c>
      <c r="B845" t="s">
        <v>1466</v>
      </c>
      <c r="C845">
        <v>209</v>
      </c>
      <c r="D845">
        <v>24</v>
      </c>
      <c r="E845">
        <v>3.6366542513684298E-2</v>
      </c>
      <c r="F845">
        <v>0.18183271256842101</v>
      </c>
      <c r="G845" t="s">
        <v>1465</v>
      </c>
    </row>
    <row r="846" spans="1:7" x14ac:dyDescent="0.25">
      <c r="A846" s="4" t="str">
        <f>HYPERLINK("http://amigo.geneontology.org/cgi-bin/amigo/term-details.cgi?term=GO:1901606","GO:1901606")</f>
        <v>GO:1901606</v>
      </c>
      <c r="B846" t="s">
        <v>548</v>
      </c>
      <c r="C846">
        <v>220</v>
      </c>
      <c r="D846">
        <v>25</v>
      </c>
      <c r="E846">
        <v>3.7035952563407699E-2</v>
      </c>
      <c r="F846">
        <v>0.18517976281703799</v>
      </c>
      <c r="G846" t="s">
        <v>1464</v>
      </c>
    </row>
    <row r="847" spans="1:7" x14ac:dyDescent="0.25">
      <c r="A847" s="4" t="str">
        <f>HYPERLINK("http://amigo.geneontology.org/cgi-bin/amigo/term-details.cgi?term=GO:0004829","GO:0004829")</f>
        <v>GO:0004829</v>
      </c>
      <c r="B847" t="s">
        <v>1202</v>
      </c>
      <c r="C847">
        <v>10</v>
      </c>
      <c r="D847">
        <v>3</v>
      </c>
      <c r="E847">
        <v>3.7375809825800597E-2</v>
      </c>
      <c r="F847">
        <v>0.18687904912900299</v>
      </c>
      <c r="G847" t="s">
        <v>1200</v>
      </c>
    </row>
    <row r="848" spans="1:7" x14ac:dyDescent="0.25">
      <c r="A848" s="4" t="str">
        <f>HYPERLINK("http://amigo.geneontology.org/cgi-bin/amigo/term-details.cgi?term=GO:0006435","GO:0006435")</f>
        <v>GO:0006435</v>
      </c>
      <c r="B848" t="s">
        <v>1201</v>
      </c>
      <c r="C848">
        <v>10</v>
      </c>
      <c r="D848">
        <v>3</v>
      </c>
      <c r="E848">
        <v>3.7375809825800597E-2</v>
      </c>
      <c r="F848">
        <v>0.18687904912900299</v>
      </c>
      <c r="G848" t="s">
        <v>1200</v>
      </c>
    </row>
    <row r="849" spans="1:7" x14ac:dyDescent="0.25">
      <c r="A849" s="4" t="str">
        <f>HYPERLINK("http://amigo.geneontology.org/cgi-bin/amigo/term-details.cgi?term=GO:0044210","GO:0044210")</f>
        <v>GO:0044210</v>
      </c>
      <c r="B849" t="s">
        <v>1463</v>
      </c>
      <c r="C849">
        <v>10</v>
      </c>
      <c r="D849">
        <v>3</v>
      </c>
      <c r="E849">
        <v>3.7375809825800597E-2</v>
      </c>
      <c r="F849">
        <v>0.18687904912900299</v>
      </c>
      <c r="G849" t="s">
        <v>1462</v>
      </c>
    </row>
    <row r="850" spans="1:7" x14ac:dyDescent="0.25">
      <c r="A850" s="4" t="str">
        <f>HYPERLINK("http://amigo.geneontology.org/cgi-bin/amigo/term-details.cgi?term=GO:2000022","GO:2000022")</f>
        <v>GO:2000022</v>
      </c>
      <c r="B850" t="s">
        <v>1461</v>
      </c>
      <c r="C850">
        <v>10</v>
      </c>
      <c r="D850">
        <v>3</v>
      </c>
      <c r="E850">
        <v>3.7375809825800597E-2</v>
      </c>
      <c r="F850">
        <v>0.18687904912900299</v>
      </c>
      <c r="G850" t="s">
        <v>1460</v>
      </c>
    </row>
    <row r="851" spans="1:7" x14ac:dyDescent="0.25">
      <c r="A851" s="4" t="str">
        <f>HYPERLINK("http://amigo.geneontology.org/cgi-bin/amigo/term-details.cgi?term=GO:0016408","GO:0016408")</f>
        <v>GO:0016408</v>
      </c>
      <c r="B851" t="s">
        <v>1459</v>
      </c>
      <c r="C851">
        <v>10</v>
      </c>
      <c r="D851">
        <v>3</v>
      </c>
      <c r="E851">
        <v>3.7375809825800597E-2</v>
      </c>
      <c r="F851">
        <v>0.18687904912900299</v>
      </c>
      <c r="G851" t="s">
        <v>1458</v>
      </c>
    </row>
    <row r="852" spans="1:7" x14ac:dyDescent="0.25">
      <c r="A852" s="4" t="str">
        <f>HYPERLINK("http://amigo.geneontology.org/cgi-bin/amigo/term-details.cgi?term=GO:0043902","GO:0043902")</f>
        <v>GO:0043902</v>
      </c>
      <c r="B852" t="s">
        <v>1457</v>
      </c>
      <c r="C852">
        <v>10</v>
      </c>
      <c r="D852">
        <v>3</v>
      </c>
      <c r="E852">
        <v>3.7375809825800597E-2</v>
      </c>
      <c r="F852">
        <v>0.18687904912900299</v>
      </c>
      <c r="G852" t="s">
        <v>1456</v>
      </c>
    </row>
    <row r="853" spans="1:7" x14ac:dyDescent="0.25">
      <c r="A853" s="4" t="str">
        <f>HYPERLINK("http://amigo.geneontology.org/cgi-bin/amigo/term-details.cgi?term=GO:0019825","GO:0019825")</f>
        <v>GO:0019825</v>
      </c>
      <c r="B853" t="s">
        <v>1175</v>
      </c>
      <c r="C853">
        <v>10</v>
      </c>
      <c r="D853">
        <v>3</v>
      </c>
      <c r="E853">
        <v>3.7375809825800597E-2</v>
      </c>
      <c r="F853">
        <v>0.18687904912900299</v>
      </c>
      <c r="G853" t="s">
        <v>1174</v>
      </c>
    </row>
    <row r="854" spans="1:7" x14ac:dyDescent="0.25">
      <c r="A854" s="4" t="str">
        <f>HYPERLINK("http://amigo.geneontology.org/cgi-bin/amigo/term-details.cgi?term=GO:0097428","GO:0097428")</f>
        <v>GO:0097428</v>
      </c>
      <c r="B854" t="s">
        <v>968</v>
      </c>
      <c r="C854">
        <v>10</v>
      </c>
      <c r="D854">
        <v>3</v>
      </c>
      <c r="E854">
        <v>3.7375809825800597E-2</v>
      </c>
      <c r="F854">
        <v>0.18687904912900299</v>
      </c>
      <c r="G854" t="s">
        <v>967</v>
      </c>
    </row>
    <row r="855" spans="1:7" x14ac:dyDescent="0.25">
      <c r="A855" s="4" t="str">
        <f>HYPERLINK("http://amigo.geneontology.org/cgi-bin/amigo/term-details.cgi?term=GO:0006879","GO:0006879")</f>
        <v>GO:0006879</v>
      </c>
      <c r="B855" t="s">
        <v>84</v>
      </c>
      <c r="C855">
        <v>10</v>
      </c>
      <c r="D855">
        <v>3</v>
      </c>
      <c r="E855">
        <v>3.7375809825800597E-2</v>
      </c>
      <c r="F855">
        <v>0.18687904912900299</v>
      </c>
      <c r="G855" t="s">
        <v>979</v>
      </c>
    </row>
    <row r="856" spans="1:7" x14ac:dyDescent="0.25">
      <c r="A856" s="4" t="str">
        <f>HYPERLINK("http://amigo.geneontology.org/cgi-bin/amigo/term-details.cgi?term=GO:0009331","GO:0009331")</f>
        <v>GO:0009331</v>
      </c>
      <c r="B856" t="s">
        <v>972</v>
      </c>
      <c r="C856">
        <v>17</v>
      </c>
      <c r="D856">
        <v>4</v>
      </c>
      <c r="E856">
        <v>3.8479135113342E-2</v>
      </c>
      <c r="F856">
        <v>0.19239567556671</v>
      </c>
      <c r="G856" t="s">
        <v>971</v>
      </c>
    </row>
    <row r="857" spans="1:7" x14ac:dyDescent="0.25">
      <c r="A857" s="4" t="str">
        <f>HYPERLINK("http://amigo.geneontology.org/cgi-bin/amigo/term-details.cgi?term=GO:0002213","GO:0002213")</f>
        <v>GO:0002213</v>
      </c>
      <c r="B857" t="s">
        <v>1455</v>
      </c>
      <c r="C857">
        <v>17</v>
      </c>
      <c r="D857">
        <v>4</v>
      </c>
      <c r="E857">
        <v>3.8479135113342E-2</v>
      </c>
      <c r="F857">
        <v>0.19239567556671</v>
      </c>
      <c r="G857" t="s">
        <v>1454</v>
      </c>
    </row>
    <row r="858" spans="1:7" x14ac:dyDescent="0.25">
      <c r="A858" s="4" t="str">
        <f>HYPERLINK("http://amigo.geneontology.org/cgi-bin/amigo/term-details.cgi?term=GO:0044092","GO:0044092")</f>
        <v>GO:0044092</v>
      </c>
      <c r="B858" t="s">
        <v>1453</v>
      </c>
      <c r="C858">
        <v>221</v>
      </c>
      <c r="D858">
        <v>25</v>
      </c>
      <c r="E858">
        <v>3.8781823709585099E-2</v>
      </c>
      <c r="F858">
        <v>0.193909118547925</v>
      </c>
      <c r="G858" t="s">
        <v>1452</v>
      </c>
    </row>
    <row r="859" spans="1:7" x14ac:dyDescent="0.25">
      <c r="A859" s="4" t="str">
        <f>HYPERLINK("http://amigo.geneontology.org/cgi-bin/amigo/term-details.cgi?term=GO:0008061","GO:0008061")</f>
        <v>GO:0008061</v>
      </c>
      <c r="B859" t="s">
        <v>1451</v>
      </c>
      <c r="C859">
        <v>78</v>
      </c>
      <c r="D859">
        <v>11</v>
      </c>
      <c r="E859">
        <v>3.8918984284062E-2</v>
      </c>
      <c r="F859">
        <v>0.19459492142031001</v>
      </c>
      <c r="G859" t="s">
        <v>1450</v>
      </c>
    </row>
    <row r="860" spans="1:7" x14ac:dyDescent="0.25">
      <c r="A860" s="4" t="str">
        <f>HYPERLINK("http://amigo.geneontology.org/cgi-bin/amigo/term-details.cgi?term=GO:0031982","GO:0031982")</f>
        <v>GO:0031982</v>
      </c>
      <c r="B860" t="s">
        <v>1036</v>
      </c>
      <c r="C860">
        <v>330</v>
      </c>
      <c r="D860">
        <v>35</v>
      </c>
      <c r="E860">
        <v>3.9474646002819601E-2</v>
      </c>
      <c r="F860">
        <v>0.19737323001409801</v>
      </c>
      <c r="G860" t="s">
        <v>1449</v>
      </c>
    </row>
    <row r="861" spans="1:7" x14ac:dyDescent="0.25">
      <c r="A861" s="4" t="str">
        <f>HYPERLINK("http://amigo.geneontology.org/cgi-bin/amigo/term-details.cgi?term=GO:0032350","GO:0032350")</f>
        <v>GO:0032350</v>
      </c>
      <c r="B861" t="s">
        <v>1448</v>
      </c>
      <c r="C861">
        <v>25</v>
      </c>
      <c r="D861">
        <v>5</v>
      </c>
      <c r="E861">
        <v>4.08711344488751E-2</v>
      </c>
      <c r="F861">
        <v>0.20435567224437501</v>
      </c>
      <c r="G861" t="s">
        <v>1447</v>
      </c>
    </row>
    <row r="862" spans="1:7" x14ac:dyDescent="0.25">
      <c r="A862" s="4" t="str">
        <f>HYPERLINK("http://amigo.geneontology.org/cgi-bin/amigo/term-details.cgi?term=GO:0007031","GO:0007031")</f>
        <v>GO:0007031</v>
      </c>
      <c r="B862" t="s">
        <v>1446</v>
      </c>
      <c r="C862">
        <v>118</v>
      </c>
      <c r="D862">
        <v>15</v>
      </c>
      <c r="E862">
        <v>4.0949566432527701E-2</v>
      </c>
      <c r="F862">
        <v>0.204747832162638</v>
      </c>
      <c r="G862" t="s">
        <v>1445</v>
      </c>
    </row>
    <row r="863" spans="1:7" x14ac:dyDescent="0.25">
      <c r="A863" s="4" t="str">
        <f>HYPERLINK("http://amigo.geneontology.org/cgi-bin/amigo/term-details.cgi?term=GO:0005996","GO:0005996")</f>
        <v>GO:0005996</v>
      </c>
      <c r="B863" t="s">
        <v>660</v>
      </c>
      <c r="C863">
        <v>331</v>
      </c>
      <c r="D863">
        <v>35</v>
      </c>
      <c r="E863">
        <v>4.0949985110096301E-2</v>
      </c>
      <c r="F863">
        <v>0.20474992555048099</v>
      </c>
      <c r="G863" t="s">
        <v>1444</v>
      </c>
    </row>
    <row r="864" spans="1:7" x14ac:dyDescent="0.25">
      <c r="A864" s="4" t="str">
        <f>HYPERLINK("http://amigo.geneontology.org/cgi-bin/amigo/term-details.cgi?term=GO:0016462","GO:0016462")</f>
        <v>GO:0016462</v>
      </c>
      <c r="B864" t="s">
        <v>273</v>
      </c>
      <c r="C864">
        <v>2290</v>
      </c>
      <c r="D864">
        <v>201</v>
      </c>
      <c r="E864">
        <v>4.1312802684822701E-2</v>
      </c>
      <c r="F864">
        <v>0.20656401342411301</v>
      </c>
      <c r="G864" t="s">
        <v>1443</v>
      </c>
    </row>
    <row r="865" spans="1:7" x14ac:dyDescent="0.25">
      <c r="A865" s="4" t="str">
        <f>HYPERLINK("http://amigo.geneontology.org/cgi-bin/amigo/term-details.cgi?term=GO:0070727","GO:0070727")</f>
        <v>GO:0070727</v>
      </c>
      <c r="B865" t="s">
        <v>852</v>
      </c>
      <c r="C865">
        <v>1186</v>
      </c>
      <c r="D865">
        <v>109</v>
      </c>
      <c r="E865">
        <v>4.13904888910889E-2</v>
      </c>
      <c r="F865">
        <v>0.206952444455444</v>
      </c>
      <c r="G865" t="s">
        <v>1442</v>
      </c>
    </row>
    <row r="866" spans="1:7" x14ac:dyDescent="0.25">
      <c r="A866" s="4" t="str">
        <f>HYPERLINK("http://amigo.geneontology.org/cgi-bin/amigo/term-details.cgi?term=GO:0006783","GO:0006783")</f>
        <v>GO:0006783</v>
      </c>
      <c r="B866" t="s">
        <v>1441</v>
      </c>
      <c r="C866">
        <v>60</v>
      </c>
      <c r="D866">
        <v>9</v>
      </c>
      <c r="E866">
        <v>4.1729553580346503E-2</v>
      </c>
      <c r="F866">
        <v>0.20864776790173201</v>
      </c>
      <c r="G866" t="s">
        <v>1440</v>
      </c>
    </row>
    <row r="867" spans="1:7" x14ac:dyDescent="0.25">
      <c r="A867" s="4" t="str">
        <f>HYPERLINK("http://amigo.geneontology.org/cgi-bin/amigo/term-details.cgi?term=GO:0050801","GO:0050801")</f>
        <v>GO:0050801</v>
      </c>
      <c r="B867" t="s">
        <v>117</v>
      </c>
      <c r="C867">
        <v>160</v>
      </c>
      <c r="D867">
        <v>19</v>
      </c>
      <c r="E867">
        <v>4.3413873541909398E-2</v>
      </c>
      <c r="F867">
        <v>0.21706936770954699</v>
      </c>
      <c r="G867" t="s">
        <v>1439</v>
      </c>
    </row>
    <row r="868" spans="1:7" x14ac:dyDescent="0.25">
      <c r="A868" s="4" t="str">
        <f>HYPERLINK("http://amigo.geneontology.org/cgi-bin/amigo/term-details.cgi?term=GO:0046873","GO:0046873")</f>
        <v>GO:0046873</v>
      </c>
      <c r="B868" t="s">
        <v>1065</v>
      </c>
      <c r="C868">
        <v>411</v>
      </c>
      <c r="D868">
        <v>42</v>
      </c>
      <c r="E868">
        <v>4.3927218216067002E-2</v>
      </c>
      <c r="F868">
        <v>0.21963609108033499</v>
      </c>
      <c r="G868" t="s">
        <v>1438</v>
      </c>
    </row>
    <row r="869" spans="1:7" x14ac:dyDescent="0.25">
      <c r="A869" s="4" t="str">
        <f>HYPERLINK("http://amigo.geneontology.org/cgi-bin/amigo/term-details.cgi?term=GO:0010029","GO:0010029")</f>
        <v>GO:0010029</v>
      </c>
      <c r="B869" t="s">
        <v>1437</v>
      </c>
      <c r="C869">
        <v>34</v>
      </c>
      <c r="D869">
        <v>6</v>
      </c>
      <c r="E869">
        <v>4.5300908880323003E-2</v>
      </c>
      <c r="F869">
        <v>0.22650454440161499</v>
      </c>
      <c r="G869" t="s">
        <v>1436</v>
      </c>
    </row>
    <row r="870" spans="1:7" x14ac:dyDescent="0.25">
      <c r="A870" s="4" t="str">
        <f>HYPERLINK("http://amigo.geneontology.org/cgi-bin/amigo/term-details.cgi?term=GO:0034613","GO:0034613")</f>
        <v>GO:0034613</v>
      </c>
      <c r="B870" t="s">
        <v>656</v>
      </c>
      <c r="C870">
        <v>1179</v>
      </c>
      <c r="D870">
        <v>108</v>
      </c>
      <c r="E870">
        <v>4.5311704005148203E-2</v>
      </c>
      <c r="F870">
        <v>0.22655852002574101</v>
      </c>
      <c r="G870" t="s">
        <v>1435</v>
      </c>
    </row>
    <row r="871" spans="1:7" x14ac:dyDescent="0.25">
      <c r="A871" s="4" t="str">
        <f>HYPERLINK("http://amigo.geneontology.org/cgi-bin/amigo/term-details.cgi?term=GO:0016903","GO:0016903")</f>
        <v>GO:0016903</v>
      </c>
      <c r="B871" t="s">
        <v>810</v>
      </c>
      <c r="C871">
        <v>182</v>
      </c>
      <c r="D871">
        <v>21</v>
      </c>
      <c r="E871">
        <v>4.5722239356362097E-2</v>
      </c>
      <c r="F871">
        <v>0.22861119678180999</v>
      </c>
      <c r="G871" t="s">
        <v>1434</v>
      </c>
    </row>
    <row r="872" spans="1:7" x14ac:dyDescent="0.25">
      <c r="A872" s="4" t="str">
        <f>HYPERLINK("http://amigo.geneontology.org/cgi-bin/amigo/term-details.cgi?term=GO:0006564","GO:0006564")</f>
        <v>GO:0006564</v>
      </c>
      <c r="B872" t="s">
        <v>977</v>
      </c>
      <c r="C872">
        <v>18</v>
      </c>
      <c r="D872">
        <v>4</v>
      </c>
      <c r="E872">
        <v>4.6512965623264901E-2</v>
      </c>
      <c r="F872">
        <v>0.23256482811632401</v>
      </c>
      <c r="G872" t="s">
        <v>976</v>
      </c>
    </row>
    <row r="873" spans="1:7" x14ac:dyDescent="0.25">
      <c r="A873" s="4" t="str">
        <f>HYPERLINK("http://amigo.geneontology.org/cgi-bin/amigo/term-details.cgi?term=GO:0070461","GO:0070461")</f>
        <v>GO:0070461</v>
      </c>
      <c r="B873" t="s">
        <v>988</v>
      </c>
      <c r="C873">
        <v>18</v>
      </c>
      <c r="D873">
        <v>4</v>
      </c>
      <c r="E873">
        <v>4.6512965623264901E-2</v>
      </c>
      <c r="F873">
        <v>0.23256482811632401</v>
      </c>
      <c r="G873" t="s">
        <v>987</v>
      </c>
    </row>
    <row r="874" spans="1:7" x14ac:dyDescent="0.25">
      <c r="A874" s="4" t="str">
        <f>HYPERLINK("http://amigo.geneontology.org/cgi-bin/amigo/term-details.cgi?term=GO:0045430","GO:0045430")</f>
        <v>GO:0045430</v>
      </c>
      <c r="B874" t="s">
        <v>963</v>
      </c>
      <c r="C874">
        <v>18</v>
      </c>
      <c r="D874">
        <v>4</v>
      </c>
      <c r="E874">
        <v>4.6512965623264901E-2</v>
      </c>
      <c r="F874">
        <v>0.23256482811632401</v>
      </c>
      <c r="G874" t="s">
        <v>962</v>
      </c>
    </row>
    <row r="875" spans="1:7" x14ac:dyDescent="0.25">
      <c r="A875" s="4" t="str">
        <f>HYPERLINK("http://amigo.geneontology.org/cgi-bin/amigo/term-details.cgi?term=GO:0019725","GO:0019725")</f>
        <v>GO:0019725</v>
      </c>
      <c r="B875" t="s">
        <v>129</v>
      </c>
      <c r="C875">
        <v>572</v>
      </c>
      <c r="D875">
        <v>56</v>
      </c>
      <c r="E875">
        <v>4.6555870347586903E-2</v>
      </c>
      <c r="F875">
        <v>0.23277935173793399</v>
      </c>
      <c r="G875" t="s">
        <v>1433</v>
      </c>
    </row>
    <row r="876" spans="1:7" x14ac:dyDescent="0.25">
      <c r="A876" s="4" t="str">
        <f>HYPERLINK("http://amigo.geneontology.org/cgi-bin/amigo/term-details.cgi?term=GO:0008066","GO:0008066")</f>
        <v>GO:0008066</v>
      </c>
      <c r="B876" t="s">
        <v>1189</v>
      </c>
      <c r="C876">
        <v>100</v>
      </c>
      <c r="D876">
        <v>13</v>
      </c>
      <c r="E876">
        <v>4.6750555514878403E-2</v>
      </c>
      <c r="F876">
        <v>0.233752777574392</v>
      </c>
      <c r="G876" t="s">
        <v>1181</v>
      </c>
    </row>
    <row r="877" spans="1:7" x14ac:dyDescent="0.25">
      <c r="A877" s="4" t="str">
        <f>HYPERLINK("http://amigo.geneontology.org/cgi-bin/amigo/term-details.cgi?term=GO:0022834","GO:0022834")</f>
        <v>GO:0022834</v>
      </c>
      <c r="B877" t="s">
        <v>1188</v>
      </c>
      <c r="C877">
        <v>100</v>
      </c>
      <c r="D877">
        <v>13</v>
      </c>
      <c r="E877">
        <v>4.6750555514878403E-2</v>
      </c>
      <c r="F877">
        <v>0.233752777574392</v>
      </c>
      <c r="G877" t="s">
        <v>1181</v>
      </c>
    </row>
    <row r="878" spans="1:7" x14ac:dyDescent="0.25">
      <c r="A878" s="4" t="str">
        <f>HYPERLINK("http://amigo.geneontology.org/cgi-bin/amigo/term-details.cgi?term=GO:0015276","GO:0015276")</f>
        <v>GO:0015276</v>
      </c>
      <c r="B878" t="s">
        <v>1187</v>
      </c>
      <c r="C878">
        <v>100</v>
      </c>
      <c r="D878">
        <v>13</v>
      </c>
      <c r="E878">
        <v>4.6750555514878403E-2</v>
      </c>
      <c r="F878">
        <v>0.233752777574392</v>
      </c>
      <c r="G878" t="s">
        <v>1181</v>
      </c>
    </row>
    <row r="879" spans="1:7" x14ac:dyDescent="0.25">
      <c r="A879" s="4" t="str">
        <f>HYPERLINK("http://amigo.geneontology.org/cgi-bin/amigo/term-details.cgi?term=GO:0005230","GO:0005230")</f>
        <v>GO:0005230</v>
      </c>
      <c r="B879" t="s">
        <v>1186</v>
      </c>
      <c r="C879">
        <v>100</v>
      </c>
      <c r="D879">
        <v>13</v>
      </c>
      <c r="E879">
        <v>4.6750555514878403E-2</v>
      </c>
      <c r="F879">
        <v>0.233752777574392</v>
      </c>
      <c r="G879" t="s">
        <v>1181</v>
      </c>
    </row>
    <row r="880" spans="1:7" x14ac:dyDescent="0.25">
      <c r="A880" s="4" t="str">
        <f>HYPERLINK("http://amigo.geneontology.org/cgi-bin/amigo/term-details.cgi?term=GO:0030594","GO:0030594")</f>
        <v>GO:0030594</v>
      </c>
      <c r="B880" t="s">
        <v>1185</v>
      </c>
      <c r="C880">
        <v>100</v>
      </c>
      <c r="D880">
        <v>13</v>
      </c>
      <c r="E880">
        <v>4.6750555514878403E-2</v>
      </c>
      <c r="F880">
        <v>0.233752777574392</v>
      </c>
      <c r="G880" t="s">
        <v>1181</v>
      </c>
    </row>
    <row r="881" spans="1:7" x14ac:dyDescent="0.25">
      <c r="A881" s="4" t="str">
        <f>HYPERLINK("http://amigo.geneontology.org/cgi-bin/amigo/term-details.cgi?term=GO:0022835","GO:0022835")</f>
        <v>GO:0022835</v>
      </c>
      <c r="B881" t="s">
        <v>1184</v>
      </c>
      <c r="C881">
        <v>100</v>
      </c>
      <c r="D881">
        <v>13</v>
      </c>
      <c r="E881">
        <v>4.6750555514878403E-2</v>
      </c>
      <c r="F881">
        <v>0.233752777574392</v>
      </c>
      <c r="G881" t="s">
        <v>1181</v>
      </c>
    </row>
    <row r="882" spans="1:7" x14ac:dyDescent="0.25">
      <c r="A882" s="4" t="str">
        <f>HYPERLINK("http://amigo.geneontology.org/cgi-bin/amigo/term-details.cgi?term=GO:0022824","GO:0022824")</f>
        <v>GO:0022824</v>
      </c>
      <c r="B882" t="s">
        <v>1183</v>
      </c>
      <c r="C882">
        <v>100</v>
      </c>
      <c r="D882">
        <v>13</v>
      </c>
      <c r="E882">
        <v>4.6750555514878403E-2</v>
      </c>
      <c r="F882">
        <v>0.233752777574392</v>
      </c>
      <c r="G882" t="s">
        <v>1181</v>
      </c>
    </row>
    <row r="883" spans="1:7" x14ac:dyDescent="0.25">
      <c r="A883" s="4" t="str">
        <f>HYPERLINK("http://amigo.geneontology.org/cgi-bin/amigo/term-details.cgi?term=GO:0004970","GO:0004970")</f>
        <v>GO:0004970</v>
      </c>
      <c r="B883" t="s">
        <v>1182</v>
      </c>
      <c r="C883">
        <v>100</v>
      </c>
      <c r="D883">
        <v>13</v>
      </c>
      <c r="E883">
        <v>4.6750555514878403E-2</v>
      </c>
      <c r="F883">
        <v>0.233752777574392</v>
      </c>
      <c r="G883" t="s">
        <v>1181</v>
      </c>
    </row>
    <row r="884" spans="1:7" x14ac:dyDescent="0.25">
      <c r="A884" s="4" t="str">
        <f>HYPERLINK("http://amigo.geneontology.org/cgi-bin/amigo/term-details.cgi?term=GO:0048046","GO:0048046")</f>
        <v>GO:0048046</v>
      </c>
      <c r="B884" t="s">
        <v>1432</v>
      </c>
      <c r="C884">
        <v>357</v>
      </c>
      <c r="D884">
        <v>37</v>
      </c>
      <c r="E884">
        <v>4.6851029166070403E-2</v>
      </c>
      <c r="F884">
        <v>0.23425514583035201</v>
      </c>
      <c r="G884" t="s">
        <v>1431</v>
      </c>
    </row>
    <row r="885" spans="1:7" x14ac:dyDescent="0.25">
      <c r="A885" s="4" t="str">
        <f>HYPERLINK("http://amigo.geneontology.org/cgi-bin/amigo/term-details.cgi?term=GO:0031407","GO:0031407")</f>
        <v>GO:0031407</v>
      </c>
      <c r="B885" t="s">
        <v>1430</v>
      </c>
      <c r="C885">
        <v>43</v>
      </c>
      <c r="D885">
        <v>7</v>
      </c>
      <c r="E885">
        <v>4.6855440937252697E-2</v>
      </c>
      <c r="F885">
        <v>0.23427720468626301</v>
      </c>
      <c r="G885" t="s">
        <v>1428</v>
      </c>
    </row>
    <row r="886" spans="1:7" x14ac:dyDescent="0.25">
      <c r="A886" s="4" t="str">
        <f>HYPERLINK("http://amigo.geneontology.org/cgi-bin/amigo/term-details.cgi?term=GO:0031408","GO:0031408")</f>
        <v>GO:0031408</v>
      </c>
      <c r="B886" t="s">
        <v>1429</v>
      </c>
      <c r="C886">
        <v>43</v>
      </c>
      <c r="D886">
        <v>7</v>
      </c>
      <c r="E886">
        <v>4.6855440937252697E-2</v>
      </c>
      <c r="F886">
        <v>0.23427720468626301</v>
      </c>
      <c r="G886" t="s">
        <v>1428</v>
      </c>
    </row>
    <row r="887" spans="1:7" x14ac:dyDescent="0.25">
      <c r="A887" s="4" t="str">
        <f>HYPERLINK("http://amigo.geneontology.org/cgi-bin/amigo/term-details.cgi?term=GO:0055072","GO:0055072")</f>
        <v>GO:0055072</v>
      </c>
      <c r="B887" t="s">
        <v>85</v>
      </c>
      <c r="C887">
        <v>26</v>
      </c>
      <c r="D887">
        <v>5</v>
      </c>
      <c r="E887">
        <v>4.7468458887580403E-2</v>
      </c>
      <c r="F887">
        <v>0.237342294437902</v>
      </c>
      <c r="G887" t="s">
        <v>1427</v>
      </c>
    </row>
    <row r="888" spans="1:7" x14ac:dyDescent="0.25">
      <c r="A888" s="4" t="str">
        <f>HYPERLINK("http://amigo.geneontology.org/cgi-bin/amigo/term-details.cgi?term=GO:1901615","GO:1901615")</f>
        <v>GO:1901615</v>
      </c>
      <c r="B888" t="s">
        <v>1426</v>
      </c>
      <c r="C888">
        <v>516</v>
      </c>
      <c r="D888">
        <v>51</v>
      </c>
      <c r="E888">
        <v>4.81393432786923E-2</v>
      </c>
      <c r="F888">
        <v>0.24069671639346099</v>
      </c>
      <c r="G888" t="s">
        <v>1425</v>
      </c>
    </row>
    <row r="889" spans="1:7" x14ac:dyDescent="0.25">
      <c r="A889" s="4" t="str">
        <f>HYPERLINK("http://amigo.geneontology.org/cgi-bin/amigo/term-details.cgi?term=GO:0016412","GO:0016412")</f>
        <v>GO:0016412</v>
      </c>
      <c r="B889" t="s">
        <v>1180</v>
      </c>
      <c r="C889">
        <v>11</v>
      </c>
      <c r="D889">
        <v>3</v>
      </c>
      <c r="E889">
        <v>4.8481821372651598E-2</v>
      </c>
      <c r="F889">
        <v>0.24240910686325801</v>
      </c>
      <c r="G889" t="s">
        <v>1178</v>
      </c>
    </row>
    <row r="890" spans="1:7" x14ac:dyDescent="0.25">
      <c r="A890" s="4" t="str">
        <f>HYPERLINK("http://amigo.geneontology.org/cgi-bin/amigo/term-details.cgi?term=GO:0009001","GO:0009001")</f>
        <v>GO:0009001</v>
      </c>
      <c r="B890" t="s">
        <v>1179</v>
      </c>
      <c r="C890">
        <v>11</v>
      </c>
      <c r="D890">
        <v>3</v>
      </c>
      <c r="E890">
        <v>4.8481821372651598E-2</v>
      </c>
      <c r="F890">
        <v>0.24240910686325801</v>
      </c>
      <c r="G890" t="s">
        <v>1178</v>
      </c>
    </row>
    <row r="891" spans="1:7" x14ac:dyDescent="0.25">
      <c r="A891" s="4" t="str">
        <f>HYPERLINK("http://amigo.geneontology.org/cgi-bin/amigo/term-details.cgi?term=GO:0010285","GO:0010285")</f>
        <v>GO:0010285</v>
      </c>
      <c r="B891" t="s">
        <v>127</v>
      </c>
      <c r="C891">
        <v>11</v>
      </c>
      <c r="D891">
        <v>3</v>
      </c>
      <c r="E891">
        <v>4.8481821372651598E-2</v>
      </c>
      <c r="F891">
        <v>0.24240910686325801</v>
      </c>
      <c r="G891" t="s">
        <v>126</v>
      </c>
    </row>
    <row r="892" spans="1:7" x14ac:dyDescent="0.25">
      <c r="A892" s="4" t="str">
        <f>HYPERLINK("http://amigo.geneontology.org/cgi-bin/amigo/term-details.cgi?term=GO:0055070","GO:0055070")</f>
        <v>GO:0055070</v>
      </c>
      <c r="B892" t="s">
        <v>1424</v>
      </c>
      <c r="C892">
        <v>11</v>
      </c>
      <c r="D892">
        <v>3</v>
      </c>
      <c r="E892">
        <v>4.8481821372651598E-2</v>
      </c>
      <c r="F892">
        <v>0.24240910686325801</v>
      </c>
      <c r="G892" t="s">
        <v>1423</v>
      </c>
    </row>
    <row r="893" spans="1:7" x14ac:dyDescent="0.25">
      <c r="A893" s="4" t="str">
        <f>HYPERLINK("http://amigo.geneontology.org/cgi-bin/amigo/term-details.cgi?term=GO:0019199","GO:0019199")</f>
        <v>GO:0019199</v>
      </c>
      <c r="B893" t="s">
        <v>1422</v>
      </c>
      <c r="C893">
        <v>11</v>
      </c>
      <c r="D893">
        <v>3</v>
      </c>
      <c r="E893">
        <v>4.8481821372651598E-2</v>
      </c>
      <c r="F893">
        <v>0.24240910686325801</v>
      </c>
      <c r="G893" t="s">
        <v>1421</v>
      </c>
    </row>
    <row r="894" spans="1:7" x14ac:dyDescent="0.25">
      <c r="A894" s="4" t="str">
        <f>HYPERLINK("http://amigo.geneontology.org/cgi-bin/amigo/term-details.cgi?term=GO:0009644","GO:0009644")</f>
        <v>GO:0009644</v>
      </c>
      <c r="B894" t="s">
        <v>1420</v>
      </c>
      <c r="C894">
        <v>111</v>
      </c>
      <c r="D894">
        <v>14</v>
      </c>
      <c r="E894">
        <v>4.9785002545851997E-2</v>
      </c>
      <c r="F894">
        <v>0.24892501272925999</v>
      </c>
      <c r="G894" t="s">
        <v>1419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2"/>
  <sheetViews>
    <sheetView workbookViewId="0">
      <pane xSplit="5" ySplit="10" topLeftCell="F406" activePane="bottomRight" state="frozen"/>
      <selection pane="topRight" activeCell="F1" sqref="F1"/>
      <selection pane="bottomLeft" activeCell="A11" sqref="A11"/>
      <selection pane="bottomRight" activeCell="A421" sqref="A421"/>
    </sheetView>
  </sheetViews>
  <sheetFormatPr defaultRowHeight="15" x14ac:dyDescent="0.25"/>
  <cols>
    <col min="1" max="1" width="13.85546875" customWidth="1"/>
    <col min="2" max="2" width="28.85546875" customWidth="1"/>
  </cols>
  <sheetData>
    <row r="1" spans="1:7" x14ac:dyDescent="0.25">
      <c r="A1" t="s">
        <v>392</v>
      </c>
      <c r="B1">
        <v>3485</v>
      </c>
    </row>
    <row r="2" spans="1:7" x14ac:dyDescent="0.25">
      <c r="A2" t="s">
        <v>391</v>
      </c>
      <c r="B2">
        <v>77079</v>
      </c>
    </row>
    <row r="3" spans="1:7" x14ac:dyDescent="0.25">
      <c r="A3" t="s">
        <v>390</v>
      </c>
      <c r="B3" t="s">
        <v>389</v>
      </c>
    </row>
    <row r="4" spans="1:7" x14ac:dyDescent="0.25">
      <c r="A4" t="s">
        <v>388</v>
      </c>
      <c r="B4" t="s">
        <v>387</v>
      </c>
    </row>
    <row r="5" spans="1:7" x14ac:dyDescent="0.25">
      <c r="A5" t="s">
        <v>386</v>
      </c>
      <c r="B5" t="s">
        <v>385</v>
      </c>
    </row>
    <row r="6" spans="1:7" x14ac:dyDescent="0.25">
      <c r="A6" t="s">
        <v>384</v>
      </c>
      <c r="B6" t="s">
        <v>383</v>
      </c>
    </row>
    <row r="7" spans="1:7" x14ac:dyDescent="0.25">
      <c r="A7" t="s">
        <v>382</v>
      </c>
      <c r="B7" t="s">
        <v>381</v>
      </c>
    </row>
    <row r="8" spans="1:7" x14ac:dyDescent="0.25">
      <c r="A8" t="s">
        <v>380</v>
      </c>
      <c r="B8">
        <v>3</v>
      </c>
    </row>
    <row r="10" spans="1:7" x14ac:dyDescent="0.25">
      <c r="A10" t="s">
        <v>379</v>
      </c>
      <c r="B10" t="s">
        <v>378</v>
      </c>
      <c r="C10" t="s">
        <v>377</v>
      </c>
      <c r="D10" t="s">
        <v>376</v>
      </c>
      <c r="E10" t="s">
        <v>375</v>
      </c>
      <c r="F10" t="s">
        <v>374</v>
      </c>
      <c r="G10" t="s">
        <v>373</v>
      </c>
    </row>
    <row r="11" spans="1:7" x14ac:dyDescent="0.25">
      <c r="A11" s="4" t="str">
        <f>HYPERLINK("http://amigo.geneontology.org/cgi-bin/amigo/term-details.cgi?term=GO:0009507","GO:0009507")</f>
        <v>GO:0009507</v>
      </c>
      <c r="B11" t="s">
        <v>742</v>
      </c>
      <c r="C11">
        <v>2400</v>
      </c>
      <c r="D11">
        <v>558</v>
      </c>
      <c r="E11" s="2">
        <v>1.01455013331813E-238</v>
      </c>
      <c r="F11" s="2">
        <v>4.5806938519313897E-235</v>
      </c>
      <c r="G11" t="s">
        <v>4311</v>
      </c>
    </row>
    <row r="12" spans="1:7" x14ac:dyDescent="0.25">
      <c r="A12" s="4" t="str">
        <f>HYPERLINK("http://amigo.geneontology.org/cgi-bin/amigo/term-details.cgi?term=GO:0009536","GO:0009536")</f>
        <v>GO:0009536</v>
      </c>
      <c r="B12" t="s">
        <v>743</v>
      </c>
      <c r="C12">
        <v>2465</v>
      </c>
      <c r="D12">
        <v>562</v>
      </c>
      <c r="E12" s="2">
        <v>6.3421427951620796E-236</v>
      </c>
      <c r="F12" s="2">
        <v>1.43142162886808E-232</v>
      </c>
      <c r="G12" t="s">
        <v>4310</v>
      </c>
    </row>
    <row r="13" spans="1:7" x14ac:dyDescent="0.25">
      <c r="A13" s="4" t="str">
        <f>HYPERLINK("http://amigo.geneontology.org/cgi-bin/amigo/term-details.cgi?term=GO:0044464","GO:0044464")</f>
        <v>GO:0044464</v>
      </c>
      <c r="B13" t="s">
        <v>898</v>
      </c>
      <c r="C13">
        <v>16257</v>
      </c>
      <c r="D13">
        <v>1469</v>
      </c>
      <c r="E13" s="2">
        <v>5.6874507981916503E-182</v>
      </c>
      <c r="F13" s="2">
        <v>8.5596134512784401E-179</v>
      </c>
      <c r="G13" t="s">
        <v>4309</v>
      </c>
    </row>
    <row r="14" spans="1:7" x14ac:dyDescent="0.25">
      <c r="A14" s="4" t="str">
        <f>HYPERLINK("http://amigo.geneontology.org/cgi-bin/amigo/term-details.cgi?term=GO:0044435","GO:0044435")</f>
        <v>GO:0044435</v>
      </c>
      <c r="B14" t="s">
        <v>4308</v>
      </c>
      <c r="C14">
        <v>1342</v>
      </c>
      <c r="D14">
        <v>365</v>
      </c>
      <c r="E14" s="2">
        <v>5.6579657359967302E-178</v>
      </c>
      <c r="F14" s="2">
        <v>6.3821853502043201E-175</v>
      </c>
      <c r="G14" t="s">
        <v>4307</v>
      </c>
    </row>
    <row r="15" spans="1:7" x14ac:dyDescent="0.25">
      <c r="A15" s="4" t="str">
        <f>HYPERLINK("http://amigo.geneontology.org/cgi-bin/amigo/term-details.cgi?term=GO:0005622","GO:0005622")</f>
        <v>GO:0005622</v>
      </c>
      <c r="B15" t="s">
        <v>897</v>
      </c>
      <c r="C15">
        <v>15312</v>
      </c>
      <c r="D15">
        <v>1405</v>
      </c>
      <c r="E15" s="2">
        <v>1.2558525156486401E-177</v>
      </c>
      <c r="F15" s="2">
        <v>1.13403482163072E-174</v>
      </c>
      <c r="G15" t="s">
        <v>4306</v>
      </c>
    </row>
    <row r="16" spans="1:7" x14ac:dyDescent="0.25">
      <c r="A16" s="4" t="str">
        <f>HYPERLINK("http://amigo.geneontology.org/cgi-bin/amigo/term-details.cgi?term=GO:0044424","GO:0044424")</f>
        <v>GO:0044424</v>
      </c>
      <c r="B16" t="s">
        <v>794</v>
      </c>
      <c r="C16">
        <v>14715</v>
      </c>
      <c r="D16">
        <v>1369</v>
      </c>
      <c r="E16" s="2">
        <v>3.7969707252891798E-177</v>
      </c>
      <c r="F16" s="2">
        <v>2.8553219854174601E-174</v>
      </c>
      <c r="G16" t="s">
        <v>4305</v>
      </c>
    </row>
    <row r="17" spans="1:7" x14ac:dyDescent="0.25">
      <c r="A17" s="4" t="str">
        <f>HYPERLINK("http://amigo.geneontology.org/cgi-bin/amigo/term-details.cgi?term=GO:0044434","GO:0044434")</f>
        <v>GO:0044434</v>
      </c>
      <c r="B17" t="s">
        <v>4304</v>
      </c>
      <c r="C17">
        <v>1321</v>
      </c>
      <c r="D17">
        <v>361</v>
      </c>
      <c r="E17" s="2">
        <v>9.9424743703240392E-177</v>
      </c>
      <c r="F17" s="2">
        <v>6.4128959688590099E-174</v>
      </c>
      <c r="G17" t="s">
        <v>4303</v>
      </c>
    </row>
    <row r="18" spans="1:7" x14ac:dyDescent="0.25">
      <c r="A18" s="4" t="str">
        <f>HYPERLINK("http://amigo.geneontology.org/cgi-bin/amigo/term-details.cgi?term=GO:0005737","GO:0005737")</f>
        <v>GO:0005737</v>
      </c>
      <c r="B18" t="s">
        <v>796</v>
      </c>
      <c r="C18">
        <v>8767</v>
      </c>
      <c r="D18">
        <v>986</v>
      </c>
      <c r="E18" s="2">
        <v>4.4216868266339698E-173</v>
      </c>
      <c r="F18" s="2">
        <v>2.49383137022156E-170</v>
      </c>
      <c r="G18" t="s">
        <v>4302</v>
      </c>
    </row>
    <row r="19" spans="1:7" x14ac:dyDescent="0.25">
      <c r="A19" s="4" t="str">
        <f>HYPERLINK("http://amigo.geneontology.org/cgi-bin/amigo/term-details.cgi?term=GO:0044444","GO:0044444")</f>
        <v>GO:0044444</v>
      </c>
      <c r="B19" t="s">
        <v>773</v>
      </c>
      <c r="C19">
        <v>7648</v>
      </c>
      <c r="D19">
        <v>883</v>
      </c>
      <c r="E19" s="2">
        <v>1.6324543581851499E-159</v>
      </c>
      <c r="F19" s="2">
        <v>8.1785963345076404E-157</v>
      </c>
      <c r="G19" t="s">
        <v>4301</v>
      </c>
    </row>
    <row r="20" spans="1:7" x14ac:dyDescent="0.25">
      <c r="A20" s="4" t="str">
        <f>HYPERLINK("http://amigo.geneontology.org/cgi-bin/amigo/term-details.cgi?term=GO:0044446","GO:0044446")</f>
        <v>GO:0044446</v>
      </c>
      <c r="B20" t="s">
        <v>572</v>
      </c>
      <c r="C20">
        <v>5191</v>
      </c>
      <c r="D20">
        <v>684</v>
      </c>
      <c r="E20" s="2">
        <v>7.2676496430017904E-149</v>
      </c>
      <c r="F20" s="2">
        <v>3.2777099889938002E-146</v>
      </c>
      <c r="G20" t="s">
        <v>4300</v>
      </c>
    </row>
    <row r="21" spans="1:7" x14ac:dyDescent="0.25">
      <c r="A21" s="4" t="str">
        <f>HYPERLINK("http://amigo.geneontology.org/cgi-bin/amigo/term-details.cgi?term=GO:0044422","GO:0044422")</f>
        <v>GO:0044422</v>
      </c>
      <c r="B21" t="s">
        <v>836</v>
      </c>
      <c r="C21">
        <v>5201</v>
      </c>
      <c r="D21">
        <v>684</v>
      </c>
      <c r="E21" s="2">
        <v>2.00489938274355E-148</v>
      </c>
      <c r="F21" s="2">
        <v>8.22008746924857E-146</v>
      </c>
      <c r="G21" t="s">
        <v>4300</v>
      </c>
    </row>
    <row r="22" spans="1:7" x14ac:dyDescent="0.25">
      <c r="A22" s="4" t="str">
        <f>HYPERLINK("http://amigo.geneontology.org/cgi-bin/amigo/term-details.cgi?term=GO:0043229","GO:0043229")</f>
        <v>GO:0043229</v>
      </c>
      <c r="B22" t="s">
        <v>768</v>
      </c>
      <c r="C22">
        <v>11998</v>
      </c>
      <c r="D22">
        <v>1143</v>
      </c>
      <c r="E22" s="2">
        <v>2.33803414504358E-148</v>
      </c>
      <c r="F22" s="2">
        <v>8.7910083853638801E-146</v>
      </c>
      <c r="G22" t="s">
        <v>4299</v>
      </c>
    </row>
    <row r="23" spans="1:7" x14ac:dyDescent="0.25">
      <c r="A23" s="4" t="str">
        <f>HYPERLINK("http://amigo.geneontology.org/cgi-bin/amigo/term-details.cgi?term=GO:0019682","GO:0019682")</f>
        <v>GO:0019682</v>
      </c>
      <c r="B23" t="s">
        <v>504</v>
      </c>
      <c r="C23">
        <v>421</v>
      </c>
      <c r="D23">
        <v>178</v>
      </c>
      <c r="E23" s="2">
        <v>1.7807391948850701E-123</v>
      </c>
      <c r="F23" s="2">
        <v>6.1791650062512002E-121</v>
      </c>
      <c r="G23" t="s">
        <v>4298</v>
      </c>
    </row>
    <row r="24" spans="1:7" x14ac:dyDescent="0.25">
      <c r="A24" s="4" t="str">
        <f>HYPERLINK("http://amigo.geneontology.org/cgi-bin/amigo/term-details.cgi?term=GO:0043231","GO:0043231")</f>
        <v>GO:0043231</v>
      </c>
      <c r="B24" t="s">
        <v>432</v>
      </c>
      <c r="C24">
        <v>10073</v>
      </c>
      <c r="D24">
        <v>965</v>
      </c>
      <c r="E24" s="2">
        <v>2.5798882675084098E-122</v>
      </c>
      <c r="F24" s="2">
        <v>8.3072402213770995E-120</v>
      </c>
      <c r="G24" t="s">
        <v>4297</v>
      </c>
    </row>
    <row r="25" spans="1:7" x14ac:dyDescent="0.25">
      <c r="A25" s="4" t="str">
        <f>HYPERLINK("http://amigo.geneontology.org/cgi-bin/amigo/term-details.cgi?term=GO:0043227","GO:0043227")</f>
        <v>GO:0043227</v>
      </c>
      <c r="B25" t="s">
        <v>816</v>
      </c>
      <c r="C25">
        <v>10194</v>
      </c>
      <c r="D25">
        <v>972</v>
      </c>
      <c r="E25" s="2">
        <v>4.4798772081807098E-122</v>
      </c>
      <c r="F25" s="2">
        <v>1.34844303966239E-119</v>
      </c>
      <c r="G25" t="s">
        <v>4296</v>
      </c>
    </row>
    <row r="26" spans="1:7" x14ac:dyDescent="0.25">
      <c r="A26" s="4" t="str">
        <f>HYPERLINK("http://amigo.geneontology.org/cgi-bin/amigo/term-details.cgi?term=GO:0009532","GO:0009532")</f>
        <v>GO:0009532</v>
      </c>
      <c r="B26" t="s">
        <v>4295</v>
      </c>
      <c r="C26">
        <v>702</v>
      </c>
      <c r="D26">
        <v>220</v>
      </c>
      <c r="E26" s="2">
        <v>1.71398181010141E-120</v>
      </c>
      <c r="F26" s="2">
        <v>4.8334287044859899E-118</v>
      </c>
      <c r="G26" t="s">
        <v>4294</v>
      </c>
    </row>
    <row r="27" spans="1:7" x14ac:dyDescent="0.25">
      <c r="A27" s="4" t="str">
        <f>HYPERLINK("http://amigo.geneontology.org/cgi-bin/amigo/term-details.cgi?term=GO:0009570","GO:0009570")</f>
        <v>GO:0009570</v>
      </c>
      <c r="B27" t="s">
        <v>4293</v>
      </c>
      <c r="C27">
        <v>684</v>
      </c>
      <c r="D27">
        <v>213</v>
      </c>
      <c r="E27" s="2">
        <v>5.0550296513191399E-116</v>
      </c>
      <c r="F27" s="2">
        <v>1.3395828575995701E-113</v>
      </c>
      <c r="G27" t="s">
        <v>4292</v>
      </c>
    </row>
    <row r="28" spans="1:7" x14ac:dyDescent="0.25">
      <c r="A28" s="4" t="str">
        <f>HYPERLINK("http://amigo.geneontology.org/cgi-bin/amigo/term-details.cgi?term=GO:0016043","GO:0016043")</f>
        <v>GO:0016043</v>
      </c>
      <c r="B28" t="s">
        <v>863</v>
      </c>
      <c r="C28">
        <v>3824</v>
      </c>
      <c r="D28">
        <v>519</v>
      </c>
      <c r="E28" s="2">
        <v>1.3164966204812499E-115</v>
      </c>
      <c r="F28" s="2">
        <v>3.2912415512031198E-113</v>
      </c>
      <c r="G28" t="s">
        <v>4291</v>
      </c>
    </row>
    <row r="29" spans="1:7" x14ac:dyDescent="0.25">
      <c r="A29" s="4" t="str">
        <f>HYPERLINK("http://amigo.geneontology.org/cgi-bin/amigo/term-details.cgi?term=GO:0006081","GO:0006081")</f>
        <v>GO:0006081</v>
      </c>
      <c r="B29" t="s">
        <v>831</v>
      </c>
      <c r="C29">
        <v>549</v>
      </c>
      <c r="D29">
        <v>188</v>
      </c>
      <c r="E29" s="2">
        <v>9.7274441026472596E-111</v>
      </c>
      <c r="F29" s="2">
        <v>2.3054042523274002E-108</v>
      </c>
      <c r="G29" t="s">
        <v>4290</v>
      </c>
    </row>
    <row r="30" spans="1:7" x14ac:dyDescent="0.25">
      <c r="A30" s="4" t="str">
        <f>HYPERLINK("http://amigo.geneontology.org/cgi-bin/amigo/term-details.cgi?term=GO:1901576","GO:1901576")</f>
        <v>GO:1901576</v>
      </c>
      <c r="B30" t="s">
        <v>910</v>
      </c>
      <c r="C30">
        <v>8234</v>
      </c>
      <c r="D30">
        <v>817</v>
      </c>
      <c r="E30" s="2">
        <v>8.9912071779161706E-109</v>
      </c>
      <c r="F30" s="2">
        <v>2.02302161503113E-106</v>
      </c>
      <c r="G30" t="s">
        <v>4289</v>
      </c>
    </row>
    <row r="31" spans="1:7" x14ac:dyDescent="0.25">
      <c r="A31" s="4" t="str">
        <f>HYPERLINK("http://amigo.geneontology.org/cgi-bin/amigo/term-details.cgi?term=GO:0009941","GO:0009941")</f>
        <v>GO:0009941</v>
      </c>
      <c r="B31" t="s">
        <v>4288</v>
      </c>
      <c r="C31">
        <v>576</v>
      </c>
      <c r="D31">
        <v>188</v>
      </c>
      <c r="E31" s="2">
        <v>1.74142936592281E-106</v>
      </c>
      <c r="F31" s="2">
        <v>3.7440731367340399E-104</v>
      </c>
      <c r="G31" t="s">
        <v>4287</v>
      </c>
    </row>
    <row r="32" spans="1:7" x14ac:dyDescent="0.25">
      <c r="A32" s="4" t="str">
        <f>HYPERLINK("http://amigo.geneontology.org/cgi-bin/amigo/term-details.cgi?term=GO:0019288","GO:0019288")</f>
        <v>GO:0019288</v>
      </c>
      <c r="B32" t="s">
        <v>1255</v>
      </c>
      <c r="C32">
        <v>271</v>
      </c>
      <c r="D32">
        <v>135</v>
      </c>
      <c r="E32" s="2">
        <v>1.05225375530658E-105</v>
      </c>
      <c r="F32" s="2">
        <v>2.1571201983784799E-103</v>
      </c>
      <c r="G32" t="s">
        <v>4284</v>
      </c>
    </row>
    <row r="33" spans="1:7" x14ac:dyDescent="0.25">
      <c r="A33" s="4" t="str">
        <f>HYPERLINK("http://amigo.geneontology.org/cgi-bin/amigo/term-details.cgi?term=GO:0009526","GO:0009526")</f>
        <v>GO:0009526</v>
      </c>
      <c r="B33" t="s">
        <v>4286</v>
      </c>
      <c r="C33">
        <v>590</v>
      </c>
      <c r="D33">
        <v>189</v>
      </c>
      <c r="E33" s="2">
        <v>2.0911210869350598E-105</v>
      </c>
      <c r="F33" s="2">
        <v>4.0985973303927299E-103</v>
      </c>
      <c r="G33" t="s">
        <v>4285</v>
      </c>
    </row>
    <row r="34" spans="1:7" x14ac:dyDescent="0.25">
      <c r="A34" s="4" t="str">
        <f>HYPERLINK("http://amigo.geneontology.org/cgi-bin/amigo/term-details.cgi?term=GO:0046490","GO:0046490")</f>
        <v>GO:0046490</v>
      </c>
      <c r="B34" t="s">
        <v>982</v>
      </c>
      <c r="C34">
        <v>281</v>
      </c>
      <c r="D34">
        <v>135</v>
      </c>
      <c r="E34" s="2">
        <v>5.4955705312515602E-103</v>
      </c>
      <c r="F34" s="2">
        <v>9.8920269562528204E-101</v>
      </c>
      <c r="G34" t="s">
        <v>4284</v>
      </c>
    </row>
    <row r="35" spans="1:7" x14ac:dyDescent="0.25">
      <c r="A35" s="4" t="str">
        <f>HYPERLINK("http://amigo.geneontology.org/cgi-bin/amigo/term-details.cgi?term=GO:0009240","GO:0009240")</f>
        <v>GO:0009240</v>
      </c>
      <c r="B35" t="s">
        <v>981</v>
      </c>
      <c r="C35">
        <v>281</v>
      </c>
      <c r="D35">
        <v>135</v>
      </c>
      <c r="E35" s="2">
        <v>5.4955705312515602E-103</v>
      </c>
      <c r="F35" s="2">
        <v>1.03316725987529E-100</v>
      </c>
      <c r="G35" t="s">
        <v>4284</v>
      </c>
    </row>
    <row r="36" spans="1:7" x14ac:dyDescent="0.25">
      <c r="A36" s="4" t="str">
        <f>HYPERLINK("http://amigo.geneontology.org/cgi-bin/amigo/term-details.cgi?term=GO:0006996","GO:0006996")</f>
        <v>GO:0006996</v>
      </c>
      <c r="B36" t="s">
        <v>875</v>
      </c>
      <c r="C36">
        <v>2530</v>
      </c>
      <c r="D36">
        <v>390</v>
      </c>
      <c r="E36" s="2">
        <v>1.16819257890749E-102</v>
      </c>
      <c r="F36" s="2">
        <v>2.0209731615099599E-100</v>
      </c>
      <c r="G36" t="s">
        <v>4283</v>
      </c>
    </row>
    <row r="37" spans="1:7" x14ac:dyDescent="0.25">
      <c r="A37" s="4" t="str">
        <f>HYPERLINK("http://amigo.geneontology.org/cgi-bin/amigo/term-details.cgi?term=GO:0009058","GO:0009058")</f>
        <v>GO:0009058</v>
      </c>
      <c r="B37" t="s">
        <v>908</v>
      </c>
      <c r="C37">
        <v>8741</v>
      </c>
      <c r="D37">
        <v>835</v>
      </c>
      <c r="E37" s="2">
        <v>1.30616043981746E-102</v>
      </c>
      <c r="F37" s="2">
        <v>2.18128793449516E-100</v>
      </c>
      <c r="G37" t="s">
        <v>4282</v>
      </c>
    </row>
    <row r="38" spans="1:7" x14ac:dyDescent="0.25">
      <c r="A38" s="4" t="str">
        <f>HYPERLINK("http://amigo.geneontology.org/cgi-bin/amigo/term-details.cgi?term=GO:0015979","GO:0015979")</f>
        <v>GO:0015979</v>
      </c>
      <c r="B38" t="s">
        <v>842</v>
      </c>
      <c r="C38">
        <v>834</v>
      </c>
      <c r="D38">
        <v>217</v>
      </c>
      <c r="E38" s="2">
        <v>6.9710048645827494E-101</v>
      </c>
      <c r="F38" s="2">
        <v>1.12233178319782E-98</v>
      </c>
      <c r="G38" t="s">
        <v>4281</v>
      </c>
    </row>
    <row r="39" spans="1:7" x14ac:dyDescent="0.25">
      <c r="A39" s="4" t="str">
        <f>HYPERLINK("http://amigo.geneontology.org/cgi-bin/amigo/term-details.cgi?term=GO:0031984","GO:0031984")</f>
        <v>GO:0031984</v>
      </c>
      <c r="B39" t="s">
        <v>1243</v>
      </c>
      <c r="C39">
        <v>654</v>
      </c>
      <c r="D39">
        <v>193</v>
      </c>
      <c r="E39" s="2">
        <v>2.1002263244220501E-100</v>
      </c>
      <c r="F39" s="2">
        <v>3.2553508028541799E-98</v>
      </c>
      <c r="G39" t="s">
        <v>4280</v>
      </c>
    </row>
    <row r="40" spans="1:7" x14ac:dyDescent="0.25">
      <c r="A40" s="4" t="str">
        <f>HYPERLINK("http://amigo.geneontology.org/cgi-bin/amigo/term-details.cgi?term=GO:0009657","GO:0009657")</f>
        <v>GO:0009657</v>
      </c>
      <c r="B40" t="s">
        <v>4279</v>
      </c>
      <c r="C40">
        <v>444</v>
      </c>
      <c r="D40">
        <v>160</v>
      </c>
      <c r="E40" s="2">
        <v>3.2519094398331703E-98</v>
      </c>
      <c r="F40" s="2">
        <v>4.87786415974976E-96</v>
      </c>
      <c r="G40" t="s">
        <v>4278</v>
      </c>
    </row>
    <row r="41" spans="1:7" x14ac:dyDescent="0.25">
      <c r="A41" s="4" t="str">
        <f>HYPERLINK("http://amigo.geneontology.org/cgi-bin/amigo/term-details.cgi?term=GO:0009579","GO:0009579")</f>
        <v>GO:0009579</v>
      </c>
      <c r="B41" t="s">
        <v>501</v>
      </c>
      <c r="C41">
        <v>1139</v>
      </c>
      <c r="D41">
        <v>249</v>
      </c>
      <c r="E41" s="2">
        <v>9.1626644570867899E-98</v>
      </c>
      <c r="F41" s="2">
        <v>1.32858634627758E-95</v>
      </c>
      <c r="G41" t="s">
        <v>4277</v>
      </c>
    </row>
    <row r="42" spans="1:7" x14ac:dyDescent="0.25">
      <c r="A42" s="4" t="str">
        <f>HYPERLINK("http://amigo.geneontology.org/cgi-bin/amigo/term-details.cgi?term=GO:0044249","GO:0044249")</f>
        <v>GO:0044249</v>
      </c>
      <c r="B42" t="s">
        <v>909</v>
      </c>
      <c r="C42">
        <v>8055</v>
      </c>
      <c r="D42">
        <v>779</v>
      </c>
      <c r="E42" s="2">
        <v>2.0043940550420901E-97</v>
      </c>
      <c r="F42" s="2">
        <v>2.82619561760935E-95</v>
      </c>
      <c r="G42" t="s">
        <v>4276</v>
      </c>
    </row>
    <row r="43" spans="1:7" x14ac:dyDescent="0.25">
      <c r="A43" s="4" t="str">
        <f>HYPERLINK("http://amigo.geneontology.org/cgi-bin/amigo/term-details.cgi?term=GO:0042651","GO:0042651")</f>
        <v>GO:0042651</v>
      </c>
      <c r="B43" t="s">
        <v>745</v>
      </c>
      <c r="C43">
        <v>493</v>
      </c>
      <c r="D43">
        <v>166</v>
      </c>
      <c r="E43" s="2">
        <v>1.72834478265331E-96</v>
      </c>
      <c r="F43" s="2">
        <v>2.3505489044085101E-94</v>
      </c>
      <c r="G43" t="s">
        <v>4275</v>
      </c>
    </row>
    <row r="44" spans="1:7" x14ac:dyDescent="0.25">
      <c r="A44" s="4" t="str">
        <f>HYPERLINK("http://amigo.geneontology.org/cgi-bin/amigo/term-details.cgi?term=GO:0031976","GO:0031976")</f>
        <v>GO:0031976</v>
      </c>
      <c r="B44" t="s">
        <v>4274</v>
      </c>
      <c r="C44">
        <v>504</v>
      </c>
      <c r="D44">
        <v>167</v>
      </c>
      <c r="E44" s="2">
        <v>8.3500431460276607E-96</v>
      </c>
      <c r="F44" s="2">
        <v>1.1022056952756499E-93</v>
      </c>
      <c r="G44" t="s">
        <v>4273</v>
      </c>
    </row>
    <row r="45" spans="1:7" x14ac:dyDescent="0.25">
      <c r="A45" s="4" t="str">
        <f>HYPERLINK("http://amigo.geneontology.org/cgi-bin/amigo/term-details.cgi?term=GO:0055035","GO:0055035")</f>
        <v>GO:0055035</v>
      </c>
      <c r="B45" t="s">
        <v>4272</v>
      </c>
      <c r="C45">
        <v>402</v>
      </c>
      <c r="D45">
        <v>150</v>
      </c>
      <c r="E45" s="2">
        <v>1.15345544281644E-94</v>
      </c>
      <c r="F45" s="2">
        <v>1.4418193035205501E-92</v>
      </c>
      <c r="G45" t="s">
        <v>4270</v>
      </c>
    </row>
    <row r="46" spans="1:7" x14ac:dyDescent="0.25">
      <c r="A46" s="4" t="str">
        <f>HYPERLINK("http://amigo.geneontology.org/cgi-bin/amigo/term-details.cgi?term=GO:0009535","GO:0009535")</f>
        <v>GO:0009535</v>
      </c>
      <c r="B46" t="s">
        <v>4271</v>
      </c>
      <c r="C46">
        <v>402</v>
      </c>
      <c r="D46">
        <v>150</v>
      </c>
      <c r="E46" s="2">
        <v>1.15345544281644E-94</v>
      </c>
      <c r="F46" s="2">
        <v>1.4879575212332101E-92</v>
      </c>
      <c r="G46" t="s">
        <v>4270</v>
      </c>
    </row>
    <row r="47" spans="1:7" x14ac:dyDescent="0.25">
      <c r="A47" s="4" t="str">
        <f>HYPERLINK("http://amigo.geneontology.org/cgi-bin/amigo/term-details.cgi?term=GO:0008299","GO:0008299")</f>
        <v>GO:0008299</v>
      </c>
      <c r="B47" t="s">
        <v>181</v>
      </c>
      <c r="C47">
        <v>498</v>
      </c>
      <c r="D47">
        <v>165</v>
      </c>
      <c r="E47" s="2">
        <v>1.17146156790457E-94</v>
      </c>
      <c r="F47" s="2">
        <v>1.4291831128435701E-92</v>
      </c>
      <c r="G47" t="s">
        <v>4269</v>
      </c>
    </row>
    <row r="48" spans="1:7" x14ac:dyDescent="0.25">
      <c r="A48" s="4" t="str">
        <f>HYPERLINK("http://amigo.geneontology.org/cgi-bin/amigo/term-details.cgi?term=GO:0006720","GO:0006720")</f>
        <v>GO:0006720</v>
      </c>
      <c r="B48" t="s">
        <v>166</v>
      </c>
      <c r="C48">
        <v>512</v>
      </c>
      <c r="D48">
        <v>166</v>
      </c>
      <c r="E48" s="2">
        <v>1.51322255113481E-93</v>
      </c>
      <c r="F48" s="2">
        <v>1.7856026103390701E-91</v>
      </c>
      <c r="G48" t="s">
        <v>4268</v>
      </c>
    </row>
    <row r="49" spans="1:7" x14ac:dyDescent="0.25">
      <c r="A49" s="4" t="str">
        <f>HYPERLINK("http://amigo.geneontology.org/cgi-bin/amigo/term-details.cgi?term=GO:0044237","GO:0044237")</f>
        <v>GO:0044237</v>
      </c>
      <c r="B49" t="s">
        <v>895</v>
      </c>
      <c r="C49">
        <v>21432</v>
      </c>
      <c r="D49">
        <v>1516</v>
      </c>
      <c r="E49" s="2">
        <v>9.36114927029314E-92</v>
      </c>
      <c r="F49" s="2">
        <v>1.07653216608371E-89</v>
      </c>
      <c r="G49" t="s">
        <v>4267</v>
      </c>
    </row>
    <row r="50" spans="1:7" x14ac:dyDescent="0.25">
      <c r="A50" s="4" t="str">
        <f>HYPERLINK("http://amigo.geneontology.org/cgi-bin/amigo/term-details.cgi?term=GO:0044281","GO:0044281")</f>
        <v>GO:0044281</v>
      </c>
      <c r="B50" t="s">
        <v>891</v>
      </c>
      <c r="C50">
        <v>4432</v>
      </c>
      <c r="D50">
        <v>517</v>
      </c>
      <c r="E50" s="2">
        <v>5.3186067355287402E-90</v>
      </c>
      <c r="F50" s="2">
        <v>5.95683954379219E-88</v>
      </c>
      <c r="G50" t="s">
        <v>4266</v>
      </c>
    </row>
    <row r="51" spans="1:7" x14ac:dyDescent="0.25">
      <c r="A51" s="4" t="str">
        <f>HYPERLINK("http://amigo.geneontology.org/cgi-bin/amigo/term-details.cgi?term=GO:0006090","GO:0006090")</f>
        <v>GO:0006090</v>
      </c>
      <c r="B51" t="s">
        <v>74</v>
      </c>
      <c r="C51">
        <v>538</v>
      </c>
      <c r="D51">
        <v>166</v>
      </c>
      <c r="E51" s="2">
        <v>9.3510352523831293E-90</v>
      </c>
      <c r="F51" s="2">
        <v>1.0286138777621399E-87</v>
      </c>
      <c r="G51" t="s">
        <v>4265</v>
      </c>
    </row>
    <row r="52" spans="1:7" x14ac:dyDescent="0.25">
      <c r="A52" s="4" t="str">
        <f>HYPERLINK("http://amigo.geneontology.org/cgi-bin/amigo/term-details.cgi?term=GO:0071704","GO:0071704")</f>
        <v>GO:0071704</v>
      </c>
      <c r="B52" t="s">
        <v>905</v>
      </c>
      <c r="C52">
        <v>24369</v>
      </c>
      <c r="D52">
        <v>1644</v>
      </c>
      <c r="E52" s="2">
        <v>1.20184654022107E-85</v>
      </c>
      <c r="F52" s="2">
        <v>1.2859757980365499E-83</v>
      </c>
      <c r="G52" t="s">
        <v>4264</v>
      </c>
    </row>
    <row r="53" spans="1:7" x14ac:dyDescent="0.25">
      <c r="A53" s="4" t="str">
        <f>HYPERLINK("http://amigo.geneontology.org/cgi-bin/amigo/term-details.cgi?term=GO:0034641","GO:0034641")</f>
        <v>GO:0034641</v>
      </c>
      <c r="B53" t="s">
        <v>912</v>
      </c>
      <c r="C53">
        <v>8745</v>
      </c>
      <c r="D53">
        <v>792</v>
      </c>
      <c r="E53" s="2">
        <v>3.27627380927246E-85</v>
      </c>
      <c r="F53" s="2">
        <v>3.4400874997360799E-83</v>
      </c>
      <c r="G53" t="s">
        <v>4263</v>
      </c>
    </row>
    <row r="54" spans="1:7" x14ac:dyDescent="0.25">
      <c r="A54" s="4" t="str">
        <f>HYPERLINK("http://amigo.geneontology.org/cgi-bin/amigo/term-details.cgi?term=GO:0046483","GO:0046483")</f>
        <v>GO:0046483</v>
      </c>
      <c r="B54" t="s">
        <v>904</v>
      </c>
      <c r="C54">
        <v>7301</v>
      </c>
      <c r="D54">
        <v>701</v>
      </c>
      <c r="E54" s="2">
        <v>3.9069822235045001E-85</v>
      </c>
      <c r="F54" s="2">
        <v>3.9851218679745902E-83</v>
      </c>
      <c r="G54" t="s">
        <v>4262</v>
      </c>
    </row>
    <row r="55" spans="1:7" x14ac:dyDescent="0.25">
      <c r="A55" s="4" t="str">
        <f>HYPERLINK("http://amigo.geneontology.org/cgi-bin/amigo/term-details.cgi?term=GO:1901135","GO:1901135")</f>
        <v>GO:1901135</v>
      </c>
      <c r="B55" t="s">
        <v>848</v>
      </c>
      <c r="C55">
        <v>1996</v>
      </c>
      <c r="D55">
        <v>315</v>
      </c>
      <c r="E55" s="2">
        <v>4.69629917633766E-85</v>
      </c>
      <c r="F55" s="2">
        <v>4.6962991763376597E-83</v>
      </c>
      <c r="G55" t="s">
        <v>4261</v>
      </c>
    </row>
    <row r="56" spans="1:7" x14ac:dyDescent="0.25">
      <c r="A56" s="4" t="str">
        <f>HYPERLINK("http://amigo.geneontology.org/cgi-bin/amigo/term-details.cgi?term=GO:0034357","GO:0034357")</f>
        <v>GO:0034357</v>
      </c>
      <c r="B56" t="s">
        <v>546</v>
      </c>
      <c r="C56">
        <v>823</v>
      </c>
      <c r="D56">
        <v>195</v>
      </c>
      <c r="E56" s="2">
        <v>6.0841674209346401E-83</v>
      </c>
      <c r="F56" s="2">
        <v>5.9624840725159497E-81</v>
      </c>
      <c r="G56" t="s">
        <v>4260</v>
      </c>
    </row>
    <row r="57" spans="1:7" x14ac:dyDescent="0.25">
      <c r="A57" s="4" t="str">
        <f>HYPERLINK("http://amigo.geneontology.org/cgi-bin/amigo/term-details.cgi?term=GO:0031975","GO:0031975")</f>
        <v>GO:0031975</v>
      </c>
      <c r="B57" t="s">
        <v>4259</v>
      </c>
      <c r="C57">
        <v>1073</v>
      </c>
      <c r="D57">
        <v>222</v>
      </c>
      <c r="E57" s="2">
        <v>3.0977366160827098E-82</v>
      </c>
      <c r="F57" s="2">
        <v>2.9738271514393999E-80</v>
      </c>
      <c r="G57" t="s">
        <v>4258</v>
      </c>
    </row>
    <row r="58" spans="1:7" x14ac:dyDescent="0.25">
      <c r="A58" s="4" t="str">
        <f>HYPERLINK("http://amigo.geneontology.org/cgi-bin/amigo/term-details.cgi?term=GO:0006725","GO:0006725")</f>
        <v>GO:0006725</v>
      </c>
      <c r="B58" t="s">
        <v>902</v>
      </c>
      <c r="C58">
        <v>7472</v>
      </c>
      <c r="D58">
        <v>703</v>
      </c>
      <c r="E58" s="2">
        <v>1.5255708516399101E-81</v>
      </c>
      <c r="F58" s="2">
        <v>1.43403660054152E-79</v>
      </c>
      <c r="G58" t="s">
        <v>4257</v>
      </c>
    </row>
    <row r="59" spans="1:7" x14ac:dyDescent="0.25">
      <c r="A59" s="4" t="str">
        <f>HYPERLINK("http://amigo.geneontology.org/cgi-bin/amigo/term-details.cgi?term=GO:0031967","GO:0031967")</f>
        <v>GO:0031967</v>
      </c>
      <c r="B59" t="s">
        <v>4256</v>
      </c>
      <c r="C59">
        <v>1067</v>
      </c>
      <c r="D59">
        <v>220</v>
      </c>
      <c r="E59" s="2">
        <v>3.4018024110562098E-81</v>
      </c>
      <c r="F59" s="2">
        <v>3.1296582181717198E-79</v>
      </c>
      <c r="G59" t="s">
        <v>4255</v>
      </c>
    </row>
    <row r="60" spans="1:7" x14ac:dyDescent="0.25">
      <c r="A60" s="4" t="str">
        <f>HYPERLINK("http://amigo.geneontology.org/cgi-bin/amigo/term-details.cgi?term=GO:0006139","GO:0006139")</f>
        <v>GO:0006139</v>
      </c>
      <c r="B60" t="s">
        <v>802</v>
      </c>
      <c r="C60">
        <v>6635</v>
      </c>
      <c r="D60">
        <v>647</v>
      </c>
      <c r="E60" s="2">
        <v>1.2401885928552301E-80</v>
      </c>
      <c r="F60" s="2">
        <v>1.1161697335697001E-78</v>
      </c>
      <c r="G60" t="s">
        <v>4254</v>
      </c>
    </row>
    <row r="61" spans="1:7" x14ac:dyDescent="0.25">
      <c r="A61" s="4" t="str">
        <f>HYPERLINK("http://amigo.geneontology.org/cgi-bin/amigo/term-details.cgi?term=GO:1901360","GO:1901360")</f>
        <v>GO:1901360</v>
      </c>
      <c r="B61" t="s">
        <v>903</v>
      </c>
      <c r="C61">
        <v>7671</v>
      </c>
      <c r="D61">
        <v>713</v>
      </c>
      <c r="E61" s="2">
        <v>1.59668427265847E-80</v>
      </c>
      <c r="F61" s="2">
        <v>1.4050821599394501E-78</v>
      </c>
      <c r="G61" t="s">
        <v>4253</v>
      </c>
    </row>
    <row r="62" spans="1:7" x14ac:dyDescent="0.25">
      <c r="A62" s="4" t="str">
        <f>HYPERLINK("http://amigo.geneontology.org/cgi-bin/amigo/term-details.cgi?term=GO:0007017","GO:0007017")</f>
        <v>GO:0007017</v>
      </c>
      <c r="B62" t="s">
        <v>907</v>
      </c>
      <c r="C62">
        <v>452</v>
      </c>
      <c r="D62">
        <v>144</v>
      </c>
      <c r="E62" s="2">
        <v>4.5520232689727901E-80</v>
      </c>
      <c r="F62" s="2">
        <v>3.9147400113166E-78</v>
      </c>
      <c r="G62" t="s">
        <v>4252</v>
      </c>
    </row>
    <row r="63" spans="1:7" x14ac:dyDescent="0.25">
      <c r="A63" s="4" t="str">
        <f>HYPERLINK("http://amigo.geneontology.org/cgi-bin/amigo/term-details.cgi?term=GO:0019684","GO:0019684")</f>
        <v>GO:0019684</v>
      </c>
      <c r="B63" t="s">
        <v>4251</v>
      </c>
      <c r="C63">
        <v>462</v>
      </c>
      <c r="D63">
        <v>145</v>
      </c>
      <c r="E63" s="2">
        <v>1.27999508689922E-79</v>
      </c>
      <c r="F63" s="2">
        <v>1.08799582386434E-77</v>
      </c>
      <c r="G63" t="s">
        <v>4250</v>
      </c>
    </row>
    <row r="64" spans="1:7" x14ac:dyDescent="0.25">
      <c r="A64" s="4" t="str">
        <f>HYPERLINK("http://amigo.geneontology.org/cgi-bin/amigo/term-details.cgi?term=GO:0044436","GO:0044436")</f>
        <v>GO:0044436</v>
      </c>
      <c r="B64" t="s">
        <v>500</v>
      </c>
      <c r="C64">
        <v>896</v>
      </c>
      <c r="D64">
        <v>197</v>
      </c>
      <c r="E64" s="2">
        <v>9.2181512131082094E-78</v>
      </c>
      <c r="F64" s="2">
        <v>7.6510655068798206E-76</v>
      </c>
      <c r="G64" t="s">
        <v>4249</v>
      </c>
    </row>
    <row r="65" spans="1:7" x14ac:dyDescent="0.25">
      <c r="A65" s="4" t="str">
        <f>HYPERLINK("http://amigo.geneontology.org/cgi-bin/amigo/term-details.cgi?term=GO:0044238","GO:0044238")</f>
        <v>GO:0044238</v>
      </c>
      <c r="B65" t="s">
        <v>900</v>
      </c>
      <c r="C65">
        <v>23288</v>
      </c>
      <c r="D65">
        <v>1556</v>
      </c>
      <c r="E65" s="2">
        <v>1.3640187056512701E-75</v>
      </c>
      <c r="F65" s="2">
        <v>1.1184953386340399E-73</v>
      </c>
      <c r="G65" t="s">
        <v>4248</v>
      </c>
    </row>
    <row r="66" spans="1:7" x14ac:dyDescent="0.25">
      <c r="A66" s="4" t="str">
        <f>HYPERLINK("http://amigo.geneontology.org/cgi-bin/amigo/term-details.cgi?term=GO:0008654","GO:0008654")</f>
        <v>GO:0008654</v>
      </c>
      <c r="B66" t="s">
        <v>409</v>
      </c>
      <c r="C66">
        <v>531</v>
      </c>
      <c r="D66">
        <v>150</v>
      </c>
      <c r="E66" s="2">
        <v>3.19761584953495E-75</v>
      </c>
      <c r="F66" s="2">
        <v>2.5580926796279601E-73</v>
      </c>
      <c r="G66" t="s">
        <v>4247</v>
      </c>
    </row>
    <row r="67" spans="1:7" x14ac:dyDescent="0.25">
      <c r="A67" s="4" t="str">
        <f>HYPERLINK("http://amigo.geneontology.org/cgi-bin/amigo/term-details.cgi?term=GO:0019637","GO:0019637")</f>
        <v>GO:0019637</v>
      </c>
      <c r="B67" t="s">
        <v>744</v>
      </c>
      <c r="C67">
        <v>2012</v>
      </c>
      <c r="D67">
        <v>294</v>
      </c>
      <c r="E67" s="2">
        <v>1.9765387372284802E-71</v>
      </c>
      <c r="F67" s="2">
        <v>1.5614656024104999E-69</v>
      </c>
      <c r="G67" t="s">
        <v>4246</v>
      </c>
    </row>
    <row r="68" spans="1:7" x14ac:dyDescent="0.25">
      <c r="A68" s="4" t="str">
        <f>HYPERLINK("http://amigo.geneontology.org/cgi-bin/amigo/term-details.cgi?term=GO:0009658","GO:0009658")</f>
        <v>GO:0009658</v>
      </c>
      <c r="B68" t="s">
        <v>4245</v>
      </c>
      <c r="C68">
        <v>304</v>
      </c>
      <c r="D68">
        <v>113</v>
      </c>
      <c r="E68" s="2">
        <v>2.4585588469892499E-71</v>
      </c>
      <c r="F68" s="2">
        <v>1.8930903121817199E-69</v>
      </c>
      <c r="G68" t="s">
        <v>4244</v>
      </c>
    </row>
    <row r="69" spans="1:7" x14ac:dyDescent="0.25">
      <c r="A69" s="4" t="str">
        <f>HYPERLINK("http://amigo.geneontology.org/cgi-bin/amigo/term-details.cgi?term=GO:0006082","GO:0006082")</f>
        <v>GO:0006082</v>
      </c>
      <c r="B69" t="s">
        <v>319</v>
      </c>
      <c r="C69">
        <v>2904</v>
      </c>
      <c r="D69">
        <v>365</v>
      </c>
      <c r="E69" s="2">
        <v>5.78258685083602E-71</v>
      </c>
      <c r="F69" s="2">
        <v>4.3947660066353698E-69</v>
      </c>
      <c r="G69" t="s">
        <v>4243</v>
      </c>
    </row>
    <row r="70" spans="1:7" x14ac:dyDescent="0.25">
      <c r="A70" s="4" t="str">
        <f>HYPERLINK("http://amigo.geneontology.org/cgi-bin/amigo/term-details.cgi?term=GO:0043436","GO:0043436")</f>
        <v>GO:0043436</v>
      </c>
      <c r="B70" t="s">
        <v>180</v>
      </c>
      <c r="C70">
        <v>2895</v>
      </c>
      <c r="D70">
        <v>364</v>
      </c>
      <c r="E70" s="2">
        <v>8.3293625076234003E-71</v>
      </c>
      <c r="F70" s="2">
        <v>6.2470218807175503E-69</v>
      </c>
      <c r="G70" t="s">
        <v>4242</v>
      </c>
    </row>
    <row r="71" spans="1:7" x14ac:dyDescent="0.25">
      <c r="A71" s="4" t="str">
        <f>HYPERLINK("http://amigo.geneontology.org/cgi-bin/amigo/term-details.cgi?term=GO:0019752","GO:0019752")</f>
        <v>GO:0019752</v>
      </c>
      <c r="B71" t="s">
        <v>195</v>
      </c>
      <c r="C71">
        <v>2833</v>
      </c>
      <c r="D71">
        <v>359</v>
      </c>
      <c r="E71" s="2">
        <v>1.0743721270467701E-70</v>
      </c>
      <c r="F71" s="2">
        <v>7.9503537401461196E-69</v>
      </c>
      <c r="G71" t="s">
        <v>4241</v>
      </c>
    </row>
    <row r="72" spans="1:7" x14ac:dyDescent="0.25">
      <c r="A72" s="4" t="str">
        <f>HYPERLINK("http://amigo.geneontology.org/cgi-bin/amigo/term-details.cgi?term=GO:0006091","GO:0006091")</f>
        <v>GO:0006091</v>
      </c>
      <c r="B72" t="s">
        <v>1095</v>
      </c>
      <c r="C72">
        <v>1010</v>
      </c>
      <c r="D72">
        <v>200</v>
      </c>
      <c r="E72" s="2">
        <v>1.15532855282874E-70</v>
      </c>
      <c r="F72" s="2">
        <v>8.3183655803669795E-69</v>
      </c>
      <c r="G72" t="s">
        <v>4240</v>
      </c>
    </row>
    <row r="73" spans="1:7" x14ac:dyDescent="0.25">
      <c r="A73" s="4" t="str">
        <f>HYPERLINK("http://amigo.geneontology.org/cgi-bin/amigo/term-details.cgi?term=GO:0051186","GO:0051186")</f>
        <v>GO:0051186</v>
      </c>
      <c r="B73" t="s">
        <v>881</v>
      </c>
      <c r="C73">
        <v>1522</v>
      </c>
      <c r="D73">
        <v>248</v>
      </c>
      <c r="E73" s="2">
        <v>1.3438729860115399E-69</v>
      </c>
      <c r="F73" s="2">
        <v>9.5414982006819802E-68</v>
      </c>
      <c r="G73" t="s">
        <v>4239</v>
      </c>
    </row>
    <row r="74" spans="1:7" x14ac:dyDescent="0.25">
      <c r="A74" s="4" t="str">
        <f>HYPERLINK("http://amigo.geneontology.org/cgi-bin/amigo/term-details.cgi?term=GO:0015631","GO:0015631")</f>
        <v>GO:0015631</v>
      </c>
      <c r="B74" t="s">
        <v>806</v>
      </c>
      <c r="C74">
        <v>275</v>
      </c>
      <c r="D74">
        <v>105</v>
      </c>
      <c r="E74" s="2">
        <v>9.3400402217969508E-68</v>
      </c>
      <c r="F74" s="2">
        <v>6.5380281552578701E-66</v>
      </c>
      <c r="G74" t="s">
        <v>4238</v>
      </c>
    </row>
    <row r="75" spans="1:7" x14ac:dyDescent="0.25">
      <c r="A75" s="4" t="str">
        <f>HYPERLINK("http://amigo.geneontology.org/cgi-bin/amigo/term-details.cgi?term=GO:0008017","GO:0008017")</f>
        <v>GO:0008017</v>
      </c>
      <c r="B75" t="s">
        <v>805</v>
      </c>
      <c r="C75">
        <v>244</v>
      </c>
      <c r="D75">
        <v>97</v>
      </c>
      <c r="E75" s="2">
        <v>1.21365272912684E-64</v>
      </c>
      <c r="F75" s="2">
        <v>8.3742038309752399E-63</v>
      </c>
      <c r="G75" t="s">
        <v>4237</v>
      </c>
    </row>
    <row r="76" spans="1:7" x14ac:dyDescent="0.25">
      <c r="A76" s="4" t="str">
        <f>HYPERLINK("http://amigo.geneontology.org/cgi-bin/amigo/term-details.cgi?term=GO:0016051","GO:0016051")</f>
        <v>GO:0016051</v>
      </c>
      <c r="B76" t="s">
        <v>557</v>
      </c>
      <c r="C76">
        <v>798</v>
      </c>
      <c r="D76">
        <v>168</v>
      </c>
      <c r="E76" s="2">
        <v>1.8030295959930599E-63</v>
      </c>
      <c r="F76" s="2">
        <v>1.22606012527528E-61</v>
      </c>
      <c r="G76" t="s">
        <v>4236</v>
      </c>
    </row>
    <row r="77" spans="1:7" x14ac:dyDescent="0.25">
      <c r="A77" s="4" t="str">
        <f>HYPERLINK("http://amigo.geneontology.org/cgi-bin/amigo/term-details.cgi?term=GO:0090304","GO:0090304")</f>
        <v>GO:0090304</v>
      </c>
      <c r="B77" t="s">
        <v>798</v>
      </c>
      <c r="C77">
        <v>5292</v>
      </c>
      <c r="D77">
        <v>516</v>
      </c>
      <c r="E77" s="2">
        <v>4.0854196696169702E-63</v>
      </c>
      <c r="F77" s="2">
        <v>2.7372311786433699E-61</v>
      </c>
      <c r="G77" t="s">
        <v>4235</v>
      </c>
    </row>
    <row r="78" spans="1:7" x14ac:dyDescent="0.25">
      <c r="A78" s="4" t="str">
        <f>HYPERLINK("http://amigo.geneontology.org/cgi-bin/amigo/term-details.cgi?term=GO:0009059","GO:0009059")</f>
        <v>GO:0009059</v>
      </c>
      <c r="B78" t="s">
        <v>808</v>
      </c>
      <c r="C78">
        <v>5178</v>
      </c>
      <c r="D78">
        <v>506</v>
      </c>
      <c r="E78" s="2">
        <v>4.0789386280161998E-62</v>
      </c>
      <c r="F78" s="2">
        <v>2.6920994944906901E-60</v>
      </c>
      <c r="G78" t="s">
        <v>4234</v>
      </c>
    </row>
    <row r="79" spans="1:7" x14ac:dyDescent="0.25">
      <c r="A79" s="4" t="str">
        <f>HYPERLINK("http://amigo.geneontology.org/cgi-bin/amigo/term-details.cgi?term=GO:0046148","GO:0046148")</f>
        <v>GO:0046148</v>
      </c>
      <c r="B79" t="s">
        <v>765</v>
      </c>
      <c r="C79">
        <v>301</v>
      </c>
      <c r="D79">
        <v>104</v>
      </c>
      <c r="E79" s="2">
        <v>4.4284306568832296E-62</v>
      </c>
      <c r="F79" s="2">
        <v>2.8784799269740999E-60</v>
      </c>
      <c r="G79" t="s">
        <v>4233</v>
      </c>
    </row>
    <row r="80" spans="1:7" x14ac:dyDescent="0.25">
      <c r="A80" s="4" t="str">
        <f>HYPERLINK("http://amigo.geneontology.org/cgi-bin/amigo/term-details.cgi?term=GO:0006644","GO:0006644")</f>
        <v>GO:0006644</v>
      </c>
      <c r="B80" t="s">
        <v>498</v>
      </c>
      <c r="C80">
        <v>750</v>
      </c>
      <c r="D80">
        <v>160</v>
      </c>
      <c r="E80" s="2">
        <v>2.51803775766123E-61</v>
      </c>
      <c r="F80" s="2">
        <v>1.6115441649031901E-59</v>
      </c>
      <c r="G80" t="s">
        <v>4232</v>
      </c>
    </row>
    <row r="81" spans="1:7" x14ac:dyDescent="0.25">
      <c r="A81" s="4" t="str">
        <f>HYPERLINK("http://amigo.geneontology.org/cgi-bin/amigo/term-details.cgi?term=GO:0043234","GO:0043234")</f>
        <v>GO:0043234</v>
      </c>
      <c r="B81" t="s">
        <v>861</v>
      </c>
      <c r="C81">
        <v>2620</v>
      </c>
      <c r="D81">
        <v>324</v>
      </c>
      <c r="E81" s="2">
        <v>3.6237719023266102E-61</v>
      </c>
      <c r="F81" s="2">
        <v>2.2829762984657598E-59</v>
      </c>
      <c r="G81" t="s">
        <v>4231</v>
      </c>
    </row>
    <row r="82" spans="1:7" x14ac:dyDescent="0.25">
      <c r="A82" s="4" t="str">
        <f>HYPERLINK("http://amigo.geneontology.org/cgi-bin/amigo/term-details.cgi?term=GO:0005975","GO:0005975")</f>
        <v>GO:0005975</v>
      </c>
      <c r="B82" t="s">
        <v>892</v>
      </c>
      <c r="C82">
        <v>2990</v>
      </c>
      <c r="D82">
        <v>351</v>
      </c>
      <c r="E82" s="2">
        <v>9.3303727742179395E-61</v>
      </c>
      <c r="F82" s="2">
        <v>5.7848311200151203E-59</v>
      </c>
      <c r="G82" t="s">
        <v>4230</v>
      </c>
    </row>
    <row r="83" spans="1:7" x14ac:dyDescent="0.25">
      <c r="A83" s="4" t="str">
        <f>HYPERLINK("http://amigo.geneontology.org/cgi-bin/amigo/term-details.cgi?term=GO:0008092","GO:0008092")</f>
        <v>GO:0008092</v>
      </c>
      <c r="B83" t="s">
        <v>906</v>
      </c>
      <c r="C83">
        <v>457</v>
      </c>
      <c r="D83">
        <v>124</v>
      </c>
      <c r="E83" s="2">
        <v>3.6667061019069302E-60</v>
      </c>
      <c r="F83" s="2">
        <v>2.23669072216322E-58</v>
      </c>
      <c r="G83" t="s">
        <v>4229</v>
      </c>
    </row>
    <row r="84" spans="1:7" x14ac:dyDescent="0.25">
      <c r="A84" s="4" t="str">
        <f>HYPERLINK("http://amigo.geneontology.org/cgi-bin/amigo/term-details.cgi?term=GO:0090407","GO:0090407")</f>
        <v>GO:0090407</v>
      </c>
      <c r="B84" t="s">
        <v>571</v>
      </c>
      <c r="C84">
        <v>1207</v>
      </c>
      <c r="D84">
        <v>203</v>
      </c>
      <c r="E84" s="2">
        <v>2.6975666159890299E-59</v>
      </c>
      <c r="F84" s="2">
        <v>1.6455156357533101E-57</v>
      </c>
      <c r="G84" t="s">
        <v>4228</v>
      </c>
    </row>
    <row r="85" spans="1:7" x14ac:dyDescent="0.25">
      <c r="A85" s="4" t="str">
        <f>HYPERLINK("http://amigo.geneontology.org/cgi-bin/amigo/term-details.cgi?term=GO:0006733","GO:0006733")</f>
        <v>GO:0006733</v>
      </c>
      <c r="B85" t="s">
        <v>748</v>
      </c>
      <c r="C85">
        <v>580</v>
      </c>
      <c r="D85">
        <v>138</v>
      </c>
      <c r="E85" s="2">
        <v>3.88935830614118E-59</v>
      </c>
      <c r="F85" s="2">
        <v>2.3336149836847099E-57</v>
      </c>
      <c r="G85" t="s">
        <v>4227</v>
      </c>
    </row>
    <row r="86" spans="1:7" x14ac:dyDescent="0.25">
      <c r="A86" s="4" t="str">
        <f>HYPERLINK("http://amigo.geneontology.org/cgi-bin/amigo/term-details.cgi?term=GO:0015995","GO:0015995")</f>
        <v>GO:0015995</v>
      </c>
      <c r="B86" t="s">
        <v>783</v>
      </c>
      <c r="C86">
        <v>138</v>
      </c>
      <c r="D86">
        <v>72</v>
      </c>
      <c r="E86" s="2">
        <v>8.1025273151305403E-59</v>
      </c>
      <c r="F86" s="2">
        <v>4.7804911159270198E-57</v>
      </c>
      <c r="G86" t="s">
        <v>4226</v>
      </c>
    </row>
    <row r="87" spans="1:7" x14ac:dyDescent="0.25">
      <c r="A87" s="4" t="str">
        <f>HYPERLINK("http://amigo.geneontology.org/cgi-bin/amigo/term-details.cgi?term=GO:0000271","GO:0000271")</f>
        <v>GO:0000271</v>
      </c>
      <c r="B87" t="s">
        <v>668</v>
      </c>
      <c r="C87">
        <v>602</v>
      </c>
      <c r="D87">
        <v>139</v>
      </c>
      <c r="E87" s="2">
        <v>7.7281259746879996E-58</v>
      </c>
      <c r="F87" s="2">
        <v>4.4823130653190403E-56</v>
      </c>
      <c r="G87" t="s">
        <v>4225</v>
      </c>
    </row>
    <row r="88" spans="1:7" x14ac:dyDescent="0.25">
      <c r="A88" s="4" t="str">
        <f>HYPERLINK("http://amigo.geneontology.org/cgi-bin/amigo/term-details.cgi?term=GO:0015630","GO:0015630")</f>
        <v>GO:0015630</v>
      </c>
      <c r="B88" t="s">
        <v>770</v>
      </c>
      <c r="C88">
        <v>354</v>
      </c>
      <c r="D88">
        <v>107</v>
      </c>
      <c r="E88" s="2">
        <v>3.37805797250124E-57</v>
      </c>
      <c r="F88" s="2">
        <v>1.92549304432571E-55</v>
      </c>
      <c r="G88" t="s">
        <v>4224</v>
      </c>
    </row>
    <row r="89" spans="1:7" x14ac:dyDescent="0.25">
      <c r="A89" s="4" t="str">
        <f>HYPERLINK("http://amigo.geneontology.org/cgi-bin/amigo/term-details.cgi?term=GO:0034645","GO:0034645")</f>
        <v>GO:0034645</v>
      </c>
      <c r="B89" t="s">
        <v>807</v>
      </c>
      <c r="C89">
        <v>5076</v>
      </c>
      <c r="D89">
        <v>486</v>
      </c>
      <c r="E89" s="2">
        <v>7.1703725036909999E-57</v>
      </c>
      <c r="F89" s="2">
        <v>4.0871123271038701E-55</v>
      </c>
      <c r="G89" t="s">
        <v>4223</v>
      </c>
    </row>
    <row r="90" spans="1:7" x14ac:dyDescent="0.25">
      <c r="A90" s="4" t="str">
        <f>HYPERLINK("http://amigo.geneontology.org/cgi-bin/amigo/term-details.cgi?term=GO:0008610","GO:0008610")</f>
        <v>GO:0008610</v>
      </c>
      <c r="B90" t="s">
        <v>986</v>
      </c>
      <c r="C90">
        <v>1402</v>
      </c>
      <c r="D90">
        <v>216</v>
      </c>
      <c r="E90" s="2">
        <v>2.3788507400425398E-56</v>
      </c>
      <c r="F90" s="2">
        <v>1.33215641442382E-54</v>
      </c>
      <c r="G90" t="s">
        <v>4222</v>
      </c>
    </row>
    <row r="91" spans="1:7" x14ac:dyDescent="0.25">
      <c r="A91" s="4" t="str">
        <f>HYPERLINK("http://amigo.geneontology.org/cgi-bin/amigo/term-details.cgi?term=GO:0009668","GO:0009668")</f>
        <v>GO:0009668</v>
      </c>
      <c r="B91" t="s">
        <v>4221</v>
      </c>
      <c r="C91">
        <v>225</v>
      </c>
      <c r="D91">
        <v>86</v>
      </c>
      <c r="E91" s="2">
        <v>8.9604403005483404E-56</v>
      </c>
      <c r="F91" s="2">
        <v>4.9282421653015798E-54</v>
      </c>
      <c r="G91" t="s">
        <v>4219</v>
      </c>
    </row>
    <row r="92" spans="1:7" x14ac:dyDescent="0.25">
      <c r="A92" s="4" t="str">
        <f>HYPERLINK("http://amigo.geneontology.org/cgi-bin/amigo/term-details.cgi?term=GO:0010027","GO:0010027")</f>
        <v>GO:0010027</v>
      </c>
      <c r="B92" t="s">
        <v>4220</v>
      </c>
      <c r="C92">
        <v>225</v>
      </c>
      <c r="D92">
        <v>86</v>
      </c>
      <c r="E92" s="2">
        <v>8.9604403005483404E-56</v>
      </c>
      <c r="F92" s="2">
        <v>4.9282421653015798E-54</v>
      </c>
      <c r="G92" t="s">
        <v>4219</v>
      </c>
    </row>
    <row r="93" spans="1:7" x14ac:dyDescent="0.25">
      <c r="A93" s="4" t="str">
        <f>HYPERLINK("http://amigo.geneontology.org/cgi-bin/amigo/term-details.cgi?term=GO:0005874","GO:0005874")</f>
        <v>GO:0005874</v>
      </c>
      <c r="B93" t="s">
        <v>754</v>
      </c>
      <c r="C93">
        <v>251</v>
      </c>
      <c r="D93">
        <v>90</v>
      </c>
      <c r="E93" s="2">
        <v>1.7000102730404801E-55</v>
      </c>
      <c r="F93" s="2">
        <v>9.1800554744186405E-54</v>
      </c>
      <c r="G93" t="s">
        <v>4213</v>
      </c>
    </row>
    <row r="94" spans="1:7" x14ac:dyDescent="0.25">
      <c r="A94" s="4" t="str">
        <f>HYPERLINK("http://amigo.geneontology.org/cgi-bin/amigo/term-details.cgi?term=GO:0046496","GO:0046496")</f>
        <v>GO:0046496</v>
      </c>
      <c r="B94" t="s">
        <v>756</v>
      </c>
      <c r="C94">
        <v>522</v>
      </c>
      <c r="D94">
        <v>126</v>
      </c>
      <c r="E94" s="2">
        <v>7.6921965996994796E-55</v>
      </c>
      <c r="F94" s="2">
        <v>4.0768641978407201E-53</v>
      </c>
      <c r="G94" t="s">
        <v>4204</v>
      </c>
    </row>
    <row r="95" spans="1:7" x14ac:dyDescent="0.25">
      <c r="A95" s="4" t="str">
        <f>HYPERLINK("http://amigo.geneontology.org/cgi-bin/amigo/term-details.cgi?term=GO:1901566","GO:1901566")</f>
        <v>GO:1901566</v>
      </c>
      <c r="B95" t="s">
        <v>804</v>
      </c>
      <c r="C95">
        <v>3874</v>
      </c>
      <c r="D95">
        <v>400</v>
      </c>
      <c r="E95" s="2">
        <v>1.4813224695957999E-54</v>
      </c>
      <c r="F95" s="2">
        <v>7.8510090888577601E-53</v>
      </c>
      <c r="G95" t="s">
        <v>4218</v>
      </c>
    </row>
    <row r="96" spans="1:7" x14ac:dyDescent="0.25">
      <c r="A96" s="4" t="str">
        <f>HYPERLINK("http://amigo.geneontology.org/cgi-bin/amigo/term-details.cgi?term=GO:0019362","GO:0019362")</f>
        <v>GO:0019362</v>
      </c>
      <c r="B96" t="s">
        <v>757</v>
      </c>
      <c r="C96">
        <v>525</v>
      </c>
      <c r="D96">
        <v>126</v>
      </c>
      <c r="E96" s="2">
        <v>1.53634587704603E-54</v>
      </c>
      <c r="F96" s="2">
        <v>7.9889985606393601E-53</v>
      </c>
      <c r="G96" t="s">
        <v>4204</v>
      </c>
    </row>
    <row r="97" spans="1:7" x14ac:dyDescent="0.25">
      <c r="A97" s="4" t="str">
        <f>HYPERLINK("http://amigo.geneontology.org/cgi-bin/amigo/term-details.cgi?term=GO:0006098","GO:0006098")</f>
        <v>GO:0006098</v>
      </c>
      <c r="B97" t="s">
        <v>519</v>
      </c>
      <c r="C97">
        <v>233</v>
      </c>
      <c r="D97">
        <v>86</v>
      </c>
      <c r="E97" s="2">
        <v>2.6845768202102203E-54</v>
      </c>
      <c r="F97" s="2">
        <v>1.36913417830721E-52</v>
      </c>
      <c r="G97" t="s">
        <v>4210</v>
      </c>
    </row>
    <row r="98" spans="1:7" x14ac:dyDescent="0.25">
      <c r="A98" s="4" t="str">
        <f>HYPERLINK("http://amigo.geneontology.org/cgi-bin/amigo/term-details.cgi?term=GO:0009534","GO:0009534")</f>
        <v>GO:0009534</v>
      </c>
      <c r="B98" t="s">
        <v>4217</v>
      </c>
      <c r="C98">
        <v>240</v>
      </c>
      <c r="D98">
        <v>87</v>
      </c>
      <c r="E98" s="2">
        <v>3.7702576855836102E-54</v>
      </c>
      <c r="F98" s="2">
        <v>1.9228314196476402E-52</v>
      </c>
      <c r="G98" t="s">
        <v>4216</v>
      </c>
    </row>
    <row r="99" spans="1:7" x14ac:dyDescent="0.25">
      <c r="A99" s="4" t="str">
        <f>HYPERLINK("http://amigo.geneontology.org/cgi-bin/amigo/term-details.cgi?term=GO:0099081","GO:0099081")</f>
        <v>GO:0099081</v>
      </c>
      <c r="B99" t="s">
        <v>4215</v>
      </c>
      <c r="C99">
        <v>259</v>
      </c>
      <c r="D99">
        <v>90</v>
      </c>
      <c r="E99" s="2">
        <v>3.8395496815094003E-54</v>
      </c>
      <c r="F99" s="2">
        <v>1.8813793439396102E-52</v>
      </c>
      <c r="G99" t="s">
        <v>4213</v>
      </c>
    </row>
    <row r="100" spans="1:7" x14ac:dyDescent="0.25">
      <c r="A100" s="4" t="str">
        <f>HYPERLINK("http://amigo.geneontology.org/cgi-bin/amigo/term-details.cgi?term=GO:0099512","GO:0099512")</f>
        <v>GO:0099512</v>
      </c>
      <c r="B100" t="s">
        <v>4214</v>
      </c>
      <c r="C100">
        <v>259</v>
      </c>
      <c r="D100">
        <v>90</v>
      </c>
      <c r="E100" s="2">
        <v>3.8395496815094003E-54</v>
      </c>
      <c r="F100" s="2">
        <v>1.9197748407546998E-52</v>
      </c>
      <c r="G100" t="s">
        <v>4213</v>
      </c>
    </row>
    <row r="101" spans="1:7" x14ac:dyDescent="0.25">
      <c r="A101" s="4" t="str">
        <f>HYPERLINK("http://amigo.geneontology.org/cgi-bin/amigo/term-details.cgi?term=GO:0099513","GO:0099513")</f>
        <v>GO:0099513</v>
      </c>
      <c r="B101" t="s">
        <v>755</v>
      </c>
      <c r="C101">
        <v>259</v>
      </c>
      <c r="D101">
        <v>90</v>
      </c>
      <c r="E101" s="2">
        <v>3.8395496815094003E-54</v>
      </c>
      <c r="F101" s="2">
        <v>1.9197748407546998E-52</v>
      </c>
      <c r="G101" t="s">
        <v>4213</v>
      </c>
    </row>
    <row r="102" spans="1:7" x14ac:dyDescent="0.25">
      <c r="A102" s="4" t="str">
        <f>HYPERLINK("http://amigo.geneontology.org/cgi-bin/amigo/term-details.cgi?term=GO:0042440","GO:0042440")</f>
        <v>GO:0042440</v>
      </c>
      <c r="B102" t="s">
        <v>877</v>
      </c>
      <c r="C102">
        <v>396</v>
      </c>
      <c r="D102">
        <v>109</v>
      </c>
      <c r="E102" s="2">
        <v>1.04183447850423E-53</v>
      </c>
      <c r="F102" s="2">
        <v>5.10498894467074E-52</v>
      </c>
      <c r="G102" t="s">
        <v>4212</v>
      </c>
    </row>
    <row r="103" spans="1:7" x14ac:dyDescent="0.25">
      <c r="A103" s="4" t="str">
        <f>HYPERLINK("http://amigo.geneontology.org/cgi-bin/amigo/term-details.cgi?term=GO:0006779","GO:0006779")</f>
        <v>GO:0006779</v>
      </c>
      <c r="B103" t="s">
        <v>775</v>
      </c>
      <c r="C103">
        <v>196</v>
      </c>
      <c r="D103">
        <v>79</v>
      </c>
      <c r="E103" s="2">
        <v>1.9135378233190899E-53</v>
      </c>
      <c r="F103" s="2">
        <v>9.1849815519316693E-52</v>
      </c>
      <c r="G103" t="s">
        <v>4211</v>
      </c>
    </row>
    <row r="104" spans="1:7" x14ac:dyDescent="0.25">
      <c r="A104" s="4" t="str">
        <f>HYPERLINK("http://amigo.geneontology.org/cgi-bin/amigo/term-details.cgi?term=GO:0051156","GO:0051156")</f>
        <v>GO:0051156</v>
      </c>
      <c r="B104" t="s">
        <v>520</v>
      </c>
      <c r="C104">
        <v>238</v>
      </c>
      <c r="D104">
        <v>86</v>
      </c>
      <c r="E104" s="2">
        <v>2.07039080336267E-53</v>
      </c>
      <c r="F104" s="2">
        <v>9.93787585614085E-52</v>
      </c>
      <c r="G104" t="s">
        <v>4210</v>
      </c>
    </row>
    <row r="105" spans="1:7" x14ac:dyDescent="0.25">
      <c r="A105" s="4" t="str">
        <f>HYPERLINK("http://amigo.geneontology.org/cgi-bin/amigo/term-details.cgi?term=GO:0006739","GO:0006739")</f>
        <v>GO:0006739</v>
      </c>
      <c r="B105" t="s">
        <v>532</v>
      </c>
      <c r="C105">
        <v>251</v>
      </c>
      <c r="D105">
        <v>88</v>
      </c>
      <c r="E105" s="2">
        <v>2.4181163325664999E-53</v>
      </c>
      <c r="F105" s="2">
        <v>1.13651467630625E-51</v>
      </c>
      <c r="G105" t="s">
        <v>4209</v>
      </c>
    </row>
    <row r="106" spans="1:7" x14ac:dyDescent="0.25">
      <c r="A106" s="4" t="str">
        <f>HYPERLINK("http://amigo.geneontology.org/cgi-bin/amigo/term-details.cgi?term=GO:0005856","GO:0005856")</f>
        <v>GO:0005856</v>
      </c>
      <c r="B106" t="s">
        <v>771</v>
      </c>
      <c r="C106">
        <v>516</v>
      </c>
      <c r="D106">
        <v>123</v>
      </c>
      <c r="E106" s="2">
        <v>6.3882273716153696E-53</v>
      </c>
      <c r="F106" s="2">
        <v>3.00246686465922E-51</v>
      </c>
      <c r="G106" t="s">
        <v>4208</v>
      </c>
    </row>
    <row r="107" spans="1:7" x14ac:dyDescent="0.25">
      <c r="A107" s="4" t="str">
        <f>HYPERLINK("http://amigo.geneontology.org/cgi-bin/amigo/term-details.cgi?term=GO:0006732","GO:0006732")</f>
        <v>GO:0006732</v>
      </c>
      <c r="B107" t="s">
        <v>124</v>
      </c>
      <c r="C107">
        <v>870</v>
      </c>
      <c r="D107">
        <v>161</v>
      </c>
      <c r="E107" s="2">
        <v>7.6922510355410903E-53</v>
      </c>
      <c r="F107" s="2">
        <v>3.5384354763489E-51</v>
      </c>
      <c r="G107" t="s">
        <v>4207</v>
      </c>
    </row>
    <row r="108" spans="1:7" x14ac:dyDescent="0.25">
      <c r="A108" s="4" t="str">
        <f>HYPERLINK("http://amigo.geneontology.org/cgi-bin/amigo/term-details.cgi?term=GO:0044085","GO:0044085")</f>
        <v>GO:0044085</v>
      </c>
      <c r="B108" t="s">
        <v>4206</v>
      </c>
      <c r="C108">
        <v>2146</v>
      </c>
      <c r="D108">
        <v>270</v>
      </c>
      <c r="E108" s="2">
        <v>2.5178270100164199E-52</v>
      </c>
      <c r="F108" s="2">
        <v>1.1582004246075499E-50</v>
      </c>
      <c r="G108" t="s">
        <v>4205</v>
      </c>
    </row>
    <row r="109" spans="1:7" x14ac:dyDescent="0.25">
      <c r="A109" s="4" t="str">
        <f>HYPERLINK("http://amigo.geneontology.org/cgi-bin/amigo/term-details.cgi?term=GO:0072524","GO:0072524")</f>
        <v>GO:0072524</v>
      </c>
      <c r="B109" t="s">
        <v>749</v>
      </c>
      <c r="C109">
        <v>549</v>
      </c>
      <c r="D109">
        <v>126</v>
      </c>
      <c r="E109" s="2">
        <v>3.2210040656085501E-52</v>
      </c>
      <c r="F109" s="2">
        <v>1.4494518295238401E-50</v>
      </c>
      <c r="G109" t="s">
        <v>4204</v>
      </c>
    </row>
    <row r="110" spans="1:7" x14ac:dyDescent="0.25">
      <c r="A110" s="4" t="str">
        <f>HYPERLINK("http://amigo.geneontology.org/cgi-bin/amigo/term-details.cgi?term=GO:0032787","GO:0032787")</f>
        <v>GO:0032787</v>
      </c>
      <c r="B110" t="s">
        <v>515</v>
      </c>
      <c r="C110">
        <v>1450</v>
      </c>
      <c r="D110">
        <v>213</v>
      </c>
      <c r="E110" s="2">
        <v>4.3938507538163399E-52</v>
      </c>
      <c r="F110" s="2">
        <v>1.97723283921735E-50</v>
      </c>
      <c r="G110" t="s">
        <v>4203</v>
      </c>
    </row>
    <row r="111" spans="1:7" x14ac:dyDescent="0.25">
      <c r="A111" s="4" t="str">
        <f>HYPERLINK("http://amigo.geneontology.org/cgi-bin/amigo/term-details.cgi?term=GO:0033692","GO:0033692")</f>
        <v>GO:0033692</v>
      </c>
      <c r="B111" t="s">
        <v>667</v>
      </c>
      <c r="C111">
        <v>545</v>
      </c>
      <c r="D111">
        <v>125</v>
      </c>
      <c r="E111" s="2">
        <v>8.84781567037266E-52</v>
      </c>
      <c r="F111" s="2">
        <v>3.8930388949639698E-50</v>
      </c>
      <c r="G111" t="s">
        <v>4202</v>
      </c>
    </row>
    <row r="112" spans="1:7" x14ac:dyDescent="0.25">
      <c r="A112" s="4" t="str">
        <f>HYPERLINK("http://amigo.geneontology.org/cgi-bin/amigo/term-details.cgi?term=GO:0006807","GO:0006807")</f>
        <v>GO:0006807</v>
      </c>
      <c r="B112" t="s">
        <v>911</v>
      </c>
      <c r="C112">
        <v>19671</v>
      </c>
      <c r="D112">
        <v>1282</v>
      </c>
      <c r="E112" s="2">
        <v>2.8580227832403302E-51</v>
      </c>
      <c r="F112" s="2">
        <v>1.2575300246257401E-49</v>
      </c>
      <c r="G112" t="s">
        <v>4201</v>
      </c>
    </row>
    <row r="113" spans="1:7" x14ac:dyDescent="0.25">
      <c r="A113" s="4" t="str">
        <f>HYPERLINK("http://amigo.geneontology.org/cgi-bin/amigo/term-details.cgi?term=GO:0033014","GO:0033014")</f>
        <v>GO:0033014</v>
      </c>
      <c r="B113" t="s">
        <v>788</v>
      </c>
      <c r="C113">
        <v>220</v>
      </c>
      <c r="D113">
        <v>81</v>
      </c>
      <c r="E113" s="2">
        <v>4.0164959645471202E-51</v>
      </c>
      <c r="F113" s="2">
        <v>1.72709326475526E-49</v>
      </c>
      <c r="G113" t="s">
        <v>4200</v>
      </c>
    </row>
    <row r="114" spans="1:7" x14ac:dyDescent="0.25">
      <c r="A114" s="4" t="str">
        <f>HYPERLINK("http://amigo.geneontology.org/cgi-bin/amigo/term-details.cgi?term=GO:0006790","GO:0006790")</f>
        <v>GO:0006790</v>
      </c>
      <c r="B114" t="s">
        <v>825</v>
      </c>
      <c r="C114">
        <v>730</v>
      </c>
      <c r="D114">
        <v>144</v>
      </c>
      <c r="E114" s="2">
        <v>7.3036060192222799E-51</v>
      </c>
      <c r="F114" s="2">
        <v>3.1405505882655799E-49</v>
      </c>
      <c r="G114" t="s">
        <v>4199</v>
      </c>
    </row>
    <row r="115" spans="1:7" x14ac:dyDescent="0.25">
      <c r="A115" s="4" t="str">
        <f>HYPERLINK("http://amigo.geneontology.org/cgi-bin/amigo/term-details.cgi?term=GO:0044430","GO:0044430")</f>
        <v>GO:0044430</v>
      </c>
      <c r="B115" t="s">
        <v>759</v>
      </c>
      <c r="C115">
        <v>429</v>
      </c>
      <c r="D115">
        <v>110</v>
      </c>
      <c r="E115" s="2">
        <v>7.9504680679959504E-51</v>
      </c>
      <c r="F115" s="2">
        <v>3.41870126923825E-49</v>
      </c>
      <c r="G115" t="s">
        <v>4198</v>
      </c>
    </row>
    <row r="116" spans="1:7" x14ac:dyDescent="0.25">
      <c r="A116" s="4" t="str">
        <f>HYPERLINK("http://amigo.geneontology.org/cgi-bin/amigo/term-details.cgi?term=GO:0006364","GO:0006364")</f>
        <v>GO:0006364</v>
      </c>
      <c r="B116" t="s">
        <v>4197</v>
      </c>
      <c r="C116">
        <v>382</v>
      </c>
      <c r="D116">
        <v>104</v>
      </c>
      <c r="E116" s="2">
        <v>8.3268414489130398E-51</v>
      </c>
      <c r="F116" s="2">
        <v>3.4972734085434697E-49</v>
      </c>
      <c r="G116" t="s">
        <v>4196</v>
      </c>
    </row>
    <row r="117" spans="1:7" x14ac:dyDescent="0.25">
      <c r="A117" s="4" t="str">
        <f>HYPERLINK("http://amigo.geneontology.org/cgi-bin/amigo/term-details.cgi?term=GO:0016072","GO:0016072")</f>
        <v>GO:0016072</v>
      </c>
      <c r="B117" t="s">
        <v>4195</v>
      </c>
      <c r="C117">
        <v>402</v>
      </c>
      <c r="D117">
        <v>106</v>
      </c>
      <c r="E117" s="2">
        <v>2.7193280827651999E-50</v>
      </c>
      <c r="F117" s="2">
        <v>1.1421177947613801E-48</v>
      </c>
      <c r="G117" t="s">
        <v>4194</v>
      </c>
    </row>
    <row r="118" spans="1:7" x14ac:dyDescent="0.25">
      <c r="A118" s="4" t="str">
        <f>HYPERLINK("http://amigo.geneontology.org/cgi-bin/amigo/term-details.cgi?term=GO:0003777","GO:0003777")</f>
        <v>GO:0003777</v>
      </c>
      <c r="B118" t="s">
        <v>801</v>
      </c>
      <c r="C118">
        <v>163</v>
      </c>
      <c r="D118">
        <v>69</v>
      </c>
      <c r="E118" s="2">
        <v>1.37781043936549E-48</v>
      </c>
      <c r="F118" s="2">
        <v>5.64902280139851E-47</v>
      </c>
      <c r="G118" t="s">
        <v>4193</v>
      </c>
    </row>
    <row r="119" spans="1:7" x14ac:dyDescent="0.25">
      <c r="A119" s="4" t="str">
        <f>HYPERLINK("http://amigo.geneontology.org/cgi-bin/amigo/term-details.cgi?term=GO:0007018","GO:0007018")</f>
        <v>GO:0007018</v>
      </c>
      <c r="B119" t="s">
        <v>800</v>
      </c>
      <c r="C119">
        <v>163</v>
      </c>
      <c r="D119">
        <v>69</v>
      </c>
      <c r="E119" s="2">
        <v>1.37781043936549E-48</v>
      </c>
      <c r="F119" s="2">
        <v>5.64902280139851E-47</v>
      </c>
      <c r="G119" t="s">
        <v>4193</v>
      </c>
    </row>
    <row r="120" spans="1:7" x14ac:dyDescent="0.25">
      <c r="A120" s="4" t="str">
        <f>HYPERLINK("http://amigo.geneontology.org/cgi-bin/amigo/term-details.cgi?term=GO:0061024","GO:0061024")</f>
        <v>GO:0061024</v>
      </c>
      <c r="B120" t="s">
        <v>849</v>
      </c>
      <c r="C120">
        <v>329</v>
      </c>
      <c r="D120">
        <v>94</v>
      </c>
      <c r="E120" s="2">
        <v>4.8699599468810899E-48</v>
      </c>
      <c r="F120" s="2">
        <v>1.9966835782212399E-46</v>
      </c>
      <c r="G120" t="s">
        <v>4192</v>
      </c>
    </row>
    <row r="121" spans="1:7" x14ac:dyDescent="0.25">
      <c r="A121" s="4" t="str">
        <f>HYPERLINK("http://amigo.geneontology.org/cgi-bin/amigo/term-details.cgi?term=GO:0044262","GO:0044262")</f>
        <v>GO:0044262</v>
      </c>
      <c r="B121" t="s">
        <v>588</v>
      </c>
      <c r="C121">
        <v>1040</v>
      </c>
      <c r="D121">
        <v>170</v>
      </c>
      <c r="E121" s="2">
        <v>5.0985249653672202E-48</v>
      </c>
      <c r="F121" s="2">
        <v>2.03940998614688E-46</v>
      </c>
      <c r="G121" t="s">
        <v>4191</v>
      </c>
    </row>
    <row r="122" spans="1:7" x14ac:dyDescent="0.25">
      <c r="A122" s="4" t="str">
        <f>HYPERLINK("http://amigo.geneontology.org/cgi-bin/amigo/term-details.cgi?term=GO:0034637","GO:0034637")</f>
        <v>GO:0034637</v>
      </c>
      <c r="B122" t="s">
        <v>619</v>
      </c>
      <c r="C122">
        <v>616</v>
      </c>
      <c r="D122">
        <v>128</v>
      </c>
      <c r="E122" s="2">
        <v>6.3171579821986398E-48</v>
      </c>
      <c r="F122" s="2">
        <v>2.5268631928794501E-46</v>
      </c>
      <c r="G122" t="s">
        <v>4190</v>
      </c>
    </row>
    <row r="123" spans="1:7" x14ac:dyDescent="0.25">
      <c r="A123" s="4" t="str">
        <f>HYPERLINK("http://amigo.geneontology.org/cgi-bin/amigo/term-details.cgi?term=GO:0034660","GO:0034660")</f>
        <v>GO:0034660</v>
      </c>
      <c r="B123" t="s">
        <v>592</v>
      </c>
      <c r="C123">
        <v>926</v>
      </c>
      <c r="D123">
        <v>159</v>
      </c>
      <c r="E123" s="2">
        <v>8.6828121140171101E-48</v>
      </c>
      <c r="F123" s="2">
        <v>3.38629672446667E-46</v>
      </c>
      <c r="G123" t="s">
        <v>4189</v>
      </c>
    </row>
    <row r="124" spans="1:7" x14ac:dyDescent="0.25">
      <c r="A124" s="4" t="str">
        <f>HYPERLINK("http://amigo.geneontology.org/cgi-bin/amigo/term-details.cgi?term=GO:0015994","GO:0015994")</f>
        <v>GO:0015994</v>
      </c>
      <c r="B124" t="s">
        <v>772</v>
      </c>
      <c r="C124">
        <v>228</v>
      </c>
      <c r="D124">
        <v>79</v>
      </c>
      <c r="E124" s="2">
        <v>1.38364838377376E-47</v>
      </c>
      <c r="F124" s="2">
        <v>5.39622869671768E-46</v>
      </c>
      <c r="G124" t="s">
        <v>4188</v>
      </c>
    </row>
    <row r="125" spans="1:7" x14ac:dyDescent="0.25">
      <c r="A125" s="4" t="str">
        <f>HYPERLINK("http://amigo.geneontology.org/cgi-bin/amigo/term-details.cgi?term=GO:0044260","GO:0044260")</f>
        <v>GO:0044260</v>
      </c>
      <c r="B125" t="s">
        <v>276</v>
      </c>
      <c r="C125">
        <v>15411</v>
      </c>
      <c r="D125">
        <v>1047</v>
      </c>
      <c r="E125" s="2">
        <v>1.6712104094627899E-47</v>
      </c>
      <c r="F125" s="2">
        <v>6.5177205969048798E-46</v>
      </c>
      <c r="G125" t="s">
        <v>4187</v>
      </c>
    </row>
    <row r="126" spans="1:7" x14ac:dyDescent="0.25">
      <c r="A126" s="4" t="str">
        <f>HYPERLINK("http://amigo.geneontology.org/cgi-bin/amigo/term-details.cgi?term=GO:0044255","GO:0044255")</f>
        <v>GO:0044255</v>
      </c>
      <c r="B126" t="s">
        <v>2000</v>
      </c>
      <c r="C126">
        <v>1757</v>
      </c>
      <c r="D126">
        <v>230</v>
      </c>
      <c r="E126" s="2">
        <v>1.8007002486061599E-47</v>
      </c>
      <c r="F126" s="2">
        <v>6.8426609447034302E-46</v>
      </c>
      <c r="G126" t="s">
        <v>4186</v>
      </c>
    </row>
    <row r="127" spans="1:7" x14ac:dyDescent="0.25">
      <c r="A127" s="4" t="str">
        <f>HYPERLINK("http://amigo.geneontology.org/cgi-bin/amigo/term-details.cgi?term=GO:0009250","GO:0009250")</f>
        <v>GO:0009250</v>
      </c>
      <c r="B127" t="s">
        <v>717</v>
      </c>
      <c r="C127">
        <v>420</v>
      </c>
      <c r="D127">
        <v>105</v>
      </c>
      <c r="E127" s="2">
        <v>1.9005931701361301E-47</v>
      </c>
      <c r="F127" s="2">
        <v>7.2222540465173195E-46</v>
      </c>
      <c r="G127" t="s">
        <v>4185</v>
      </c>
    </row>
    <row r="128" spans="1:7" x14ac:dyDescent="0.25">
      <c r="A128" s="4" t="str">
        <f>HYPERLINK("http://amigo.geneontology.org/cgi-bin/amigo/term-details.cgi?term=GO:0006928","GO:0006928")</f>
        <v>GO:0006928</v>
      </c>
      <c r="B128" t="s">
        <v>896</v>
      </c>
      <c r="C128">
        <v>180</v>
      </c>
      <c r="D128">
        <v>71</v>
      </c>
      <c r="E128" s="2">
        <v>2.1058563664009199E-47</v>
      </c>
      <c r="F128" s="2">
        <v>8.0022541923235197E-46</v>
      </c>
      <c r="G128" t="s">
        <v>4184</v>
      </c>
    </row>
    <row r="129" spans="1:7" x14ac:dyDescent="0.25">
      <c r="A129" s="4" t="str">
        <f>HYPERLINK("http://amigo.geneontology.org/cgi-bin/amigo/term-details.cgi?term=GO:0005976","GO:0005976")</f>
        <v>GO:0005976</v>
      </c>
      <c r="B129" t="s">
        <v>581</v>
      </c>
      <c r="C129">
        <v>876</v>
      </c>
      <c r="D129">
        <v>153</v>
      </c>
      <c r="E129" s="2">
        <v>5.6653719431406796E-47</v>
      </c>
      <c r="F129" s="2">
        <v>2.0961876189620499E-45</v>
      </c>
      <c r="G129" t="s">
        <v>4183</v>
      </c>
    </row>
    <row r="130" spans="1:7" x14ac:dyDescent="0.25">
      <c r="A130" s="4" t="str">
        <f>HYPERLINK("http://amigo.geneontology.org/cgi-bin/amigo/term-details.cgi?term=GO:0043170","GO:0043170")</f>
        <v>GO:0043170</v>
      </c>
      <c r="B130" t="s">
        <v>884</v>
      </c>
      <c r="C130">
        <v>17684</v>
      </c>
      <c r="D130">
        <v>1159</v>
      </c>
      <c r="E130" s="2">
        <v>4.6198459115283296E-46</v>
      </c>
      <c r="F130" s="2">
        <v>1.7093429872654799E-44</v>
      </c>
      <c r="G130" t="s">
        <v>4182</v>
      </c>
    </row>
    <row r="131" spans="1:7" x14ac:dyDescent="0.25">
      <c r="A131" s="4" t="str">
        <f>HYPERLINK("http://amigo.geneontology.org/cgi-bin/amigo/term-details.cgi?term=GO:0051188","GO:0051188")</f>
        <v>GO:0051188</v>
      </c>
      <c r="B131" t="s">
        <v>93</v>
      </c>
      <c r="C131">
        <v>696</v>
      </c>
      <c r="D131">
        <v>133</v>
      </c>
      <c r="E131" s="2">
        <v>1.9305376705943901E-45</v>
      </c>
      <c r="F131" s="2">
        <v>7.1429893811992597E-44</v>
      </c>
      <c r="G131" t="s">
        <v>4181</v>
      </c>
    </row>
    <row r="132" spans="1:7" x14ac:dyDescent="0.25">
      <c r="A132" s="4" t="str">
        <f>HYPERLINK("http://amigo.geneontology.org/cgi-bin/amigo/term-details.cgi?term=GO:0006778","GO:0006778")</f>
        <v>GO:0006778</v>
      </c>
      <c r="B132" t="s">
        <v>769</v>
      </c>
      <c r="C132">
        <v>299</v>
      </c>
      <c r="D132">
        <v>87</v>
      </c>
      <c r="E132" s="2">
        <v>2.8733809829070798E-45</v>
      </c>
      <c r="F132" s="2">
        <v>1.06315096367561E-43</v>
      </c>
      <c r="G132" t="s">
        <v>4180</v>
      </c>
    </row>
    <row r="133" spans="1:7" x14ac:dyDescent="0.25">
      <c r="A133" s="4" t="str">
        <f>HYPERLINK("http://amigo.geneontology.org/cgi-bin/amigo/term-details.cgi?term=GO:0043623","GO:0043623")</f>
        <v>GO:0043623</v>
      </c>
      <c r="B133" t="s">
        <v>4179</v>
      </c>
      <c r="C133">
        <v>561</v>
      </c>
      <c r="D133">
        <v>118</v>
      </c>
      <c r="E133" s="2">
        <v>7.6699269114642104E-45</v>
      </c>
      <c r="F133" s="2">
        <v>2.7611736881271102E-43</v>
      </c>
      <c r="G133" t="s">
        <v>4178</v>
      </c>
    </row>
    <row r="134" spans="1:7" x14ac:dyDescent="0.25">
      <c r="A134" s="4" t="str">
        <f>HYPERLINK("http://amigo.geneontology.org/cgi-bin/amigo/term-details.cgi?term=GO:0016462","GO:0016462")</f>
        <v>GO:0016462</v>
      </c>
      <c r="B134" t="s">
        <v>273</v>
      </c>
      <c r="C134">
        <v>2290</v>
      </c>
      <c r="D134">
        <v>264</v>
      </c>
      <c r="E134" s="2">
        <v>4.0389771836976302E-44</v>
      </c>
      <c r="F134" s="2">
        <v>1.45403178613114E-42</v>
      </c>
      <c r="G134" t="s">
        <v>4177</v>
      </c>
    </row>
    <row r="135" spans="1:7" x14ac:dyDescent="0.25">
      <c r="A135" s="4" t="str">
        <f>HYPERLINK("http://amigo.geneontology.org/cgi-bin/amigo/term-details.cgi?term=GO:0003774","GO:0003774")</f>
        <v>GO:0003774</v>
      </c>
      <c r="B135" t="s">
        <v>797</v>
      </c>
      <c r="C135">
        <v>198</v>
      </c>
      <c r="D135">
        <v>71</v>
      </c>
      <c r="E135" s="2">
        <v>4.4509545459189502E-44</v>
      </c>
      <c r="F135" s="2">
        <v>1.6023436365308201E-42</v>
      </c>
      <c r="G135" t="s">
        <v>4176</v>
      </c>
    </row>
    <row r="136" spans="1:7" x14ac:dyDescent="0.25">
      <c r="A136" s="4" t="str">
        <f>HYPERLINK("http://amigo.geneontology.org/cgi-bin/amigo/term-details.cgi?term=GO:0016817","GO:0016817")</f>
        <v>GO:0016817</v>
      </c>
      <c r="B136" t="s">
        <v>901</v>
      </c>
      <c r="C136">
        <v>2347</v>
      </c>
      <c r="D136">
        <v>268</v>
      </c>
      <c r="E136" s="2">
        <v>4.9524203962445099E-44</v>
      </c>
      <c r="F136" s="2">
        <v>1.73334713868558E-42</v>
      </c>
      <c r="G136" t="s">
        <v>4175</v>
      </c>
    </row>
    <row r="137" spans="1:7" x14ac:dyDescent="0.25">
      <c r="A137" s="4" t="str">
        <f>HYPERLINK("http://amigo.geneontology.org/cgi-bin/amigo/term-details.cgi?term=GO:0016818","GO:0016818")</f>
        <v>GO:0016818</v>
      </c>
      <c r="B137" t="s">
        <v>266</v>
      </c>
      <c r="C137">
        <v>2325</v>
      </c>
      <c r="D137">
        <v>266</v>
      </c>
      <c r="E137" s="2">
        <v>7.4470749246396698E-44</v>
      </c>
      <c r="F137" s="2">
        <v>2.6064762236238801E-42</v>
      </c>
      <c r="G137" t="s">
        <v>4174</v>
      </c>
    </row>
    <row r="138" spans="1:7" x14ac:dyDescent="0.25">
      <c r="A138" s="4" t="str">
        <f>HYPERLINK("http://amigo.geneontology.org/cgi-bin/amigo/term-details.cgi?term=GO:0033013","GO:0033013")</f>
        <v>GO:0033013</v>
      </c>
      <c r="B138" t="s">
        <v>779</v>
      </c>
      <c r="C138">
        <v>318</v>
      </c>
      <c r="D138">
        <v>88</v>
      </c>
      <c r="E138" s="2">
        <v>8.00555837903892E-44</v>
      </c>
      <c r="F138" s="2">
        <v>2.8019454326636201E-42</v>
      </c>
      <c r="G138" t="s">
        <v>4173</v>
      </c>
    </row>
    <row r="139" spans="1:7" x14ac:dyDescent="0.25">
      <c r="A139" s="4" t="str">
        <f>HYPERLINK("http://amigo.geneontology.org/cgi-bin/amigo/term-details.cgi?term=GO:0006753","GO:0006753")</f>
        <v>GO:0006753</v>
      </c>
      <c r="B139" t="s">
        <v>711</v>
      </c>
      <c r="C139">
        <v>1245</v>
      </c>
      <c r="D139">
        <v>181</v>
      </c>
      <c r="E139" s="2">
        <v>1.02634261524625E-43</v>
      </c>
      <c r="F139" s="2">
        <v>3.5921991533618898E-42</v>
      </c>
      <c r="G139" t="s">
        <v>4172</v>
      </c>
    </row>
    <row r="140" spans="1:7" x14ac:dyDescent="0.25">
      <c r="A140" s="4" t="str">
        <f>HYPERLINK("http://amigo.geneontology.org/cgi-bin/amigo/term-details.cgi?term=GO:0070271","GO:0070271")</f>
        <v>GO:0070271</v>
      </c>
      <c r="B140" t="s">
        <v>4171</v>
      </c>
      <c r="C140">
        <v>604</v>
      </c>
      <c r="D140">
        <v>121</v>
      </c>
      <c r="E140" s="2">
        <v>1.21531218843741E-43</v>
      </c>
      <c r="F140" s="2">
        <v>4.1320614406871899E-42</v>
      </c>
      <c r="G140" t="s">
        <v>4170</v>
      </c>
    </row>
    <row r="141" spans="1:7" x14ac:dyDescent="0.25">
      <c r="A141" s="4" t="str">
        <f>HYPERLINK("http://amigo.geneontology.org/cgi-bin/amigo/term-details.cgi?term=GO:0009117","GO:0009117")</f>
        <v>GO:0009117</v>
      </c>
      <c r="B141" t="s">
        <v>712</v>
      </c>
      <c r="C141">
        <v>1238</v>
      </c>
      <c r="D141">
        <v>180</v>
      </c>
      <c r="E141" s="2">
        <v>1.7476515716178801E-43</v>
      </c>
      <c r="F141" s="2">
        <v>5.9420153435008198E-42</v>
      </c>
      <c r="G141" t="s">
        <v>4169</v>
      </c>
    </row>
    <row r="142" spans="1:7" x14ac:dyDescent="0.25">
      <c r="A142" s="4" t="str">
        <f>HYPERLINK("http://amigo.geneontology.org/cgi-bin/amigo/term-details.cgi?term=GO:0009069","GO:0009069")</f>
        <v>GO:0009069</v>
      </c>
      <c r="B142" t="s">
        <v>722</v>
      </c>
      <c r="C142">
        <v>235</v>
      </c>
      <c r="D142">
        <v>76</v>
      </c>
      <c r="E142" s="2">
        <v>2.2591732477093899E-43</v>
      </c>
      <c r="F142" s="2">
        <v>7.6811890422119494E-42</v>
      </c>
      <c r="G142" t="s">
        <v>4168</v>
      </c>
    </row>
    <row r="143" spans="1:7" x14ac:dyDescent="0.25">
      <c r="A143" s="4" t="str">
        <f>HYPERLINK("http://amigo.geneontology.org/cgi-bin/amigo/term-details.cgi?term=GO:0006461","GO:0006461")</f>
        <v>GO:0006461</v>
      </c>
      <c r="B143" t="s">
        <v>4167</v>
      </c>
      <c r="C143">
        <v>601</v>
      </c>
      <c r="D143">
        <v>120</v>
      </c>
      <c r="E143" s="2">
        <v>3.8865016933300898E-43</v>
      </c>
      <c r="F143" s="2">
        <v>1.2825455587989299E-41</v>
      </c>
      <c r="G143" t="s">
        <v>4166</v>
      </c>
    </row>
    <row r="144" spans="1:7" x14ac:dyDescent="0.25">
      <c r="A144" s="4" t="str">
        <f>HYPERLINK("http://amigo.geneontology.org/cgi-bin/amigo/term-details.cgi?term=GO:0005871","GO:0005871")</f>
        <v>GO:0005871</v>
      </c>
      <c r="B144" t="s">
        <v>4165</v>
      </c>
      <c r="C144">
        <v>130</v>
      </c>
      <c r="D144">
        <v>58</v>
      </c>
      <c r="E144" s="2">
        <v>1.15261201852997E-42</v>
      </c>
      <c r="F144" s="2">
        <v>3.8036196611489001E-41</v>
      </c>
      <c r="G144" t="s">
        <v>4164</v>
      </c>
    </row>
    <row r="145" spans="1:7" x14ac:dyDescent="0.25">
      <c r="A145" s="4" t="str">
        <f>HYPERLINK("http://amigo.geneontology.org/cgi-bin/amigo/term-details.cgi?term=GO:0042254","GO:0042254")</f>
        <v>GO:0042254</v>
      </c>
      <c r="B145" t="s">
        <v>4163</v>
      </c>
      <c r="C145">
        <v>480</v>
      </c>
      <c r="D145">
        <v>106</v>
      </c>
      <c r="E145" s="2">
        <v>1.8074734407716001E-42</v>
      </c>
      <c r="F145" s="2">
        <v>5.9646623545462904E-41</v>
      </c>
      <c r="G145" t="s">
        <v>4162</v>
      </c>
    </row>
    <row r="146" spans="1:7" x14ac:dyDescent="0.25">
      <c r="A146" s="4" t="str">
        <f>HYPERLINK("http://amigo.geneontology.org/cgi-bin/amigo/term-details.cgi?term=GO:0055086","GO:0055086")</f>
        <v>GO:0055086</v>
      </c>
      <c r="B146" t="s">
        <v>729</v>
      </c>
      <c r="C146">
        <v>1394</v>
      </c>
      <c r="D146">
        <v>191</v>
      </c>
      <c r="E146" s="2">
        <v>2.49120327955849E-42</v>
      </c>
      <c r="F146" s="2">
        <v>8.2209708225430299E-41</v>
      </c>
      <c r="G146" t="s">
        <v>4161</v>
      </c>
    </row>
    <row r="147" spans="1:7" x14ac:dyDescent="0.25">
      <c r="A147" s="4" t="str">
        <f>HYPERLINK("http://amigo.geneontology.org/cgi-bin/amigo/term-details.cgi?term=GO:0017111","GO:0017111")</f>
        <v>GO:0017111</v>
      </c>
      <c r="B147" t="s">
        <v>249</v>
      </c>
      <c r="C147">
        <v>2199</v>
      </c>
      <c r="D147">
        <v>253</v>
      </c>
      <c r="E147" s="2">
        <v>3.8862093143563699E-42</v>
      </c>
      <c r="F147" s="2">
        <v>1.24358698059403E-40</v>
      </c>
      <c r="G147" t="s">
        <v>4160</v>
      </c>
    </row>
    <row r="148" spans="1:7" x14ac:dyDescent="0.25">
      <c r="A148" s="4" t="str">
        <f>HYPERLINK("http://amigo.geneontology.org/cgi-bin/amigo/term-details.cgi?term=GO:0005875","GO:0005875")</f>
        <v>GO:0005875</v>
      </c>
      <c r="B148" t="s">
        <v>555</v>
      </c>
      <c r="C148">
        <v>188</v>
      </c>
      <c r="D148">
        <v>67</v>
      </c>
      <c r="E148" s="2">
        <v>1.7720786379760101E-41</v>
      </c>
      <c r="F148" s="2">
        <v>5.6706516415232404E-40</v>
      </c>
      <c r="G148" t="s">
        <v>4159</v>
      </c>
    </row>
    <row r="149" spans="1:7" x14ac:dyDescent="0.25">
      <c r="A149" s="4" t="str">
        <f>HYPERLINK("http://amigo.geneontology.org/cgi-bin/amigo/term-details.cgi?term=GO:0022607","GO:0022607")</f>
        <v>GO:0022607</v>
      </c>
      <c r="B149" t="s">
        <v>4158</v>
      </c>
      <c r="C149">
        <v>1452</v>
      </c>
      <c r="D149">
        <v>194</v>
      </c>
      <c r="E149" s="2">
        <v>2.1334124227418301E-41</v>
      </c>
      <c r="F149" s="2">
        <v>6.8269197527738702E-40</v>
      </c>
      <c r="G149" t="s">
        <v>4157</v>
      </c>
    </row>
    <row r="150" spans="1:7" x14ac:dyDescent="0.25">
      <c r="A150" s="4" t="str">
        <f>HYPERLINK("http://amigo.geneontology.org/cgi-bin/amigo/term-details.cgi?term=GO:0044264","GO:0044264")</f>
        <v>GO:0044264</v>
      </c>
      <c r="B150" t="s">
        <v>547</v>
      </c>
      <c r="C150">
        <v>745</v>
      </c>
      <c r="D150">
        <v>132</v>
      </c>
      <c r="E150" s="2">
        <v>2.2709194745803901E-41</v>
      </c>
      <c r="F150" s="2">
        <v>7.2669423186572704E-40</v>
      </c>
      <c r="G150" t="s">
        <v>4156</v>
      </c>
    </row>
    <row r="151" spans="1:7" x14ac:dyDescent="0.25">
      <c r="A151" s="4" t="str">
        <f>HYPERLINK("http://amigo.geneontology.org/cgi-bin/amigo/term-details.cgi?term=GO:0071822","GO:0071822")</f>
        <v>GO:0071822</v>
      </c>
      <c r="B151" t="s">
        <v>4155</v>
      </c>
      <c r="C151">
        <v>657</v>
      </c>
      <c r="D151">
        <v>123</v>
      </c>
      <c r="E151" s="2">
        <v>3.7054012256582601E-41</v>
      </c>
      <c r="F151" s="2">
        <v>1.18572839221064E-39</v>
      </c>
      <c r="G151" t="s">
        <v>4154</v>
      </c>
    </row>
    <row r="152" spans="1:7" x14ac:dyDescent="0.25">
      <c r="A152" s="4" t="str">
        <f>HYPERLINK("http://amigo.geneontology.org/cgi-bin/amigo/term-details.cgi?term=GO:0048367","GO:0048367")</f>
        <v>GO:0048367</v>
      </c>
      <c r="B152" t="s">
        <v>4153</v>
      </c>
      <c r="C152">
        <v>709</v>
      </c>
      <c r="D152">
        <v>127</v>
      </c>
      <c r="E152" s="2">
        <v>2.32406957195096E-40</v>
      </c>
      <c r="F152" s="2">
        <v>7.2046156730479696E-39</v>
      </c>
      <c r="G152" t="s">
        <v>4152</v>
      </c>
    </row>
    <row r="153" spans="1:7" x14ac:dyDescent="0.25">
      <c r="A153" s="4" t="str">
        <f>HYPERLINK("http://amigo.geneontology.org/cgi-bin/amigo/term-details.cgi?term=GO:0006260","GO:0006260")</f>
        <v>GO:0006260</v>
      </c>
      <c r="B153" t="s">
        <v>799</v>
      </c>
      <c r="C153">
        <v>436</v>
      </c>
      <c r="D153">
        <v>98</v>
      </c>
      <c r="E153" s="2">
        <v>4.59185881998324E-40</v>
      </c>
      <c r="F153" s="2">
        <v>1.4234762341948001E-38</v>
      </c>
      <c r="G153" t="s">
        <v>4151</v>
      </c>
    </row>
    <row r="154" spans="1:7" x14ac:dyDescent="0.25">
      <c r="A154" s="4" t="str">
        <f>HYPERLINK("http://amigo.geneontology.org/cgi-bin/amigo/term-details.cgi?term=GO:0048731","GO:0048731")</f>
        <v>GO:0048731</v>
      </c>
      <c r="B154" t="s">
        <v>4150</v>
      </c>
      <c r="C154">
        <v>1350</v>
      </c>
      <c r="D154">
        <v>183</v>
      </c>
      <c r="E154" s="2">
        <v>5.9657308421192298E-40</v>
      </c>
      <c r="F154" s="2">
        <v>1.8493765610569601E-38</v>
      </c>
      <c r="G154" t="s">
        <v>4149</v>
      </c>
    </row>
    <row r="155" spans="1:7" x14ac:dyDescent="0.25">
      <c r="A155" s="4" t="str">
        <f>HYPERLINK("http://amigo.geneontology.org/cgi-bin/amigo/term-details.cgi?term=GO:0019693","GO:0019693")</f>
        <v>GO:0019693</v>
      </c>
      <c r="B155" t="s">
        <v>624</v>
      </c>
      <c r="C155">
        <v>1032</v>
      </c>
      <c r="D155">
        <v>156</v>
      </c>
      <c r="E155" s="2">
        <v>7.1464680055570997E-40</v>
      </c>
      <c r="F155" s="2">
        <v>2.2154050817227001E-38</v>
      </c>
      <c r="G155" t="s">
        <v>4148</v>
      </c>
    </row>
    <row r="156" spans="1:7" x14ac:dyDescent="0.25">
      <c r="A156" s="4" t="str">
        <f>HYPERLINK("http://amigo.geneontology.org/cgi-bin/amigo/term-details.cgi?term=GO:0006259","GO:0006259")</f>
        <v>GO:0006259</v>
      </c>
      <c r="B156" t="s">
        <v>795</v>
      </c>
      <c r="C156">
        <v>1327</v>
      </c>
      <c r="D156">
        <v>180</v>
      </c>
      <c r="E156" s="2">
        <v>2.3907038426881899E-39</v>
      </c>
      <c r="F156" s="2">
        <v>7.1721115280645902E-38</v>
      </c>
      <c r="G156" t="s">
        <v>4147</v>
      </c>
    </row>
    <row r="157" spans="1:7" x14ac:dyDescent="0.25">
      <c r="A157" s="4" t="str">
        <f>HYPERLINK("http://amigo.geneontology.org/cgi-bin/amigo/term-details.cgi?term=GO:0016109","GO:0016109")</f>
        <v>GO:0016109</v>
      </c>
      <c r="B157" t="s">
        <v>4146</v>
      </c>
      <c r="C157">
        <v>118</v>
      </c>
      <c r="D157">
        <v>53</v>
      </c>
      <c r="E157" s="2">
        <v>2.6641739731951699E-39</v>
      </c>
      <c r="F157" s="2">
        <v>7.9925219195855301E-38</v>
      </c>
      <c r="G157" t="s">
        <v>4144</v>
      </c>
    </row>
    <row r="158" spans="1:7" x14ac:dyDescent="0.25">
      <c r="A158" s="4" t="str">
        <f>HYPERLINK("http://amigo.geneontology.org/cgi-bin/amigo/term-details.cgi?term=GO:0016117","GO:0016117")</f>
        <v>GO:0016117</v>
      </c>
      <c r="B158" t="s">
        <v>4145</v>
      </c>
      <c r="C158">
        <v>118</v>
      </c>
      <c r="D158">
        <v>53</v>
      </c>
      <c r="E158" s="2">
        <v>2.6641739731951699E-39</v>
      </c>
      <c r="F158" s="2">
        <v>7.9925219195855301E-38</v>
      </c>
      <c r="G158" t="s">
        <v>4144</v>
      </c>
    </row>
    <row r="159" spans="1:7" x14ac:dyDescent="0.25">
      <c r="A159" s="4" t="str">
        <f>HYPERLINK("http://amigo.geneontology.org/cgi-bin/amigo/term-details.cgi?term=GO:0016108","GO:0016108")</f>
        <v>GO:0016108</v>
      </c>
      <c r="B159" t="s">
        <v>4143</v>
      </c>
      <c r="C159">
        <v>125</v>
      </c>
      <c r="D159">
        <v>54</v>
      </c>
      <c r="E159" s="2">
        <v>6.5500698215143905E-39</v>
      </c>
      <c r="F159" s="2">
        <v>1.96502094645431E-37</v>
      </c>
      <c r="G159" t="s">
        <v>4141</v>
      </c>
    </row>
    <row r="160" spans="1:7" x14ac:dyDescent="0.25">
      <c r="A160" s="4" t="str">
        <f>HYPERLINK("http://amigo.geneontology.org/cgi-bin/amigo/term-details.cgi?term=GO:0016116","GO:0016116")</f>
        <v>GO:0016116</v>
      </c>
      <c r="B160" t="s">
        <v>4142</v>
      </c>
      <c r="C160">
        <v>125</v>
      </c>
      <c r="D160">
        <v>54</v>
      </c>
      <c r="E160" s="2">
        <v>6.5500698215143905E-39</v>
      </c>
      <c r="F160" s="2">
        <v>1.96502094645431E-37</v>
      </c>
      <c r="G160" t="s">
        <v>4141</v>
      </c>
    </row>
    <row r="161" spans="1:7" x14ac:dyDescent="0.25">
      <c r="A161" s="4" t="str">
        <f>HYPERLINK("http://amigo.geneontology.org/cgi-bin/amigo/term-details.cgi?term=GO:0010207","GO:0010207")</f>
        <v>GO:0010207</v>
      </c>
      <c r="B161" t="s">
        <v>4140</v>
      </c>
      <c r="C161">
        <v>162</v>
      </c>
      <c r="D161">
        <v>60</v>
      </c>
      <c r="E161" s="2">
        <v>2.0397567906746901E-38</v>
      </c>
      <c r="F161" s="2">
        <v>5.9152946929566E-37</v>
      </c>
      <c r="G161" t="s">
        <v>4139</v>
      </c>
    </row>
    <row r="162" spans="1:7" x14ac:dyDescent="0.25">
      <c r="A162" s="4" t="str">
        <f>HYPERLINK("http://amigo.geneontology.org/cgi-bin/amigo/term-details.cgi?term=GO:0000096","GO:0000096")</f>
        <v>GO:0000096</v>
      </c>
      <c r="B162" t="s">
        <v>4138</v>
      </c>
      <c r="C162">
        <v>291</v>
      </c>
      <c r="D162">
        <v>78</v>
      </c>
      <c r="E162" s="2">
        <v>6.3556371352464698E-38</v>
      </c>
      <c r="F162" s="2">
        <v>1.84313476922147E-36</v>
      </c>
      <c r="G162" t="s">
        <v>4137</v>
      </c>
    </row>
    <row r="163" spans="1:7" x14ac:dyDescent="0.25">
      <c r="A163" s="4" t="str">
        <f>HYPERLINK("http://amigo.geneontology.org/cgi-bin/amigo/term-details.cgi?term=GO:0022613","GO:0022613")</f>
        <v>GO:0022613</v>
      </c>
      <c r="B163" t="s">
        <v>4136</v>
      </c>
      <c r="C163">
        <v>546</v>
      </c>
      <c r="D163">
        <v>107</v>
      </c>
      <c r="E163" s="2">
        <v>7.8460820312102401E-38</v>
      </c>
      <c r="F163" s="2">
        <v>2.27536378905096E-36</v>
      </c>
      <c r="G163" t="s">
        <v>4135</v>
      </c>
    </row>
    <row r="164" spans="1:7" x14ac:dyDescent="0.25">
      <c r="A164" s="4" t="str">
        <f>HYPERLINK("http://amigo.geneontology.org/cgi-bin/amigo/term-details.cgi?term=GO:0048856","GO:0048856")</f>
        <v>GO:0048856</v>
      </c>
      <c r="B164" t="s">
        <v>4134</v>
      </c>
      <c r="C164">
        <v>2294</v>
      </c>
      <c r="D164">
        <v>250</v>
      </c>
      <c r="E164" s="2">
        <v>1.04805809954302E-37</v>
      </c>
      <c r="F164" s="2">
        <v>3.0393684886747698E-36</v>
      </c>
      <c r="G164" t="s">
        <v>4133</v>
      </c>
    </row>
    <row r="165" spans="1:7" x14ac:dyDescent="0.25">
      <c r="A165" s="4" t="str">
        <f>HYPERLINK("http://amigo.geneontology.org/cgi-bin/amigo/term-details.cgi?term=GO:0044272","GO:0044272")</f>
        <v>GO:0044272</v>
      </c>
      <c r="B165" t="s">
        <v>125</v>
      </c>
      <c r="C165">
        <v>480</v>
      </c>
      <c r="D165">
        <v>99</v>
      </c>
      <c r="E165" s="2">
        <v>4.5588805345494604E-37</v>
      </c>
      <c r="F165" s="2">
        <v>1.3220753550193399E-35</v>
      </c>
      <c r="G165" t="s">
        <v>4132</v>
      </c>
    </row>
    <row r="166" spans="1:7" x14ac:dyDescent="0.25">
      <c r="A166" s="4" t="str">
        <f>HYPERLINK("http://amigo.geneontology.org/cgi-bin/amigo/term-details.cgi?term=GO:0010468","GO:0010468")</f>
        <v>GO:0010468</v>
      </c>
      <c r="B166" t="s">
        <v>317</v>
      </c>
      <c r="C166">
        <v>951</v>
      </c>
      <c r="D166">
        <v>144</v>
      </c>
      <c r="E166" s="2">
        <v>5.6831654585160902E-37</v>
      </c>
      <c r="F166" s="2">
        <v>1.5912863283845001E-35</v>
      </c>
      <c r="G166" t="s">
        <v>4131</v>
      </c>
    </row>
    <row r="167" spans="1:7" x14ac:dyDescent="0.25">
      <c r="A167" s="4" t="str">
        <f>HYPERLINK("http://amigo.geneontology.org/cgi-bin/amigo/term-details.cgi?term=GO:0006396","GO:0006396")</f>
        <v>GO:0006396</v>
      </c>
      <c r="B167" t="s">
        <v>4130</v>
      </c>
      <c r="C167">
        <v>1483</v>
      </c>
      <c r="D167">
        <v>187</v>
      </c>
      <c r="E167" s="2">
        <v>1.6834687344211299E-36</v>
      </c>
      <c r="F167" s="2">
        <v>4.7137124563791698E-35</v>
      </c>
      <c r="G167" t="s">
        <v>4129</v>
      </c>
    </row>
    <row r="168" spans="1:7" x14ac:dyDescent="0.25">
      <c r="A168" s="4" t="str">
        <f>HYPERLINK("http://amigo.geneontology.org/cgi-bin/amigo/term-details.cgi?term=GO:0034470","GO:0034470")</f>
        <v>GO:0034470</v>
      </c>
      <c r="B168" t="s">
        <v>4128</v>
      </c>
      <c r="C168">
        <v>615</v>
      </c>
      <c r="D168">
        <v>112</v>
      </c>
      <c r="E168" s="2">
        <v>1.9763947707865199E-36</v>
      </c>
      <c r="F168" s="2">
        <v>5.5339053582022597E-35</v>
      </c>
      <c r="G168" t="s">
        <v>4127</v>
      </c>
    </row>
    <row r="169" spans="1:7" x14ac:dyDescent="0.25">
      <c r="A169" s="4" t="str">
        <f>HYPERLINK("http://amigo.geneontology.org/cgi-bin/amigo/term-details.cgi?term=GO:0044042","GO:0044042")</f>
        <v>GO:0044042</v>
      </c>
      <c r="B169" t="s">
        <v>591</v>
      </c>
      <c r="C169">
        <v>620</v>
      </c>
      <c r="D169">
        <v>112</v>
      </c>
      <c r="E169" s="2">
        <v>4.2975005568386502E-36</v>
      </c>
      <c r="F169" s="2">
        <v>1.2033001559148201E-34</v>
      </c>
      <c r="G169" t="s">
        <v>4126</v>
      </c>
    </row>
    <row r="170" spans="1:7" x14ac:dyDescent="0.25">
      <c r="A170" s="4" t="str">
        <f>HYPERLINK("http://amigo.geneontology.org/cgi-bin/amigo/term-details.cgi?term=GO:0006073","GO:0006073")</f>
        <v>GO:0006073</v>
      </c>
      <c r="B170" t="s">
        <v>590</v>
      </c>
      <c r="C170">
        <v>620</v>
      </c>
      <c r="D170">
        <v>112</v>
      </c>
      <c r="E170" s="2">
        <v>4.2975005568386502E-36</v>
      </c>
      <c r="F170" s="2">
        <v>1.2033001559148201E-34</v>
      </c>
      <c r="G170" t="s">
        <v>4126</v>
      </c>
    </row>
    <row r="171" spans="1:7" x14ac:dyDescent="0.25">
      <c r="A171" s="4" t="str">
        <f>HYPERLINK("http://amigo.geneontology.org/cgi-bin/amigo/term-details.cgi?term=GO:0000097","GO:0000097")</f>
        <v>GO:0000097</v>
      </c>
      <c r="B171" t="s">
        <v>4125</v>
      </c>
      <c r="C171">
        <v>258</v>
      </c>
      <c r="D171">
        <v>71</v>
      </c>
      <c r="E171" s="2">
        <v>1.8341933867229701E-35</v>
      </c>
      <c r="F171" s="2">
        <v>5.1357414828243197E-34</v>
      </c>
      <c r="G171" t="s">
        <v>4124</v>
      </c>
    </row>
    <row r="172" spans="1:7" x14ac:dyDescent="0.25">
      <c r="A172" s="4" t="str">
        <f>HYPERLINK("http://amigo.geneontology.org/cgi-bin/amigo/term-details.cgi?term=GO:0009653","GO:0009653")</f>
        <v>GO:0009653</v>
      </c>
      <c r="B172" t="s">
        <v>4123</v>
      </c>
      <c r="C172">
        <v>772</v>
      </c>
      <c r="D172">
        <v>125</v>
      </c>
      <c r="E172" s="2">
        <v>3.5881487319904101E-35</v>
      </c>
      <c r="F172" s="2">
        <v>9.6880015763741201E-34</v>
      </c>
      <c r="G172" t="s">
        <v>4122</v>
      </c>
    </row>
    <row r="173" spans="1:7" x14ac:dyDescent="0.25">
      <c r="A173" s="4" t="str">
        <f>HYPERLINK("http://amigo.geneontology.org/cgi-bin/amigo/term-details.cgi?term=GO:0016114","GO:0016114")</f>
        <v>GO:0016114</v>
      </c>
      <c r="B173" t="s">
        <v>4121</v>
      </c>
      <c r="C173">
        <v>198</v>
      </c>
      <c r="D173">
        <v>62</v>
      </c>
      <c r="E173" s="2">
        <v>9.8669182006753193E-35</v>
      </c>
      <c r="F173" s="2">
        <v>2.6640679141823299E-33</v>
      </c>
      <c r="G173" t="s">
        <v>4120</v>
      </c>
    </row>
    <row r="174" spans="1:7" x14ac:dyDescent="0.25">
      <c r="A174" s="4" t="str">
        <f>HYPERLINK("http://amigo.geneontology.org/cgi-bin/amigo/term-details.cgi?term=GO:0043228","GO:0043228")</f>
        <v>GO:0043228</v>
      </c>
      <c r="B174" t="s">
        <v>876</v>
      </c>
      <c r="C174">
        <v>2985</v>
      </c>
      <c r="D174">
        <v>290</v>
      </c>
      <c r="E174" s="2">
        <v>1.31803113527307E-34</v>
      </c>
      <c r="F174" s="2">
        <v>3.55868406523729E-33</v>
      </c>
      <c r="G174" t="s">
        <v>4119</v>
      </c>
    </row>
    <row r="175" spans="1:7" x14ac:dyDescent="0.25">
      <c r="A175" s="4" t="str">
        <f>HYPERLINK("http://amigo.geneontology.org/cgi-bin/amigo/term-details.cgi?term=GO:0043232","GO:0043232")</f>
        <v>GO:0043232</v>
      </c>
      <c r="B175" t="s">
        <v>758</v>
      </c>
      <c r="C175">
        <v>2985</v>
      </c>
      <c r="D175">
        <v>290</v>
      </c>
      <c r="E175" s="2">
        <v>1.31803113527307E-34</v>
      </c>
      <c r="F175" s="2">
        <v>3.55868406523729E-33</v>
      </c>
      <c r="G175" t="s">
        <v>4119</v>
      </c>
    </row>
    <row r="176" spans="1:7" x14ac:dyDescent="0.25">
      <c r="A176" s="4" t="str">
        <f>HYPERLINK("http://amigo.geneontology.org/cgi-bin/amigo/term-details.cgi?term=GO:0008652","GO:0008652")</f>
        <v>GO:0008652</v>
      </c>
      <c r="B176" t="s">
        <v>567</v>
      </c>
      <c r="C176">
        <v>644</v>
      </c>
      <c r="D176">
        <v>112</v>
      </c>
      <c r="E176" s="2">
        <v>1.5846638461781899E-34</v>
      </c>
      <c r="F176" s="2">
        <v>4.2785923846811301E-33</v>
      </c>
      <c r="G176" t="s">
        <v>4118</v>
      </c>
    </row>
    <row r="177" spans="1:7" x14ac:dyDescent="0.25">
      <c r="A177" s="4" t="str">
        <f>HYPERLINK("http://amigo.geneontology.org/cgi-bin/amigo/term-details.cgi?term=GO:0006721","GO:0006721")</f>
        <v>GO:0006721</v>
      </c>
      <c r="B177" t="s">
        <v>4117</v>
      </c>
      <c r="C177">
        <v>209</v>
      </c>
      <c r="D177">
        <v>63</v>
      </c>
      <c r="E177" s="2">
        <v>3.52458814798712E-34</v>
      </c>
      <c r="F177" s="2">
        <v>9.5163879995652194E-33</v>
      </c>
      <c r="G177" t="s">
        <v>4116</v>
      </c>
    </row>
    <row r="178" spans="1:7" x14ac:dyDescent="0.25">
      <c r="A178" s="4" t="str">
        <f>HYPERLINK("http://amigo.geneontology.org/cgi-bin/amigo/term-details.cgi?term=GO:0019252","GO:0019252")</f>
        <v>GO:0019252</v>
      </c>
      <c r="B178" t="s">
        <v>4115</v>
      </c>
      <c r="C178">
        <v>183</v>
      </c>
      <c r="D178">
        <v>59</v>
      </c>
      <c r="E178" s="2">
        <v>6.4676223939176701E-34</v>
      </c>
      <c r="F178" s="2">
        <v>1.6815818224185899E-32</v>
      </c>
      <c r="G178" t="s">
        <v>4114</v>
      </c>
    </row>
    <row r="179" spans="1:7" x14ac:dyDescent="0.25">
      <c r="A179" s="4" t="str">
        <f>HYPERLINK("http://amigo.geneontology.org/cgi-bin/amigo/term-details.cgi?term=GO:0006520","GO:0006520")</f>
        <v>GO:0006520</v>
      </c>
      <c r="B179" t="s">
        <v>240</v>
      </c>
      <c r="C179">
        <v>1345</v>
      </c>
      <c r="D179">
        <v>170</v>
      </c>
      <c r="E179" s="2">
        <v>2.1611400642832201E-33</v>
      </c>
      <c r="F179" s="2">
        <v>5.61896416713639E-32</v>
      </c>
      <c r="G179" t="s">
        <v>4113</v>
      </c>
    </row>
    <row r="180" spans="1:7" x14ac:dyDescent="0.25">
      <c r="A180" s="4" t="str">
        <f>HYPERLINK("http://amigo.geneontology.org/cgi-bin/amigo/term-details.cgi?term=GO:0044283","GO:0044283")</f>
        <v>GO:0044283</v>
      </c>
      <c r="B180" t="s">
        <v>456</v>
      </c>
      <c r="C180">
        <v>1604</v>
      </c>
      <c r="D180">
        <v>189</v>
      </c>
      <c r="E180" s="2">
        <v>5.70321466607615E-33</v>
      </c>
      <c r="F180" s="2">
        <v>1.4828358131798E-31</v>
      </c>
      <c r="G180" t="s">
        <v>4112</v>
      </c>
    </row>
    <row r="181" spans="1:7" x14ac:dyDescent="0.25">
      <c r="A181" s="4" t="str">
        <f>HYPERLINK("http://amigo.geneontology.org/cgi-bin/amigo/term-details.cgi?term=GO:0009791","GO:0009791")</f>
        <v>GO:0009791</v>
      </c>
      <c r="B181" t="s">
        <v>4111</v>
      </c>
      <c r="C181">
        <v>1143</v>
      </c>
      <c r="D181">
        <v>153</v>
      </c>
      <c r="E181" s="2">
        <v>6.1234753486835397E-33</v>
      </c>
      <c r="F181" s="2">
        <v>1.5921035906577201E-31</v>
      </c>
      <c r="G181" t="s">
        <v>4110</v>
      </c>
    </row>
    <row r="182" spans="1:7" x14ac:dyDescent="0.25">
      <c r="A182" s="4" t="str">
        <f>HYPERLINK("http://amigo.geneontology.org/cgi-bin/amigo/term-details.cgi?term=GO:0006270","GO:0006270")</f>
        <v>GO:0006270</v>
      </c>
      <c r="B182" t="s">
        <v>793</v>
      </c>
      <c r="C182">
        <v>78</v>
      </c>
      <c r="D182">
        <v>40</v>
      </c>
      <c r="E182" s="2">
        <v>6.3883418018061002E-33</v>
      </c>
      <c r="F182" s="2">
        <v>1.6609688684695799E-31</v>
      </c>
      <c r="G182" t="s">
        <v>4109</v>
      </c>
    </row>
    <row r="183" spans="1:7" x14ac:dyDescent="0.25">
      <c r="A183" s="4" t="str">
        <f>HYPERLINK("http://amigo.geneontology.org/cgi-bin/amigo/term-details.cgi?term=GO:0005982","GO:0005982")</f>
        <v>GO:0005982</v>
      </c>
      <c r="B183" t="s">
        <v>4108</v>
      </c>
      <c r="C183">
        <v>197</v>
      </c>
      <c r="D183">
        <v>60</v>
      </c>
      <c r="E183" s="2">
        <v>6.6553162519895901E-33</v>
      </c>
      <c r="F183" s="2">
        <v>1.7303822255172899E-31</v>
      </c>
      <c r="G183" t="s">
        <v>4107</v>
      </c>
    </row>
    <row r="184" spans="1:7" x14ac:dyDescent="0.25">
      <c r="A184" s="4" t="str">
        <f>HYPERLINK("http://amigo.geneontology.org/cgi-bin/amigo/term-details.cgi?term=GO:0006629","GO:0006629")</f>
        <v>GO:0006629</v>
      </c>
      <c r="B184" t="s">
        <v>919</v>
      </c>
      <c r="C184">
        <v>2608</v>
      </c>
      <c r="D184">
        <v>260</v>
      </c>
      <c r="E184" s="2">
        <v>8.0137746469939606E-33</v>
      </c>
      <c r="F184" s="2">
        <v>2.00344366174849E-31</v>
      </c>
      <c r="G184" t="s">
        <v>4106</v>
      </c>
    </row>
    <row r="185" spans="1:7" x14ac:dyDescent="0.25">
      <c r="A185" s="4" t="str">
        <f>HYPERLINK("http://amigo.geneontology.org/cgi-bin/amigo/term-details.cgi?term=GO:0016070","GO:0016070")</f>
        <v>GO:0016070</v>
      </c>
      <c r="B185" t="s">
        <v>733</v>
      </c>
      <c r="C185">
        <v>4072</v>
      </c>
      <c r="D185">
        <v>355</v>
      </c>
      <c r="E185" s="2">
        <v>8.4501189295167495E-33</v>
      </c>
      <c r="F185" s="2">
        <v>2.1125297323791801E-31</v>
      </c>
      <c r="G185" t="s">
        <v>4105</v>
      </c>
    </row>
    <row r="186" spans="1:7" x14ac:dyDescent="0.25">
      <c r="A186" s="4" t="str">
        <f>HYPERLINK("http://amigo.geneontology.org/cgi-bin/amigo/term-details.cgi?term=GO:0140097","GO:0140097")</f>
        <v>GO:0140097</v>
      </c>
      <c r="B186" t="s">
        <v>4104</v>
      </c>
      <c r="C186">
        <v>376</v>
      </c>
      <c r="D186">
        <v>82</v>
      </c>
      <c r="E186" s="2">
        <v>9.3126709916415099E-33</v>
      </c>
      <c r="F186" s="2">
        <v>2.3281677479103699E-31</v>
      </c>
      <c r="G186" t="s">
        <v>4103</v>
      </c>
    </row>
    <row r="187" spans="1:7" x14ac:dyDescent="0.25">
      <c r="A187" s="4" t="str">
        <f>HYPERLINK("http://amigo.geneontology.org/cgi-bin/amigo/term-details.cgi?term=GO:0009773","GO:0009773")</f>
        <v>GO:0009773</v>
      </c>
      <c r="B187" t="s">
        <v>4102</v>
      </c>
      <c r="C187">
        <v>54</v>
      </c>
      <c r="D187">
        <v>34</v>
      </c>
      <c r="E187" s="2">
        <v>2.1518158752333001E-32</v>
      </c>
      <c r="F187" s="2">
        <v>5.37953968808327E-31</v>
      </c>
      <c r="G187" t="s">
        <v>4101</v>
      </c>
    </row>
    <row r="188" spans="1:7" x14ac:dyDescent="0.25">
      <c r="A188" s="4" t="str">
        <f>HYPERLINK("http://amigo.geneontology.org/cgi-bin/amigo/term-details.cgi?term=GO:0051644","GO:0051644")</f>
        <v>GO:0051644</v>
      </c>
      <c r="B188" t="s">
        <v>4100</v>
      </c>
      <c r="C188">
        <v>123</v>
      </c>
      <c r="D188">
        <v>48</v>
      </c>
      <c r="E188" s="2">
        <v>2.8745047465958299E-32</v>
      </c>
      <c r="F188" s="2">
        <v>6.8988113918300102E-31</v>
      </c>
      <c r="G188" t="s">
        <v>4078</v>
      </c>
    </row>
    <row r="189" spans="1:7" x14ac:dyDescent="0.25">
      <c r="A189" s="4" t="str">
        <f>HYPERLINK("http://amigo.geneontology.org/cgi-bin/amigo/term-details.cgi?term=GO:0019750","GO:0019750")</f>
        <v>GO:0019750</v>
      </c>
      <c r="B189" t="s">
        <v>4099</v>
      </c>
      <c r="C189">
        <v>123</v>
      </c>
      <c r="D189">
        <v>48</v>
      </c>
      <c r="E189" s="2">
        <v>2.8745047465958299E-32</v>
      </c>
      <c r="F189" s="2">
        <v>7.1862618664895903E-31</v>
      </c>
      <c r="G189" t="s">
        <v>4078</v>
      </c>
    </row>
    <row r="190" spans="1:7" x14ac:dyDescent="0.25">
      <c r="A190" s="4" t="str">
        <f>HYPERLINK("http://amigo.geneontology.org/cgi-bin/amigo/term-details.cgi?term=GO:0051667","GO:0051667")</f>
        <v>GO:0051667</v>
      </c>
      <c r="B190" t="s">
        <v>4098</v>
      </c>
      <c r="C190">
        <v>123</v>
      </c>
      <c r="D190">
        <v>48</v>
      </c>
      <c r="E190" s="2">
        <v>2.8745047465958299E-32</v>
      </c>
      <c r="F190" s="2">
        <v>7.1862618664895903E-31</v>
      </c>
      <c r="G190" t="s">
        <v>4078</v>
      </c>
    </row>
    <row r="191" spans="1:7" x14ac:dyDescent="0.25">
      <c r="A191" s="4" t="str">
        <f>HYPERLINK("http://amigo.geneontology.org/cgi-bin/amigo/term-details.cgi?term=GO:0009902","GO:0009902")</f>
        <v>GO:0009902</v>
      </c>
      <c r="B191" t="s">
        <v>4097</v>
      </c>
      <c r="C191">
        <v>123</v>
      </c>
      <c r="D191">
        <v>48</v>
      </c>
      <c r="E191" s="2">
        <v>2.8745047465958299E-32</v>
      </c>
      <c r="F191" s="2">
        <v>7.1862618664895903E-31</v>
      </c>
      <c r="G191" t="s">
        <v>4078</v>
      </c>
    </row>
    <row r="192" spans="1:7" x14ac:dyDescent="0.25">
      <c r="A192" s="4" t="str">
        <f>HYPERLINK("http://amigo.geneontology.org/cgi-bin/amigo/term-details.cgi?term=GO:0009070","GO:0009070")</f>
        <v>GO:0009070</v>
      </c>
      <c r="B192" t="s">
        <v>496</v>
      </c>
      <c r="C192">
        <v>175</v>
      </c>
      <c r="D192">
        <v>56</v>
      </c>
      <c r="E192" s="2">
        <v>4.4925550252178798E-32</v>
      </c>
      <c r="F192" s="2">
        <v>1.0782132060522899E-30</v>
      </c>
      <c r="G192" t="s">
        <v>4096</v>
      </c>
    </row>
    <row r="193" spans="1:7" x14ac:dyDescent="0.25">
      <c r="A193" s="4" t="str">
        <f>HYPERLINK("http://amigo.geneontology.org/cgi-bin/amigo/term-details.cgi?term=GO:0007049","GO:0007049")</f>
        <v>GO:0007049</v>
      </c>
      <c r="B193" t="s">
        <v>812</v>
      </c>
      <c r="C193">
        <v>667</v>
      </c>
      <c r="D193">
        <v>110</v>
      </c>
      <c r="E193" s="2">
        <v>7.9738234413813202E-32</v>
      </c>
      <c r="F193" s="2">
        <v>1.9137176259315101E-30</v>
      </c>
      <c r="G193" t="s">
        <v>4095</v>
      </c>
    </row>
    <row r="194" spans="1:7" x14ac:dyDescent="0.25">
      <c r="A194" s="4" t="str">
        <f>HYPERLINK("http://amigo.geneontology.org/cgi-bin/amigo/term-details.cgi?term=GO:0010016","GO:0010016")</f>
        <v>GO:0010016</v>
      </c>
      <c r="B194" t="s">
        <v>4094</v>
      </c>
      <c r="C194">
        <v>259</v>
      </c>
      <c r="D194">
        <v>67</v>
      </c>
      <c r="E194" s="2">
        <v>9.2224456256228504E-32</v>
      </c>
      <c r="F194" s="2">
        <v>2.2133869501494802E-30</v>
      </c>
      <c r="G194" t="s">
        <v>4093</v>
      </c>
    </row>
    <row r="195" spans="1:7" x14ac:dyDescent="0.25">
      <c r="A195" s="4" t="str">
        <f>HYPERLINK("http://amigo.geneontology.org/cgi-bin/amigo/term-details.cgi?term=GO:0072596","GO:0072596")</f>
        <v>GO:0072596</v>
      </c>
      <c r="B195" t="s">
        <v>4092</v>
      </c>
      <c r="C195">
        <v>74</v>
      </c>
      <c r="D195">
        <v>38</v>
      </c>
      <c r="E195" s="2">
        <v>2.2387129072589602E-31</v>
      </c>
      <c r="F195" s="2">
        <v>5.3729109774215003E-30</v>
      </c>
      <c r="G195" t="s">
        <v>4084</v>
      </c>
    </row>
    <row r="196" spans="1:7" x14ac:dyDescent="0.25">
      <c r="A196" s="4" t="str">
        <f>HYPERLINK("http://amigo.geneontology.org/cgi-bin/amigo/term-details.cgi?term=GO:0045036","GO:0045036")</f>
        <v>GO:0045036</v>
      </c>
      <c r="B196" t="s">
        <v>4091</v>
      </c>
      <c r="C196">
        <v>74</v>
      </c>
      <c r="D196">
        <v>38</v>
      </c>
      <c r="E196" s="2">
        <v>2.2387129072589602E-31</v>
      </c>
      <c r="F196" s="2">
        <v>5.3729109774215003E-30</v>
      </c>
      <c r="G196" t="s">
        <v>4084</v>
      </c>
    </row>
    <row r="197" spans="1:7" x14ac:dyDescent="0.25">
      <c r="A197" s="4" t="str">
        <f>HYPERLINK("http://amigo.geneontology.org/cgi-bin/amigo/term-details.cgi?term=GO:0007275","GO:0007275")</f>
        <v>GO:0007275</v>
      </c>
      <c r="B197" t="s">
        <v>4090</v>
      </c>
      <c r="C197">
        <v>2087</v>
      </c>
      <c r="D197">
        <v>220</v>
      </c>
      <c r="E197" s="2">
        <v>3.4168524954010898E-31</v>
      </c>
      <c r="F197" s="2">
        <v>8.2004459889626097E-30</v>
      </c>
      <c r="G197" t="s">
        <v>4089</v>
      </c>
    </row>
    <row r="198" spans="1:7" x14ac:dyDescent="0.25">
      <c r="A198" s="4" t="str">
        <f>HYPERLINK("http://amigo.geneontology.org/cgi-bin/amigo/term-details.cgi?term=GO:0019344","GO:0019344")</f>
        <v>GO:0019344</v>
      </c>
      <c r="B198" t="s">
        <v>4088</v>
      </c>
      <c r="C198">
        <v>154</v>
      </c>
      <c r="D198">
        <v>52</v>
      </c>
      <c r="E198" s="2">
        <v>3.4308894032008901E-31</v>
      </c>
      <c r="F198" s="2">
        <v>8.2341345676821395E-30</v>
      </c>
      <c r="G198" t="s">
        <v>4076</v>
      </c>
    </row>
    <row r="199" spans="1:7" x14ac:dyDescent="0.25">
      <c r="A199" s="4" t="str">
        <f>HYPERLINK("http://amigo.geneontology.org/cgi-bin/amigo/term-details.cgi?term=GO:0009765","GO:0009765")</f>
        <v>GO:0009765</v>
      </c>
      <c r="B199" t="s">
        <v>4087</v>
      </c>
      <c r="C199">
        <v>100</v>
      </c>
      <c r="D199">
        <v>43</v>
      </c>
      <c r="E199" s="2">
        <v>3.5061340089387101E-31</v>
      </c>
      <c r="F199" s="2">
        <v>8.0641082205590304E-30</v>
      </c>
      <c r="G199" t="s">
        <v>4086</v>
      </c>
    </row>
    <row r="200" spans="1:7" x14ac:dyDescent="0.25">
      <c r="A200" s="4" t="str">
        <f>HYPERLINK("http://amigo.geneontology.org/cgi-bin/amigo/term-details.cgi?term=GO:0072598","GO:0072598")</f>
        <v>GO:0072598</v>
      </c>
      <c r="B200" t="s">
        <v>4085</v>
      </c>
      <c r="C200">
        <v>75</v>
      </c>
      <c r="D200">
        <v>38</v>
      </c>
      <c r="E200" s="2">
        <v>4.3402318589801101E-31</v>
      </c>
      <c r="F200" s="2">
        <v>9.9825332756542499E-30</v>
      </c>
      <c r="G200" t="s">
        <v>4084</v>
      </c>
    </row>
    <row r="201" spans="1:7" x14ac:dyDescent="0.25">
      <c r="A201" s="4" t="str">
        <f>HYPERLINK("http://amigo.geneontology.org/cgi-bin/amigo/term-details.cgi?term=GO:0010103","GO:0010103")</f>
        <v>GO:0010103</v>
      </c>
      <c r="B201" t="s">
        <v>4083</v>
      </c>
      <c r="C201">
        <v>80</v>
      </c>
      <c r="D201">
        <v>39</v>
      </c>
      <c r="E201" s="2">
        <v>4.9417608477569499E-31</v>
      </c>
      <c r="F201" s="2">
        <v>1.13660499498409E-29</v>
      </c>
      <c r="G201" t="s">
        <v>4037</v>
      </c>
    </row>
    <row r="202" spans="1:7" x14ac:dyDescent="0.25">
      <c r="A202" s="4" t="str">
        <f>HYPERLINK("http://amigo.geneontology.org/cgi-bin/amigo/term-details.cgi?term=GO:0090698","GO:0090698")</f>
        <v>GO:0090698</v>
      </c>
      <c r="B202" t="s">
        <v>4082</v>
      </c>
      <c r="C202">
        <v>267</v>
      </c>
      <c r="D202">
        <v>67</v>
      </c>
      <c r="E202" s="2">
        <v>6.7436532461046503E-31</v>
      </c>
      <c r="F202" s="2">
        <v>1.55104024660407E-29</v>
      </c>
      <c r="G202" t="s">
        <v>4081</v>
      </c>
    </row>
    <row r="203" spans="1:7" x14ac:dyDescent="0.25">
      <c r="A203" s="4" t="str">
        <f>HYPERLINK("http://amigo.geneontology.org/cgi-bin/amigo/term-details.cgi?term=GO:0006261","GO:0006261")</f>
        <v>GO:0006261</v>
      </c>
      <c r="B203" t="s">
        <v>780</v>
      </c>
      <c r="C203">
        <v>260</v>
      </c>
      <c r="D203">
        <v>66</v>
      </c>
      <c r="E203" s="2">
        <v>8.8360757595973205E-31</v>
      </c>
      <c r="F203" s="2">
        <v>2.0322974247073801E-29</v>
      </c>
      <c r="G203" t="s">
        <v>4080</v>
      </c>
    </row>
    <row r="204" spans="1:7" x14ac:dyDescent="0.25">
      <c r="A204" s="4" t="str">
        <f>HYPERLINK("http://amigo.geneontology.org/cgi-bin/amigo/term-details.cgi?term=GO:0051656","GO:0051656")</f>
        <v>GO:0051656</v>
      </c>
      <c r="B204" t="s">
        <v>4079</v>
      </c>
      <c r="C204">
        <v>133</v>
      </c>
      <c r="D204">
        <v>48</v>
      </c>
      <c r="E204" s="2">
        <v>1.98310932793764E-30</v>
      </c>
      <c r="F204" s="2">
        <v>4.5611514542565802E-29</v>
      </c>
      <c r="G204" t="s">
        <v>4078</v>
      </c>
    </row>
    <row r="205" spans="1:7" x14ac:dyDescent="0.25">
      <c r="A205" s="4" t="str">
        <f>HYPERLINK("http://amigo.geneontology.org/cgi-bin/amigo/term-details.cgi?term=GO:0006534","GO:0006534")</f>
        <v>GO:0006534</v>
      </c>
      <c r="B205" t="s">
        <v>4077</v>
      </c>
      <c r="C205">
        <v>160</v>
      </c>
      <c r="D205">
        <v>52</v>
      </c>
      <c r="E205" s="2">
        <v>2.90613738211033E-30</v>
      </c>
      <c r="F205" s="2">
        <v>6.6841159788537699E-29</v>
      </c>
      <c r="G205" t="s">
        <v>4076</v>
      </c>
    </row>
    <row r="206" spans="1:7" x14ac:dyDescent="0.25">
      <c r="A206" s="4" t="str">
        <f>HYPERLINK("http://amigo.geneontology.org/cgi-bin/amigo/term-details.cgi?term=GO:1901605","GO:1901605")</f>
        <v>GO:1901605</v>
      </c>
      <c r="B206" t="s">
        <v>332</v>
      </c>
      <c r="C206">
        <v>811</v>
      </c>
      <c r="D206">
        <v>120</v>
      </c>
      <c r="E206" s="2">
        <v>4.5293808531249598E-30</v>
      </c>
      <c r="F206" s="2">
        <v>1.04175759621874E-28</v>
      </c>
      <c r="G206" t="s">
        <v>4075</v>
      </c>
    </row>
    <row r="207" spans="1:7" x14ac:dyDescent="0.25">
      <c r="A207" s="4" t="str">
        <f>HYPERLINK("http://amigo.geneontology.org/cgi-bin/amigo/term-details.cgi?term=GO:0022402","GO:0022402")</f>
        <v>GO:0022402</v>
      </c>
      <c r="B207" t="s">
        <v>466</v>
      </c>
      <c r="C207">
        <v>467</v>
      </c>
      <c r="D207">
        <v>88</v>
      </c>
      <c r="E207" s="2">
        <v>4.7735169845770103E-30</v>
      </c>
      <c r="F207" s="2">
        <v>1.05017373660694E-28</v>
      </c>
      <c r="G207" t="s">
        <v>4074</v>
      </c>
    </row>
    <row r="208" spans="1:7" x14ac:dyDescent="0.25">
      <c r="A208" s="4" t="str">
        <f>HYPERLINK("http://amigo.geneontology.org/cgi-bin/amigo/term-details.cgi?term=GO:0006275","GO:0006275")</f>
        <v>GO:0006275</v>
      </c>
      <c r="B208" t="s">
        <v>1103</v>
      </c>
      <c r="C208">
        <v>131</v>
      </c>
      <c r="D208">
        <v>47</v>
      </c>
      <c r="E208" s="2">
        <v>1.08059545991653E-29</v>
      </c>
      <c r="F208" s="2">
        <v>2.3773100118163699E-28</v>
      </c>
      <c r="G208" t="s">
        <v>4073</v>
      </c>
    </row>
    <row r="209" spans="1:7" x14ac:dyDescent="0.25">
      <c r="A209" s="4" t="str">
        <f>HYPERLINK("http://amigo.geneontology.org/cgi-bin/amigo/term-details.cgi?term=GO:1901564","GO:1901564")</f>
        <v>GO:1901564</v>
      </c>
      <c r="B209" t="s">
        <v>899</v>
      </c>
      <c r="C209">
        <v>15243</v>
      </c>
      <c r="D209">
        <v>958</v>
      </c>
      <c r="E209" s="2">
        <v>1.5833721580476199E-29</v>
      </c>
      <c r="F209" s="2">
        <v>3.4834187477047702E-28</v>
      </c>
      <c r="G209" t="s">
        <v>4072</v>
      </c>
    </row>
    <row r="210" spans="1:7" x14ac:dyDescent="0.25">
      <c r="A210" s="4" t="str">
        <f>HYPERLINK("http://amigo.geneontology.org/cgi-bin/amigo/term-details.cgi?term=GO:1901607","GO:1901607")</f>
        <v>GO:1901607</v>
      </c>
      <c r="B210" t="s">
        <v>137</v>
      </c>
      <c r="C210">
        <v>520</v>
      </c>
      <c r="D210">
        <v>92</v>
      </c>
      <c r="E210" s="2">
        <v>3.4670046116043702E-29</v>
      </c>
      <c r="F210" s="2">
        <v>7.6274101455296202E-28</v>
      </c>
      <c r="G210" t="s">
        <v>4071</v>
      </c>
    </row>
    <row r="211" spans="1:7" x14ac:dyDescent="0.25">
      <c r="A211" s="4" t="str">
        <f>HYPERLINK("http://amigo.geneontology.org/cgi-bin/amigo/term-details.cgi?term=GO:0009888","GO:0009888")</f>
        <v>GO:0009888</v>
      </c>
      <c r="B211" t="s">
        <v>4070</v>
      </c>
      <c r="C211">
        <v>533</v>
      </c>
      <c r="D211">
        <v>93</v>
      </c>
      <c r="E211" s="2">
        <v>5.1468422912663296E-29</v>
      </c>
      <c r="F211" s="2">
        <v>1.1323053040785899E-27</v>
      </c>
      <c r="G211" t="s">
        <v>4069</v>
      </c>
    </row>
    <row r="212" spans="1:7" x14ac:dyDescent="0.25">
      <c r="A212" s="4" t="str">
        <f>HYPERLINK("http://amigo.geneontology.org/cgi-bin/amigo/term-details.cgi?term=GO:0007010","GO:0007010")</f>
        <v>GO:0007010</v>
      </c>
      <c r="B212" t="s">
        <v>734</v>
      </c>
      <c r="C212">
        <v>430</v>
      </c>
      <c r="D212">
        <v>82</v>
      </c>
      <c r="E212" s="2">
        <v>1.8124696923315301E-28</v>
      </c>
      <c r="F212" s="2">
        <v>3.98743332312938E-27</v>
      </c>
      <c r="G212" t="s">
        <v>4068</v>
      </c>
    </row>
    <row r="213" spans="1:7" x14ac:dyDescent="0.25">
      <c r="A213" s="4" t="str">
        <f>HYPERLINK("http://amigo.geneontology.org/cgi-bin/amigo/term-details.cgi?term=GO:0016458","GO:0016458")</f>
        <v>GO:0016458</v>
      </c>
      <c r="B213" t="s">
        <v>728</v>
      </c>
      <c r="C213">
        <v>336</v>
      </c>
      <c r="D213">
        <v>72</v>
      </c>
      <c r="E213" s="2">
        <v>1.9437466738171701E-28</v>
      </c>
      <c r="F213" s="2">
        <v>4.2762426823977798E-27</v>
      </c>
      <c r="G213" t="s">
        <v>4067</v>
      </c>
    </row>
    <row r="214" spans="1:7" x14ac:dyDescent="0.25">
      <c r="A214" s="4" t="str">
        <f>HYPERLINK("http://amigo.geneontology.org/cgi-bin/amigo/term-details.cgi?term=GO:0016053","GO:0016053")</f>
        <v>GO:0016053</v>
      </c>
      <c r="B214" t="s">
        <v>985</v>
      </c>
      <c r="C214">
        <v>1307</v>
      </c>
      <c r="D214">
        <v>156</v>
      </c>
      <c r="E214" s="2">
        <v>5.37922571482567E-28</v>
      </c>
      <c r="F214" s="2">
        <v>1.18342965726164E-26</v>
      </c>
      <c r="G214" t="s">
        <v>4066</v>
      </c>
    </row>
    <row r="215" spans="1:7" x14ac:dyDescent="0.25">
      <c r="A215" s="4" t="str">
        <f>HYPERLINK("http://amigo.geneontology.org/cgi-bin/amigo/term-details.cgi?term=GO:0046394","GO:0046394")</f>
        <v>GO:0046394</v>
      </c>
      <c r="B215" t="s">
        <v>1029</v>
      </c>
      <c r="C215">
        <v>1305</v>
      </c>
      <c r="D215">
        <v>155</v>
      </c>
      <c r="E215" s="2">
        <v>1.35069393262623E-27</v>
      </c>
      <c r="F215" s="2">
        <v>2.9715266517777199E-26</v>
      </c>
      <c r="G215" t="s">
        <v>4065</v>
      </c>
    </row>
    <row r="216" spans="1:7" x14ac:dyDescent="0.25">
      <c r="A216" s="4" t="str">
        <f>HYPERLINK("http://amigo.geneontology.org/cgi-bin/amigo/term-details.cgi?term=GO:0051052","GO:0051052")</f>
        <v>GO:0051052</v>
      </c>
      <c r="B216" t="s">
        <v>404</v>
      </c>
      <c r="C216">
        <v>196</v>
      </c>
      <c r="D216">
        <v>54</v>
      </c>
      <c r="E216" s="2">
        <v>2.3337383622798598E-27</v>
      </c>
      <c r="F216" s="2">
        <v>4.9008505607877198E-26</v>
      </c>
      <c r="G216" t="s">
        <v>4064</v>
      </c>
    </row>
    <row r="217" spans="1:7" x14ac:dyDescent="0.25">
      <c r="A217" s="4" t="str">
        <f>HYPERLINK("http://amigo.geneontology.org/cgi-bin/amigo/term-details.cgi?term=GO:0009522","GO:0009522")</f>
        <v>GO:0009522</v>
      </c>
      <c r="B217" t="s">
        <v>503</v>
      </c>
      <c r="C217">
        <v>120</v>
      </c>
      <c r="D217">
        <v>43</v>
      </c>
      <c r="E217" s="2">
        <v>2.8746133142747299E-27</v>
      </c>
      <c r="F217" s="2">
        <v>6.0366879599769302E-26</v>
      </c>
      <c r="G217" t="s">
        <v>4063</v>
      </c>
    </row>
    <row r="218" spans="1:7" x14ac:dyDescent="0.25">
      <c r="A218" s="4" t="str">
        <f>HYPERLINK("http://amigo.geneontology.org/cgi-bin/amigo/term-details.cgi?term=GO:0099402","GO:0099402")</f>
        <v>GO:0099402</v>
      </c>
      <c r="B218" t="s">
        <v>4062</v>
      </c>
      <c r="C218">
        <v>727</v>
      </c>
      <c r="D218">
        <v>107</v>
      </c>
      <c r="E218" s="2">
        <v>9.1215111775366399E-27</v>
      </c>
      <c r="F218" s="2">
        <v>1.91551734728269E-25</v>
      </c>
      <c r="G218" t="s">
        <v>4061</v>
      </c>
    </row>
    <row r="219" spans="1:7" x14ac:dyDescent="0.25">
      <c r="A219" s="4" t="str">
        <f>HYPERLINK("http://amigo.geneontology.org/cgi-bin/amigo/term-details.cgi?term=GO:0051640","GO:0051640")</f>
        <v>GO:0051640</v>
      </c>
      <c r="B219" t="s">
        <v>4060</v>
      </c>
      <c r="C219">
        <v>195</v>
      </c>
      <c r="D219">
        <v>53</v>
      </c>
      <c r="E219" s="2">
        <v>1.4440731817633301E-26</v>
      </c>
      <c r="F219" s="2">
        <v>3.03255368170299E-25</v>
      </c>
      <c r="G219" t="s">
        <v>4059</v>
      </c>
    </row>
    <row r="220" spans="1:7" x14ac:dyDescent="0.25">
      <c r="A220" s="4" t="str">
        <f>HYPERLINK("http://amigo.geneontology.org/cgi-bin/amigo/term-details.cgi?term=GO:0010467","GO:0010467")</f>
        <v>GO:0010467</v>
      </c>
      <c r="B220" t="s">
        <v>790</v>
      </c>
      <c r="C220">
        <v>5200</v>
      </c>
      <c r="D220">
        <v>402</v>
      </c>
      <c r="E220" s="2">
        <v>1.9466147063659801E-26</v>
      </c>
      <c r="F220" s="2">
        <v>4.0878908833685699E-25</v>
      </c>
      <c r="G220" t="s">
        <v>4058</v>
      </c>
    </row>
    <row r="221" spans="1:7" x14ac:dyDescent="0.25">
      <c r="A221" s="4" t="str">
        <f>HYPERLINK("http://amigo.geneontology.org/cgi-bin/amigo/term-details.cgi?term=GO:0000226","GO:0000226")</f>
        <v>GO:0000226</v>
      </c>
      <c r="B221" t="s">
        <v>593</v>
      </c>
      <c r="C221">
        <v>212</v>
      </c>
      <c r="D221">
        <v>55</v>
      </c>
      <c r="E221" s="2">
        <v>2.06874259844755E-26</v>
      </c>
      <c r="F221" s="2">
        <v>4.3443594567398598E-25</v>
      </c>
      <c r="G221" t="s">
        <v>4057</v>
      </c>
    </row>
    <row r="222" spans="1:7" x14ac:dyDescent="0.25">
      <c r="A222" s="4" t="str">
        <f>HYPERLINK("http://amigo.geneontology.org/cgi-bin/amigo/term-details.cgi?term=GO:0016168","GO:0016168")</f>
        <v>GO:0016168</v>
      </c>
      <c r="B222" t="s">
        <v>523</v>
      </c>
      <c r="C222">
        <v>91</v>
      </c>
      <c r="D222">
        <v>37</v>
      </c>
      <c r="E222" s="2">
        <v>5.6224974963966902E-26</v>
      </c>
      <c r="F222" s="2">
        <v>1.1807244742433E-24</v>
      </c>
      <c r="G222" t="s">
        <v>4056</v>
      </c>
    </row>
    <row r="223" spans="1:7" x14ac:dyDescent="0.25">
      <c r="A223" s="4" t="str">
        <f>HYPERLINK("http://amigo.geneontology.org/cgi-bin/amigo/term-details.cgi?term=GO:0044093","GO:0044093")</f>
        <v>GO:0044093</v>
      </c>
      <c r="B223" t="s">
        <v>818</v>
      </c>
      <c r="C223">
        <v>214</v>
      </c>
      <c r="D223">
        <v>54</v>
      </c>
      <c r="E223" s="2">
        <v>2.5350709057764698E-25</v>
      </c>
      <c r="F223" s="2">
        <v>5.3236489021305903E-24</v>
      </c>
      <c r="G223" t="s">
        <v>4055</v>
      </c>
    </row>
    <row r="224" spans="1:7" x14ac:dyDescent="0.25">
      <c r="A224" s="4" t="str">
        <f>HYPERLINK("http://amigo.geneontology.org/cgi-bin/amigo/term-details.cgi?term=GO:0043085","GO:0043085")</f>
        <v>GO:0043085</v>
      </c>
      <c r="B224" t="s">
        <v>438</v>
      </c>
      <c r="C224">
        <v>214</v>
      </c>
      <c r="D224">
        <v>54</v>
      </c>
      <c r="E224" s="2">
        <v>2.5350709057764698E-25</v>
      </c>
      <c r="F224" s="2">
        <v>5.3236489021305903E-24</v>
      </c>
      <c r="G224" t="s">
        <v>4055</v>
      </c>
    </row>
    <row r="225" spans="1:7" x14ac:dyDescent="0.25">
      <c r="A225" s="4" t="str">
        <f>HYPERLINK("http://amigo.geneontology.org/cgi-bin/amigo/term-details.cgi?term=GO:0035639","GO:0035639")</f>
        <v>GO:0035639</v>
      </c>
      <c r="B225" t="s">
        <v>363</v>
      </c>
      <c r="C225">
        <v>9665</v>
      </c>
      <c r="D225">
        <v>644</v>
      </c>
      <c r="E225" s="2">
        <v>6.70708516548474E-25</v>
      </c>
      <c r="F225" s="2">
        <v>1.40848788475179E-23</v>
      </c>
      <c r="G225" t="s">
        <v>4054</v>
      </c>
    </row>
    <row r="226" spans="1:7" x14ac:dyDescent="0.25">
      <c r="A226" s="4" t="str">
        <f>HYPERLINK("http://amigo.geneontology.org/cgi-bin/amigo/term-details.cgi?term=GO:0044425","GO:0044425")</f>
        <v>GO:0044425</v>
      </c>
      <c r="B226" t="s">
        <v>872</v>
      </c>
      <c r="C226">
        <v>8465</v>
      </c>
      <c r="D226">
        <v>579</v>
      </c>
      <c r="E226" s="2">
        <v>7.7253358269278E-25</v>
      </c>
      <c r="F226" s="2">
        <v>1.5450671653855599E-23</v>
      </c>
      <c r="G226" t="s">
        <v>4053</v>
      </c>
    </row>
    <row r="227" spans="1:7" x14ac:dyDescent="0.25">
      <c r="A227" s="4" t="str">
        <f>HYPERLINK("http://amigo.geneontology.org/cgi-bin/amigo/term-details.cgi?term=GO:0051258","GO:0051258")</f>
        <v>GO:0051258</v>
      </c>
      <c r="B227" t="s">
        <v>470</v>
      </c>
      <c r="C227">
        <v>99</v>
      </c>
      <c r="D227">
        <v>37</v>
      </c>
      <c r="E227" s="2">
        <v>1.9942032550958199E-24</v>
      </c>
      <c r="F227" s="2">
        <v>3.9884065101916502E-23</v>
      </c>
      <c r="G227" t="s">
        <v>4052</v>
      </c>
    </row>
    <row r="228" spans="1:7" x14ac:dyDescent="0.25">
      <c r="A228" s="4" t="str">
        <f>HYPERLINK("http://amigo.geneontology.org/cgi-bin/amigo/term-details.cgi?term=GO:0051649","GO:0051649")</f>
        <v>GO:0051649</v>
      </c>
      <c r="B228" t="s">
        <v>860</v>
      </c>
      <c r="C228">
        <v>1205</v>
      </c>
      <c r="D228">
        <v>140</v>
      </c>
      <c r="E228" s="2">
        <v>3.99039682078214E-24</v>
      </c>
      <c r="F228" s="2">
        <v>7.9807936415642901E-23</v>
      </c>
      <c r="G228" t="s">
        <v>4051</v>
      </c>
    </row>
    <row r="229" spans="1:7" x14ac:dyDescent="0.25">
      <c r="A229" s="4" t="str">
        <f>HYPERLINK("http://amigo.geneontology.org/cgi-bin/amigo/term-details.cgi?term=GO:0006544","GO:0006544")</f>
        <v>GO:0006544</v>
      </c>
      <c r="B229" t="s">
        <v>721</v>
      </c>
      <c r="C229">
        <v>62</v>
      </c>
      <c r="D229">
        <v>30</v>
      </c>
      <c r="E229" s="2">
        <v>4.40504124400558E-24</v>
      </c>
      <c r="F229" s="2">
        <v>8.81008248801116E-23</v>
      </c>
      <c r="G229" t="s">
        <v>4002</v>
      </c>
    </row>
    <row r="230" spans="1:7" x14ac:dyDescent="0.25">
      <c r="A230" s="4" t="str">
        <f>HYPERLINK("http://amigo.geneontology.org/cgi-bin/amigo/term-details.cgi?term=GO:0044271","GO:0044271")</f>
        <v>GO:0044271</v>
      </c>
      <c r="B230" t="s">
        <v>803</v>
      </c>
      <c r="C230">
        <v>4913</v>
      </c>
      <c r="D230">
        <v>376</v>
      </c>
      <c r="E230" s="2">
        <v>6.1339617451974699E-24</v>
      </c>
      <c r="F230" s="2">
        <v>1.22679234903949E-22</v>
      </c>
      <c r="G230" t="s">
        <v>4050</v>
      </c>
    </row>
    <row r="231" spans="1:7" x14ac:dyDescent="0.25">
      <c r="A231" s="4" t="str">
        <f>HYPERLINK("http://amigo.geneontology.org/cgi-bin/amigo/term-details.cgi?term=GO:0065008","GO:0065008")</f>
        <v>GO:0065008</v>
      </c>
      <c r="B231" t="s">
        <v>828</v>
      </c>
      <c r="C231">
        <v>1360</v>
      </c>
      <c r="D231">
        <v>151</v>
      </c>
      <c r="E231" s="2">
        <v>6.2007896939185897E-24</v>
      </c>
      <c r="F231" s="2">
        <v>1.2401579387837099E-22</v>
      </c>
      <c r="G231" t="s">
        <v>4049</v>
      </c>
    </row>
    <row r="232" spans="1:7" x14ac:dyDescent="0.25">
      <c r="A232" s="4" t="str">
        <f>HYPERLINK("http://amigo.geneontology.org/cgi-bin/amigo/term-details.cgi?term=GO:0006305","GO:0006305")</f>
        <v>GO:0006305</v>
      </c>
      <c r="B232" t="s">
        <v>4048</v>
      </c>
      <c r="C232">
        <v>195</v>
      </c>
      <c r="D232">
        <v>50</v>
      </c>
      <c r="E232" s="2">
        <v>6.7288669852949993E-24</v>
      </c>
      <c r="F232" s="2">
        <v>1.3457733970590001E-22</v>
      </c>
      <c r="G232" t="s">
        <v>4029</v>
      </c>
    </row>
    <row r="233" spans="1:7" x14ac:dyDescent="0.25">
      <c r="A233" s="4" t="str">
        <f>HYPERLINK("http://amigo.geneontology.org/cgi-bin/amigo/term-details.cgi?term=GO:0006306","GO:0006306")</f>
        <v>GO:0006306</v>
      </c>
      <c r="B233" t="s">
        <v>4047</v>
      </c>
      <c r="C233">
        <v>195</v>
      </c>
      <c r="D233">
        <v>50</v>
      </c>
      <c r="E233" s="2">
        <v>6.7288669852949993E-24</v>
      </c>
      <c r="F233" s="2">
        <v>1.3457733970590001E-22</v>
      </c>
      <c r="G233" t="s">
        <v>4029</v>
      </c>
    </row>
    <row r="234" spans="1:7" x14ac:dyDescent="0.25">
      <c r="A234" s="4" t="str">
        <f>HYPERLINK("http://amigo.geneontology.org/cgi-bin/amigo/term-details.cgi?term=GO:0018298","GO:0018298")</f>
        <v>GO:0018298</v>
      </c>
      <c r="B234" t="s">
        <v>4046</v>
      </c>
      <c r="C234">
        <v>90</v>
      </c>
      <c r="D234">
        <v>35</v>
      </c>
      <c r="E234" s="2">
        <v>7.1582191378947394E-24</v>
      </c>
      <c r="F234" s="2">
        <v>1.4316438275789399E-22</v>
      </c>
      <c r="G234" t="s">
        <v>4045</v>
      </c>
    </row>
    <row r="235" spans="1:7" x14ac:dyDescent="0.25">
      <c r="A235" s="4" t="str">
        <f>HYPERLINK("http://amigo.geneontology.org/cgi-bin/amigo/term-details.cgi?term=GO:0042555","GO:0042555")</f>
        <v>GO:0042555</v>
      </c>
      <c r="B235" t="s">
        <v>894</v>
      </c>
      <c r="C235">
        <v>19</v>
      </c>
      <c r="D235">
        <v>18</v>
      </c>
      <c r="E235" s="2">
        <v>1.087429715132E-23</v>
      </c>
      <c r="F235" s="2">
        <v>2.1748594302640098E-22</v>
      </c>
      <c r="G235" t="s">
        <v>4044</v>
      </c>
    </row>
    <row r="236" spans="1:7" x14ac:dyDescent="0.25">
      <c r="A236" s="4" t="str">
        <f>HYPERLINK("http://amigo.geneontology.org/cgi-bin/amigo/term-details.cgi?term=GO:0009521","GO:0009521")</f>
        <v>GO:0009521</v>
      </c>
      <c r="B236" t="s">
        <v>579</v>
      </c>
      <c r="C236">
        <v>472</v>
      </c>
      <c r="D236">
        <v>79</v>
      </c>
      <c r="E236" s="2">
        <v>1.12189443109551E-23</v>
      </c>
      <c r="F236" s="2">
        <v>2.1315994190814802E-22</v>
      </c>
      <c r="G236" t="s">
        <v>4043</v>
      </c>
    </row>
    <row r="237" spans="1:7" x14ac:dyDescent="0.25">
      <c r="A237" s="4" t="str">
        <f>HYPERLINK("http://amigo.geneontology.org/cgi-bin/amigo/term-details.cgi?term=GO:0051301","GO:0051301")</f>
        <v>GO:0051301</v>
      </c>
      <c r="B237" t="s">
        <v>4042</v>
      </c>
      <c r="C237">
        <v>342</v>
      </c>
      <c r="D237">
        <v>66</v>
      </c>
      <c r="E237" s="2">
        <v>1.6710706324905199E-23</v>
      </c>
      <c r="F237" s="2">
        <v>3.1750342017320002E-22</v>
      </c>
      <c r="G237" t="s">
        <v>4041</v>
      </c>
    </row>
    <row r="238" spans="1:7" x14ac:dyDescent="0.25">
      <c r="A238" s="4" t="str">
        <f>HYPERLINK("http://amigo.geneontology.org/cgi-bin/amigo/term-details.cgi?term=GO:0050793","GO:0050793")</f>
        <v>GO:0050793</v>
      </c>
      <c r="B238" t="s">
        <v>4040</v>
      </c>
      <c r="C238">
        <v>476</v>
      </c>
      <c r="D238">
        <v>79</v>
      </c>
      <c r="E238" s="2">
        <v>1.9436159054800599E-23</v>
      </c>
      <c r="F238" s="2">
        <v>3.6928702204121301E-22</v>
      </c>
      <c r="G238" t="s">
        <v>4039</v>
      </c>
    </row>
    <row r="239" spans="1:7" x14ac:dyDescent="0.25">
      <c r="A239" s="4" t="str">
        <f>HYPERLINK("http://amigo.geneontology.org/cgi-bin/amigo/term-details.cgi?term=GO:0010374","GO:0010374")</f>
        <v>GO:0010374</v>
      </c>
      <c r="B239" t="s">
        <v>4038</v>
      </c>
      <c r="C239">
        <v>118</v>
      </c>
      <c r="D239">
        <v>39</v>
      </c>
      <c r="E239" s="2">
        <v>2.22593154504584E-23</v>
      </c>
      <c r="F239" s="2">
        <v>4.2292699355871E-22</v>
      </c>
      <c r="G239" t="s">
        <v>4037</v>
      </c>
    </row>
    <row r="240" spans="1:7" x14ac:dyDescent="0.25">
      <c r="A240" s="4" t="str">
        <f>HYPERLINK("http://amigo.geneontology.org/cgi-bin/amigo/term-details.cgi?term=GO:0000023","GO:0000023")</f>
        <v>GO:0000023</v>
      </c>
      <c r="B240" t="s">
        <v>4036</v>
      </c>
      <c r="C240">
        <v>139</v>
      </c>
      <c r="D240">
        <v>42</v>
      </c>
      <c r="E240" s="2">
        <v>2.46287776036467E-23</v>
      </c>
      <c r="F240" s="2">
        <v>4.6794677446928698E-22</v>
      </c>
      <c r="G240" t="s">
        <v>4035</v>
      </c>
    </row>
    <row r="241" spans="1:7" x14ac:dyDescent="0.25">
      <c r="A241" s="4" t="str">
        <f>HYPERLINK("http://amigo.geneontology.org/cgi-bin/amigo/term-details.cgi?term=GO:0010629","GO:0010629")</f>
        <v>GO:0010629</v>
      </c>
      <c r="B241" t="s">
        <v>472</v>
      </c>
      <c r="C241">
        <v>522</v>
      </c>
      <c r="D241">
        <v>83</v>
      </c>
      <c r="E241" s="2">
        <v>2.7252131452924898E-23</v>
      </c>
      <c r="F241" s="2">
        <v>5.1779049760557397E-22</v>
      </c>
      <c r="G241" t="s">
        <v>4034</v>
      </c>
    </row>
    <row r="242" spans="1:7" x14ac:dyDescent="0.25">
      <c r="A242" s="4" t="str">
        <f>HYPERLINK("http://amigo.geneontology.org/cgi-bin/amigo/term-details.cgi?term=GO:0000910","GO:0000910")</f>
        <v>GO:0000910</v>
      </c>
      <c r="B242" t="s">
        <v>4033</v>
      </c>
      <c r="C242">
        <v>154</v>
      </c>
      <c r="D242">
        <v>44</v>
      </c>
      <c r="E242" s="2">
        <v>2.8252631665950297E-23</v>
      </c>
      <c r="F242" s="2">
        <v>5.3680000165305598E-22</v>
      </c>
      <c r="G242" t="s">
        <v>4032</v>
      </c>
    </row>
    <row r="243" spans="1:7" x14ac:dyDescent="0.25">
      <c r="A243" s="4" t="str">
        <f>HYPERLINK("http://amigo.geneontology.org/cgi-bin/amigo/term-details.cgi?term=GO:0006304","GO:0006304")</f>
        <v>GO:0006304</v>
      </c>
      <c r="B243" t="s">
        <v>4031</v>
      </c>
      <c r="C243">
        <v>202</v>
      </c>
      <c r="D243">
        <v>50</v>
      </c>
      <c r="E243" s="2">
        <v>3.73233711788027E-23</v>
      </c>
      <c r="F243" s="2">
        <v>7.0914405239725105E-22</v>
      </c>
      <c r="G243" t="s">
        <v>4029</v>
      </c>
    </row>
    <row r="244" spans="1:7" x14ac:dyDescent="0.25">
      <c r="A244" s="4" t="str">
        <f>HYPERLINK("http://amigo.geneontology.org/cgi-bin/amigo/term-details.cgi?term=GO:0044728","GO:0044728")</f>
        <v>GO:0044728</v>
      </c>
      <c r="B244" t="s">
        <v>4030</v>
      </c>
      <c r="C244">
        <v>202</v>
      </c>
      <c r="D244">
        <v>50</v>
      </c>
      <c r="E244" s="2">
        <v>3.73233711788027E-23</v>
      </c>
      <c r="F244" s="2">
        <v>7.0914405239725105E-22</v>
      </c>
      <c r="G244" t="s">
        <v>4029</v>
      </c>
    </row>
    <row r="245" spans="1:7" x14ac:dyDescent="0.25">
      <c r="A245" s="4" t="str">
        <f>HYPERLINK("http://amigo.geneontology.org/cgi-bin/amigo/term-details.cgi?term=GO:0042793","GO:0042793")</f>
        <v>GO:0042793</v>
      </c>
      <c r="B245" t="s">
        <v>4028</v>
      </c>
      <c r="C245">
        <v>88</v>
      </c>
      <c r="D245">
        <v>34</v>
      </c>
      <c r="E245" s="2">
        <v>4.0210925655976102E-23</v>
      </c>
      <c r="F245" s="2">
        <v>7.6400758746354604E-22</v>
      </c>
      <c r="G245" t="s">
        <v>4027</v>
      </c>
    </row>
    <row r="246" spans="1:7" x14ac:dyDescent="0.25">
      <c r="A246" s="4" t="str">
        <f>HYPERLINK("http://amigo.geneontology.org/cgi-bin/amigo/term-details.cgi?term=GO:0009071","GO:0009071")</f>
        <v>GO:0009071</v>
      </c>
      <c r="B246" t="s">
        <v>631</v>
      </c>
      <c r="C246">
        <v>48</v>
      </c>
      <c r="D246">
        <v>26</v>
      </c>
      <c r="E246" s="2">
        <v>1.03204859216283E-22</v>
      </c>
      <c r="F246" s="2">
        <v>1.9608923251093801E-21</v>
      </c>
      <c r="G246" t="s">
        <v>4016</v>
      </c>
    </row>
    <row r="247" spans="1:7" x14ac:dyDescent="0.25">
      <c r="A247" s="4" t="str">
        <f>HYPERLINK("http://amigo.geneontology.org/cgi-bin/amigo/term-details.cgi?term=GO:0006546","GO:0006546")</f>
        <v>GO:0006546</v>
      </c>
      <c r="B247" t="s">
        <v>630</v>
      </c>
      <c r="C247">
        <v>48</v>
      </c>
      <c r="D247">
        <v>26</v>
      </c>
      <c r="E247" s="2">
        <v>1.03204859216283E-22</v>
      </c>
      <c r="F247" s="2">
        <v>1.9608923251093801E-21</v>
      </c>
      <c r="G247" t="s">
        <v>4016</v>
      </c>
    </row>
    <row r="248" spans="1:7" x14ac:dyDescent="0.25">
      <c r="A248" s="4" t="str">
        <f>HYPERLINK("http://amigo.geneontology.org/cgi-bin/amigo/term-details.cgi?term=GO:0090626","GO:0090626")</f>
        <v>GO:0090626</v>
      </c>
      <c r="B248" t="s">
        <v>4026</v>
      </c>
      <c r="C248">
        <v>153</v>
      </c>
      <c r="D248">
        <v>43</v>
      </c>
      <c r="E248" s="2">
        <v>1.809391094553E-22</v>
      </c>
      <c r="F248" s="2">
        <v>3.2569039701954098E-21</v>
      </c>
      <c r="G248" t="s">
        <v>4025</v>
      </c>
    </row>
    <row r="249" spans="1:7" x14ac:dyDescent="0.25">
      <c r="A249" s="4" t="str">
        <f>HYPERLINK("http://amigo.geneontology.org/cgi-bin/amigo/term-details.cgi?term=GO:0036094","GO:0036094")</f>
        <v>GO:0036094</v>
      </c>
      <c r="B249" t="s">
        <v>887</v>
      </c>
      <c r="C249">
        <v>14520</v>
      </c>
      <c r="D249">
        <v>882</v>
      </c>
      <c r="E249" s="2">
        <v>3.28869113336041E-22</v>
      </c>
      <c r="F249" s="2">
        <v>5.91964404004874E-21</v>
      </c>
      <c r="G249" t="s">
        <v>4024</v>
      </c>
    </row>
    <row r="250" spans="1:7" x14ac:dyDescent="0.25">
      <c r="A250" s="4" t="str">
        <f>HYPERLINK("http://amigo.geneontology.org/cgi-bin/amigo/term-details.cgi?term=GO:0034622","GO:0034622")</f>
        <v>GO:0034622</v>
      </c>
      <c r="B250" t="s">
        <v>4023</v>
      </c>
      <c r="C250">
        <v>1093</v>
      </c>
      <c r="D250">
        <v>127</v>
      </c>
      <c r="E250" s="2">
        <v>5.2065954895414598E-22</v>
      </c>
      <c r="F250" s="2">
        <v>9.3718718811746295E-21</v>
      </c>
      <c r="G250" t="s">
        <v>4022</v>
      </c>
    </row>
    <row r="251" spans="1:7" x14ac:dyDescent="0.25">
      <c r="A251" s="4" t="str">
        <f>HYPERLINK("http://amigo.geneontology.org/cgi-bin/amigo/term-details.cgi?term=GO:0031047","GO:0031047")</f>
        <v>GO:0031047</v>
      </c>
      <c r="B251" t="s">
        <v>727</v>
      </c>
      <c r="C251">
        <v>305</v>
      </c>
      <c r="D251">
        <v>60</v>
      </c>
      <c r="E251" s="2">
        <v>6.0447203897118101E-22</v>
      </c>
      <c r="F251" s="2">
        <v>1.08804967014812E-20</v>
      </c>
      <c r="G251" t="s">
        <v>4021</v>
      </c>
    </row>
    <row r="252" spans="1:7" x14ac:dyDescent="0.25">
      <c r="A252" s="4" t="str">
        <f>HYPERLINK("http://amigo.geneontology.org/cgi-bin/amigo/term-details.cgi?term=GO:0061647","GO:0061647")</f>
        <v>GO:0061647</v>
      </c>
      <c r="B252" t="s">
        <v>4020</v>
      </c>
      <c r="C252">
        <v>108</v>
      </c>
      <c r="D252">
        <v>36</v>
      </c>
      <c r="E252" s="2">
        <v>7.7184334402101596E-22</v>
      </c>
      <c r="F252" s="2">
        <v>1.38931801923783E-20</v>
      </c>
      <c r="G252" t="s">
        <v>4018</v>
      </c>
    </row>
    <row r="253" spans="1:7" x14ac:dyDescent="0.25">
      <c r="A253" s="4" t="str">
        <f>HYPERLINK("http://amigo.geneontology.org/cgi-bin/amigo/term-details.cgi?term=GO:0051567","GO:0051567")</f>
        <v>GO:0051567</v>
      </c>
      <c r="B253" t="s">
        <v>4019</v>
      </c>
      <c r="C253">
        <v>108</v>
      </c>
      <c r="D253">
        <v>36</v>
      </c>
      <c r="E253" s="2">
        <v>7.7184334402101596E-22</v>
      </c>
      <c r="F253" s="2">
        <v>1.38931801923783E-20</v>
      </c>
      <c r="G253" t="s">
        <v>4018</v>
      </c>
    </row>
    <row r="254" spans="1:7" x14ac:dyDescent="0.25">
      <c r="A254" s="4" t="str">
        <f>HYPERLINK("http://amigo.geneontology.org/cgi-bin/amigo/term-details.cgi?term=GO:0042135","GO:0042135")</f>
        <v>GO:0042135</v>
      </c>
      <c r="B254" t="s">
        <v>4017</v>
      </c>
      <c r="C254">
        <v>51</v>
      </c>
      <c r="D254">
        <v>26</v>
      </c>
      <c r="E254" s="2">
        <v>8.1856275896759502E-22</v>
      </c>
      <c r="F254" s="2">
        <v>1.4734129661416699E-20</v>
      </c>
      <c r="G254" t="s">
        <v>4016</v>
      </c>
    </row>
    <row r="255" spans="1:7" x14ac:dyDescent="0.25">
      <c r="A255" s="4" t="str">
        <f>HYPERLINK("http://amigo.geneontology.org/cgi-bin/amigo/term-details.cgi?term=GO:0065003","GO:0065003")</f>
        <v>GO:0065003</v>
      </c>
      <c r="B255" t="s">
        <v>4015</v>
      </c>
      <c r="C255">
        <v>1133</v>
      </c>
      <c r="D255">
        <v>129</v>
      </c>
      <c r="E255" s="2">
        <v>1.4380976525298999E-21</v>
      </c>
      <c r="F255" s="2">
        <v>2.58857577455382E-20</v>
      </c>
      <c r="G255" t="s">
        <v>4014</v>
      </c>
    </row>
    <row r="256" spans="1:7" x14ac:dyDescent="0.25">
      <c r="A256" s="4" t="str">
        <f>HYPERLINK("http://amigo.geneontology.org/cgi-bin/amigo/term-details.cgi?term=GO:0051276","GO:0051276")</f>
        <v>GO:0051276</v>
      </c>
      <c r="B256" t="s">
        <v>580</v>
      </c>
      <c r="C256">
        <v>1207</v>
      </c>
      <c r="D256">
        <v>134</v>
      </c>
      <c r="E256" s="2">
        <v>2.2256822354973299E-21</v>
      </c>
      <c r="F256" s="2">
        <v>4.0062280238951898E-20</v>
      </c>
      <c r="G256" t="s">
        <v>4013</v>
      </c>
    </row>
    <row r="257" spans="1:7" x14ac:dyDescent="0.25">
      <c r="A257" s="4" t="str">
        <f>HYPERLINK("http://amigo.geneontology.org/cgi-bin/amigo/term-details.cgi?term=GO:0051641","GO:0051641")</f>
        <v>GO:0051641</v>
      </c>
      <c r="B257" t="s">
        <v>856</v>
      </c>
      <c r="C257">
        <v>1462</v>
      </c>
      <c r="D257">
        <v>152</v>
      </c>
      <c r="E257" s="2">
        <v>2.69293762040939E-21</v>
      </c>
      <c r="F257" s="2">
        <v>4.8472877167369197E-20</v>
      </c>
      <c r="G257" t="s">
        <v>4012</v>
      </c>
    </row>
    <row r="258" spans="1:7" x14ac:dyDescent="0.25">
      <c r="A258" s="4" t="str">
        <f>HYPERLINK("http://amigo.geneontology.org/cgi-bin/amigo/term-details.cgi?term=GO:0003723","GO:0003723")</f>
        <v>GO:0003723</v>
      </c>
      <c r="B258" t="s">
        <v>59</v>
      </c>
      <c r="C258">
        <v>1694</v>
      </c>
      <c r="D258">
        <v>168</v>
      </c>
      <c r="E258" s="2">
        <v>2.7267815275131099E-21</v>
      </c>
      <c r="F258" s="2">
        <v>4.9082067495235998E-20</v>
      </c>
      <c r="G258" t="s">
        <v>4011</v>
      </c>
    </row>
    <row r="259" spans="1:7" x14ac:dyDescent="0.25">
      <c r="A259" s="4" t="str">
        <f>HYPERLINK("http://amigo.geneontology.org/cgi-bin/amigo/term-details.cgi?term=GO:0048827","GO:0048827")</f>
        <v>GO:0048827</v>
      </c>
      <c r="B259" t="s">
        <v>4010</v>
      </c>
      <c r="C259">
        <v>474</v>
      </c>
      <c r="D259">
        <v>75</v>
      </c>
      <c r="E259" s="2">
        <v>4.62790759701474E-21</v>
      </c>
      <c r="F259" s="2">
        <v>8.3302336746265295E-20</v>
      </c>
      <c r="G259" t="s">
        <v>4009</v>
      </c>
    </row>
    <row r="260" spans="1:7" x14ac:dyDescent="0.25">
      <c r="A260" s="4" t="str">
        <f>HYPERLINK("http://amigo.geneontology.org/cgi-bin/amigo/term-details.cgi?term=GO:0098796","GO:0098796")</f>
        <v>GO:0098796</v>
      </c>
      <c r="B260" t="s">
        <v>865</v>
      </c>
      <c r="C260">
        <v>1122</v>
      </c>
      <c r="D260">
        <v>127</v>
      </c>
      <c r="E260" s="2">
        <v>4.8705877353567703E-21</v>
      </c>
      <c r="F260" s="2">
        <v>8.7670579236421901E-20</v>
      </c>
      <c r="G260" t="s">
        <v>4008</v>
      </c>
    </row>
    <row r="261" spans="1:7" x14ac:dyDescent="0.25">
      <c r="A261" s="4" t="str">
        <f>HYPERLINK("http://amigo.geneontology.org/cgi-bin/amigo/term-details.cgi?term=GO:1901265","GO:1901265")</f>
        <v>GO:1901265</v>
      </c>
      <c r="B261" t="s">
        <v>886</v>
      </c>
      <c r="C261">
        <v>13982</v>
      </c>
      <c r="D261">
        <v>848</v>
      </c>
      <c r="E261" s="2">
        <v>4.8797409763435503E-21</v>
      </c>
      <c r="F261" s="2">
        <v>8.2955596597840396E-20</v>
      </c>
      <c r="G261" t="s">
        <v>4007</v>
      </c>
    </row>
    <row r="262" spans="1:7" x14ac:dyDescent="0.25">
      <c r="A262" s="4" t="str">
        <f>HYPERLINK("http://amigo.geneontology.org/cgi-bin/amigo/term-details.cgi?term=GO:0000166","GO:0000166")</f>
        <v>GO:0000166</v>
      </c>
      <c r="B262" t="s">
        <v>315</v>
      </c>
      <c r="C262">
        <v>13982</v>
      </c>
      <c r="D262">
        <v>848</v>
      </c>
      <c r="E262" s="2">
        <v>4.8797409763435503E-21</v>
      </c>
      <c r="F262" s="2">
        <v>8.2955596597840396E-20</v>
      </c>
      <c r="G262" t="s">
        <v>4007</v>
      </c>
    </row>
    <row r="263" spans="1:7" x14ac:dyDescent="0.25">
      <c r="A263" s="4" t="str">
        <f>HYPERLINK("http://amigo.geneontology.org/cgi-bin/amigo/term-details.cgi?term=GO:0043933","GO:0043933")</f>
        <v>GO:0043933</v>
      </c>
      <c r="B263" t="s">
        <v>4006</v>
      </c>
      <c r="C263">
        <v>1192</v>
      </c>
      <c r="D263">
        <v>132</v>
      </c>
      <c r="E263" s="2">
        <v>5.5234680346790103E-21</v>
      </c>
      <c r="F263" s="2">
        <v>9.3898956589543201E-20</v>
      </c>
      <c r="G263" t="s">
        <v>4005</v>
      </c>
    </row>
    <row r="264" spans="1:7" x14ac:dyDescent="0.25">
      <c r="A264" s="4" t="str">
        <f>HYPERLINK("http://amigo.geneontology.org/cgi-bin/amigo/term-details.cgi?term=GO:0001505","GO:0001505")</f>
        <v>GO:0001505</v>
      </c>
      <c r="B264" t="s">
        <v>4004</v>
      </c>
      <c r="C264">
        <v>77</v>
      </c>
      <c r="D264">
        <v>30</v>
      </c>
      <c r="E264" s="2">
        <v>1.06388029322815E-20</v>
      </c>
      <c r="F264" s="2">
        <v>1.8085964984878601E-19</v>
      </c>
      <c r="G264" t="s">
        <v>4002</v>
      </c>
    </row>
    <row r="265" spans="1:7" x14ac:dyDescent="0.25">
      <c r="A265" s="4" t="str">
        <f>HYPERLINK("http://amigo.geneontology.org/cgi-bin/amigo/term-details.cgi?term=GO:0042133","GO:0042133")</f>
        <v>GO:0042133</v>
      </c>
      <c r="B265" t="s">
        <v>4003</v>
      </c>
      <c r="C265">
        <v>77</v>
      </c>
      <c r="D265">
        <v>30</v>
      </c>
      <c r="E265" s="2">
        <v>1.06388029322815E-20</v>
      </c>
      <c r="F265" s="2">
        <v>1.8085964984878601E-19</v>
      </c>
      <c r="G265" t="s">
        <v>4002</v>
      </c>
    </row>
    <row r="266" spans="1:7" x14ac:dyDescent="0.25">
      <c r="A266" s="4" t="str">
        <f>HYPERLINK("http://amigo.geneontology.org/cgi-bin/amigo/term-details.cgi?term=GO:0035303","GO:0035303")</f>
        <v>GO:0035303</v>
      </c>
      <c r="B266" t="s">
        <v>4001</v>
      </c>
      <c r="C266">
        <v>74</v>
      </c>
      <c r="D266">
        <v>29</v>
      </c>
      <c r="E266" s="2">
        <v>3.8368548445637699E-20</v>
      </c>
      <c r="F266" s="2">
        <v>6.5226532357584099E-19</v>
      </c>
      <c r="G266" t="s">
        <v>3999</v>
      </c>
    </row>
    <row r="267" spans="1:7" x14ac:dyDescent="0.25">
      <c r="A267" s="4" t="str">
        <f>HYPERLINK("http://amigo.geneontology.org/cgi-bin/amigo/term-details.cgi?term=GO:0035304","GO:0035304")</f>
        <v>GO:0035304</v>
      </c>
      <c r="B267" t="s">
        <v>4000</v>
      </c>
      <c r="C267">
        <v>74</v>
      </c>
      <c r="D267">
        <v>29</v>
      </c>
      <c r="E267" s="2">
        <v>3.8368548445637699E-20</v>
      </c>
      <c r="F267" s="2">
        <v>6.5226532357584099E-19</v>
      </c>
      <c r="G267" t="s">
        <v>3999</v>
      </c>
    </row>
    <row r="268" spans="1:7" x14ac:dyDescent="0.25">
      <c r="A268" s="4" t="str">
        <f>HYPERLINK("http://amigo.geneontology.org/cgi-bin/amigo/term-details.cgi?term=GO:0019438","GO:0019438")</f>
        <v>GO:0019438</v>
      </c>
      <c r="B268" t="s">
        <v>778</v>
      </c>
      <c r="C268">
        <v>3279</v>
      </c>
      <c r="D268">
        <v>265</v>
      </c>
      <c r="E268" s="2">
        <v>5.0143957241453402E-20</v>
      </c>
      <c r="F268" s="2">
        <v>8.5244727310470798E-19</v>
      </c>
      <c r="G268" t="s">
        <v>3998</v>
      </c>
    </row>
    <row r="269" spans="1:7" x14ac:dyDescent="0.25">
      <c r="A269" s="4" t="str">
        <f>HYPERLINK("http://amigo.geneontology.org/cgi-bin/amigo/term-details.cgi?term=GO:0090558","GO:0090558")</f>
        <v>GO:0090558</v>
      </c>
      <c r="B269" t="s">
        <v>3997</v>
      </c>
      <c r="C269">
        <v>256</v>
      </c>
      <c r="D269">
        <v>52</v>
      </c>
      <c r="E269" s="2">
        <v>7.2512949700790203E-20</v>
      </c>
      <c r="F269" s="2">
        <v>1.23272014491343E-18</v>
      </c>
      <c r="G269" t="s">
        <v>3996</v>
      </c>
    </row>
    <row r="270" spans="1:7" x14ac:dyDescent="0.25">
      <c r="A270" s="4" t="str">
        <f>HYPERLINK("http://amigo.geneontology.org/cgi-bin/amigo/term-details.cgi?term=GO:0009628","GO:0009628")</f>
        <v>GO:0009628</v>
      </c>
      <c r="B270" t="s">
        <v>1717</v>
      </c>
      <c r="C270">
        <v>1316</v>
      </c>
      <c r="D270">
        <v>138</v>
      </c>
      <c r="E270" s="2">
        <v>8.9195080896315806E-20</v>
      </c>
      <c r="F270" s="2">
        <v>1.51631637523737E-18</v>
      </c>
      <c r="G270" t="s">
        <v>3995</v>
      </c>
    </row>
    <row r="271" spans="1:7" x14ac:dyDescent="0.25">
      <c r="A271" s="4" t="str">
        <f>HYPERLINK("http://amigo.geneontology.org/cgi-bin/amigo/term-details.cgi?term=GO:0010218","GO:0010218")</f>
        <v>GO:0010218</v>
      </c>
      <c r="B271" t="s">
        <v>3994</v>
      </c>
      <c r="C271">
        <v>49</v>
      </c>
      <c r="D271">
        <v>24</v>
      </c>
      <c r="E271" s="2">
        <v>1.03763326200295E-19</v>
      </c>
      <c r="F271" s="2">
        <v>1.7639765454050102E-18</v>
      </c>
      <c r="G271" t="s">
        <v>3993</v>
      </c>
    </row>
    <row r="272" spans="1:7" x14ac:dyDescent="0.25">
      <c r="A272" s="4" t="str">
        <f>HYPERLINK("http://amigo.geneontology.org/cgi-bin/amigo/term-details.cgi?term=GO:0009637","GO:0009637")</f>
        <v>GO:0009637</v>
      </c>
      <c r="B272" t="s">
        <v>3992</v>
      </c>
      <c r="C272">
        <v>96</v>
      </c>
      <c r="D272">
        <v>32</v>
      </c>
      <c r="E272" s="2">
        <v>1.4073639198738101E-19</v>
      </c>
      <c r="F272" s="2">
        <v>2.3925186637854902E-18</v>
      </c>
      <c r="G272" t="s">
        <v>3991</v>
      </c>
    </row>
    <row r="273" spans="1:7" x14ac:dyDescent="0.25">
      <c r="A273" s="4" t="str">
        <f>HYPERLINK("http://amigo.geneontology.org/cgi-bin/amigo/term-details.cgi?term=GO:0000278","GO:0000278")</f>
        <v>GO:0000278</v>
      </c>
      <c r="B273" t="s">
        <v>398</v>
      </c>
      <c r="C273">
        <v>299</v>
      </c>
      <c r="D273">
        <v>56</v>
      </c>
      <c r="E273" s="2">
        <v>1.5446776198506999E-19</v>
      </c>
      <c r="F273" s="2">
        <v>2.6259519537462001E-18</v>
      </c>
      <c r="G273" t="s">
        <v>3990</v>
      </c>
    </row>
    <row r="274" spans="1:7" x14ac:dyDescent="0.25">
      <c r="A274" s="4" t="str">
        <f>HYPERLINK("http://amigo.geneontology.org/cgi-bin/amigo/term-details.cgi?term=GO:0005984","GO:0005984")</f>
        <v>GO:0005984</v>
      </c>
      <c r="B274" t="s">
        <v>3989</v>
      </c>
      <c r="C274">
        <v>251</v>
      </c>
      <c r="D274">
        <v>51</v>
      </c>
      <c r="E274" s="2">
        <v>1.6107719541581899E-19</v>
      </c>
      <c r="F274" s="2">
        <v>2.7383123220689299E-18</v>
      </c>
      <c r="G274" t="s">
        <v>3988</v>
      </c>
    </row>
    <row r="275" spans="1:7" x14ac:dyDescent="0.25">
      <c r="A275" s="4" t="str">
        <f>HYPERLINK("http://amigo.geneontology.org/cgi-bin/amigo/term-details.cgi?term=GO:0009892","GO:0009892")</f>
        <v>GO:0009892</v>
      </c>
      <c r="B275" t="s">
        <v>832</v>
      </c>
      <c r="C275">
        <v>716</v>
      </c>
      <c r="D275">
        <v>92</v>
      </c>
      <c r="E275" s="2">
        <v>3.802591411099E-19</v>
      </c>
      <c r="F275" s="2">
        <v>6.4644053988682997E-18</v>
      </c>
      <c r="G275" t="s">
        <v>3987</v>
      </c>
    </row>
    <row r="276" spans="1:7" x14ac:dyDescent="0.25">
      <c r="A276" s="4" t="str">
        <f>HYPERLINK("http://amigo.geneontology.org/cgi-bin/amigo/term-details.cgi?term=GO:1901362","GO:1901362")</f>
        <v>GO:1901362</v>
      </c>
      <c r="B276" t="s">
        <v>776</v>
      </c>
      <c r="C276">
        <v>3553</v>
      </c>
      <c r="D276">
        <v>278</v>
      </c>
      <c r="E276" s="2">
        <v>4.4911795965764903E-19</v>
      </c>
      <c r="F276" s="2">
        <v>7.1858873545223906E-18</v>
      </c>
      <c r="G276" t="s">
        <v>3986</v>
      </c>
    </row>
    <row r="277" spans="1:7" x14ac:dyDescent="0.25">
      <c r="A277" s="4" t="str">
        <f>HYPERLINK("http://amigo.geneontology.org/cgi-bin/amigo/term-details.cgi?term=GO:0031328","GO:0031328")</f>
        <v>GO:0031328</v>
      </c>
      <c r="B277" t="s">
        <v>3985</v>
      </c>
      <c r="C277">
        <v>306</v>
      </c>
      <c r="D277">
        <v>56</v>
      </c>
      <c r="E277" s="2">
        <v>4.72376510406912E-19</v>
      </c>
      <c r="F277" s="2">
        <v>7.5580241665105905E-18</v>
      </c>
      <c r="G277" t="s">
        <v>3984</v>
      </c>
    </row>
    <row r="278" spans="1:7" x14ac:dyDescent="0.25">
      <c r="A278" s="4" t="str">
        <f>HYPERLINK("http://amigo.geneontology.org/cgi-bin/amigo/term-details.cgi?term=GO:0010605","GO:0010605")</f>
        <v>GO:0010605</v>
      </c>
      <c r="B278" t="s">
        <v>535</v>
      </c>
      <c r="C278">
        <v>695</v>
      </c>
      <c r="D278">
        <v>90</v>
      </c>
      <c r="E278" s="2">
        <v>5.5507109376347702E-19</v>
      </c>
      <c r="F278" s="2">
        <v>8.8811375002156293E-18</v>
      </c>
      <c r="G278" t="s">
        <v>3983</v>
      </c>
    </row>
    <row r="279" spans="1:7" x14ac:dyDescent="0.25">
      <c r="A279" s="4" t="str">
        <f>HYPERLINK("http://amigo.geneontology.org/cgi-bin/amigo/term-details.cgi?term=GO:0016787","GO:0016787")</f>
        <v>GO:0016787</v>
      </c>
      <c r="B279" t="s">
        <v>890</v>
      </c>
      <c r="C279">
        <v>9814</v>
      </c>
      <c r="D279">
        <v>622</v>
      </c>
      <c r="E279" s="2">
        <v>5.5939684689424697E-19</v>
      </c>
      <c r="F279" s="2">
        <v>8.9503495503079593E-18</v>
      </c>
      <c r="G279" t="s">
        <v>3982</v>
      </c>
    </row>
    <row r="280" spans="1:7" x14ac:dyDescent="0.25">
      <c r="A280" s="4" t="str">
        <f>HYPERLINK("http://amigo.geneontology.org/cgi-bin/amigo/term-details.cgi?term=GO:0010628","GO:0010628")</f>
        <v>GO:0010628</v>
      </c>
      <c r="B280" t="s">
        <v>3981</v>
      </c>
      <c r="C280">
        <v>268</v>
      </c>
      <c r="D280">
        <v>52</v>
      </c>
      <c r="E280" s="2">
        <v>6.0050844179145698E-19</v>
      </c>
      <c r="F280" s="2">
        <v>9.6081350686633195E-18</v>
      </c>
      <c r="G280" t="s">
        <v>3980</v>
      </c>
    </row>
    <row r="281" spans="1:7" x14ac:dyDescent="0.25">
      <c r="A281" s="4" t="str">
        <f>HYPERLINK("http://amigo.geneontology.org/cgi-bin/amigo/term-details.cgi?term=GO:0010114","GO:0010114")</f>
        <v>GO:0010114</v>
      </c>
      <c r="B281" t="s">
        <v>3979</v>
      </c>
      <c r="C281">
        <v>47</v>
      </c>
      <c r="D281">
        <v>23</v>
      </c>
      <c r="E281" s="2">
        <v>6.1669351249454096E-19</v>
      </c>
      <c r="F281" s="2">
        <v>9.86709619991266E-18</v>
      </c>
      <c r="G281" t="s">
        <v>3978</v>
      </c>
    </row>
    <row r="282" spans="1:7" x14ac:dyDescent="0.25">
      <c r="A282" s="4" t="str">
        <f>HYPERLINK("http://amigo.geneontology.org/cgi-bin/amigo/term-details.cgi?term=GO:0018193","GO:0018193")</f>
        <v>GO:0018193</v>
      </c>
      <c r="B282" t="s">
        <v>623</v>
      </c>
      <c r="C282">
        <v>603</v>
      </c>
      <c r="D282">
        <v>82</v>
      </c>
      <c r="E282" s="2">
        <v>1.0485840706109599E-18</v>
      </c>
      <c r="F282" s="2">
        <v>1.6777345129775399E-17</v>
      </c>
      <c r="G282" t="s">
        <v>3977</v>
      </c>
    </row>
    <row r="283" spans="1:7" x14ac:dyDescent="0.25">
      <c r="A283" s="4" t="str">
        <f>HYPERLINK("http://amigo.geneontology.org/cgi-bin/amigo/term-details.cgi?term=GO:1903047","GO:1903047")</f>
        <v>GO:1903047</v>
      </c>
      <c r="B283" t="s">
        <v>397</v>
      </c>
      <c r="C283">
        <v>189</v>
      </c>
      <c r="D283">
        <v>43</v>
      </c>
      <c r="E283" s="2">
        <v>1.24856413560956E-18</v>
      </c>
      <c r="F283" s="2">
        <v>1.9977026169753E-17</v>
      </c>
      <c r="G283" t="s">
        <v>3976</v>
      </c>
    </row>
    <row r="284" spans="1:7" x14ac:dyDescent="0.25">
      <c r="A284" s="4" t="str">
        <f>HYPERLINK("http://amigo.geneontology.org/cgi-bin/amigo/term-details.cgi?term=GO:0048519","GO:0048519")</f>
        <v>GO:0048519</v>
      </c>
      <c r="B284" t="s">
        <v>827</v>
      </c>
      <c r="C284">
        <v>1007</v>
      </c>
      <c r="D284">
        <v>113</v>
      </c>
      <c r="E284" s="2">
        <v>1.3720921813793801E-18</v>
      </c>
      <c r="F284" s="2">
        <v>2.1953474902070099E-17</v>
      </c>
      <c r="G284" t="s">
        <v>3975</v>
      </c>
    </row>
    <row r="285" spans="1:7" x14ac:dyDescent="0.25">
      <c r="A285" s="4" t="str">
        <f>HYPERLINK("http://amigo.geneontology.org/cgi-bin/amigo/term-details.cgi?term=GO:0009891","GO:0009891")</f>
        <v>GO:0009891</v>
      </c>
      <c r="B285" t="s">
        <v>3974</v>
      </c>
      <c r="C285">
        <v>324</v>
      </c>
      <c r="D285">
        <v>57</v>
      </c>
      <c r="E285" s="2">
        <v>1.55870894372371E-18</v>
      </c>
      <c r="F285" s="2">
        <v>2.49393430995794E-17</v>
      </c>
      <c r="G285" t="s">
        <v>3973</v>
      </c>
    </row>
    <row r="286" spans="1:7" x14ac:dyDescent="0.25">
      <c r="A286" s="4" t="str">
        <f>HYPERLINK("http://amigo.geneontology.org/cgi-bin/amigo/term-details.cgi?term=GO:0008144","GO:0008144")</f>
        <v>GO:0008144</v>
      </c>
      <c r="B286" t="s">
        <v>2319</v>
      </c>
      <c r="C286">
        <v>9423</v>
      </c>
      <c r="D286">
        <v>599</v>
      </c>
      <c r="E286" s="2">
        <v>1.63276955237454E-18</v>
      </c>
      <c r="F286" s="2">
        <v>2.6124312837992699E-17</v>
      </c>
      <c r="G286" t="s">
        <v>3972</v>
      </c>
    </row>
    <row r="287" spans="1:7" x14ac:dyDescent="0.25">
      <c r="A287" s="4" t="str">
        <f>HYPERLINK("http://amigo.geneontology.org/cgi-bin/amigo/term-details.cgi?term=GO:0010604","GO:0010604")</f>
        <v>GO:0010604</v>
      </c>
      <c r="B287" t="s">
        <v>3971</v>
      </c>
      <c r="C287">
        <v>367</v>
      </c>
      <c r="D287">
        <v>61</v>
      </c>
      <c r="E287" s="2">
        <v>1.7916378454165501E-18</v>
      </c>
      <c r="F287" s="2">
        <v>2.8666205526664801E-17</v>
      </c>
      <c r="G287" t="s">
        <v>3970</v>
      </c>
    </row>
    <row r="288" spans="1:7" x14ac:dyDescent="0.25">
      <c r="A288" s="4" t="str">
        <f>HYPERLINK("http://amigo.geneontology.org/cgi-bin/amigo/term-details.cgi?term=GO:0009311","GO:0009311")</f>
        <v>GO:0009311</v>
      </c>
      <c r="B288" t="s">
        <v>90</v>
      </c>
      <c r="C288">
        <v>275</v>
      </c>
      <c r="D288">
        <v>52</v>
      </c>
      <c r="E288" s="2">
        <v>1.9403275336050898E-18</v>
      </c>
      <c r="F288" s="2">
        <v>3.1045240537681499E-17</v>
      </c>
      <c r="G288" t="s">
        <v>3969</v>
      </c>
    </row>
    <row r="289" spans="1:7" x14ac:dyDescent="0.25">
      <c r="A289" s="4" t="str">
        <f>HYPERLINK("http://amigo.geneontology.org/cgi-bin/amigo/term-details.cgi?term=GO:0010557","GO:0010557")</f>
        <v>GO:0010557</v>
      </c>
      <c r="B289" t="s">
        <v>3968</v>
      </c>
      <c r="C289">
        <v>297</v>
      </c>
      <c r="D289">
        <v>54</v>
      </c>
      <c r="E289" s="2">
        <v>2.69925083210745E-18</v>
      </c>
      <c r="F289" s="2">
        <v>4.3188013313719298E-17</v>
      </c>
      <c r="G289" t="s">
        <v>3967</v>
      </c>
    </row>
    <row r="290" spans="1:7" x14ac:dyDescent="0.25">
      <c r="A290" s="4" t="str">
        <f>HYPERLINK("http://amigo.geneontology.org/cgi-bin/amigo/term-details.cgi?term=GO:0051273","GO:0051273")</f>
        <v>GO:0051273</v>
      </c>
      <c r="B290" t="s">
        <v>739</v>
      </c>
      <c r="C290">
        <v>248</v>
      </c>
      <c r="D290">
        <v>49</v>
      </c>
      <c r="E290" s="2">
        <v>2.7737240963372198E-18</v>
      </c>
      <c r="F290" s="2">
        <v>4.4379585541395597E-17</v>
      </c>
      <c r="G290" t="s">
        <v>3966</v>
      </c>
    </row>
    <row r="291" spans="1:7" x14ac:dyDescent="0.25">
      <c r="A291" s="4" t="str">
        <f>HYPERLINK("http://amigo.geneontology.org/cgi-bin/amigo/term-details.cgi?term=GO:0018130","GO:0018130")</f>
        <v>GO:0018130</v>
      </c>
      <c r="B291" t="s">
        <v>777</v>
      </c>
      <c r="C291">
        <v>3267</v>
      </c>
      <c r="D291">
        <v>258</v>
      </c>
      <c r="E291" s="2">
        <v>2.95051016369145E-18</v>
      </c>
      <c r="F291" s="2">
        <v>4.7208162619063299E-17</v>
      </c>
      <c r="G291" t="s">
        <v>3965</v>
      </c>
    </row>
    <row r="292" spans="1:7" x14ac:dyDescent="0.25">
      <c r="A292" s="4" t="str">
        <f>HYPERLINK("http://amigo.geneontology.org/cgi-bin/amigo/term-details.cgi?term=GO:1903508","GO:1903508")</f>
        <v>GO:1903508</v>
      </c>
      <c r="B292" t="s">
        <v>3964</v>
      </c>
      <c r="C292">
        <v>258</v>
      </c>
      <c r="D292">
        <v>50</v>
      </c>
      <c r="E292" s="2">
        <v>2.9606892322996401E-18</v>
      </c>
      <c r="F292" s="2">
        <v>4.4410338484494599E-17</v>
      </c>
      <c r="G292" t="s">
        <v>3932</v>
      </c>
    </row>
    <row r="293" spans="1:7" x14ac:dyDescent="0.25">
      <c r="A293" s="4" t="str">
        <f>HYPERLINK("http://amigo.geneontology.org/cgi-bin/amigo/term-details.cgi?term=GO:0045893","GO:0045893")</f>
        <v>GO:0045893</v>
      </c>
      <c r="B293" t="s">
        <v>3963</v>
      </c>
      <c r="C293">
        <v>258</v>
      </c>
      <c r="D293">
        <v>50</v>
      </c>
      <c r="E293" s="2">
        <v>2.9606892322996401E-18</v>
      </c>
      <c r="F293" s="2">
        <v>4.7371027716794199E-17</v>
      </c>
      <c r="G293" t="s">
        <v>3932</v>
      </c>
    </row>
    <row r="294" spans="1:7" x14ac:dyDescent="0.25">
      <c r="A294" s="4" t="str">
        <f>HYPERLINK("http://amigo.geneontology.org/cgi-bin/amigo/term-details.cgi?term=GO:0015977","GO:0015977")</f>
        <v>GO:0015977</v>
      </c>
      <c r="B294" t="s">
        <v>3962</v>
      </c>
      <c r="C294">
        <v>55</v>
      </c>
      <c r="D294">
        <v>24</v>
      </c>
      <c r="E294" s="2">
        <v>3.1375727713221198E-18</v>
      </c>
      <c r="F294" s="2">
        <v>4.7063591569831798E-17</v>
      </c>
      <c r="G294" t="s">
        <v>3961</v>
      </c>
    </row>
    <row r="295" spans="1:7" x14ac:dyDescent="0.25">
      <c r="A295" s="4" t="str">
        <f>HYPERLINK("http://amigo.geneontology.org/cgi-bin/amigo/term-details.cgi?term=GO:1905392","GO:1905392")</f>
        <v>GO:1905392</v>
      </c>
      <c r="B295" t="s">
        <v>3960</v>
      </c>
      <c r="C295">
        <v>375</v>
      </c>
      <c r="D295">
        <v>61</v>
      </c>
      <c r="E295" s="2">
        <v>5.2624585191244001E-18</v>
      </c>
      <c r="F295" s="2">
        <v>7.8936877786866004E-17</v>
      </c>
      <c r="G295" t="s">
        <v>3959</v>
      </c>
    </row>
    <row r="296" spans="1:7" x14ac:dyDescent="0.25">
      <c r="A296" s="4" t="str">
        <f>HYPERLINK("http://amigo.geneontology.org/cgi-bin/amigo/term-details.cgi?term=GO:0009893","GO:0009893")</f>
        <v>GO:0009893</v>
      </c>
      <c r="B296" t="s">
        <v>1149</v>
      </c>
      <c r="C296">
        <v>408</v>
      </c>
      <c r="D296">
        <v>64</v>
      </c>
      <c r="E296" s="2">
        <v>5.3272692631421601E-18</v>
      </c>
      <c r="F296" s="2">
        <v>7.9909038947132397E-17</v>
      </c>
      <c r="G296" t="s">
        <v>3958</v>
      </c>
    </row>
    <row r="297" spans="1:7" x14ac:dyDescent="0.25">
      <c r="A297" s="4" t="str">
        <f>HYPERLINK("http://amigo.geneontology.org/cgi-bin/amigo/term-details.cgi?term=GO:0048518","GO:0048518")</f>
        <v>GO:0048518</v>
      </c>
      <c r="B297" t="s">
        <v>3957</v>
      </c>
      <c r="C297">
        <v>682</v>
      </c>
      <c r="D297">
        <v>87</v>
      </c>
      <c r="E297" s="2">
        <v>5.4640458491571503E-18</v>
      </c>
      <c r="F297" s="2">
        <v>8.1960687737357305E-17</v>
      </c>
      <c r="G297" t="s">
        <v>3956</v>
      </c>
    </row>
    <row r="298" spans="1:7" x14ac:dyDescent="0.25">
      <c r="A298" s="4" t="str">
        <f>HYPERLINK("http://amigo.geneontology.org/cgi-bin/amigo/term-details.cgi?term=GO:0033559","GO:0033559")</f>
        <v>GO:0033559</v>
      </c>
      <c r="B298" t="s">
        <v>3955</v>
      </c>
      <c r="C298">
        <v>51</v>
      </c>
      <c r="D298">
        <v>23</v>
      </c>
      <c r="E298" s="2">
        <v>6.3138616115523602E-18</v>
      </c>
      <c r="F298" s="2">
        <v>9.4707924173285499E-17</v>
      </c>
      <c r="G298" t="s">
        <v>3953</v>
      </c>
    </row>
    <row r="299" spans="1:7" x14ac:dyDescent="0.25">
      <c r="A299" s="4" t="str">
        <f>HYPERLINK("http://amigo.geneontology.org/cgi-bin/amigo/term-details.cgi?term=GO:0006636","GO:0006636")</f>
        <v>GO:0006636</v>
      </c>
      <c r="B299" t="s">
        <v>3954</v>
      </c>
      <c r="C299">
        <v>51</v>
      </c>
      <c r="D299">
        <v>23</v>
      </c>
      <c r="E299" s="2">
        <v>6.3138616115523602E-18</v>
      </c>
      <c r="F299" s="2">
        <v>9.4707924173285499E-17</v>
      </c>
      <c r="G299" t="s">
        <v>3953</v>
      </c>
    </row>
    <row r="300" spans="1:7" x14ac:dyDescent="0.25">
      <c r="A300" s="4" t="str">
        <f>HYPERLINK("http://amigo.geneontology.org/cgi-bin/amigo/term-details.cgi?term=GO:0032259","GO:0032259")</f>
        <v>GO:0032259</v>
      </c>
      <c r="B300" t="s">
        <v>1033</v>
      </c>
      <c r="C300">
        <v>1056</v>
      </c>
      <c r="D300">
        <v>115</v>
      </c>
      <c r="E300" s="2">
        <v>6.5047975714748E-18</v>
      </c>
      <c r="F300" s="2">
        <v>9.7571963572122003E-17</v>
      </c>
      <c r="G300" t="s">
        <v>3952</v>
      </c>
    </row>
    <row r="301" spans="1:7" x14ac:dyDescent="0.25">
      <c r="A301" s="4" t="str">
        <f>HYPERLINK("http://amigo.geneontology.org/cgi-bin/amigo/term-details.cgi?term=GO:0035251","GO:0035251")</f>
        <v>GO:0035251</v>
      </c>
      <c r="B301" t="s">
        <v>753</v>
      </c>
      <c r="C301">
        <v>234</v>
      </c>
      <c r="D301">
        <v>47</v>
      </c>
      <c r="E301" s="2">
        <v>6.7446054806755802E-18</v>
      </c>
      <c r="F301" s="2">
        <v>1.01169082210133E-16</v>
      </c>
      <c r="G301" t="s">
        <v>1408</v>
      </c>
    </row>
    <row r="302" spans="1:7" x14ac:dyDescent="0.25">
      <c r="A302" s="4" t="str">
        <f>HYPERLINK("http://amigo.geneontology.org/cgi-bin/amigo/term-details.cgi?term=GO:0005524","GO:0005524")</f>
        <v>GO:0005524</v>
      </c>
      <c r="B302" t="s">
        <v>362</v>
      </c>
      <c r="C302">
        <v>8993</v>
      </c>
      <c r="D302">
        <v>573</v>
      </c>
      <c r="E302" s="2">
        <v>6.9980035467377898E-18</v>
      </c>
      <c r="F302" s="2">
        <v>1.04970053201066E-16</v>
      </c>
      <c r="G302" t="s">
        <v>3951</v>
      </c>
    </row>
    <row r="303" spans="1:7" x14ac:dyDescent="0.25">
      <c r="A303" s="4" t="str">
        <f>HYPERLINK("http://amigo.geneontology.org/cgi-bin/amigo/term-details.cgi?term=GO:1902680","GO:1902680")</f>
        <v>GO:1902680</v>
      </c>
      <c r="B303" t="s">
        <v>3950</v>
      </c>
      <c r="C303">
        <v>264</v>
      </c>
      <c r="D303">
        <v>50</v>
      </c>
      <c r="E303" s="2">
        <v>8.0932349276022096E-18</v>
      </c>
      <c r="F303" s="2">
        <v>1.2139852391403301E-16</v>
      </c>
      <c r="G303" t="s">
        <v>3932</v>
      </c>
    </row>
    <row r="304" spans="1:7" x14ac:dyDescent="0.25">
      <c r="A304" s="4" t="str">
        <f>HYPERLINK("http://amigo.geneontology.org/cgi-bin/amigo/term-details.cgi?term=GO:0048522","GO:0048522")</f>
        <v>GO:0048522</v>
      </c>
      <c r="B304" t="s">
        <v>3949</v>
      </c>
      <c r="C304">
        <v>563</v>
      </c>
      <c r="D304">
        <v>77</v>
      </c>
      <c r="E304" s="2">
        <v>8.4626984553419005E-18</v>
      </c>
      <c r="F304" s="2">
        <v>1.26940476830128E-16</v>
      </c>
      <c r="G304" t="s">
        <v>3948</v>
      </c>
    </row>
    <row r="305" spans="1:7" x14ac:dyDescent="0.25">
      <c r="A305" s="4" t="str">
        <f>HYPERLINK("http://amigo.geneontology.org/cgi-bin/amigo/term-details.cgi?term=GO:0031325","GO:0031325")</f>
        <v>GO:0031325</v>
      </c>
      <c r="B305" t="s">
        <v>1148</v>
      </c>
      <c r="C305">
        <v>379</v>
      </c>
      <c r="D305">
        <v>61</v>
      </c>
      <c r="E305" s="2">
        <v>8.9070585027954507E-18</v>
      </c>
      <c r="F305" s="2">
        <v>1.3360587754193101E-16</v>
      </c>
      <c r="G305" t="s">
        <v>3947</v>
      </c>
    </row>
    <row r="306" spans="1:7" x14ac:dyDescent="0.25">
      <c r="A306" s="4" t="str">
        <f>HYPERLINK("http://amigo.geneontology.org/cgi-bin/amigo/term-details.cgi?term=GO:0018022","GO:0018022")</f>
        <v>GO:0018022</v>
      </c>
      <c r="B306" t="s">
        <v>1357</v>
      </c>
      <c r="C306">
        <v>256</v>
      </c>
      <c r="D306">
        <v>49</v>
      </c>
      <c r="E306" s="2">
        <v>1.0907499367038199E-17</v>
      </c>
      <c r="F306" s="2">
        <v>1.63612490505573E-16</v>
      </c>
      <c r="G306" t="s">
        <v>3946</v>
      </c>
    </row>
    <row r="307" spans="1:7" x14ac:dyDescent="0.25">
      <c r="A307" s="4" t="str">
        <f>HYPERLINK("http://amigo.geneontology.org/cgi-bin/amigo/term-details.cgi?term=GO:0017144","GO:0017144")</f>
        <v>GO:0017144</v>
      </c>
      <c r="B307" t="s">
        <v>3945</v>
      </c>
      <c r="C307">
        <v>1499</v>
      </c>
      <c r="D307">
        <v>145</v>
      </c>
      <c r="E307" s="2">
        <v>1.3063819287923701E-17</v>
      </c>
      <c r="F307" s="2">
        <v>1.95957289318855E-16</v>
      </c>
      <c r="G307" t="s">
        <v>3944</v>
      </c>
    </row>
    <row r="308" spans="1:7" x14ac:dyDescent="0.25">
      <c r="A308" s="4" t="str">
        <f>HYPERLINK("http://amigo.geneontology.org/cgi-bin/amigo/term-details.cgi?term=GO:0051173","GO:0051173")</f>
        <v>GO:0051173</v>
      </c>
      <c r="B308" t="s">
        <v>3943</v>
      </c>
      <c r="C308">
        <v>361</v>
      </c>
      <c r="D308">
        <v>59</v>
      </c>
      <c r="E308" s="2">
        <v>1.4560282875807099E-17</v>
      </c>
      <c r="F308" s="2">
        <v>2.1840424313710599E-16</v>
      </c>
      <c r="G308" t="s">
        <v>3942</v>
      </c>
    </row>
    <row r="309" spans="1:7" x14ac:dyDescent="0.25">
      <c r="A309" s="4" t="str">
        <f>HYPERLINK("http://amigo.geneontology.org/cgi-bin/amigo/term-details.cgi?term=GO:0051254","GO:0051254")</f>
        <v>GO:0051254</v>
      </c>
      <c r="B309" t="s">
        <v>3941</v>
      </c>
      <c r="C309">
        <v>268</v>
      </c>
      <c r="D309">
        <v>50</v>
      </c>
      <c r="E309" s="2">
        <v>1.5544640273383801E-17</v>
      </c>
      <c r="F309" s="2">
        <v>2.3316960410075702E-16</v>
      </c>
      <c r="G309" t="s">
        <v>3932</v>
      </c>
    </row>
    <row r="310" spans="1:7" x14ac:dyDescent="0.25">
      <c r="A310" s="4" t="str">
        <f>HYPERLINK("http://amigo.geneontology.org/cgi-bin/amigo/term-details.cgi?term=GO:0051726","GO:0051726")</f>
        <v>GO:0051726</v>
      </c>
      <c r="B310" t="s">
        <v>3940</v>
      </c>
      <c r="C310">
        <v>330</v>
      </c>
      <c r="D310">
        <v>56</v>
      </c>
      <c r="E310" s="2">
        <v>1.68047868723074E-17</v>
      </c>
      <c r="F310" s="2">
        <v>2.52071803084611E-16</v>
      </c>
      <c r="G310" t="s">
        <v>3939</v>
      </c>
    </row>
    <row r="311" spans="1:7" x14ac:dyDescent="0.25">
      <c r="A311" s="4" t="str">
        <f>HYPERLINK("http://amigo.geneontology.org/cgi-bin/amigo/term-details.cgi?term=GO:0034968","GO:0034968")</f>
        <v>GO:0034968</v>
      </c>
      <c r="B311" t="s">
        <v>1356</v>
      </c>
      <c r="C311">
        <v>251</v>
      </c>
      <c r="D311">
        <v>48</v>
      </c>
      <c r="E311" s="2">
        <v>2.4205698771865801E-17</v>
      </c>
      <c r="F311" s="2">
        <v>3.6308548157798699E-16</v>
      </c>
      <c r="G311" t="s">
        <v>3938</v>
      </c>
    </row>
    <row r="312" spans="1:7" x14ac:dyDescent="0.25">
      <c r="A312" s="4" t="str">
        <f>HYPERLINK("http://amigo.geneontology.org/cgi-bin/amigo/term-details.cgi?term=GO:0043414","GO:0043414")</f>
        <v>GO:0043414</v>
      </c>
      <c r="B312" t="s">
        <v>1050</v>
      </c>
      <c r="C312">
        <v>625</v>
      </c>
      <c r="D312">
        <v>81</v>
      </c>
      <c r="E312" s="2">
        <v>2.98110286658795E-17</v>
      </c>
      <c r="F312" s="2">
        <v>4.1735440132231302E-16</v>
      </c>
      <c r="G312" t="s">
        <v>3937</v>
      </c>
    </row>
    <row r="313" spans="1:7" x14ac:dyDescent="0.25">
      <c r="A313" s="4" t="str">
        <f>HYPERLINK("http://amigo.geneontology.org/cgi-bin/amigo/term-details.cgi?term=GO:0006793","GO:0006793")</f>
        <v>GO:0006793</v>
      </c>
      <c r="B313" t="s">
        <v>952</v>
      </c>
      <c r="C313">
        <v>8439</v>
      </c>
      <c r="D313">
        <v>540</v>
      </c>
      <c r="E313" s="2">
        <v>3.5629429969012598E-17</v>
      </c>
      <c r="F313" s="2">
        <v>4.9881201956617703E-16</v>
      </c>
      <c r="G313" t="s">
        <v>3936</v>
      </c>
    </row>
    <row r="314" spans="1:7" x14ac:dyDescent="0.25">
      <c r="A314" s="4" t="str">
        <f>HYPERLINK("http://amigo.geneontology.org/cgi-bin/amigo/term-details.cgi?term=GO:0051274","GO:0051274")</f>
        <v>GO:0051274</v>
      </c>
      <c r="B314" t="s">
        <v>710</v>
      </c>
      <c r="C314">
        <v>216</v>
      </c>
      <c r="D314">
        <v>44</v>
      </c>
      <c r="E314" s="2">
        <v>4.3002266860825101E-17</v>
      </c>
      <c r="F314" s="2">
        <v>6.0203173605155102E-16</v>
      </c>
      <c r="G314" t="s">
        <v>3935</v>
      </c>
    </row>
    <row r="315" spans="1:7" x14ac:dyDescent="0.25">
      <c r="A315" s="4" t="str">
        <f>HYPERLINK("http://amigo.geneontology.org/cgi-bin/amigo/term-details.cgi?term=GO:0010389","GO:0010389")</f>
        <v>GO:0010389</v>
      </c>
      <c r="B315" t="s">
        <v>3934</v>
      </c>
      <c r="C315">
        <v>50</v>
      </c>
      <c r="D315">
        <v>22</v>
      </c>
      <c r="E315" s="2">
        <v>6.3496199629962806E-17</v>
      </c>
      <c r="F315" s="2">
        <v>8.8894679481947999E-16</v>
      </c>
      <c r="G315" t="s">
        <v>3927</v>
      </c>
    </row>
    <row r="316" spans="1:7" x14ac:dyDescent="0.25">
      <c r="A316" s="4" t="str">
        <f>HYPERLINK("http://amigo.geneontology.org/cgi-bin/amigo/term-details.cgi?term=GO:0045935","GO:0045935")</f>
        <v>GO:0045935</v>
      </c>
      <c r="B316" t="s">
        <v>3933</v>
      </c>
      <c r="C316">
        <v>277</v>
      </c>
      <c r="D316">
        <v>50</v>
      </c>
      <c r="E316" s="2">
        <v>6.4270882953779795E-17</v>
      </c>
      <c r="F316" s="2">
        <v>8.9979236135291809E-16</v>
      </c>
      <c r="G316" t="s">
        <v>3932</v>
      </c>
    </row>
    <row r="317" spans="1:7" x14ac:dyDescent="0.25">
      <c r="A317" s="4" t="str">
        <f>HYPERLINK("http://amigo.geneontology.org/cgi-bin/amigo/term-details.cgi?term=GO:0008213","GO:0008213")</f>
        <v>GO:0008213</v>
      </c>
      <c r="B317" t="s">
        <v>1373</v>
      </c>
      <c r="C317">
        <v>319</v>
      </c>
      <c r="D317">
        <v>54</v>
      </c>
      <c r="E317" s="2">
        <v>6.9838961099582906E-17</v>
      </c>
      <c r="F317" s="2">
        <v>9.7774545539416105E-16</v>
      </c>
      <c r="G317" t="s">
        <v>3931</v>
      </c>
    </row>
    <row r="318" spans="1:7" x14ac:dyDescent="0.25">
      <c r="A318" s="4" t="str">
        <f>HYPERLINK("http://amigo.geneontology.org/cgi-bin/amigo/term-details.cgi?term=GO:0006479","GO:0006479")</f>
        <v>GO:0006479</v>
      </c>
      <c r="B318" t="s">
        <v>1372</v>
      </c>
      <c r="C318">
        <v>319</v>
      </c>
      <c r="D318">
        <v>54</v>
      </c>
      <c r="E318" s="2">
        <v>6.9838961099582906E-17</v>
      </c>
      <c r="F318" s="2">
        <v>9.7774545539416105E-16</v>
      </c>
      <c r="G318" t="s">
        <v>3931</v>
      </c>
    </row>
    <row r="319" spans="1:7" x14ac:dyDescent="0.25">
      <c r="A319" s="4" t="str">
        <f>HYPERLINK("http://amigo.geneontology.org/cgi-bin/amigo/term-details.cgi?term=GO:0003006","GO:0003006")</f>
        <v>GO:0003006</v>
      </c>
      <c r="B319" t="s">
        <v>3930</v>
      </c>
      <c r="C319">
        <v>1093</v>
      </c>
      <c r="D319">
        <v>115</v>
      </c>
      <c r="E319" s="2">
        <v>8.18701818919579E-17</v>
      </c>
      <c r="F319" s="2">
        <v>1.14618254648741E-15</v>
      </c>
      <c r="G319" t="s">
        <v>3929</v>
      </c>
    </row>
    <row r="320" spans="1:7" x14ac:dyDescent="0.25">
      <c r="A320" s="4" t="str">
        <f>HYPERLINK("http://amigo.geneontology.org/cgi-bin/amigo/term-details.cgi?term=GO:1902749","GO:1902749")</f>
        <v>GO:1902749</v>
      </c>
      <c r="B320" t="s">
        <v>3928</v>
      </c>
      <c r="C320">
        <v>51</v>
      </c>
      <c r="D320">
        <v>22</v>
      </c>
      <c r="E320" s="2">
        <v>1.06875904334324E-16</v>
      </c>
      <c r="F320" s="2">
        <v>1.4962626606805399E-15</v>
      </c>
      <c r="G320" t="s">
        <v>3927</v>
      </c>
    </row>
    <row r="321" spans="1:7" x14ac:dyDescent="0.25">
      <c r="A321" s="4" t="str">
        <f>HYPERLINK("http://amigo.geneontology.org/cgi-bin/amigo/term-details.cgi?term=GO:0016571","GO:0016571")</f>
        <v>GO:0016571</v>
      </c>
      <c r="B321" t="s">
        <v>1359</v>
      </c>
      <c r="C321">
        <v>271</v>
      </c>
      <c r="D321">
        <v>49</v>
      </c>
      <c r="E321" s="2">
        <v>1.21644479133007E-16</v>
      </c>
      <c r="F321" s="2">
        <v>1.70302270786211E-15</v>
      </c>
      <c r="G321" t="s">
        <v>3926</v>
      </c>
    </row>
    <row r="322" spans="1:7" x14ac:dyDescent="0.25">
      <c r="A322" s="4" t="str">
        <f>HYPERLINK("http://amigo.geneontology.org/cgi-bin/amigo/term-details.cgi?term=GO:0009523","GO:0009523")</f>
        <v>GO:0009523</v>
      </c>
      <c r="B322" t="s">
        <v>455</v>
      </c>
      <c r="C322">
        <v>379</v>
      </c>
      <c r="D322">
        <v>59</v>
      </c>
      <c r="E322" s="2">
        <v>1.4798200301315301E-16</v>
      </c>
      <c r="F322" s="2">
        <v>2.0717480421841501E-15</v>
      </c>
      <c r="G322" t="s">
        <v>3925</v>
      </c>
    </row>
    <row r="323" spans="1:7" x14ac:dyDescent="0.25">
      <c r="A323" s="4" t="str">
        <f>HYPERLINK("http://amigo.geneontology.org/cgi-bin/amigo/term-details.cgi?term=GO:0061458","GO:0061458")</f>
        <v>GO:0061458</v>
      </c>
      <c r="B323" t="s">
        <v>3924</v>
      </c>
      <c r="C323">
        <v>908</v>
      </c>
      <c r="D323">
        <v>101</v>
      </c>
      <c r="E323" s="2">
        <v>1.63693217071255E-16</v>
      </c>
      <c r="F323" s="2">
        <v>2.29170503899757E-15</v>
      </c>
      <c r="G323" t="s">
        <v>3922</v>
      </c>
    </row>
    <row r="324" spans="1:7" x14ac:dyDescent="0.25">
      <c r="A324" s="4" t="str">
        <f>HYPERLINK("http://amigo.geneontology.org/cgi-bin/amigo/term-details.cgi?term=GO:0048608","GO:0048608")</f>
        <v>GO:0048608</v>
      </c>
      <c r="B324" t="s">
        <v>3923</v>
      </c>
      <c r="C324">
        <v>908</v>
      </c>
      <c r="D324">
        <v>101</v>
      </c>
      <c r="E324" s="2">
        <v>1.63693217071255E-16</v>
      </c>
      <c r="F324" s="2">
        <v>2.29170503899757E-15</v>
      </c>
      <c r="G324" t="s">
        <v>3922</v>
      </c>
    </row>
    <row r="325" spans="1:7" x14ac:dyDescent="0.25">
      <c r="A325" s="4" t="str">
        <f>HYPERLINK("http://amigo.geneontology.org/cgi-bin/amigo/term-details.cgi?term=GO:0031224","GO:0031224")</f>
        <v>GO:0031224</v>
      </c>
      <c r="B325" t="s">
        <v>841</v>
      </c>
      <c r="C325">
        <v>7435</v>
      </c>
      <c r="D325">
        <v>483</v>
      </c>
      <c r="E325" s="2">
        <v>1.8040799169433801E-16</v>
      </c>
      <c r="F325" s="2">
        <v>2.5257118837207301E-15</v>
      </c>
      <c r="G325" t="s">
        <v>3921</v>
      </c>
    </row>
    <row r="326" spans="1:7" x14ac:dyDescent="0.25">
      <c r="A326" s="4" t="str">
        <f>HYPERLINK("http://amigo.geneontology.org/cgi-bin/amigo/term-details.cgi?term=GO:0003678","GO:0003678")</f>
        <v>GO:0003678</v>
      </c>
      <c r="B326" t="s">
        <v>792</v>
      </c>
      <c r="C326">
        <v>92</v>
      </c>
      <c r="D326">
        <v>28</v>
      </c>
      <c r="E326" s="2">
        <v>3.8057539325867002E-16</v>
      </c>
      <c r="F326" s="2">
        <v>5.3280555056213897E-15</v>
      </c>
      <c r="G326" t="s">
        <v>3920</v>
      </c>
    </row>
    <row r="327" spans="1:7" x14ac:dyDescent="0.25">
      <c r="A327" s="4" t="str">
        <f>HYPERLINK("http://amigo.geneontology.org/cgi-bin/amigo/term-details.cgi?term=GO:0008194","GO:0008194")</f>
        <v>GO:0008194</v>
      </c>
      <c r="B327" t="s">
        <v>188</v>
      </c>
      <c r="C327">
        <v>480</v>
      </c>
      <c r="D327">
        <v>67</v>
      </c>
      <c r="E327" s="2">
        <v>3.9635748663004898E-16</v>
      </c>
      <c r="F327" s="2">
        <v>5.5490048128206999E-15</v>
      </c>
      <c r="G327" t="s">
        <v>3919</v>
      </c>
    </row>
    <row r="328" spans="1:7" x14ac:dyDescent="0.25">
      <c r="A328" s="4" t="str">
        <f>HYPERLINK("http://amigo.geneontology.org/cgi-bin/amigo/term-details.cgi?term=GO:0048437","GO:0048437")</f>
        <v>GO:0048437</v>
      </c>
      <c r="B328" t="s">
        <v>3918</v>
      </c>
      <c r="C328">
        <v>316</v>
      </c>
      <c r="D328">
        <v>52</v>
      </c>
      <c r="E328" s="2">
        <v>8.7085775065046002E-16</v>
      </c>
      <c r="F328" s="2">
        <v>1.21920085091064E-14</v>
      </c>
      <c r="G328" t="s">
        <v>3917</v>
      </c>
    </row>
    <row r="329" spans="1:7" x14ac:dyDescent="0.25">
      <c r="A329" s="4" t="str">
        <f>HYPERLINK("http://amigo.geneontology.org/cgi-bin/amigo/term-details.cgi?term=GO:0051174","GO:0051174")</f>
        <v>GO:0051174</v>
      </c>
      <c r="B329" t="s">
        <v>3916</v>
      </c>
      <c r="C329">
        <v>142</v>
      </c>
      <c r="D329">
        <v>34</v>
      </c>
      <c r="E329" s="2">
        <v>9.26899891782698E-16</v>
      </c>
      <c r="F329" s="2">
        <v>1.2976598484957699E-14</v>
      </c>
      <c r="G329" t="s">
        <v>3914</v>
      </c>
    </row>
    <row r="330" spans="1:7" x14ac:dyDescent="0.25">
      <c r="A330" s="4" t="str">
        <f>HYPERLINK("http://amigo.geneontology.org/cgi-bin/amigo/term-details.cgi?term=GO:0019220","GO:0019220")</f>
        <v>GO:0019220</v>
      </c>
      <c r="B330" t="s">
        <v>3915</v>
      </c>
      <c r="C330">
        <v>142</v>
      </c>
      <c r="D330">
        <v>34</v>
      </c>
      <c r="E330" s="2">
        <v>9.26899891782698E-16</v>
      </c>
      <c r="F330" s="2">
        <v>1.2976598484957699E-14</v>
      </c>
      <c r="G330" t="s">
        <v>3914</v>
      </c>
    </row>
    <row r="331" spans="1:7" x14ac:dyDescent="0.25">
      <c r="A331" s="4" t="str">
        <f>HYPERLINK("http://amigo.geneontology.org/cgi-bin/amigo/term-details.cgi?term=GO:0030003","GO:0030003")</f>
        <v>GO:0030003</v>
      </c>
      <c r="B331" t="s">
        <v>1012</v>
      </c>
      <c r="C331">
        <v>88</v>
      </c>
      <c r="D331">
        <v>27</v>
      </c>
      <c r="E331" s="2">
        <v>1.01364538194978E-15</v>
      </c>
      <c r="F331" s="2">
        <v>1.4191035347297E-14</v>
      </c>
      <c r="G331" t="s">
        <v>3853</v>
      </c>
    </row>
    <row r="332" spans="1:7" x14ac:dyDescent="0.25">
      <c r="A332" s="4" t="str">
        <f>HYPERLINK("http://amigo.geneontology.org/cgi-bin/amigo/term-details.cgi?term=GO:2000241","GO:2000241")</f>
        <v>GO:2000241</v>
      </c>
      <c r="B332" t="s">
        <v>3913</v>
      </c>
      <c r="C332">
        <v>276</v>
      </c>
      <c r="D332">
        <v>48</v>
      </c>
      <c r="E332" s="2">
        <v>1.2039229765032E-15</v>
      </c>
      <c r="F332" s="2">
        <v>1.68549216710448E-14</v>
      </c>
      <c r="G332" t="s">
        <v>3912</v>
      </c>
    </row>
    <row r="333" spans="1:7" x14ac:dyDescent="0.25">
      <c r="A333" s="4" t="str">
        <f>HYPERLINK("http://amigo.geneontology.org/cgi-bin/amigo/term-details.cgi?term=GO:0006796","GO:0006796")</f>
        <v>GO:0006796</v>
      </c>
      <c r="B333" t="s">
        <v>361</v>
      </c>
      <c r="C333">
        <v>8366</v>
      </c>
      <c r="D333">
        <v>527</v>
      </c>
      <c r="E333" s="2">
        <v>1.62613585226603E-15</v>
      </c>
      <c r="F333" s="2">
        <v>2.11397660794584E-14</v>
      </c>
      <c r="G333" t="s">
        <v>3911</v>
      </c>
    </row>
    <row r="334" spans="1:7" x14ac:dyDescent="0.25">
      <c r="A334" s="4" t="str">
        <f>HYPERLINK("http://amigo.geneontology.org/cgi-bin/amigo/term-details.cgi?term=GO:0012505","GO:0012505")</f>
        <v>GO:0012505</v>
      </c>
      <c r="B334" t="s">
        <v>854</v>
      </c>
      <c r="C334">
        <v>1392</v>
      </c>
      <c r="D334">
        <v>132</v>
      </c>
      <c r="E334" s="2">
        <v>1.7394801289339101E-15</v>
      </c>
      <c r="F334" s="2">
        <v>2.26132416761409E-14</v>
      </c>
      <c r="G334" t="s">
        <v>3910</v>
      </c>
    </row>
    <row r="335" spans="1:7" x14ac:dyDescent="0.25">
      <c r="A335" s="4" t="str">
        <f>HYPERLINK("http://amigo.geneontology.org/cgi-bin/amigo/term-details.cgi?term=GO:0065009","GO:0065009")</f>
        <v>GO:0065009</v>
      </c>
      <c r="B335" t="s">
        <v>3909</v>
      </c>
      <c r="C335">
        <v>647</v>
      </c>
      <c r="D335">
        <v>79</v>
      </c>
      <c r="E335" s="2">
        <v>2.0885839988493302E-15</v>
      </c>
      <c r="F335" s="2">
        <v>2.7151591985041301E-14</v>
      </c>
      <c r="G335" t="s">
        <v>3908</v>
      </c>
    </row>
    <row r="336" spans="1:7" x14ac:dyDescent="0.25">
      <c r="A336" s="4" t="str">
        <f>HYPERLINK("http://amigo.geneontology.org/cgi-bin/amigo/term-details.cgi?term=GO:0016569","GO:0016569")</f>
        <v>GO:0016569</v>
      </c>
      <c r="B336" t="s">
        <v>3907</v>
      </c>
      <c r="C336">
        <v>430</v>
      </c>
      <c r="D336">
        <v>61</v>
      </c>
      <c r="E336" s="2">
        <v>3.8154856308446097E-15</v>
      </c>
      <c r="F336" s="2">
        <v>4.960131320098E-14</v>
      </c>
      <c r="G336" t="s">
        <v>3906</v>
      </c>
    </row>
    <row r="337" spans="1:7" x14ac:dyDescent="0.25">
      <c r="A337" s="4" t="str">
        <f>HYPERLINK("http://amigo.geneontology.org/cgi-bin/amigo/term-details.cgi?term=GO:0043168","GO:0043168")</f>
        <v>GO:0043168</v>
      </c>
      <c r="B337" t="s">
        <v>833</v>
      </c>
      <c r="C337">
        <v>13394</v>
      </c>
      <c r="D337">
        <v>781</v>
      </c>
      <c r="E337" s="2">
        <v>4.5667341078848399E-15</v>
      </c>
      <c r="F337" s="2">
        <v>5.9367543402502896E-14</v>
      </c>
      <c r="G337" t="s">
        <v>3905</v>
      </c>
    </row>
    <row r="338" spans="1:7" x14ac:dyDescent="0.25">
      <c r="A338" s="4" t="str">
        <f>HYPERLINK("http://amigo.geneontology.org/cgi-bin/amigo/term-details.cgi?term=GO:0097367","GO:0097367")</f>
        <v>GO:0097367</v>
      </c>
      <c r="B338" t="s">
        <v>883</v>
      </c>
      <c r="C338">
        <v>12241</v>
      </c>
      <c r="D338">
        <v>723</v>
      </c>
      <c r="E338" s="2">
        <v>4.78157324409119E-15</v>
      </c>
      <c r="F338" s="2">
        <v>6.2160452173185505E-14</v>
      </c>
      <c r="G338" t="s">
        <v>3904</v>
      </c>
    </row>
    <row r="339" spans="1:7" x14ac:dyDescent="0.25">
      <c r="A339" s="4" t="str">
        <f>HYPERLINK("http://amigo.geneontology.org/cgi-bin/amigo/term-details.cgi?term=GO:0016984","GO:0016984")</f>
        <v>GO:0016984</v>
      </c>
      <c r="B339" t="s">
        <v>3903</v>
      </c>
      <c r="C339">
        <v>28</v>
      </c>
      <c r="D339">
        <v>16</v>
      </c>
      <c r="E339" s="2">
        <v>5.3422220395053699E-15</v>
      </c>
      <c r="F339" s="2">
        <v>6.9448886513569902E-14</v>
      </c>
      <c r="G339" t="s">
        <v>3902</v>
      </c>
    </row>
    <row r="340" spans="1:7" x14ac:dyDescent="0.25">
      <c r="A340" s="4" t="str">
        <f>HYPERLINK("http://amigo.geneontology.org/cgi-bin/amigo/term-details.cgi?term=GO:0009832","GO:0009832")</f>
        <v>GO:0009832</v>
      </c>
      <c r="B340" t="s">
        <v>653</v>
      </c>
      <c r="C340">
        <v>109</v>
      </c>
      <c r="D340">
        <v>29</v>
      </c>
      <c r="E340" s="2">
        <v>5.9576376385339501E-15</v>
      </c>
      <c r="F340" s="2">
        <v>7.7449289300941394E-14</v>
      </c>
      <c r="G340" t="s">
        <v>3901</v>
      </c>
    </row>
    <row r="341" spans="1:7" x14ac:dyDescent="0.25">
      <c r="A341" s="4" t="str">
        <f>HYPERLINK("http://amigo.geneontology.org/cgi-bin/amigo/term-details.cgi?term=GO:0017076","GO:0017076")</f>
        <v>GO:0017076</v>
      </c>
      <c r="B341" t="s">
        <v>304</v>
      </c>
      <c r="C341">
        <v>12038</v>
      </c>
      <c r="D341">
        <v>712</v>
      </c>
      <c r="E341" s="2">
        <v>6.2416702057006902E-15</v>
      </c>
      <c r="F341" s="2">
        <v>8.1141712674108998E-14</v>
      </c>
      <c r="G341" t="s">
        <v>3900</v>
      </c>
    </row>
    <row r="342" spans="1:7" x14ac:dyDescent="0.25">
      <c r="A342" s="4" t="str">
        <f>HYPERLINK("http://amigo.geneontology.org/cgi-bin/amigo/term-details.cgi?term=GO:0019685","GO:0019685")</f>
        <v>GO:0019685</v>
      </c>
      <c r="B342" t="s">
        <v>3899</v>
      </c>
      <c r="C342">
        <v>17</v>
      </c>
      <c r="D342">
        <v>13</v>
      </c>
      <c r="E342" s="2">
        <v>6.4794562178082001E-15</v>
      </c>
      <c r="F342" s="2">
        <v>8.42329308315066E-14</v>
      </c>
      <c r="G342" t="s">
        <v>3897</v>
      </c>
    </row>
    <row r="343" spans="1:7" x14ac:dyDescent="0.25">
      <c r="A343" s="4" t="str">
        <f>HYPERLINK("http://amigo.geneontology.org/cgi-bin/amigo/term-details.cgi?term=GO:0019253","GO:0019253")</f>
        <v>GO:0019253</v>
      </c>
      <c r="B343" t="s">
        <v>3898</v>
      </c>
      <c r="C343">
        <v>17</v>
      </c>
      <c r="D343">
        <v>13</v>
      </c>
      <c r="E343" s="2">
        <v>6.4794562178082001E-15</v>
      </c>
      <c r="F343" s="2">
        <v>8.42329308315066E-14</v>
      </c>
      <c r="G343" t="s">
        <v>3897</v>
      </c>
    </row>
    <row r="344" spans="1:7" x14ac:dyDescent="0.25">
      <c r="A344" s="4" t="str">
        <f>HYPERLINK("http://amigo.geneontology.org/cgi-bin/amigo/term-details.cgi?term=GO:0019843","GO:0019843")</f>
        <v>GO:0019843</v>
      </c>
      <c r="B344" t="s">
        <v>3896</v>
      </c>
      <c r="C344">
        <v>151</v>
      </c>
      <c r="D344">
        <v>34</v>
      </c>
      <c r="E344" s="2">
        <v>6.64231544219085E-15</v>
      </c>
      <c r="F344" s="2">
        <v>8.6350100748481097E-14</v>
      </c>
      <c r="G344" t="s">
        <v>3895</v>
      </c>
    </row>
    <row r="345" spans="1:7" x14ac:dyDescent="0.25">
      <c r="A345" s="4" t="str">
        <f>HYPERLINK("http://amigo.geneontology.org/cgi-bin/amigo/term-details.cgi?term=GO:0050790","GO:0050790")</f>
        <v>GO:0050790</v>
      </c>
      <c r="B345" t="s">
        <v>1129</v>
      </c>
      <c r="C345">
        <v>622</v>
      </c>
      <c r="D345">
        <v>76</v>
      </c>
      <c r="E345" s="2">
        <v>6.7952685022234896E-15</v>
      </c>
      <c r="F345" s="2">
        <v>8.8338490528905299E-14</v>
      </c>
      <c r="G345" t="s">
        <v>3894</v>
      </c>
    </row>
    <row r="346" spans="1:7" x14ac:dyDescent="0.25">
      <c r="A346" s="4" t="str">
        <f>HYPERLINK("http://amigo.geneontology.org/cgi-bin/amigo/term-details.cgi?term=GO:0032553","GO:0032553")</f>
        <v>GO:0032553</v>
      </c>
      <c r="B346" t="s">
        <v>314</v>
      </c>
      <c r="C346">
        <v>12105</v>
      </c>
      <c r="D346">
        <v>715</v>
      </c>
      <c r="E346" s="2">
        <v>7.1251248031033907E-15</v>
      </c>
      <c r="F346" s="2">
        <v>9.2626622440343995E-14</v>
      </c>
      <c r="G346" t="s">
        <v>3893</v>
      </c>
    </row>
    <row r="347" spans="1:7" x14ac:dyDescent="0.25">
      <c r="A347" s="4" t="str">
        <f>HYPERLINK("http://amigo.geneontology.org/cgi-bin/amigo/term-details.cgi?term=GO:0016570","GO:0016570")</f>
        <v>GO:0016570</v>
      </c>
      <c r="B347" t="s">
        <v>3892</v>
      </c>
      <c r="C347">
        <v>402</v>
      </c>
      <c r="D347">
        <v>58</v>
      </c>
      <c r="E347" s="2">
        <v>8.430369198993E-15</v>
      </c>
      <c r="F347" s="2">
        <v>1.09594799586909E-13</v>
      </c>
      <c r="G347" t="s">
        <v>3891</v>
      </c>
    </row>
    <row r="348" spans="1:7" x14ac:dyDescent="0.25">
      <c r="A348" s="4" t="str">
        <f>HYPERLINK("http://amigo.geneontology.org/cgi-bin/amigo/term-details.cgi?term=GO:0009909","GO:0009909")</f>
        <v>GO:0009909</v>
      </c>
      <c r="B348" t="s">
        <v>3890</v>
      </c>
      <c r="C348">
        <v>238</v>
      </c>
      <c r="D348">
        <v>43</v>
      </c>
      <c r="E348" s="2">
        <v>8.8907508384911594E-15</v>
      </c>
      <c r="F348" s="2">
        <v>1.15579760900385E-13</v>
      </c>
      <c r="G348" t="s">
        <v>3877</v>
      </c>
    </row>
    <row r="349" spans="1:7" x14ac:dyDescent="0.25">
      <c r="A349" s="4" t="str">
        <f>HYPERLINK("http://amigo.geneontology.org/cgi-bin/amigo/term-details.cgi?term=GO:0009314","GO:0009314")</f>
        <v>GO:0009314</v>
      </c>
      <c r="B349" t="s">
        <v>3889</v>
      </c>
      <c r="C349">
        <v>626</v>
      </c>
      <c r="D349">
        <v>76</v>
      </c>
      <c r="E349" s="2">
        <v>9.5488191986507502E-15</v>
      </c>
      <c r="F349" s="2">
        <v>1.2413464958245901E-13</v>
      </c>
      <c r="G349" t="s">
        <v>3888</v>
      </c>
    </row>
    <row r="350" spans="1:7" x14ac:dyDescent="0.25">
      <c r="A350" s="4" t="str">
        <f>HYPERLINK("http://amigo.geneontology.org/cgi-bin/amigo/term-details.cgi?term=GO:0009416","GO:0009416")</f>
        <v>GO:0009416</v>
      </c>
      <c r="B350" t="s">
        <v>3887</v>
      </c>
      <c r="C350">
        <v>562</v>
      </c>
      <c r="D350">
        <v>71</v>
      </c>
      <c r="E350" s="2">
        <v>9.6752772934748402E-15</v>
      </c>
      <c r="F350" s="2">
        <v>1.25778604815172E-13</v>
      </c>
      <c r="G350" t="s">
        <v>3886</v>
      </c>
    </row>
    <row r="351" spans="1:7" x14ac:dyDescent="0.25">
      <c r="A351" s="4" t="str">
        <f>HYPERLINK("http://amigo.geneontology.org/cgi-bin/amigo/term-details.cgi?term=GO:0032555","GO:0032555")</f>
        <v>GO:0032555</v>
      </c>
      <c r="B351" t="s">
        <v>280</v>
      </c>
      <c r="C351">
        <v>11948</v>
      </c>
      <c r="D351">
        <v>705</v>
      </c>
      <c r="E351" s="2">
        <v>1.46872505113893E-14</v>
      </c>
      <c r="F351" s="2">
        <v>1.9093425664806099E-13</v>
      </c>
      <c r="G351" t="s">
        <v>3885</v>
      </c>
    </row>
    <row r="352" spans="1:7" x14ac:dyDescent="0.25">
      <c r="A352" s="4" t="str">
        <f>HYPERLINK("http://amigo.geneontology.org/cgi-bin/amigo/term-details.cgi?term=GO:0043094","GO:0043094")</f>
        <v>GO:0043094</v>
      </c>
      <c r="B352" t="s">
        <v>731</v>
      </c>
      <c r="C352">
        <v>212</v>
      </c>
      <c r="D352">
        <v>40</v>
      </c>
      <c r="E352" s="2">
        <v>1.6786508296176301E-14</v>
      </c>
      <c r="F352" s="2">
        <v>2.18224607850292E-13</v>
      </c>
      <c r="G352" t="s">
        <v>3884</v>
      </c>
    </row>
    <row r="353" spans="1:7" x14ac:dyDescent="0.25">
      <c r="A353" s="4" t="str">
        <f>HYPERLINK("http://amigo.geneontology.org/cgi-bin/amigo/term-details.cgi?term=GO:0009767","GO:0009767")</f>
        <v>GO:0009767</v>
      </c>
      <c r="B353" t="s">
        <v>3883</v>
      </c>
      <c r="C353">
        <v>174</v>
      </c>
      <c r="D353">
        <v>36</v>
      </c>
      <c r="E353" s="2">
        <v>1.76731907719045E-14</v>
      </c>
      <c r="F353" s="2">
        <v>2.2975148003475799E-13</v>
      </c>
      <c r="G353" t="s">
        <v>3882</v>
      </c>
    </row>
    <row r="354" spans="1:7" x14ac:dyDescent="0.25">
      <c r="A354" s="4" t="str">
        <f>HYPERLINK("http://amigo.geneontology.org/cgi-bin/amigo/term-details.cgi?term=GO:0006268","GO:0006268")</f>
        <v>GO:0006268</v>
      </c>
      <c r="B354" t="s">
        <v>3881</v>
      </c>
      <c r="C354">
        <v>12</v>
      </c>
      <c r="D354">
        <v>11</v>
      </c>
      <c r="E354" s="2">
        <v>1.8290999912217701E-14</v>
      </c>
      <c r="F354" s="2">
        <v>2.3778299885883002E-13</v>
      </c>
      <c r="G354" t="s">
        <v>3880</v>
      </c>
    </row>
    <row r="355" spans="1:7" x14ac:dyDescent="0.25">
      <c r="A355" s="4" t="str">
        <f>HYPERLINK("http://amigo.geneontology.org/cgi-bin/amigo/term-details.cgi?term=GO:0016021","GO:0016021")</f>
        <v>GO:0016021</v>
      </c>
      <c r="B355" t="s">
        <v>197</v>
      </c>
      <c r="C355">
        <v>7362</v>
      </c>
      <c r="D355">
        <v>468</v>
      </c>
      <c r="E355" s="2">
        <v>2.049144047381E-14</v>
      </c>
      <c r="F355" s="2">
        <v>2.6638872615953002E-13</v>
      </c>
      <c r="G355" t="s">
        <v>3879</v>
      </c>
    </row>
    <row r="356" spans="1:7" x14ac:dyDescent="0.25">
      <c r="A356" s="4" t="str">
        <f>HYPERLINK("http://amigo.geneontology.org/cgi-bin/amigo/term-details.cgi?term=GO:0048831","GO:0048831")</f>
        <v>GO:0048831</v>
      </c>
      <c r="B356" t="s">
        <v>3878</v>
      </c>
      <c r="C356">
        <v>244</v>
      </c>
      <c r="D356">
        <v>43</v>
      </c>
      <c r="E356" s="2">
        <v>2.2077994822538801E-14</v>
      </c>
      <c r="F356" s="2">
        <v>2.8701393269300401E-13</v>
      </c>
      <c r="G356" t="s">
        <v>3877</v>
      </c>
    </row>
    <row r="357" spans="1:7" x14ac:dyDescent="0.25">
      <c r="A357" s="4" t="str">
        <f>HYPERLINK("http://amigo.geneontology.org/cgi-bin/amigo/term-details.cgi?term=GO:0006457","GO:0006457")</f>
        <v>GO:0006457</v>
      </c>
      <c r="B357" t="s">
        <v>885</v>
      </c>
      <c r="C357">
        <v>510</v>
      </c>
      <c r="D357">
        <v>66</v>
      </c>
      <c r="E357" s="2">
        <v>2.6392243516460499E-14</v>
      </c>
      <c r="F357" s="2">
        <v>3.4309916571398699E-13</v>
      </c>
      <c r="G357" t="s">
        <v>3876</v>
      </c>
    </row>
    <row r="358" spans="1:7" x14ac:dyDescent="0.25">
      <c r="A358" s="4" t="str">
        <f>HYPERLINK("http://amigo.geneontology.org/cgi-bin/amigo/term-details.cgi?term=GO:0040029","GO:0040029")</f>
        <v>GO:0040029</v>
      </c>
      <c r="B358" t="s">
        <v>3875</v>
      </c>
      <c r="C358">
        <v>226</v>
      </c>
      <c r="D358">
        <v>41</v>
      </c>
      <c r="E358" s="2">
        <v>3.18618912638992E-14</v>
      </c>
      <c r="F358" s="2">
        <v>3.8234269516679101E-13</v>
      </c>
      <c r="G358" t="s">
        <v>3874</v>
      </c>
    </row>
    <row r="359" spans="1:7" x14ac:dyDescent="0.25">
      <c r="A359" s="4" t="str">
        <f>HYPERLINK("http://amigo.geneontology.org/cgi-bin/amigo/term-details.cgi?term=GO:0005200","GO:0005200")</f>
        <v>GO:0005200</v>
      </c>
      <c r="B359" t="s">
        <v>873</v>
      </c>
      <c r="C359">
        <v>52</v>
      </c>
      <c r="D359">
        <v>20</v>
      </c>
      <c r="E359" s="2">
        <v>3.7641504910259901E-14</v>
      </c>
      <c r="F359" s="2">
        <v>4.5169805892311899E-13</v>
      </c>
      <c r="G359" t="s">
        <v>3873</v>
      </c>
    </row>
    <row r="360" spans="1:7" x14ac:dyDescent="0.25">
      <c r="A360" s="4" t="str">
        <f>HYPERLINK("http://amigo.geneontology.org/cgi-bin/amigo/term-details.cgi?term=GO:0031163","GO:0031163")</f>
        <v>GO:0031163</v>
      </c>
      <c r="B360" t="s">
        <v>219</v>
      </c>
      <c r="C360">
        <v>142</v>
      </c>
      <c r="D360">
        <v>32</v>
      </c>
      <c r="E360" s="2">
        <v>3.9831597114971702E-14</v>
      </c>
      <c r="F360" s="2">
        <v>4.7797916537966105E-13</v>
      </c>
      <c r="G360" t="s">
        <v>3872</v>
      </c>
    </row>
    <row r="361" spans="1:7" x14ac:dyDescent="0.25">
      <c r="A361" s="4" t="str">
        <f>HYPERLINK("http://amigo.geneontology.org/cgi-bin/amigo/term-details.cgi?term=GO:0016226","GO:0016226")</f>
        <v>GO:0016226</v>
      </c>
      <c r="B361" t="s">
        <v>218</v>
      </c>
      <c r="C361">
        <v>142</v>
      </c>
      <c r="D361">
        <v>32</v>
      </c>
      <c r="E361" s="2">
        <v>3.9831597114971702E-14</v>
      </c>
      <c r="F361" s="2">
        <v>4.7797916537966105E-13</v>
      </c>
      <c r="G361" t="s">
        <v>3872</v>
      </c>
    </row>
    <row r="362" spans="1:7" x14ac:dyDescent="0.25">
      <c r="A362" s="4" t="str">
        <f>HYPERLINK("http://amigo.geneontology.org/cgi-bin/amigo/term-details.cgi?term=GO:0051239","GO:0051239")</f>
        <v>GO:0051239</v>
      </c>
      <c r="B362" t="s">
        <v>3871</v>
      </c>
      <c r="C362">
        <v>313</v>
      </c>
      <c r="D362">
        <v>49</v>
      </c>
      <c r="E362" s="2">
        <v>4.1995433467595301E-14</v>
      </c>
      <c r="F362" s="2">
        <v>5.0394520161114401E-13</v>
      </c>
      <c r="G362" t="s">
        <v>3870</v>
      </c>
    </row>
    <row r="363" spans="1:7" x14ac:dyDescent="0.25">
      <c r="A363" s="4" t="str">
        <f>HYPERLINK("http://amigo.geneontology.org/cgi-bin/amigo/term-details.cgi?term=GO:0018205","GO:0018205")</f>
        <v>GO:0018205</v>
      </c>
      <c r="B363" t="s">
        <v>1358</v>
      </c>
      <c r="C363">
        <v>372</v>
      </c>
      <c r="D363">
        <v>54</v>
      </c>
      <c r="E363" s="2">
        <v>5.3924027113475401E-14</v>
      </c>
      <c r="F363" s="2">
        <v>6.4708832536170498E-13</v>
      </c>
      <c r="G363" t="s">
        <v>3869</v>
      </c>
    </row>
    <row r="364" spans="1:7" x14ac:dyDescent="0.25">
      <c r="A364" s="4" t="str">
        <f>HYPERLINK("http://amigo.geneontology.org/cgi-bin/amigo/term-details.cgi?term=GO:0016853","GO:0016853")</f>
        <v>GO:0016853</v>
      </c>
      <c r="B364" t="s">
        <v>888</v>
      </c>
      <c r="C364">
        <v>622</v>
      </c>
      <c r="D364">
        <v>74</v>
      </c>
      <c r="E364" s="2">
        <v>6.0177093093666203E-14</v>
      </c>
      <c r="F364" s="2">
        <v>7.2212511712399403E-13</v>
      </c>
      <c r="G364" t="s">
        <v>3868</v>
      </c>
    </row>
    <row r="365" spans="1:7" x14ac:dyDescent="0.25">
      <c r="A365" s="4" t="str">
        <f>HYPERLINK("http://amigo.geneontology.org/cgi-bin/amigo/term-details.cgi?term=GO:0048580","GO:0048580")</f>
        <v>GO:0048580</v>
      </c>
      <c r="B365" t="s">
        <v>3867</v>
      </c>
      <c r="C365">
        <v>274</v>
      </c>
      <c r="D365">
        <v>45</v>
      </c>
      <c r="E365" s="2">
        <v>7.7992123248312695E-14</v>
      </c>
      <c r="F365" s="2">
        <v>9.3590547897975193E-13</v>
      </c>
      <c r="G365" t="s">
        <v>3859</v>
      </c>
    </row>
    <row r="366" spans="1:7" x14ac:dyDescent="0.25">
      <c r="A366" s="4" t="str">
        <f>HYPERLINK("http://amigo.geneontology.org/cgi-bin/amigo/term-details.cgi?term=GO:0009908","GO:0009908")</f>
        <v>GO:0009908</v>
      </c>
      <c r="B366" t="s">
        <v>3866</v>
      </c>
      <c r="C366">
        <v>388</v>
      </c>
      <c r="D366">
        <v>55</v>
      </c>
      <c r="E366" s="2">
        <v>8.6291315728362595E-14</v>
      </c>
      <c r="F366" s="2">
        <v>1.03549578874035E-12</v>
      </c>
      <c r="G366" t="s">
        <v>3851</v>
      </c>
    </row>
    <row r="367" spans="1:7" x14ac:dyDescent="0.25">
      <c r="A367" s="4" t="str">
        <f>HYPERLINK("http://amigo.geneontology.org/cgi-bin/amigo/term-details.cgi?term=GO:0031399","GO:0031399")</f>
        <v>GO:0031399</v>
      </c>
      <c r="B367" t="s">
        <v>3865</v>
      </c>
      <c r="C367">
        <v>165</v>
      </c>
      <c r="D367">
        <v>34</v>
      </c>
      <c r="E367" s="2">
        <v>1.0523320971728701E-13</v>
      </c>
      <c r="F367" s="2">
        <v>1.26279851660744E-12</v>
      </c>
      <c r="G367" t="s">
        <v>3864</v>
      </c>
    </row>
    <row r="368" spans="1:7" x14ac:dyDescent="0.25">
      <c r="A368" s="4" t="str">
        <f>HYPERLINK("http://amigo.geneontology.org/cgi-bin/amigo/term-details.cgi?term=GO:0055082","GO:0055082")</f>
        <v>GO:0055082</v>
      </c>
      <c r="B368" t="s">
        <v>960</v>
      </c>
      <c r="C368">
        <v>138</v>
      </c>
      <c r="D368">
        <v>31</v>
      </c>
      <c r="E368" s="2">
        <v>1.08363564489302E-13</v>
      </c>
      <c r="F368" s="2">
        <v>1.3003627738716199E-12</v>
      </c>
      <c r="G368" t="s">
        <v>3863</v>
      </c>
    </row>
    <row r="369" spans="1:7" x14ac:dyDescent="0.25">
      <c r="A369" s="4" t="str">
        <f>HYPERLINK("http://amigo.geneontology.org/cgi-bin/amigo/term-details.cgi?term=GO:0006605","GO:0006605")</f>
        <v>GO:0006605</v>
      </c>
      <c r="B369" t="s">
        <v>640</v>
      </c>
      <c r="C369">
        <v>539</v>
      </c>
      <c r="D369">
        <v>67</v>
      </c>
      <c r="E369" s="2">
        <v>1.1652448753448701E-13</v>
      </c>
      <c r="F369" s="2">
        <v>1.39829385041384E-12</v>
      </c>
      <c r="G369" t="s">
        <v>3862</v>
      </c>
    </row>
    <row r="370" spans="1:7" x14ac:dyDescent="0.25">
      <c r="A370" s="4" t="str">
        <f>HYPERLINK("http://amigo.geneontology.org/cgi-bin/amigo/term-details.cgi?term=GO:1902494","GO:1902494")</f>
        <v>GO:1902494</v>
      </c>
      <c r="B370" t="s">
        <v>879</v>
      </c>
      <c r="C370">
        <v>1112</v>
      </c>
      <c r="D370">
        <v>108</v>
      </c>
      <c r="E370" s="2">
        <v>1.3942130801074299E-13</v>
      </c>
      <c r="F370" s="2">
        <v>1.6730556961289099E-12</v>
      </c>
      <c r="G370" t="s">
        <v>3861</v>
      </c>
    </row>
    <row r="371" spans="1:7" x14ac:dyDescent="0.25">
      <c r="A371" s="4" t="str">
        <f>HYPERLINK("http://amigo.geneontology.org/cgi-bin/amigo/term-details.cgi?term=GO:2000026","GO:2000026")</f>
        <v>GO:2000026</v>
      </c>
      <c r="B371" t="s">
        <v>3860</v>
      </c>
      <c r="C371">
        <v>279</v>
      </c>
      <c r="D371">
        <v>45</v>
      </c>
      <c r="E371" s="2">
        <v>1.5148461320948099E-13</v>
      </c>
      <c r="F371" s="2">
        <v>1.8178153585137699E-12</v>
      </c>
      <c r="G371" t="s">
        <v>3859</v>
      </c>
    </row>
    <row r="372" spans="1:7" x14ac:dyDescent="0.25">
      <c r="A372" s="4" t="str">
        <f>HYPERLINK("http://amigo.geneontology.org/cgi-bin/amigo/term-details.cgi?term=GO:0030261","GO:0030261")</f>
        <v>GO:0030261</v>
      </c>
      <c r="B372" t="s">
        <v>1334</v>
      </c>
      <c r="C372">
        <v>24</v>
      </c>
      <c r="D372">
        <v>14</v>
      </c>
      <c r="E372" s="2">
        <v>1.85811300441022E-13</v>
      </c>
      <c r="F372" s="2">
        <v>2.22973560529226E-12</v>
      </c>
      <c r="G372" t="s">
        <v>3858</v>
      </c>
    </row>
    <row r="373" spans="1:7" x14ac:dyDescent="0.25">
      <c r="A373" s="4" t="str">
        <f>HYPERLINK("http://amigo.geneontology.org/cgi-bin/amigo/term-details.cgi?term=GO:1901137","GO:1901137")</f>
        <v>GO:1901137</v>
      </c>
      <c r="B373" t="s">
        <v>491</v>
      </c>
      <c r="C373">
        <v>1018</v>
      </c>
      <c r="D373">
        <v>101</v>
      </c>
      <c r="E373" s="2">
        <v>2.3642577332783699E-13</v>
      </c>
      <c r="F373" s="2">
        <v>2.8371092799340502E-12</v>
      </c>
      <c r="G373" t="s">
        <v>3857</v>
      </c>
    </row>
    <row r="374" spans="1:7" x14ac:dyDescent="0.25">
      <c r="A374" s="4" t="str">
        <f>HYPERLINK("http://amigo.geneontology.org/cgi-bin/amigo/term-details.cgi?term=GO:0010155","GO:0010155")</f>
        <v>GO:0010155</v>
      </c>
      <c r="B374" t="s">
        <v>3856</v>
      </c>
      <c r="C374">
        <v>63</v>
      </c>
      <c r="D374">
        <v>21</v>
      </c>
      <c r="E374" s="2">
        <v>2.3890486838246999E-13</v>
      </c>
      <c r="F374" s="2">
        <v>2.8668584205896398E-12</v>
      </c>
      <c r="G374" t="s">
        <v>3855</v>
      </c>
    </row>
    <row r="375" spans="1:7" x14ac:dyDescent="0.25">
      <c r="A375" s="4" t="str">
        <f>HYPERLINK("http://amigo.geneontology.org/cgi-bin/amigo/term-details.cgi?term=GO:0005794","GO:0005794")</f>
        <v>GO:0005794</v>
      </c>
      <c r="B375" t="s">
        <v>537</v>
      </c>
      <c r="C375">
        <v>626</v>
      </c>
      <c r="D375">
        <v>73</v>
      </c>
      <c r="E375" s="2">
        <v>2.4066480769999102E-13</v>
      </c>
      <c r="F375" s="2">
        <v>2.8879776923998999E-12</v>
      </c>
      <c r="G375" t="s">
        <v>3854</v>
      </c>
    </row>
    <row r="376" spans="1:7" x14ac:dyDescent="0.25">
      <c r="A376" s="4" t="str">
        <f>HYPERLINK("http://amigo.geneontology.org/cgi-bin/amigo/term-details.cgi?term=GO:0006873","GO:0006873")</f>
        <v>GO:0006873</v>
      </c>
      <c r="B376" t="s">
        <v>1013</v>
      </c>
      <c r="C376">
        <v>108</v>
      </c>
      <c r="D376">
        <v>27</v>
      </c>
      <c r="E376" s="2">
        <v>2.6250866005861999E-13</v>
      </c>
      <c r="F376" s="2">
        <v>3.15010392070344E-12</v>
      </c>
      <c r="G376" t="s">
        <v>3853</v>
      </c>
    </row>
    <row r="377" spans="1:7" x14ac:dyDescent="0.25">
      <c r="A377" s="4" t="str">
        <f>HYPERLINK("http://amigo.geneontology.org/cgi-bin/amigo/term-details.cgi?term=GO:0090567","GO:0090567")</f>
        <v>GO:0090567</v>
      </c>
      <c r="B377" t="s">
        <v>3852</v>
      </c>
      <c r="C377">
        <v>400</v>
      </c>
      <c r="D377">
        <v>55</v>
      </c>
      <c r="E377" s="2">
        <v>3.06218375465942E-13</v>
      </c>
      <c r="F377" s="2">
        <v>3.6746205055913098E-12</v>
      </c>
      <c r="G377" t="s">
        <v>3851</v>
      </c>
    </row>
    <row r="378" spans="1:7" x14ac:dyDescent="0.25">
      <c r="A378" s="4" t="str">
        <f>HYPERLINK("http://amigo.geneontology.org/cgi-bin/amigo/term-details.cgi?term=GO:0009639","GO:0009639")</f>
        <v>GO:0009639</v>
      </c>
      <c r="B378" t="s">
        <v>3850</v>
      </c>
      <c r="C378">
        <v>191</v>
      </c>
      <c r="D378">
        <v>36</v>
      </c>
      <c r="E378" s="2">
        <v>3.4561307799479901E-13</v>
      </c>
      <c r="F378" s="2">
        <v>4.1473569359375904E-12</v>
      </c>
      <c r="G378" t="s">
        <v>3849</v>
      </c>
    </row>
    <row r="379" spans="1:7" x14ac:dyDescent="0.25">
      <c r="A379" s="4" t="str">
        <f>HYPERLINK("http://amigo.geneontology.org/cgi-bin/amigo/term-details.cgi?term=GO:0007076","GO:0007076")</f>
        <v>GO:0007076</v>
      </c>
      <c r="B379" t="s">
        <v>1330</v>
      </c>
      <c r="C379">
        <v>17</v>
      </c>
      <c r="D379">
        <v>12</v>
      </c>
      <c r="E379" s="2">
        <v>3.5865239029358099E-13</v>
      </c>
      <c r="F379" s="2">
        <v>4.30382868352297E-12</v>
      </c>
      <c r="G379" t="s">
        <v>3587</v>
      </c>
    </row>
    <row r="380" spans="1:7" x14ac:dyDescent="0.25">
      <c r="A380" s="4" t="str">
        <f>HYPERLINK("http://amigo.geneontology.org/cgi-bin/amigo/term-details.cgi?term=GO:0048285","GO:0048285")</f>
        <v>GO:0048285</v>
      </c>
      <c r="B380" t="s">
        <v>502</v>
      </c>
      <c r="C380">
        <v>254</v>
      </c>
      <c r="D380">
        <v>42</v>
      </c>
      <c r="E380" s="2">
        <v>4.0896294054053401E-13</v>
      </c>
      <c r="F380" s="2">
        <v>4.90755528648641E-12</v>
      </c>
      <c r="G380" t="s">
        <v>3848</v>
      </c>
    </row>
    <row r="381" spans="1:7" x14ac:dyDescent="0.25">
      <c r="A381" s="4" t="str">
        <f>HYPERLINK("http://amigo.geneontology.org/cgi-bin/amigo/term-details.cgi?term=GO:0031109","GO:0031109")</f>
        <v>GO:0031109</v>
      </c>
      <c r="B381" t="s">
        <v>420</v>
      </c>
      <c r="C381">
        <v>52</v>
      </c>
      <c r="D381">
        <v>19</v>
      </c>
      <c r="E381" s="2">
        <v>4.8726993884048099E-13</v>
      </c>
      <c r="F381" s="2">
        <v>5.8472392660857698E-12</v>
      </c>
      <c r="G381" t="s">
        <v>3847</v>
      </c>
    </row>
    <row r="382" spans="1:7" x14ac:dyDescent="0.25">
      <c r="A382" s="4" t="str">
        <f>HYPERLINK("http://amigo.geneontology.org/cgi-bin/amigo/term-details.cgi?term=GO:0046785","GO:0046785")</f>
        <v>GO:0046785</v>
      </c>
      <c r="B382" t="s">
        <v>419</v>
      </c>
      <c r="C382">
        <v>52</v>
      </c>
      <c r="D382">
        <v>19</v>
      </c>
      <c r="E382" s="2">
        <v>4.8726993884048099E-13</v>
      </c>
      <c r="F382" s="2">
        <v>5.8472392660857698E-12</v>
      </c>
      <c r="G382" t="s">
        <v>3847</v>
      </c>
    </row>
    <row r="383" spans="1:7" x14ac:dyDescent="0.25">
      <c r="A383" s="4" t="str">
        <f>HYPERLINK("http://amigo.geneontology.org/cgi-bin/amigo/term-details.cgi?term=GO:0007020","GO:0007020")</f>
        <v>GO:0007020</v>
      </c>
      <c r="B383" t="s">
        <v>418</v>
      </c>
      <c r="C383">
        <v>52</v>
      </c>
      <c r="D383">
        <v>19</v>
      </c>
      <c r="E383" s="2">
        <v>4.8726993884048099E-13</v>
      </c>
      <c r="F383" s="2">
        <v>5.8472392660857698E-12</v>
      </c>
      <c r="G383" t="s">
        <v>3847</v>
      </c>
    </row>
    <row r="384" spans="1:7" x14ac:dyDescent="0.25">
      <c r="A384" s="4" t="str">
        <f>HYPERLINK("http://amigo.geneontology.org/cgi-bin/amigo/term-details.cgi?term=GO:1901990","GO:1901990")</f>
        <v>GO:1901990</v>
      </c>
      <c r="B384" t="s">
        <v>3846</v>
      </c>
      <c r="C384">
        <v>87</v>
      </c>
      <c r="D384">
        <v>24</v>
      </c>
      <c r="E384" s="2">
        <v>5.2951999091962003E-13</v>
      </c>
      <c r="F384" s="2">
        <v>6.3542398910354496E-12</v>
      </c>
      <c r="G384" t="s">
        <v>3844</v>
      </c>
    </row>
    <row r="385" spans="1:7" x14ac:dyDescent="0.25">
      <c r="A385" s="4" t="str">
        <f>HYPERLINK("http://amigo.geneontology.org/cgi-bin/amigo/term-details.cgi?term=GO:1901987","GO:1901987")</f>
        <v>GO:1901987</v>
      </c>
      <c r="B385" t="s">
        <v>3845</v>
      </c>
      <c r="C385">
        <v>88</v>
      </c>
      <c r="D385">
        <v>24</v>
      </c>
      <c r="E385" s="2">
        <v>6.9682929250566597E-13</v>
      </c>
      <c r="F385" s="2">
        <v>8.3619515100679896E-12</v>
      </c>
      <c r="G385" t="s">
        <v>3844</v>
      </c>
    </row>
    <row r="386" spans="1:7" x14ac:dyDescent="0.25">
      <c r="A386" s="4" t="str">
        <f>HYPERLINK("http://amigo.geneontology.org/cgi-bin/amigo/term-details.cgi?term=GO:0030243","GO:0030243")</f>
        <v>GO:0030243</v>
      </c>
      <c r="B386" t="s">
        <v>662</v>
      </c>
      <c r="C386">
        <v>207</v>
      </c>
      <c r="D386">
        <v>37</v>
      </c>
      <c r="E386" s="2">
        <v>8.85468959692925E-13</v>
      </c>
      <c r="F386" s="2">
        <v>1.06256275163151E-11</v>
      </c>
      <c r="G386" t="s">
        <v>3843</v>
      </c>
    </row>
    <row r="387" spans="1:7" x14ac:dyDescent="0.25">
      <c r="A387" s="4" t="str">
        <f>HYPERLINK("http://amigo.geneontology.org/cgi-bin/amigo/term-details.cgi?term=GO:0051234","GO:0051234")</f>
        <v>GO:0051234</v>
      </c>
      <c r="B387" t="s">
        <v>822</v>
      </c>
      <c r="C387">
        <v>6517</v>
      </c>
      <c r="D387">
        <v>414</v>
      </c>
      <c r="E387" s="2">
        <v>9.33071162631235E-13</v>
      </c>
      <c r="F387" s="2">
        <v>1.02637827889435E-11</v>
      </c>
      <c r="G387" t="s">
        <v>3842</v>
      </c>
    </row>
    <row r="388" spans="1:7" x14ac:dyDescent="0.25">
      <c r="A388" s="4" t="str">
        <f>HYPERLINK("http://amigo.geneontology.org/cgi-bin/amigo/term-details.cgi?term=GO:0000281","GO:0000281")</f>
        <v>GO:0000281</v>
      </c>
      <c r="B388" t="s">
        <v>3841</v>
      </c>
      <c r="C388">
        <v>122</v>
      </c>
      <c r="D388">
        <v>28</v>
      </c>
      <c r="E388" s="2">
        <v>9.3863606999927E-13</v>
      </c>
      <c r="F388" s="2">
        <v>1.0324996769991901E-11</v>
      </c>
      <c r="G388" t="s">
        <v>3839</v>
      </c>
    </row>
    <row r="389" spans="1:7" x14ac:dyDescent="0.25">
      <c r="A389" s="4" t="str">
        <f>HYPERLINK("http://amigo.geneontology.org/cgi-bin/amigo/term-details.cgi?term=GO:0061640","GO:0061640")</f>
        <v>GO:0061640</v>
      </c>
      <c r="B389" t="s">
        <v>3840</v>
      </c>
      <c r="C389">
        <v>123</v>
      </c>
      <c r="D389">
        <v>28</v>
      </c>
      <c r="E389" s="2">
        <v>1.16288676426482E-12</v>
      </c>
      <c r="F389" s="2">
        <v>1.2791754406913E-11</v>
      </c>
      <c r="G389" t="s">
        <v>3839</v>
      </c>
    </row>
    <row r="390" spans="1:7" x14ac:dyDescent="0.25">
      <c r="A390" s="4" t="str">
        <f>HYPERLINK("http://amigo.geneontology.org/cgi-bin/amigo/term-details.cgi?term=GO:0005996","GO:0005996")</f>
        <v>GO:0005996</v>
      </c>
      <c r="B390" t="s">
        <v>660</v>
      </c>
      <c r="C390">
        <v>331</v>
      </c>
      <c r="D390">
        <v>48</v>
      </c>
      <c r="E390" s="2">
        <v>1.36362703970272E-12</v>
      </c>
      <c r="F390" s="2">
        <v>1.4999897436730001E-11</v>
      </c>
      <c r="G390" t="s">
        <v>3838</v>
      </c>
    </row>
    <row r="391" spans="1:7" x14ac:dyDescent="0.25">
      <c r="A391" s="4" t="str">
        <f>HYPERLINK("http://amigo.geneontology.org/cgi-bin/amigo/term-details.cgi?term=GO:0009965","GO:0009965")</f>
        <v>GO:0009965</v>
      </c>
      <c r="B391" t="s">
        <v>3837</v>
      </c>
      <c r="C391">
        <v>134</v>
      </c>
      <c r="D391">
        <v>29</v>
      </c>
      <c r="E391" s="2">
        <v>1.8053378170235E-12</v>
      </c>
      <c r="F391" s="2">
        <v>1.98587159872586E-11</v>
      </c>
      <c r="G391" t="s">
        <v>3836</v>
      </c>
    </row>
    <row r="392" spans="1:7" x14ac:dyDescent="0.25">
      <c r="A392" s="4" t="str">
        <f>HYPERLINK("http://amigo.geneontology.org/cgi-bin/amigo/term-details.cgi?term=GO:0001882","GO:0001882")</f>
        <v>GO:0001882</v>
      </c>
      <c r="B392" t="s">
        <v>882</v>
      </c>
      <c r="C392">
        <v>708</v>
      </c>
      <c r="D392">
        <v>77</v>
      </c>
      <c r="E392" s="2">
        <v>1.8992979058209598E-12</v>
      </c>
      <c r="F392" s="2">
        <v>2.0892276964030601E-11</v>
      </c>
      <c r="G392" t="s">
        <v>3835</v>
      </c>
    </row>
    <row r="393" spans="1:7" x14ac:dyDescent="0.25">
      <c r="A393" s="4" t="str">
        <f>HYPERLINK("http://amigo.geneontology.org/cgi-bin/amigo/term-details.cgi?term=GO:0016052","GO:0016052")</f>
        <v>GO:0016052</v>
      </c>
      <c r="B393" t="s">
        <v>732</v>
      </c>
      <c r="C393">
        <v>452</v>
      </c>
      <c r="D393">
        <v>57</v>
      </c>
      <c r="E393" s="2">
        <v>4.2372096962412999E-12</v>
      </c>
      <c r="F393" s="2">
        <v>4.66093066586543E-11</v>
      </c>
      <c r="G393" t="s">
        <v>3834</v>
      </c>
    </row>
    <row r="394" spans="1:7" x14ac:dyDescent="0.25">
      <c r="A394" s="4" t="str">
        <f>HYPERLINK("http://amigo.geneontology.org/cgi-bin/amigo/term-details.cgi?term=GO:0032506","GO:0032506")</f>
        <v>GO:0032506</v>
      </c>
      <c r="B394" t="s">
        <v>3833</v>
      </c>
      <c r="C394">
        <v>121</v>
      </c>
      <c r="D394">
        <v>27</v>
      </c>
      <c r="E394" s="2">
        <v>4.82479637388062E-12</v>
      </c>
      <c r="F394" s="2">
        <v>5.3072760112686803E-11</v>
      </c>
      <c r="G394" t="s">
        <v>3831</v>
      </c>
    </row>
    <row r="395" spans="1:7" x14ac:dyDescent="0.25">
      <c r="A395" s="4" t="str">
        <f>HYPERLINK("http://amigo.geneontology.org/cgi-bin/amigo/term-details.cgi?term=GO:1902410","GO:1902410")</f>
        <v>GO:1902410</v>
      </c>
      <c r="B395" t="s">
        <v>3832</v>
      </c>
      <c r="C395">
        <v>121</v>
      </c>
      <c r="D395">
        <v>27</v>
      </c>
      <c r="E395" s="2">
        <v>4.82479637388062E-12</v>
      </c>
      <c r="F395" s="2">
        <v>5.3072760112686803E-11</v>
      </c>
      <c r="G395" t="s">
        <v>3831</v>
      </c>
    </row>
    <row r="396" spans="1:7" x14ac:dyDescent="0.25">
      <c r="A396" s="4" t="str">
        <f>HYPERLINK("http://amigo.geneontology.org/cgi-bin/amigo/term-details.cgi?term=GO:0019725","GO:0019725")</f>
        <v>GO:0019725</v>
      </c>
      <c r="B396" t="s">
        <v>129</v>
      </c>
      <c r="C396">
        <v>572</v>
      </c>
      <c r="D396">
        <v>66</v>
      </c>
      <c r="E396" s="2">
        <v>5.2817868843722101E-12</v>
      </c>
      <c r="F396" s="2">
        <v>5.8099655728094301E-11</v>
      </c>
      <c r="G396" t="s">
        <v>3830</v>
      </c>
    </row>
    <row r="397" spans="1:7" x14ac:dyDescent="0.25">
      <c r="A397" s="4" t="str">
        <f>HYPERLINK("http://amigo.geneontology.org/cgi-bin/amigo/term-details.cgi?term=GO:0044431","GO:0044431")</f>
        <v>GO:0044431</v>
      </c>
      <c r="B397" t="s">
        <v>552</v>
      </c>
      <c r="C397">
        <v>345</v>
      </c>
      <c r="D397">
        <v>48</v>
      </c>
      <c r="E397" s="2">
        <v>6.2220471171217401E-12</v>
      </c>
      <c r="F397" s="2">
        <v>6.84425182883391E-11</v>
      </c>
      <c r="G397" t="s">
        <v>3829</v>
      </c>
    </row>
    <row r="398" spans="1:7" x14ac:dyDescent="0.25">
      <c r="A398" s="4" t="str">
        <f>HYPERLINK("http://amigo.geneontology.org/cgi-bin/amigo/term-details.cgi?term=GO:0000911","GO:0000911")</f>
        <v>GO:0000911</v>
      </c>
      <c r="B398" t="s">
        <v>3828</v>
      </c>
      <c r="C398">
        <v>114</v>
      </c>
      <c r="D398">
        <v>26</v>
      </c>
      <c r="E398" s="2">
        <v>6.99809407227834E-12</v>
      </c>
      <c r="F398" s="2">
        <v>7.6979034795061706E-11</v>
      </c>
      <c r="G398" t="s">
        <v>3827</v>
      </c>
    </row>
    <row r="399" spans="1:7" x14ac:dyDescent="0.25">
      <c r="A399" s="4" t="str">
        <f>HYPERLINK("http://amigo.geneontology.org/cgi-bin/amigo/term-details.cgi?term=GO:0051002","GO:0051002")</f>
        <v>GO:0051002</v>
      </c>
      <c r="B399" t="s">
        <v>889</v>
      </c>
      <c r="C399">
        <v>10</v>
      </c>
      <c r="D399">
        <v>9</v>
      </c>
      <c r="E399" s="2">
        <v>7.5009595040581995E-12</v>
      </c>
      <c r="F399" s="2">
        <v>8.2510554544640199E-11</v>
      </c>
      <c r="G399" t="s">
        <v>784</v>
      </c>
    </row>
    <row r="400" spans="1:7" x14ac:dyDescent="0.25">
      <c r="A400" s="4" t="str">
        <f>HYPERLINK("http://amigo.geneontology.org/cgi-bin/amigo/term-details.cgi?term=GO:0051003","GO:0051003")</f>
        <v>GO:0051003</v>
      </c>
      <c r="B400" t="s">
        <v>786</v>
      </c>
      <c r="C400">
        <v>10</v>
      </c>
      <c r="D400">
        <v>9</v>
      </c>
      <c r="E400" s="2">
        <v>7.5009595040581995E-12</v>
      </c>
      <c r="F400" s="2">
        <v>8.2510554544640199E-11</v>
      </c>
      <c r="G400" t="s">
        <v>784</v>
      </c>
    </row>
    <row r="401" spans="1:7" x14ac:dyDescent="0.25">
      <c r="A401" s="4" t="str">
        <f>HYPERLINK("http://amigo.geneontology.org/cgi-bin/amigo/term-details.cgi?term=GO:0016851","GO:0016851")</f>
        <v>GO:0016851</v>
      </c>
      <c r="B401" t="s">
        <v>785</v>
      </c>
      <c r="C401">
        <v>10</v>
      </c>
      <c r="D401">
        <v>9</v>
      </c>
      <c r="E401" s="2">
        <v>7.5009595040581995E-12</v>
      </c>
      <c r="F401" s="2">
        <v>8.2510554544640199E-11</v>
      </c>
      <c r="G401" t="s">
        <v>784</v>
      </c>
    </row>
    <row r="402" spans="1:7" x14ac:dyDescent="0.25">
      <c r="A402" s="4" t="str">
        <f>HYPERLINK("http://amigo.geneontology.org/cgi-bin/amigo/term-details.cgi?term=GO:0048878","GO:0048878")</f>
        <v>GO:0048878</v>
      </c>
      <c r="B402" t="s">
        <v>79</v>
      </c>
      <c r="C402">
        <v>201</v>
      </c>
      <c r="D402">
        <v>35</v>
      </c>
      <c r="E402" s="2">
        <v>7.8212826609046904E-12</v>
      </c>
      <c r="F402" s="2">
        <v>8.6034109269951594E-11</v>
      </c>
      <c r="G402" t="s">
        <v>3826</v>
      </c>
    </row>
    <row r="403" spans="1:7" x14ac:dyDescent="0.25">
      <c r="A403" s="4" t="str">
        <f>HYPERLINK("http://amigo.geneontology.org/cgi-bin/amigo/term-details.cgi?term=GO:0046471","GO:0046471")</f>
        <v>GO:0046471</v>
      </c>
      <c r="B403" t="s">
        <v>3825</v>
      </c>
      <c r="C403">
        <v>74</v>
      </c>
      <c r="D403">
        <v>21</v>
      </c>
      <c r="E403" s="2">
        <v>8.1034108136948403E-12</v>
      </c>
      <c r="F403" s="2">
        <v>8.9137518950643294E-11</v>
      </c>
      <c r="G403" t="s">
        <v>3823</v>
      </c>
    </row>
    <row r="404" spans="1:7" x14ac:dyDescent="0.25">
      <c r="A404" s="4" t="str">
        <f>HYPERLINK("http://amigo.geneontology.org/cgi-bin/amigo/term-details.cgi?term=GO:0006655","GO:0006655")</f>
        <v>GO:0006655</v>
      </c>
      <c r="B404" t="s">
        <v>3824</v>
      </c>
      <c r="C404">
        <v>74</v>
      </c>
      <c r="D404">
        <v>21</v>
      </c>
      <c r="E404" s="2">
        <v>8.1034108136948403E-12</v>
      </c>
      <c r="F404" s="2">
        <v>8.9137518950643294E-11</v>
      </c>
      <c r="G404" t="s">
        <v>3823</v>
      </c>
    </row>
    <row r="405" spans="1:7" x14ac:dyDescent="0.25">
      <c r="A405" s="4" t="str">
        <f>HYPERLINK("http://amigo.geneontology.org/cgi-bin/amigo/term-details.cgi?term=GO:0010564","GO:0010564")</f>
        <v>GO:0010564</v>
      </c>
      <c r="B405" t="s">
        <v>3822</v>
      </c>
      <c r="C405">
        <v>161</v>
      </c>
      <c r="D405">
        <v>31</v>
      </c>
      <c r="E405" s="2">
        <v>8.1623454184355706E-12</v>
      </c>
      <c r="F405" s="2">
        <v>8.9785799602791295E-11</v>
      </c>
      <c r="G405" t="s">
        <v>3821</v>
      </c>
    </row>
    <row r="406" spans="1:7" x14ac:dyDescent="0.25">
      <c r="A406" s="4" t="str">
        <f>HYPERLINK("http://amigo.geneontology.org/cgi-bin/amigo/term-details.cgi?term=GO:0032508","GO:0032508")</f>
        <v>GO:0032508</v>
      </c>
      <c r="B406" t="s">
        <v>3820</v>
      </c>
      <c r="C406">
        <v>60</v>
      </c>
      <c r="D406">
        <v>19</v>
      </c>
      <c r="E406" s="2">
        <v>9.2138716398020298E-12</v>
      </c>
      <c r="F406" s="2">
        <v>1.0135258803782201E-10</v>
      </c>
      <c r="G406" t="s">
        <v>3813</v>
      </c>
    </row>
    <row r="407" spans="1:7" x14ac:dyDescent="0.25">
      <c r="A407" s="4" t="str">
        <f>HYPERLINK("http://amigo.geneontology.org/cgi-bin/amigo/term-details.cgi?term=GO:0071669","GO:0071669")</f>
        <v>GO:0071669</v>
      </c>
      <c r="B407" t="s">
        <v>1327</v>
      </c>
      <c r="C407">
        <v>290</v>
      </c>
      <c r="D407">
        <v>43</v>
      </c>
      <c r="E407" s="2">
        <v>9.2667841110512402E-12</v>
      </c>
      <c r="F407" s="2">
        <v>1.0193462522156299E-10</v>
      </c>
      <c r="G407" t="s">
        <v>3819</v>
      </c>
    </row>
    <row r="408" spans="1:7" x14ac:dyDescent="0.25">
      <c r="A408" s="4" t="str">
        <f>HYPERLINK("http://amigo.geneontology.org/cgi-bin/amigo/term-details.cgi?term=GO:0005829","GO:0005829")</f>
        <v>GO:0005829</v>
      </c>
      <c r="B408" t="s">
        <v>3818</v>
      </c>
      <c r="C408">
        <v>1054</v>
      </c>
      <c r="D408">
        <v>99</v>
      </c>
      <c r="E408" s="2">
        <v>9.8327261354504004E-12</v>
      </c>
      <c r="F408" s="2">
        <v>1.08159987489954E-10</v>
      </c>
      <c r="G408" t="s">
        <v>3817</v>
      </c>
    </row>
    <row r="409" spans="1:7" x14ac:dyDescent="0.25">
      <c r="A409" s="4" t="str">
        <f>HYPERLINK("http://amigo.geneontology.org/cgi-bin/amigo/term-details.cgi?term=GO:0042592","GO:0042592")</f>
        <v>GO:0042592</v>
      </c>
      <c r="B409" t="s">
        <v>843</v>
      </c>
      <c r="C409">
        <v>704</v>
      </c>
      <c r="D409">
        <v>75</v>
      </c>
      <c r="E409" s="2">
        <v>9.8865265494719105E-12</v>
      </c>
      <c r="F409" s="2">
        <v>1.08751792044191E-10</v>
      </c>
      <c r="G409" t="s">
        <v>3816</v>
      </c>
    </row>
    <row r="410" spans="1:7" x14ac:dyDescent="0.25">
      <c r="A410" s="4" t="str">
        <f>HYPERLINK("http://amigo.geneontology.org/cgi-bin/amigo/term-details.cgi?term=GO:0001883","GO:0001883")</f>
        <v>GO:0001883</v>
      </c>
      <c r="B410" t="s">
        <v>283</v>
      </c>
      <c r="C410">
        <v>679</v>
      </c>
      <c r="D410">
        <v>73</v>
      </c>
      <c r="E410" s="2">
        <v>1.2109006726816999E-11</v>
      </c>
      <c r="F410" s="2">
        <v>1.3319907399498701E-10</v>
      </c>
      <c r="G410" t="s">
        <v>3811</v>
      </c>
    </row>
    <row r="411" spans="1:7" x14ac:dyDescent="0.25">
      <c r="A411" s="4" t="str">
        <f>HYPERLINK("http://amigo.geneontology.org/cgi-bin/amigo/term-details.cgi?term=GO:0032550","GO:0032550")</f>
        <v>GO:0032550</v>
      </c>
      <c r="B411" t="s">
        <v>281</v>
      </c>
      <c r="C411">
        <v>679</v>
      </c>
      <c r="D411">
        <v>73</v>
      </c>
      <c r="E411" s="2">
        <v>1.2109006726816999E-11</v>
      </c>
      <c r="F411" s="2">
        <v>1.3319907399498701E-10</v>
      </c>
      <c r="G411" t="s">
        <v>3811</v>
      </c>
    </row>
    <row r="412" spans="1:7" x14ac:dyDescent="0.25">
      <c r="A412" s="4" t="str">
        <f>HYPERLINK("http://amigo.geneontology.org/cgi-bin/amigo/term-details.cgi?term=GO:0032561","GO:0032561")</f>
        <v>GO:0032561</v>
      </c>
      <c r="B412" t="s">
        <v>764</v>
      </c>
      <c r="C412">
        <v>679</v>
      </c>
      <c r="D412">
        <v>73</v>
      </c>
      <c r="E412" s="2">
        <v>1.2109006726816999E-11</v>
      </c>
      <c r="F412" s="2">
        <v>1.3319907399498701E-10</v>
      </c>
      <c r="G412" t="s">
        <v>3811</v>
      </c>
    </row>
    <row r="413" spans="1:7" x14ac:dyDescent="0.25">
      <c r="A413" s="4" t="str">
        <f>HYPERLINK("http://amigo.geneontology.org/cgi-bin/amigo/term-details.cgi?term=GO:0005525","GO:0005525")</f>
        <v>GO:0005525</v>
      </c>
      <c r="B413" t="s">
        <v>763</v>
      </c>
      <c r="C413">
        <v>679</v>
      </c>
      <c r="D413">
        <v>73</v>
      </c>
      <c r="E413" s="2">
        <v>1.2109006726816999E-11</v>
      </c>
      <c r="F413" s="2">
        <v>1.3319907399498701E-10</v>
      </c>
      <c r="G413" t="s">
        <v>3811</v>
      </c>
    </row>
    <row r="414" spans="1:7" x14ac:dyDescent="0.25">
      <c r="A414" s="4" t="str">
        <f>HYPERLINK("http://amigo.geneontology.org/cgi-bin/amigo/term-details.cgi?term=GO:0055080","GO:0055080")</f>
        <v>GO:0055080</v>
      </c>
      <c r="B414" t="s">
        <v>116</v>
      </c>
      <c r="C414">
        <v>135</v>
      </c>
      <c r="D414">
        <v>28</v>
      </c>
      <c r="E414" s="2">
        <v>1.27862365019678E-11</v>
      </c>
      <c r="F414" s="2">
        <v>1.4064860152164601E-10</v>
      </c>
      <c r="G414" t="s">
        <v>3815</v>
      </c>
    </row>
    <row r="415" spans="1:7" x14ac:dyDescent="0.25">
      <c r="A415" s="4" t="str">
        <f>HYPERLINK("http://amigo.geneontology.org/cgi-bin/amigo/term-details.cgi?term=GO:0032392","GO:0032392")</f>
        <v>GO:0032392</v>
      </c>
      <c r="B415" t="s">
        <v>3814</v>
      </c>
      <c r="C415">
        <v>61</v>
      </c>
      <c r="D415">
        <v>19</v>
      </c>
      <c r="E415" s="2">
        <v>1.2812802483066401E-11</v>
      </c>
      <c r="F415" s="2">
        <v>1.4094082731373001E-10</v>
      </c>
      <c r="G415" t="s">
        <v>3813</v>
      </c>
    </row>
    <row r="416" spans="1:7" x14ac:dyDescent="0.25">
      <c r="A416" s="4" t="str">
        <f>HYPERLINK("http://amigo.geneontology.org/cgi-bin/amigo/term-details.cgi?term=GO:0042446","GO:0042446")</f>
        <v>GO:0042446</v>
      </c>
      <c r="B416" t="s">
        <v>1958</v>
      </c>
      <c r="C416">
        <v>259</v>
      </c>
      <c r="D416">
        <v>40</v>
      </c>
      <c r="E416" s="2">
        <v>1.33183683122787E-11</v>
      </c>
      <c r="F416" s="2">
        <v>1.46502051435066E-10</v>
      </c>
      <c r="G416" t="s">
        <v>3812</v>
      </c>
    </row>
    <row r="417" spans="1:7" x14ac:dyDescent="0.25">
      <c r="A417" s="4" t="str">
        <f>HYPERLINK("http://amigo.geneontology.org/cgi-bin/amigo/term-details.cgi?term=GO:0019001","GO:0019001")</f>
        <v>GO:0019001</v>
      </c>
      <c r="B417" t="s">
        <v>77</v>
      </c>
      <c r="C417">
        <v>681</v>
      </c>
      <c r="D417">
        <v>73</v>
      </c>
      <c r="E417" s="2">
        <v>1.38950724462722E-11</v>
      </c>
      <c r="F417" s="2">
        <v>1.52845796908995E-10</v>
      </c>
      <c r="G417" t="s">
        <v>3811</v>
      </c>
    </row>
    <row r="418" spans="1:7" x14ac:dyDescent="0.25">
      <c r="A418" s="4" t="str">
        <f>HYPERLINK("http://amigo.geneontology.org/cgi-bin/amigo/term-details.cgi?term=GO:0019216","GO:0019216")</f>
        <v>GO:0019216</v>
      </c>
      <c r="B418" t="s">
        <v>3810</v>
      </c>
      <c r="C418">
        <v>36</v>
      </c>
      <c r="D418">
        <v>15</v>
      </c>
      <c r="E418" s="2">
        <v>1.47738078582173E-11</v>
      </c>
      <c r="F418" s="2">
        <v>1.6251188644039001E-10</v>
      </c>
      <c r="G418" t="s">
        <v>3809</v>
      </c>
    </row>
    <row r="419" spans="1:7" x14ac:dyDescent="0.25">
      <c r="A419" s="4" t="str">
        <f>HYPERLINK("http://amigo.geneontology.org/cgi-bin/amigo/term-details.cgi?term=GO:0051716","GO:0051716")</f>
        <v>GO:0051716</v>
      </c>
      <c r="B419" t="s">
        <v>840</v>
      </c>
      <c r="C419">
        <v>2514</v>
      </c>
      <c r="D419">
        <v>188</v>
      </c>
      <c r="E419" s="2">
        <v>1.49000995442331E-11</v>
      </c>
      <c r="F419" s="2">
        <v>1.6390109498656399E-10</v>
      </c>
      <c r="G419" t="s">
        <v>3808</v>
      </c>
    </row>
    <row r="420" spans="1:7" x14ac:dyDescent="0.25">
      <c r="A420" s="4" t="str">
        <f>HYPERLINK("http://amigo.geneontology.org/cgi-bin/amigo/term-details.cgi?term=GO:0030244","GO:0030244")</f>
        <v>GO:0030244</v>
      </c>
      <c r="B420" t="s">
        <v>524</v>
      </c>
      <c r="C420">
        <v>175</v>
      </c>
      <c r="D420">
        <v>32</v>
      </c>
      <c r="E420" s="2">
        <v>1.59141195495621E-11</v>
      </c>
      <c r="F420" s="2">
        <v>1.7505531504518299E-10</v>
      </c>
      <c r="G420" t="s">
        <v>3807</v>
      </c>
    </row>
    <row r="421" spans="1:7" x14ac:dyDescent="0.25">
      <c r="A421" s="4" t="str">
        <f>HYPERLINK("http://amigo.geneontology.org/cgi-bin/amigo/term-details.cgi?term=GO:0006281","GO:0006281")</f>
        <v>GO:0006281</v>
      </c>
      <c r="B421" t="s">
        <v>558</v>
      </c>
      <c r="C421">
        <v>615</v>
      </c>
      <c r="D421">
        <v>68</v>
      </c>
      <c r="E421" s="2">
        <v>1.74319028921216E-11</v>
      </c>
      <c r="F421" s="2">
        <v>1.7431902892121601E-10</v>
      </c>
      <c r="G421" t="s">
        <v>3767</v>
      </c>
    </row>
    <row r="422" spans="1:7" x14ac:dyDescent="0.25">
      <c r="A422" s="4" t="str">
        <f>HYPERLINK("http://amigo.geneontology.org/cgi-bin/amigo/term-details.cgi?term=GO:0010319","GO:0010319")</f>
        <v>GO:0010319</v>
      </c>
      <c r="B422" t="s">
        <v>3806</v>
      </c>
      <c r="C422">
        <v>26</v>
      </c>
      <c r="D422">
        <v>13</v>
      </c>
      <c r="E422" s="2">
        <v>1.92877278726173E-11</v>
      </c>
      <c r="F422" s="2">
        <v>1.92877278726173E-10</v>
      </c>
      <c r="G422" t="s">
        <v>3805</v>
      </c>
    </row>
    <row r="423" spans="1:7" x14ac:dyDescent="0.25">
      <c r="A423" s="4" t="str">
        <f>HYPERLINK("http://amigo.geneontology.org/cgi-bin/amigo/term-details.cgi?term=GO:0032549","GO:0032549")</f>
        <v>GO:0032549</v>
      </c>
      <c r="B423" t="s">
        <v>282</v>
      </c>
      <c r="C423">
        <v>703</v>
      </c>
      <c r="D423">
        <v>74</v>
      </c>
      <c r="E423" s="2">
        <v>2.37805398532173E-11</v>
      </c>
      <c r="F423" s="2">
        <v>2.3780539853217298E-10</v>
      </c>
      <c r="G423" t="s">
        <v>3804</v>
      </c>
    </row>
    <row r="424" spans="1:7" x14ac:dyDescent="0.25">
      <c r="A424" s="4" t="str">
        <f>HYPERLINK("http://amigo.geneontology.org/cgi-bin/amigo/term-details.cgi?term=GO:0016874","GO:0016874")</f>
        <v>GO:0016874</v>
      </c>
      <c r="B424" t="s">
        <v>893</v>
      </c>
      <c r="C424">
        <v>922</v>
      </c>
      <c r="D424">
        <v>89</v>
      </c>
      <c r="E424" s="2">
        <v>2.6127754918200201E-11</v>
      </c>
      <c r="F424" s="2">
        <v>2.6127754918200202E-10</v>
      </c>
      <c r="G424" t="s">
        <v>3803</v>
      </c>
    </row>
    <row r="425" spans="1:7" x14ac:dyDescent="0.25">
      <c r="A425" s="4" t="str">
        <f>HYPERLINK("http://amigo.geneontology.org/cgi-bin/amigo/term-details.cgi?term=GO:0048366","GO:0048366")</f>
        <v>GO:0048366</v>
      </c>
      <c r="B425" t="s">
        <v>3802</v>
      </c>
      <c r="C425">
        <v>254</v>
      </c>
      <c r="D425">
        <v>39</v>
      </c>
      <c r="E425" s="2">
        <v>2.85415118106683E-11</v>
      </c>
      <c r="F425" s="2">
        <v>2.85415118106683E-10</v>
      </c>
      <c r="G425" t="s">
        <v>3801</v>
      </c>
    </row>
    <row r="426" spans="1:7" x14ac:dyDescent="0.25">
      <c r="A426" s="4" t="str">
        <f>HYPERLINK("http://amigo.geneontology.org/cgi-bin/amigo/term-details.cgi?term=GO:0016556","GO:0016556")</f>
        <v>GO:0016556</v>
      </c>
      <c r="B426" t="s">
        <v>3800</v>
      </c>
      <c r="C426">
        <v>121</v>
      </c>
      <c r="D426">
        <v>26</v>
      </c>
      <c r="E426" s="2">
        <v>2.9398130213695897E-11</v>
      </c>
      <c r="F426" s="2">
        <v>2.9398130213695903E-10</v>
      </c>
      <c r="G426" t="s">
        <v>3799</v>
      </c>
    </row>
    <row r="427" spans="1:7" x14ac:dyDescent="0.25">
      <c r="A427" s="4" t="str">
        <f>HYPERLINK("http://amigo.geneontology.org/cgi-bin/amigo/term-details.cgi?term=GO:0045184","GO:0045184")</f>
        <v>GO:0045184</v>
      </c>
      <c r="B427" t="s">
        <v>762</v>
      </c>
      <c r="C427">
        <v>1499</v>
      </c>
      <c r="D427">
        <v>126</v>
      </c>
      <c r="E427" s="2">
        <v>3.0446070465625998E-11</v>
      </c>
      <c r="F427" s="2">
        <v>3.0446070465626002E-10</v>
      </c>
      <c r="G427" t="s">
        <v>3784</v>
      </c>
    </row>
    <row r="428" spans="1:7" x14ac:dyDescent="0.25">
      <c r="A428" s="4" t="str">
        <f>HYPERLINK("http://amigo.geneontology.org/cgi-bin/amigo/term-details.cgi?term=GO:1901615","GO:1901615")</f>
        <v>GO:1901615</v>
      </c>
      <c r="B428" t="s">
        <v>1426</v>
      </c>
      <c r="C428">
        <v>516</v>
      </c>
      <c r="D428">
        <v>60</v>
      </c>
      <c r="E428" s="2">
        <v>3.4791495624165998E-11</v>
      </c>
      <c r="F428" s="2">
        <v>3.4791495624166002E-10</v>
      </c>
      <c r="G428" t="s">
        <v>3798</v>
      </c>
    </row>
    <row r="429" spans="1:7" x14ac:dyDescent="0.25">
      <c r="A429" s="4" t="str">
        <f>HYPERLINK("http://amigo.geneontology.org/cgi-bin/amigo/term-details.cgi?term=GO:0015031","GO:0015031")</f>
        <v>GO:0015031</v>
      </c>
      <c r="B429" t="s">
        <v>761</v>
      </c>
      <c r="C429">
        <v>1470</v>
      </c>
      <c r="D429">
        <v>124</v>
      </c>
      <c r="E429" s="2">
        <v>3.4830391668578201E-11</v>
      </c>
      <c r="F429" s="2">
        <v>3.4830391668578198E-10</v>
      </c>
      <c r="G429" t="s">
        <v>3797</v>
      </c>
    </row>
    <row r="430" spans="1:7" x14ac:dyDescent="0.25">
      <c r="A430" s="4" t="str">
        <f>HYPERLINK("http://amigo.geneontology.org/cgi-bin/amigo/term-details.cgi?term=GO:0050801","GO:0050801")</f>
        <v>GO:0050801</v>
      </c>
      <c r="B430" t="s">
        <v>117</v>
      </c>
      <c r="C430">
        <v>160</v>
      </c>
      <c r="D430">
        <v>30</v>
      </c>
      <c r="E430" s="2">
        <v>3.5252712629757399E-11</v>
      </c>
      <c r="F430" s="2">
        <v>3.5252712629757402E-10</v>
      </c>
      <c r="G430" t="s">
        <v>3796</v>
      </c>
    </row>
    <row r="431" spans="1:7" x14ac:dyDescent="0.25">
      <c r="A431" s="4" t="str">
        <f>HYPERLINK("http://amigo.geneontology.org/cgi-bin/amigo/term-details.cgi?term=GO:1901617","GO:1901617")</f>
        <v>GO:1901617</v>
      </c>
      <c r="B431" t="s">
        <v>3795</v>
      </c>
      <c r="C431">
        <v>317</v>
      </c>
      <c r="D431">
        <v>44</v>
      </c>
      <c r="E431" s="2">
        <v>4.9784140080680599E-11</v>
      </c>
      <c r="F431" s="2">
        <v>4.9784140080680596E-10</v>
      </c>
      <c r="G431" t="s">
        <v>3794</v>
      </c>
    </row>
    <row r="432" spans="1:7" x14ac:dyDescent="0.25">
      <c r="A432" s="4" t="str">
        <f>HYPERLINK("http://amigo.geneontology.org/cgi-bin/amigo/term-details.cgi?term=GO:0032268","GO:0032268")</f>
        <v>GO:0032268</v>
      </c>
      <c r="B432" t="s">
        <v>3793</v>
      </c>
      <c r="C432">
        <v>416</v>
      </c>
      <c r="D432">
        <v>52</v>
      </c>
      <c r="E432" s="2">
        <v>4.9901725690751301E-11</v>
      </c>
      <c r="F432" s="2">
        <v>4.99017256907513E-10</v>
      </c>
      <c r="G432" t="s">
        <v>3768</v>
      </c>
    </row>
    <row r="433" spans="1:7" x14ac:dyDescent="0.25">
      <c r="A433" s="4" t="str">
        <f>HYPERLINK("http://amigo.geneontology.org/cgi-bin/amigo/term-details.cgi?term=GO:0030154","GO:0030154")</f>
        <v>GO:0030154</v>
      </c>
      <c r="B433" t="s">
        <v>3792</v>
      </c>
      <c r="C433">
        <v>495</v>
      </c>
      <c r="D433">
        <v>58</v>
      </c>
      <c r="E433" s="2">
        <v>5.4109375169299498E-11</v>
      </c>
      <c r="F433" s="2">
        <v>5.41093751692995E-10</v>
      </c>
      <c r="G433" t="s">
        <v>3791</v>
      </c>
    </row>
    <row r="434" spans="1:7" x14ac:dyDescent="0.25">
      <c r="A434" s="4" t="str">
        <f>HYPERLINK("http://amigo.geneontology.org/cgi-bin/amigo/term-details.cgi?term=GO:0046527","GO:0046527")</f>
        <v>GO:0046527</v>
      </c>
      <c r="B434" t="s">
        <v>751</v>
      </c>
      <c r="C434">
        <v>380</v>
      </c>
      <c r="D434">
        <v>49</v>
      </c>
      <c r="E434" s="2">
        <v>5.9307270450457501E-11</v>
      </c>
      <c r="F434" s="2">
        <v>5.9307270450457501E-10</v>
      </c>
      <c r="G434" t="s">
        <v>3790</v>
      </c>
    </row>
    <row r="435" spans="1:7" x14ac:dyDescent="0.25">
      <c r="A435" s="4" t="str">
        <f>HYPERLINK("http://amigo.geneontology.org/cgi-bin/amigo/term-details.cgi?term=GO:0009793","GO:0009793")</f>
        <v>GO:0009793</v>
      </c>
      <c r="B435" t="s">
        <v>3789</v>
      </c>
      <c r="C435">
        <v>332</v>
      </c>
      <c r="D435">
        <v>45</v>
      </c>
      <c r="E435" s="2">
        <v>6.7405825180660605E-11</v>
      </c>
      <c r="F435" s="2">
        <v>6.74058251806606E-10</v>
      </c>
      <c r="G435" t="s">
        <v>3788</v>
      </c>
    </row>
    <row r="436" spans="1:7" x14ac:dyDescent="0.25">
      <c r="A436" s="4" t="str">
        <f>HYPERLINK("http://amigo.geneontology.org/cgi-bin/amigo/term-details.cgi?term=GO:0004386","GO:0004386")</f>
        <v>GO:0004386</v>
      </c>
      <c r="B436" t="s">
        <v>774</v>
      </c>
      <c r="C436">
        <v>410</v>
      </c>
      <c r="D436">
        <v>51</v>
      </c>
      <c r="E436" s="2">
        <v>9.0818306764459004E-11</v>
      </c>
      <c r="F436" s="2">
        <v>9.0818306764458996E-10</v>
      </c>
      <c r="G436" t="s">
        <v>3787</v>
      </c>
    </row>
    <row r="437" spans="1:7" x14ac:dyDescent="0.25">
      <c r="A437" s="4" t="str">
        <f>HYPERLINK("http://amigo.geneontology.org/cgi-bin/amigo/term-details.cgi?term=GO:0000280","GO:0000280")</f>
        <v>GO:0000280</v>
      </c>
      <c r="B437" t="s">
        <v>1138</v>
      </c>
      <c r="C437">
        <v>208</v>
      </c>
      <c r="D437">
        <v>34</v>
      </c>
      <c r="E437" s="2">
        <v>9.1956941191763701E-11</v>
      </c>
      <c r="F437" s="2">
        <v>9.1956941191763701E-10</v>
      </c>
      <c r="G437" t="s">
        <v>3786</v>
      </c>
    </row>
    <row r="438" spans="1:7" x14ac:dyDescent="0.25">
      <c r="A438" s="4" t="str">
        <f>HYPERLINK("http://amigo.geneontology.org/cgi-bin/amigo/term-details.cgi?term=GO:0009605","GO:0009605")</f>
        <v>GO:0009605</v>
      </c>
      <c r="B438" t="s">
        <v>2009</v>
      </c>
      <c r="C438">
        <v>782</v>
      </c>
      <c r="D438">
        <v>78</v>
      </c>
      <c r="E438" s="2">
        <v>9.3464727777766395E-11</v>
      </c>
      <c r="F438" s="2">
        <v>9.3464727777766405E-10</v>
      </c>
      <c r="G438" t="s">
        <v>3785</v>
      </c>
    </row>
    <row r="439" spans="1:7" x14ac:dyDescent="0.25">
      <c r="A439" s="4" t="str">
        <f>HYPERLINK("http://amigo.geneontology.org/cgi-bin/amigo/term-details.cgi?term=GO:0008104","GO:0008104")</f>
        <v>GO:0008104</v>
      </c>
      <c r="B439" t="s">
        <v>878</v>
      </c>
      <c r="C439">
        <v>1526</v>
      </c>
      <c r="D439">
        <v>126</v>
      </c>
      <c r="E439" s="2">
        <v>9.5187845669576094E-11</v>
      </c>
      <c r="F439" s="2">
        <v>9.5187845669576107E-10</v>
      </c>
      <c r="G439" t="s">
        <v>3784</v>
      </c>
    </row>
    <row r="440" spans="1:7" x14ac:dyDescent="0.25">
      <c r="A440" s="4" t="str">
        <f>HYPERLINK("http://amigo.geneontology.org/cgi-bin/amigo/term-details.cgi?term=GO:0035670","GO:0035670")</f>
        <v>GO:0035670</v>
      </c>
      <c r="B440" t="s">
        <v>3783</v>
      </c>
      <c r="C440">
        <v>110</v>
      </c>
      <c r="D440">
        <v>24</v>
      </c>
      <c r="E440" s="2">
        <v>1.1911255394605201E-10</v>
      </c>
      <c r="F440" s="2">
        <v>1.19112553946052E-9</v>
      </c>
      <c r="G440" t="s">
        <v>3781</v>
      </c>
    </row>
    <row r="441" spans="1:7" x14ac:dyDescent="0.25">
      <c r="A441" s="4" t="str">
        <f>HYPERLINK("http://amigo.geneontology.org/cgi-bin/amigo/term-details.cgi?term=GO:0048481","GO:0048481")</f>
        <v>GO:0048481</v>
      </c>
      <c r="B441" t="s">
        <v>3782</v>
      </c>
      <c r="C441">
        <v>110</v>
      </c>
      <c r="D441">
        <v>24</v>
      </c>
      <c r="E441" s="2">
        <v>1.1911255394605201E-10</v>
      </c>
      <c r="F441" s="2">
        <v>1.19112553946052E-9</v>
      </c>
      <c r="G441" t="s">
        <v>3781</v>
      </c>
    </row>
    <row r="442" spans="1:7" x14ac:dyDescent="0.25">
      <c r="A442" s="4" t="str">
        <f>HYPERLINK("http://amigo.geneontology.org/cgi-bin/amigo/term-details.cgi?term=GO:0010073","GO:0010073")</f>
        <v>GO:0010073</v>
      </c>
      <c r="B442" t="s">
        <v>3780</v>
      </c>
      <c r="C442">
        <v>138</v>
      </c>
      <c r="D442">
        <v>27</v>
      </c>
      <c r="E442" s="2">
        <v>1.2040895611491301E-10</v>
      </c>
      <c r="F442" s="2">
        <v>1.2040895611491301E-9</v>
      </c>
      <c r="G442" t="s">
        <v>3779</v>
      </c>
    </row>
    <row r="443" spans="1:7" x14ac:dyDescent="0.25">
      <c r="A443" s="4" t="str">
        <f>HYPERLINK("http://amigo.geneontology.org/cgi-bin/amigo/term-details.cgi?term=GO:0009853","GO:0009853")</f>
        <v>GO:0009853</v>
      </c>
      <c r="B443" t="s">
        <v>3778</v>
      </c>
      <c r="C443">
        <v>138</v>
      </c>
      <c r="D443">
        <v>27</v>
      </c>
      <c r="E443" s="2">
        <v>1.2040895611491301E-10</v>
      </c>
      <c r="F443" s="2">
        <v>1.2040895611491301E-9</v>
      </c>
      <c r="G443" t="s">
        <v>3777</v>
      </c>
    </row>
    <row r="444" spans="1:7" x14ac:dyDescent="0.25">
      <c r="A444" s="4" t="str">
        <f>HYPERLINK("http://amigo.geneontology.org/cgi-bin/amigo/term-details.cgi?term=GO:0009790","GO:0009790")</f>
        <v>GO:0009790</v>
      </c>
      <c r="B444" t="s">
        <v>3776</v>
      </c>
      <c r="C444">
        <v>365</v>
      </c>
      <c r="D444">
        <v>47</v>
      </c>
      <c r="E444" s="2">
        <v>1.5121853914096999E-10</v>
      </c>
      <c r="F444" s="2">
        <v>1.5121853914097001E-9</v>
      </c>
      <c r="G444" t="s">
        <v>3775</v>
      </c>
    </row>
    <row r="445" spans="1:7" x14ac:dyDescent="0.25">
      <c r="A445" s="4" t="str">
        <f>HYPERLINK("http://amigo.geneontology.org/cgi-bin/amigo/term-details.cgi?term=GO:0006886","GO:0006886")</f>
        <v>GO:0006886</v>
      </c>
      <c r="B445" t="s">
        <v>661</v>
      </c>
      <c r="C445">
        <v>1015</v>
      </c>
      <c r="D445">
        <v>93</v>
      </c>
      <c r="E445" s="2">
        <v>1.52577635366237E-10</v>
      </c>
      <c r="F445" s="2">
        <v>1.52577635366237E-9</v>
      </c>
      <c r="G445" t="s">
        <v>3774</v>
      </c>
    </row>
    <row r="446" spans="1:7" x14ac:dyDescent="0.25">
      <c r="A446" s="4" t="str">
        <f>HYPERLINK("http://amigo.geneontology.org/cgi-bin/amigo/term-details.cgi?term=GO:0046907","GO:0046907")</f>
        <v>GO:0046907</v>
      </c>
      <c r="B446" t="s">
        <v>707</v>
      </c>
      <c r="C446">
        <v>1093</v>
      </c>
      <c r="D446">
        <v>98</v>
      </c>
      <c r="E446" s="2">
        <v>1.6079567276039401E-10</v>
      </c>
      <c r="F446" s="2">
        <v>1.6079567276039401E-9</v>
      </c>
      <c r="G446" t="s">
        <v>3773</v>
      </c>
    </row>
    <row r="447" spans="1:7" x14ac:dyDescent="0.25">
      <c r="A447" s="4" t="str">
        <f>HYPERLINK("http://amigo.geneontology.org/cgi-bin/amigo/term-details.cgi?term=GO:0003887","GO:0003887")</f>
        <v>GO:0003887</v>
      </c>
      <c r="B447" t="s">
        <v>730</v>
      </c>
      <c r="C447">
        <v>71</v>
      </c>
      <c r="D447">
        <v>19</v>
      </c>
      <c r="E447" s="2">
        <v>2.4220105982064901E-10</v>
      </c>
      <c r="F447" s="2">
        <v>2.4220105982064898E-9</v>
      </c>
      <c r="G447" t="s">
        <v>1407</v>
      </c>
    </row>
    <row r="448" spans="1:7" x14ac:dyDescent="0.25">
      <c r="A448" s="4" t="str">
        <f>HYPERLINK("http://amigo.geneontology.org/cgi-bin/amigo/term-details.cgi?term=GO:0006399","GO:0006399")</f>
        <v>GO:0006399</v>
      </c>
      <c r="B448" t="s">
        <v>636</v>
      </c>
      <c r="C448">
        <v>543</v>
      </c>
      <c r="D448">
        <v>60</v>
      </c>
      <c r="E448" s="2">
        <v>2.6769504532497302E-10</v>
      </c>
      <c r="F448" s="2">
        <v>2.6769504532497301E-9</v>
      </c>
      <c r="G448" t="s">
        <v>3772</v>
      </c>
    </row>
    <row r="449" spans="1:7" x14ac:dyDescent="0.25">
      <c r="A449" s="4" t="str">
        <f>HYPERLINK("http://amigo.geneontology.org/cgi-bin/amigo/term-details.cgi?term=GO:0005886","GO:0005886")</f>
        <v>GO:0005886</v>
      </c>
      <c r="B449" t="s">
        <v>622</v>
      </c>
      <c r="C449">
        <v>1135</v>
      </c>
      <c r="D449">
        <v>100</v>
      </c>
      <c r="E449" s="2">
        <v>2.7189249967627702E-10</v>
      </c>
      <c r="F449" s="2">
        <v>2.7189249967627698E-9</v>
      </c>
      <c r="G449" t="s">
        <v>3771</v>
      </c>
    </row>
    <row r="450" spans="1:7" x14ac:dyDescent="0.25">
      <c r="A450" s="4" t="str">
        <f>HYPERLINK("http://amigo.geneontology.org/cgi-bin/amigo/term-details.cgi?term=GO:0048440","GO:0048440")</f>
        <v>GO:0048440</v>
      </c>
      <c r="B450" t="s">
        <v>3770</v>
      </c>
      <c r="C450">
        <v>124</v>
      </c>
      <c r="D450">
        <v>25</v>
      </c>
      <c r="E450" s="2">
        <v>2.9603601913617802E-10</v>
      </c>
      <c r="F450" s="2">
        <v>2.9603601913617801E-9</v>
      </c>
      <c r="G450" t="s">
        <v>3757</v>
      </c>
    </row>
    <row r="451" spans="1:7" x14ac:dyDescent="0.25">
      <c r="A451" s="4" t="str">
        <f>HYPERLINK("http://amigo.geneontology.org/cgi-bin/amigo/term-details.cgi?term=GO:0051246","GO:0051246")</f>
        <v>GO:0051246</v>
      </c>
      <c r="B451" t="s">
        <v>3769</v>
      </c>
      <c r="C451">
        <v>439</v>
      </c>
      <c r="D451">
        <v>52</v>
      </c>
      <c r="E451" s="2">
        <v>3.52848029124327E-10</v>
      </c>
      <c r="F451" s="2">
        <v>3.5284802912432699E-9</v>
      </c>
      <c r="G451" t="s">
        <v>3768</v>
      </c>
    </row>
    <row r="452" spans="1:7" x14ac:dyDescent="0.25">
      <c r="A452" s="4" t="str">
        <f>HYPERLINK("http://amigo.geneontology.org/cgi-bin/amigo/term-details.cgi?term=GO:0006974","GO:0006974")</f>
        <v>GO:0006974</v>
      </c>
      <c r="B452" t="s">
        <v>536</v>
      </c>
      <c r="C452">
        <v>661</v>
      </c>
      <c r="D452">
        <v>68</v>
      </c>
      <c r="E452" s="2">
        <v>3.9818556727218702E-10</v>
      </c>
      <c r="F452" s="2">
        <v>3.9818556727218697E-9</v>
      </c>
      <c r="G452" t="s">
        <v>3767</v>
      </c>
    </row>
    <row r="453" spans="1:7" x14ac:dyDescent="0.25">
      <c r="A453" s="4" t="str">
        <f>HYPERLINK("http://amigo.geneontology.org/cgi-bin/amigo/term-details.cgi?term=GO:0031090","GO:0031090")</f>
        <v>GO:0031090</v>
      </c>
      <c r="B453" t="s">
        <v>3766</v>
      </c>
      <c r="C453">
        <v>1271</v>
      </c>
      <c r="D453">
        <v>108</v>
      </c>
      <c r="E453" s="2">
        <v>4.2090953370638898E-10</v>
      </c>
      <c r="F453" s="2">
        <v>4.2090953370638899E-9</v>
      </c>
      <c r="G453" t="s">
        <v>3765</v>
      </c>
    </row>
    <row r="454" spans="1:7" x14ac:dyDescent="0.25">
      <c r="A454" s="4" t="str">
        <f>HYPERLINK("http://amigo.geneontology.org/cgi-bin/amigo/term-details.cgi?term=GO:0031969","GO:0031969")</f>
        <v>GO:0031969</v>
      </c>
      <c r="B454" t="s">
        <v>3764</v>
      </c>
      <c r="C454">
        <v>166</v>
      </c>
      <c r="D454">
        <v>29</v>
      </c>
      <c r="E454" s="2">
        <v>4.2952138918311502E-10</v>
      </c>
      <c r="F454" s="2">
        <v>4.2952138918311498E-9</v>
      </c>
      <c r="G454" t="s">
        <v>3736</v>
      </c>
    </row>
    <row r="455" spans="1:7" x14ac:dyDescent="0.25">
      <c r="A455" s="4" t="str">
        <f>HYPERLINK("http://amigo.geneontology.org/cgi-bin/amigo/term-details.cgi?term=GO:0048316","GO:0048316")</f>
        <v>GO:0048316</v>
      </c>
      <c r="B455" t="s">
        <v>3763</v>
      </c>
      <c r="C455">
        <v>417</v>
      </c>
      <c r="D455">
        <v>50</v>
      </c>
      <c r="E455" s="2">
        <v>4.9987450491357902E-10</v>
      </c>
      <c r="F455" s="2">
        <v>4.9987450491357902E-9</v>
      </c>
      <c r="G455" t="s">
        <v>3744</v>
      </c>
    </row>
    <row r="456" spans="1:7" x14ac:dyDescent="0.25">
      <c r="A456" s="4" t="str">
        <f>HYPERLINK("http://amigo.geneontology.org/cgi-bin/amigo/term-details.cgi?term=GO:0015833","GO:0015833")</f>
        <v>GO:0015833</v>
      </c>
      <c r="B456" t="s">
        <v>2044</v>
      </c>
      <c r="C456">
        <v>1568</v>
      </c>
      <c r="D456">
        <v>126</v>
      </c>
      <c r="E456" s="2">
        <v>5.1494906333976201E-10</v>
      </c>
      <c r="F456" s="2">
        <v>5.1494906333976203E-9</v>
      </c>
      <c r="G456" t="s">
        <v>3754</v>
      </c>
    </row>
    <row r="457" spans="1:7" x14ac:dyDescent="0.25">
      <c r="A457" s="4" t="str">
        <f>HYPERLINK("http://amigo.geneontology.org/cgi-bin/amigo/term-details.cgi?term=GO:0016441","GO:0016441")</f>
        <v>GO:0016441</v>
      </c>
      <c r="B457" t="s">
        <v>3762</v>
      </c>
      <c r="C457">
        <v>138</v>
      </c>
      <c r="D457">
        <v>26</v>
      </c>
      <c r="E457" s="2">
        <v>6.2312974163459097E-10</v>
      </c>
      <c r="F457" s="2">
        <v>6.2312974163459097E-9</v>
      </c>
      <c r="G457" t="s">
        <v>3761</v>
      </c>
    </row>
    <row r="458" spans="1:7" x14ac:dyDescent="0.25">
      <c r="A458" s="4" t="str">
        <f>HYPERLINK("http://amigo.geneontology.org/cgi-bin/amigo/term-details.cgi?term=GO:0048438","GO:0048438")</f>
        <v>GO:0048438</v>
      </c>
      <c r="B458" t="s">
        <v>3760</v>
      </c>
      <c r="C458">
        <v>247</v>
      </c>
      <c r="D458">
        <v>36</v>
      </c>
      <c r="E458" s="2">
        <v>7.0294638436704601E-10</v>
      </c>
      <c r="F458" s="2">
        <v>7.0294638436704597E-9</v>
      </c>
      <c r="G458" t="s">
        <v>3759</v>
      </c>
    </row>
    <row r="459" spans="1:7" x14ac:dyDescent="0.25">
      <c r="A459" s="4" t="str">
        <f>HYPERLINK("http://amigo.geneontology.org/cgi-bin/amigo/term-details.cgi?term=GO:0048467","GO:0048467")</f>
        <v>GO:0048467</v>
      </c>
      <c r="B459" t="s">
        <v>3758</v>
      </c>
      <c r="C459">
        <v>129</v>
      </c>
      <c r="D459">
        <v>25</v>
      </c>
      <c r="E459" s="2">
        <v>7.1163137553825498E-10</v>
      </c>
      <c r="F459" s="2">
        <v>7.11631375538255E-9</v>
      </c>
      <c r="G459" t="s">
        <v>3757</v>
      </c>
    </row>
    <row r="460" spans="1:7" x14ac:dyDescent="0.25">
      <c r="A460" s="4" t="str">
        <f>HYPERLINK("http://amigo.geneontology.org/cgi-bin/amigo/term-details.cgi?term=GO:0045489","GO:0045489")</f>
        <v>GO:0045489</v>
      </c>
      <c r="B460" t="s">
        <v>3756</v>
      </c>
      <c r="C460">
        <v>39</v>
      </c>
      <c r="D460">
        <v>14</v>
      </c>
      <c r="E460" s="2">
        <v>7.5202479803705805E-10</v>
      </c>
      <c r="F460" s="2">
        <v>7.5202479803705807E-9</v>
      </c>
      <c r="G460" t="s">
        <v>3755</v>
      </c>
    </row>
    <row r="461" spans="1:7" x14ac:dyDescent="0.25">
      <c r="A461" s="4" t="str">
        <f>HYPERLINK("http://amigo.geneontology.org/cgi-bin/amigo/term-details.cgi?term=GO:0042886","GO:0042886")</f>
        <v>GO:0042886</v>
      </c>
      <c r="B461" t="s">
        <v>2072</v>
      </c>
      <c r="C461">
        <v>1578</v>
      </c>
      <c r="D461">
        <v>126</v>
      </c>
      <c r="E461" s="2">
        <v>7.5848229517016898E-10</v>
      </c>
      <c r="F461" s="2">
        <v>7.5848229517016896E-9</v>
      </c>
      <c r="G461" t="s">
        <v>3754</v>
      </c>
    </row>
    <row r="462" spans="1:7" x14ac:dyDescent="0.25">
      <c r="A462" s="4" t="str">
        <f>HYPERLINK("http://amigo.geneontology.org/cgi-bin/amigo/term-details.cgi?term=GO:0022900","GO:0022900")</f>
        <v>GO:0022900</v>
      </c>
      <c r="B462" t="s">
        <v>3753</v>
      </c>
      <c r="C462">
        <v>333</v>
      </c>
      <c r="D462">
        <v>43</v>
      </c>
      <c r="E462" s="2">
        <v>8.1656400192781696E-10</v>
      </c>
      <c r="F462" s="2">
        <v>7.3490760173503602E-9</v>
      </c>
      <c r="G462" t="s">
        <v>3752</v>
      </c>
    </row>
    <row r="463" spans="1:7" x14ac:dyDescent="0.25">
      <c r="A463" s="4" t="str">
        <f>HYPERLINK("http://amigo.geneontology.org/cgi-bin/amigo/term-details.cgi?term=GO:0030554","GO:0030554")</f>
        <v>GO:0030554</v>
      </c>
      <c r="B463" t="s">
        <v>267</v>
      </c>
      <c r="C463">
        <v>11364</v>
      </c>
      <c r="D463">
        <v>641</v>
      </c>
      <c r="E463" s="2">
        <v>8.7654225719659897E-10</v>
      </c>
      <c r="F463" s="2">
        <v>7.8888803147693895E-9</v>
      </c>
      <c r="G463" t="s">
        <v>3751</v>
      </c>
    </row>
    <row r="464" spans="1:7" x14ac:dyDescent="0.25">
      <c r="A464" s="4" t="str">
        <f>HYPERLINK("http://amigo.geneontology.org/cgi-bin/amigo/term-details.cgi?term=GO:0033036","GO:0033036")</f>
        <v>GO:0033036</v>
      </c>
      <c r="B464" t="s">
        <v>866</v>
      </c>
      <c r="C464">
        <v>1835</v>
      </c>
      <c r="D464">
        <v>141</v>
      </c>
      <c r="E464" s="2">
        <v>9.5325481950335493E-10</v>
      </c>
      <c r="F464" s="2">
        <v>8.5792933755301904E-9</v>
      </c>
      <c r="G464" t="s">
        <v>3750</v>
      </c>
    </row>
    <row r="465" spans="1:7" x14ac:dyDescent="0.25">
      <c r="A465" s="4" t="str">
        <f>HYPERLINK("http://amigo.geneontology.org/cgi-bin/amigo/term-details.cgi?term=GO:0006310","GO:0006310")</f>
        <v>GO:0006310</v>
      </c>
      <c r="B465" t="s">
        <v>469</v>
      </c>
      <c r="C465">
        <v>310</v>
      </c>
      <c r="D465">
        <v>41</v>
      </c>
      <c r="E465" s="2">
        <v>9.7226320430074702E-10</v>
      </c>
      <c r="F465" s="2">
        <v>8.7503688387067197E-9</v>
      </c>
      <c r="G465" t="s">
        <v>3749</v>
      </c>
    </row>
    <row r="466" spans="1:7" x14ac:dyDescent="0.25">
      <c r="A466" s="4" t="str">
        <f>HYPERLINK("http://amigo.geneontology.org/cgi-bin/amigo/term-details.cgi?term=GO:0032879","GO:0032879")</f>
        <v>GO:0032879</v>
      </c>
      <c r="B466" t="s">
        <v>3748</v>
      </c>
      <c r="C466">
        <v>151</v>
      </c>
      <c r="D466">
        <v>27</v>
      </c>
      <c r="E466" s="2">
        <v>9.9281265833252803E-10</v>
      </c>
      <c r="F466" s="2">
        <v>8.9353139249927604E-9</v>
      </c>
      <c r="G466" t="s">
        <v>3747</v>
      </c>
    </row>
    <row r="467" spans="1:7" x14ac:dyDescent="0.25">
      <c r="A467" s="4" t="str">
        <f>HYPERLINK("http://amigo.geneontology.org/cgi-bin/amigo/term-details.cgi?term=GO:0071103","GO:0071103")</f>
        <v>GO:0071103</v>
      </c>
      <c r="B467" t="s">
        <v>1401</v>
      </c>
      <c r="C467">
        <v>548</v>
      </c>
      <c r="D467">
        <v>59</v>
      </c>
      <c r="E467" s="2">
        <v>1.01483545140922E-9</v>
      </c>
      <c r="F467" s="2">
        <v>9.1335190626830402E-9</v>
      </c>
      <c r="G467" t="s">
        <v>3746</v>
      </c>
    </row>
    <row r="468" spans="1:7" x14ac:dyDescent="0.25">
      <c r="A468" s="4" t="str">
        <f>HYPERLINK("http://amigo.geneontology.org/cgi-bin/amigo/term-details.cgi?term=GO:0010154","GO:0010154")</f>
        <v>GO:0010154</v>
      </c>
      <c r="B468" t="s">
        <v>3745</v>
      </c>
      <c r="C468">
        <v>426</v>
      </c>
      <c r="D468">
        <v>50</v>
      </c>
      <c r="E468" s="2">
        <v>1.04216831154995E-9</v>
      </c>
      <c r="F468" s="2">
        <v>9.3795148039496E-9</v>
      </c>
      <c r="G468" t="s">
        <v>3744</v>
      </c>
    </row>
    <row r="469" spans="1:7" x14ac:dyDescent="0.25">
      <c r="A469" s="4" t="str">
        <f>HYPERLINK("http://amigo.geneontology.org/cgi-bin/amigo/term-details.cgi?term=GO:0019200","GO:0019200")</f>
        <v>GO:0019200</v>
      </c>
      <c r="B469" t="s">
        <v>657</v>
      </c>
      <c r="C469">
        <v>103</v>
      </c>
      <c r="D469">
        <v>22</v>
      </c>
      <c r="E469" s="2">
        <v>1.07051820077363E-9</v>
      </c>
      <c r="F469" s="2">
        <v>9.6346638069627203E-9</v>
      </c>
      <c r="G469" t="s">
        <v>3743</v>
      </c>
    </row>
    <row r="470" spans="1:7" x14ac:dyDescent="0.25">
      <c r="A470" s="4" t="str">
        <f>HYPERLINK("http://amigo.geneontology.org/cgi-bin/amigo/term-details.cgi?term=GO:0042445","GO:0042445")</f>
        <v>GO:0042445</v>
      </c>
      <c r="B470" t="s">
        <v>2005</v>
      </c>
      <c r="C470">
        <v>311</v>
      </c>
      <c r="D470">
        <v>41</v>
      </c>
      <c r="E470" s="2">
        <v>1.07133138955783E-9</v>
      </c>
      <c r="F470" s="2">
        <v>9.6419825060204792E-9</v>
      </c>
      <c r="G470" t="s">
        <v>3742</v>
      </c>
    </row>
    <row r="471" spans="1:7" x14ac:dyDescent="0.25">
      <c r="A471" s="4" t="str">
        <f>HYPERLINK("http://amigo.geneontology.org/cgi-bin/amigo/term-details.cgi?term=GO:0098813","GO:0098813")</f>
        <v>GO:0098813</v>
      </c>
      <c r="B471" t="s">
        <v>1136</v>
      </c>
      <c r="C471">
        <v>162</v>
      </c>
      <c r="D471">
        <v>28</v>
      </c>
      <c r="E471" s="2">
        <v>1.0963182475800699E-9</v>
      </c>
      <c r="F471" s="2">
        <v>9.8668642282206708E-9</v>
      </c>
      <c r="G471" t="s">
        <v>3741</v>
      </c>
    </row>
    <row r="472" spans="1:7" x14ac:dyDescent="0.25">
      <c r="A472" s="4" t="str">
        <f>HYPERLINK("http://amigo.geneontology.org/cgi-bin/amigo/term-details.cgi?term=GO:0061505","GO:0061505")</f>
        <v>GO:0061505</v>
      </c>
      <c r="B472" t="s">
        <v>767</v>
      </c>
      <c r="C472">
        <v>34</v>
      </c>
      <c r="D472">
        <v>13</v>
      </c>
      <c r="E472" s="2">
        <v>1.22416952610261E-9</v>
      </c>
      <c r="F472" s="2">
        <v>1.10175257349235E-8</v>
      </c>
      <c r="G472" t="s">
        <v>1164</v>
      </c>
    </row>
    <row r="473" spans="1:7" x14ac:dyDescent="0.25">
      <c r="A473" s="4" t="str">
        <f>HYPERLINK("http://amigo.geneontology.org/cgi-bin/amigo/term-details.cgi?term=GO:0003918","GO:0003918")</f>
        <v>GO:0003918</v>
      </c>
      <c r="B473" t="s">
        <v>766</v>
      </c>
      <c r="C473">
        <v>34</v>
      </c>
      <c r="D473">
        <v>13</v>
      </c>
      <c r="E473" s="2">
        <v>1.22416952610261E-9</v>
      </c>
      <c r="F473" s="2">
        <v>1.10175257349235E-8</v>
      </c>
      <c r="G473" t="s">
        <v>1164</v>
      </c>
    </row>
    <row r="474" spans="1:7" x14ac:dyDescent="0.25">
      <c r="A474" s="4" t="str">
        <f>HYPERLINK("http://amigo.geneontology.org/cgi-bin/amigo/term-details.cgi?term=GO:0000796","GO:0000796")</f>
        <v>GO:0000796</v>
      </c>
      <c r="B474" t="s">
        <v>1335</v>
      </c>
      <c r="C474">
        <v>14</v>
      </c>
      <c r="D474">
        <v>9</v>
      </c>
      <c r="E474" s="2">
        <v>1.27254074607423E-9</v>
      </c>
      <c r="F474" s="2">
        <v>1.14528667146681E-8</v>
      </c>
      <c r="G474" t="s">
        <v>3740</v>
      </c>
    </row>
    <row r="475" spans="1:7" x14ac:dyDescent="0.25">
      <c r="A475" s="4" t="str">
        <f>HYPERLINK("http://amigo.geneontology.org/cgi-bin/amigo/term-details.cgi?term=GO:0010598","GO:0010598")</f>
        <v>GO:0010598</v>
      </c>
      <c r="B475" t="s">
        <v>3739</v>
      </c>
      <c r="C475">
        <v>23</v>
      </c>
      <c r="D475">
        <v>11</v>
      </c>
      <c r="E475" s="2">
        <v>1.2966709000315401E-9</v>
      </c>
      <c r="F475" s="2">
        <v>1.16700381002839E-8</v>
      </c>
      <c r="G475" t="s">
        <v>3738</v>
      </c>
    </row>
    <row r="476" spans="1:7" x14ac:dyDescent="0.25">
      <c r="A476" s="4" t="str">
        <f>HYPERLINK("http://amigo.geneontology.org/cgi-bin/amigo/term-details.cgi?term=GO:0042170","GO:0042170")</f>
        <v>GO:0042170</v>
      </c>
      <c r="B476" t="s">
        <v>3737</v>
      </c>
      <c r="C476">
        <v>174</v>
      </c>
      <c r="D476">
        <v>29</v>
      </c>
      <c r="E476" s="2">
        <v>1.3426554743295501E-9</v>
      </c>
      <c r="F476" s="2">
        <v>1.2083899268965899E-8</v>
      </c>
      <c r="G476" t="s">
        <v>3736</v>
      </c>
    </row>
    <row r="477" spans="1:7" x14ac:dyDescent="0.25">
      <c r="A477" s="4" t="str">
        <f>HYPERLINK("http://amigo.geneontology.org/cgi-bin/amigo/term-details.cgi?term=GO:0098542","GO:0098542")</f>
        <v>GO:0098542</v>
      </c>
      <c r="B477" t="s">
        <v>2102</v>
      </c>
      <c r="C477">
        <v>443</v>
      </c>
      <c r="D477">
        <v>51</v>
      </c>
      <c r="E477" s="2">
        <v>1.3941610811177099E-9</v>
      </c>
      <c r="F477" s="2">
        <v>1.2547449730059299E-8</v>
      </c>
      <c r="G477" t="s">
        <v>3735</v>
      </c>
    </row>
    <row r="478" spans="1:7" x14ac:dyDescent="0.25">
      <c r="A478" s="4" t="str">
        <f>HYPERLINK("http://amigo.geneontology.org/cgi-bin/amigo/term-details.cgi?term=GO:0005802","GO:0005802")</f>
        <v>GO:0005802</v>
      </c>
      <c r="B478" t="s">
        <v>3734</v>
      </c>
      <c r="C478">
        <v>134</v>
      </c>
      <c r="D478">
        <v>25</v>
      </c>
      <c r="E478" s="2">
        <v>1.63353971712964E-9</v>
      </c>
      <c r="F478" s="2">
        <v>1.47018574541668E-8</v>
      </c>
      <c r="G478" t="s">
        <v>3733</v>
      </c>
    </row>
    <row r="479" spans="1:7" x14ac:dyDescent="0.25">
      <c r="A479" s="4" t="str">
        <f>HYPERLINK("http://amigo.geneontology.org/cgi-bin/amigo/term-details.cgi?term=GO:0048507","GO:0048507")</f>
        <v>GO:0048507</v>
      </c>
      <c r="B479" t="s">
        <v>3732</v>
      </c>
      <c r="C479">
        <v>220</v>
      </c>
      <c r="D479">
        <v>33</v>
      </c>
      <c r="E479" s="2">
        <v>1.6793935508331101E-9</v>
      </c>
      <c r="F479" s="2">
        <v>1.5114541957498001E-8</v>
      </c>
      <c r="G479" t="s">
        <v>3731</v>
      </c>
    </row>
    <row r="480" spans="1:7" x14ac:dyDescent="0.25">
      <c r="A480" s="4" t="str">
        <f>HYPERLINK("http://amigo.geneontology.org/cgi-bin/amigo/term-details.cgi?term=GO:0032559","GO:0032559")</f>
        <v>GO:0032559</v>
      </c>
      <c r="B480" t="s">
        <v>268</v>
      </c>
      <c r="C480">
        <v>11276</v>
      </c>
      <c r="D480">
        <v>634</v>
      </c>
      <c r="E480" s="2">
        <v>1.8512583030961701E-9</v>
      </c>
      <c r="F480" s="2">
        <v>1.66613247278655E-8</v>
      </c>
      <c r="G480" t="s">
        <v>3730</v>
      </c>
    </row>
    <row r="481" spans="1:7" x14ac:dyDescent="0.25">
      <c r="A481" s="4" t="str">
        <f>HYPERLINK("http://amigo.geneontology.org/cgi-bin/amigo/term-details.cgi?term=GO:0019318","GO:0019318")</f>
        <v>GO:0019318</v>
      </c>
      <c r="B481" t="s">
        <v>481</v>
      </c>
      <c r="C481">
        <v>268</v>
      </c>
      <c r="D481">
        <v>37</v>
      </c>
      <c r="E481" s="2">
        <v>1.90253470649944E-9</v>
      </c>
      <c r="F481" s="2">
        <v>1.7122812358494999E-8</v>
      </c>
      <c r="G481" t="s">
        <v>3729</v>
      </c>
    </row>
    <row r="482" spans="1:7" x14ac:dyDescent="0.25">
      <c r="A482" s="4" t="str">
        <f>HYPERLINK("http://amigo.geneontology.org/cgi-bin/amigo/term-details.cgi?term=GO:0031977","GO:0031977")</f>
        <v>GO:0031977</v>
      </c>
      <c r="B482" t="s">
        <v>3728</v>
      </c>
      <c r="C482">
        <v>88</v>
      </c>
      <c r="D482">
        <v>20</v>
      </c>
      <c r="E482" s="2">
        <v>1.9151119780323699E-9</v>
      </c>
      <c r="F482" s="2">
        <v>1.7236007802291299E-8</v>
      </c>
      <c r="G482" t="s">
        <v>3727</v>
      </c>
    </row>
    <row r="483" spans="1:7" x14ac:dyDescent="0.25">
      <c r="A483" s="4" t="str">
        <f>HYPERLINK("http://amigo.geneontology.org/cgi-bin/amigo/term-details.cgi?term=GO:0048638","GO:0048638")</f>
        <v>GO:0048638</v>
      </c>
      <c r="B483" t="s">
        <v>3726</v>
      </c>
      <c r="C483">
        <v>135</v>
      </c>
      <c r="D483">
        <v>25</v>
      </c>
      <c r="E483" s="2">
        <v>1.9188782673088E-9</v>
      </c>
      <c r="F483" s="2">
        <v>1.7269904405779201E-8</v>
      </c>
      <c r="G483" t="s">
        <v>3651</v>
      </c>
    </row>
    <row r="484" spans="1:7" x14ac:dyDescent="0.25">
      <c r="A484" s="4" t="str">
        <f>HYPERLINK("http://amigo.geneontology.org/cgi-bin/amigo/term-details.cgi?term=GO:0010075","GO:0010075")</f>
        <v>GO:0010075</v>
      </c>
      <c r="B484" t="s">
        <v>3725</v>
      </c>
      <c r="C484">
        <v>80</v>
      </c>
      <c r="D484">
        <v>19</v>
      </c>
      <c r="E484" s="2">
        <v>2.1917953924018101E-9</v>
      </c>
      <c r="F484" s="2">
        <v>1.9726158531616299E-8</v>
      </c>
      <c r="G484" t="s">
        <v>3724</v>
      </c>
    </row>
    <row r="485" spans="1:7" x14ac:dyDescent="0.25">
      <c r="A485" s="4" t="str">
        <f>HYPERLINK("http://amigo.geneontology.org/cgi-bin/amigo/term-details.cgi?term=GO:0010817","GO:0010817")</f>
        <v>GO:0010817</v>
      </c>
      <c r="B485" t="s">
        <v>1960</v>
      </c>
      <c r="C485">
        <v>384</v>
      </c>
      <c r="D485">
        <v>46</v>
      </c>
      <c r="E485" s="2">
        <v>2.48153322633898E-9</v>
      </c>
      <c r="F485" s="2">
        <v>2.2333799037050801E-8</v>
      </c>
      <c r="G485" t="s">
        <v>3723</v>
      </c>
    </row>
    <row r="486" spans="1:7" x14ac:dyDescent="0.25">
      <c r="A486" s="4" t="str">
        <f>HYPERLINK("http://amigo.geneontology.org/cgi-bin/amigo/term-details.cgi?term=GO:0052546","GO:0052546")</f>
        <v>GO:0052546</v>
      </c>
      <c r="B486" t="s">
        <v>3722</v>
      </c>
      <c r="C486">
        <v>11</v>
      </c>
      <c r="D486">
        <v>8</v>
      </c>
      <c r="E486" s="2">
        <v>2.52922407605521E-9</v>
      </c>
      <c r="F486" s="2">
        <v>2.2763016684496899E-8</v>
      </c>
      <c r="G486" t="s">
        <v>3721</v>
      </c>
    </row>
    <row r="487" spans="1:7" x14ac:dyDescent="0.25">
      <c r="A487" s="4" t="str">
        <f>HYPERLINK("http://amigo.geneontology.org/cgi-bin/amigo/term-details.cgi?term=GO:0050789","GO:0050789")</f>
        <v>GO:0050789</v>
      </c>
      <c r="B487" t="s">
        <v>1992</v>
      </c>
      <c r="C487">
        <v>8097</v>
      </c>
      <c r="D487">
        <v>473</v>
      </c>
      <c r="E487" s="2">
        <v>3.2270923757588201E-9</v>
      </c>
      <c r="F487" s="2">
        <v>2.9043831381829401E-8</v>
      </c>
      <c r="G487" t="s">
        <v>3720</v>
      </c>
    </row>
    <row r="488" spans="1:7" x14ac:dyDescent="0.25">
      <c r="A488" s="4" t="str">
        <f>HYPERLINK("http://amigo.geneontology.org/cgi-bin/amigo/term-details.cgi?term=GO:0003916","GO:0003916")</f>
        <v>GO:0003916</v>
      </c>
      <c r="B488" t="s">
        <v>874</v>
      </c>
      <c r="C488">
        <v>50</v>
      </c>
      <c r="D488">
        <v>15</v>
      </c>
      <c r="E488" s="2">
        <v>3.2747244269810101E-9</v>
      </c>
      <c r="F488" s="2">
        <v>2.94725198428291E-8</v>
      </c>
      <c r="G488" t="s">
        <v>1400</v>
      </c>
    </row>
    <row r="489" spans="1:7" x14ac:dyDescent="0.25">
      <c r="A489" s="4" t="str">
        <f>HYPERLINK("http://amigo.geneontology.org/cgi-bin/amigo/term-details.cgi?term=GO:0006265","GO:0006265")</f>
        <v>GO:0006265</v>
      </c>
      <c r="B489" t="s">
        <v>752</v>
      </c>
      <c r="C489">
        <v>50</v>
      </c>
      <c r="D489">
        <v>15</v>
      </c>
      <c r="E489" s="2">
        <v>3.2747244269810101E-9</v>
      </c>
      <c r="F489" s="2">
        <v>2.94725198428291E-8</v>
      </c>
      <c r="G489" t="s">
        <v>1400</v>
      </c>
    </row>
    <row r="490" spans="1:7" x14ac:dyDescent="0.25">
      <c r="A490" s="4" t="str">
        <f>HYPERLINK("http://amigo.geneontology.org/cgi-bin/amigo/term-details.cgi?term=GO:0034061","GO:0034061")</f>
        <v>GO:0034061</v>
      </c>
      <c r="B490" t="s">
        <v>724</v>
      </c>
      <c r="C490">
        <v>82</v>
      </c>
      <c r="D490">
        <v>19</v>
      </c>
      <c r="E490" s="2">
        <v>3.4175019377301699E-9</v>
      </c>
      <c r="F490" s="2">
        <v>3.0757517439571498E-8</v>
      </c>
      <c r="G490" t="s">
        <v>1407</v>
      </c>
    </row>
    <row r="491" spans="1:7" x14ac:dyDescent="0.25">
      <c r="A491" s="4" t="str">
        <f>HYPERLINK("http://amigo.geneontology.org/cgi-bin/amigo/term-details.cgi?term=GO:0045814","GO:0045814")</f>
        <v>GO:0045814</v>
      </c>
      <c r="B491" t="s">
        <v>3719</v>
      </c>
      <c r="C491">
        <v>129</v>
      </c>
      <c r="D491">
        <v>24</v>
      </c>
      <c r="E491" s="2">
        <v>3.6388887446195802E-9</v>
      </c>
      <c r="F491" s="2">
        <v>3.2749998701576199E-8</v>
      </c>
      <c r="G491" t="s">
        <v>3717</v>
      </c>
    </row>
    <row r="492" spans="1:7" x14ac:dyDescent="0.25">
      <c r="A492" s="4" t="str">
        <f>HYPERLINK("http://amigo.geneontology.org/cgi-bin/amigo/term-details.cgi?term=GO:0006342","GO:0006342")</f>
        <v>GO:0006342</v>
      </c>
      <c r="B492" t="s">
        <v>3718</v>
      </c>
      <c r="C492">
        <v>129</v>
      </c>
      <c r="D492">
        <v>24</v>
      </c>
      <c r="E492" s="2">
        <v>3.6388887446195802E-9</v>
      </c>
      <c r="F492" s="2">
        <v>3.2749998701576199E-8</v>
      </c>
      <c r="G492" t="s">
        <v>3717</v>
      </c>
    </row>
    <row r="493" spans="1:7" x14ac:dyDescent="0.25">
      <c r="A493" s="4" t="str">
        <f>HYPERLINK("http://amigo.geneontology.org/cgi-bin/amigo/term-details.cgi?term=GO:0044445","GO:0044445")</f>
        <v>GO:0044445</v>
      </c>
      <c r="B493" t="s">
        <v>3716</v>
      </c>
      <c r="C493">
        <v>110</v>
      </c>
      <c r="D493">
        <v>22</v>
      </c>
      <c r="E493" s="2">
        <v>3.9543904378331697E-9</v>
      </c>
      <c r="F493" s="2">
        <v>3.5589513940498603E-8</v>
      </c>
      <c r="G493" t="s">
        <v>3715</v>
      </c>
    </row>
    <row r="494" spans="1:7" x14ac:dyDescent="0.25">
      <c r="A494" s="4" t="str">
        <f>HYPERLINK("http://amigo.geneontology.org/cgi-bin/amigo/term-details.cgi?term=GO:0098791","GO:0098791")</f>
        <v>GO:0098791</v>
      </c>
      <c r="B494" t="s">
        <v>1242</v>
      </c>
      <c r="C494">
        <v>150</v>
      </c>
      <c r="D494">
        <v>26</v>
      </c>
      <c r="E494" s="2">
        <v>3.9859456693846999E-9</v>
      </c>
      <c r="F494" s="2">
        <v>3.5873511024462299E-8</v>
      </c>
      <c r="G494" t="s">
        <v>3714</v>
      </c>
    </row>
    <row r="495" spans="1:7" x14ac:dyDescent="0.25">
      <c r="A495" s="4" t="str">
        <f>HYPERLINK("http://amigo.geneontology.org/cgi-bin/amigo/term-details.cgi?term=GO:0006165","GO:0006165")</f>
        <v>GO:0006165</v>
      </c>
      <c r="B495" t="s">
        <v>682</v>
      </c>
      <c r="C495">
        <v>276</v>
      </c>
      <c r="D495">
        <v>37</v>
      </c>
      <c r="E495" s="2">
        <v>4.2923374893158801E-9</v>
      </c>
      <c r="F495" s="2">
        <v>3.8631037403842901E-8</v>
      </c>
      <c r="G495" t="s">
        <v>3633</v>
      </c>
    </row>
    <row r="496" spans="1:7" x14ac:dyDescent="0.25">
      <c r="A496" s="4" t="str">
        <f>HYPERLINK("http://amigo.geneontology.org/cgi-bin/amigo/term-details.cgi?term=GO:0007059","GO:0007059")</f>
        <v>GO:0007059</v>
      </c>
      <c r="B496" t="s">
        <v>1109</v>
      </c>
      <c r="C496">
        <v>183</v>
      </c>
      <c r="D496">
        <v>29</v>
      </c>
      <c r="E496" s="2">
        <v>4.4368299371252198E-9</v>
      </c>
      <c r="F496" s="2">
        <v>3.9931469434127E-8</v>
      </c>
      <c r="G496" t="s">
        <v>3713</v>
      </c>
    </row>
    <row r="497" spans="1:7" x14ac:dyDescent="0.25">
      <c r="A497" s="4" t="str">
        <f>HYPERLINK("http://amigo.geneontology.org/cgi-bin/amigo/term-details.cgi?term=GO:0097435","GO:0097435")</f>
        <v>GO:0097435</v>
      </c>
      <c r="B497" t="s">
        <v>3712</v>
      </c>
      <c r="C497">
        <v>206</v>
      </c>
      <c r="D497">
        <v>31</v>
      </c>
      <c r="E497" s="2">
        <v>4.7590931058842598E-9</v>
      </c>
      <c r="F497" s="2">
        <v>4.2831837952958302E-8</v>
      </c>
      <c r="G497" t="s">
        <v>3711</v>
      </c>
    </row>
    <row r="498" spans="1:7" x14ac:dyDescent="0.25">
      <c r="A498" s="4" t="str">
        <f>HYPERLINK("http://amigo.geneontology.org/cgi-bin/amigo/term-details.cgi?term=GO:0006066","GO:0006066")</f>
        <v>GO:0006066</v>
      </c>
      <c r="B498" t="s">
        <v>3710</v>
      </c>
      <c r="C498">
        <v>207</v>
      </c>
      <c r="D498">
        <v>31</v>
      </c>
      <c r="E498" s="2">
        <v>5.3561616677477601E-9</v>
      </c>
      <c r="F498" s="2">
        <v>4.8205455009729798E-8</v>
      </c>
      <c r="G498" t="s">
        <v>3709</v>
      </c>
    </row>
    <row r="499" spans="1:7" x14ac:dyDescent="0.25">
      <c r="A499" s="4" t="str">
        <f>HYPERLINK("http://amigo.geneontology.org/cgi-bin/amigo/term-details.cgi?term=GO:0009067","GO:0009067")</f>
        <v>GO:0009067</v>
      </c>
      <c r="B499" t="s">
        <v>1099</v>
      </c>
      <c r="C499">
        <v>163</v>
      </c>
      <c r="D499">
        <v>27</v>
      </c>
      <c r="E499" s="2">
        <v>5.6066982713509998E-9</v>
      </c>
      <c r="F499" s="2">
        <v>5.0460284442159002E-8</v>
      </c>
      <c r="G499" t="s">
        <v>3647</v>
      </c>
    </row>
    <row r="500" spans="1:7" x14ac:dyDescent="0.25">
      <c r="A500" s="4" t="str">
        <f>HYPERLINK("http://amigo.geneontology.org/cgi-bin/amigo/term-details.cgi?term=GO:0048869","GO:0048869")</f>
        <v>GO:0048869</v>
      </c>
      <c r="B500" t="s">
        <v>3708</v>
      </c>
      <c r="C500">
        <v>617</v>
      </c>
      <c r="D500">
        <v>62</v>
      </c>
      <c r="E500" s="2">
        <v>5.6423256054003302E-9</v>
      </c>
      <c r="F500" s="2">
        <v>5.0780930448603003E-8</v>
      </c>
      <c r="G500" t="s">
        <v>3707</v>
      </c>
    </row>
    <row r="501" spans="1:7" x14ac:dyDescent="0.25">
      <c r="A501" s="4" t="str">
        <f>HYPERLINK("http://amigo.geneontology.org/cgi-bin/amigo/term-details.cgi?term=GO:0044459","GO:0044459")</f>
        <v>GO:0044459</v>
      </c>
      <c r="B501" t="s">
        <v>431</v>
      </c>
      <c r="C501">
        <v>153</v>
      </c>
      <c r="D501">
        <v>26</v>
      </c>
      <c r="E501" s="2">
        <v>6.13553681313435E-9</v>
      </c>
      <c r="F501" s="2">
        <v>5.5219831318209099E-8</v>
      </c>
      <c r="G501" t="s">
        <v>3706</v>
      </c>
    </row>
    <row r="502" spans="1:7" x14ac:dyDescent="0.25">
      <c r="A502" s="4" t="str">
        <f>HYPERLINK("http://amigo.geneontology.org/cgi-bin/amigo/term-details.cgi?term=GO:1901606","GO:1901606")</f>
        <v>GO:1901606</v>
      </c>
      <c r="B502" t="s">
        <v>548</v>
      </c>
      <c r="C502">
        <v>220</v>
      </c>
      <c r="D502">
        <v>32</v>
      </c>
      <c r="E502" s="2">
        <v>6.3437716941438099E-9</v>
      </c>
      <c r="F502" s="2">
        <v>5.70939452472943E-8</v>
      </c>
      <c r="G502" t="s">
        <v>3679</v>
      </c>
    </row>
    <row r="503" spans="1:7" x14ac:dyDescent="0.25">
      <c r="A503" s="4" t="str">
        <f>HYPERLINK("http://amigo.geneontology.org/cgi-bin/amigo/term-details.cgi?term=GO:0009106","GO:0009106")</f>
        <v>GO:0009106</v>
      </c>
      <c r="B503" t="s">
        <v>3705</v>
      </c>
      <c r="C503">
        <v>45</v>
      </c>
      <c r="D503">
        <v>14</v>
      </c>
      <c r="E503" s="2">
        <v>6.4386426826674502E-9</v>
      </c>
      <c r="F503" s="2">
        <v>5.7947784144006997E-8</v>
      </c>
      <c r="G503" t="s">
        <v>3704</v>
      </c>
    </row>
    <row r="504" spans="1:7" x14ac:dyDescent="0.25">
      <c r="A504" s="4" t="str">
        <f>HYPERLINK("http://amigo.geneontology.org/cgi-bin/amigo/term-details.cgi?term=GO:0009538","GO:0009538")</f>
        <v>GO:0009538</v>
      </c>
      <c r="B504" t="s">
        <v>471</v>
      </c>
      <c r="C504">
        <v>16</v>
      </c>
      <c r="D504">
        <v>9</v>
      </c>
      <c r="E504" s="2">
        <v>6.69461902468545E-9</v>
      </c>
      <c r="F504" s="2">
        <v>6.02515712221691E-8</v>
      </c>
      <c r="G504" t="s">
        <v>1169</v>
      </c>
    </row>
    <row r="505" spans="1:7" x14ac:dyDescent="0.25">
      <c r="A505" s="4" t="str">
        <f>HYPERLINK("http://amigo.geneontology.org/cgi-bin/amigo/term-details.cgi?term=GO:0008094","GO:0008094")</f>
        <v>GO:0008094</v>
      </c>
      <c r="B505" t="s">
        <v>740</v>
      </c>
      <c r="C505">
        <v>133</v>
      </c>
      <c r="D505">
        <v>24</v>
      </c>
      <c r="E505" s="2">
        <v>6.8410140928632298E-9</v>
      </c>
      <c r="F505" s="2">
        <v>6.1569126835769005E-8</v>
      </c>
      <c r="G505" t="s">
        <v>3703</v>
      </c>
    </row>
    <row r="506" spans="1:7" x14ac:dyDescent="0.25">
      <c r="A506" s="4" t="str">
        <f>HYPERLINK("http://amigo.geneontology.org/cgi-bin/amigo/term-details.cgi?term=GO:0006325","GO:0006325")</f>
        <v>GO:0006325</v>
      </c>
      <c r="B506" t="s">
        <v>3702</v>
      </c>
      <c r="C506">
        <v>953</v>
      </c>
      <c r="D506">
        <v>84</v>
      </c>
      <c r="E506" s="2">
        <v>6.9085059672115198E-9</v>
      </c>
      <c r="F506" s="2">
        <v>6.2176553704903699E-8</v>
      </c>
      <c r="G506" t="s">
        <v>3701</v>
      </c>
    </row>
    <row r="507" spans="1:7" x14ac:dyDescent="0.25">
      <c r="A507" s="4" t="str">
        <f>HYPERLINK("http://amigo.geneontology.org/cgi-bin/amigo/term-details.cgi?term=GO:0071555","GO:0071555")</f>
        <v>GO:0071555</v>
      </c>
      <c r="B507" t="s">
        <v>3700</v>
      </c>
      <c r="C507">
        <v>577</v>
      </c>
      <c r="D507">
        <v>59</v>
      </c>
      <c r="E507" s="2">
        <v>6.9156083559070396E-9</v>
      </c>
      <c r="F507" s="2">
        <v>6.2240475203163403E-8</v>
      </c>
      <c r="G507" t="s">
        <v>3699</v>
      </c>
    </row>
    <row r="508" spans="1:7" x14ac:dyDescent="0.25">
      <c r="A508" s="4" t="str">
        <f>HYPERLINK("http://amigo.geneontology.org/cgi-bin/amigo/term-details.cgi?term=GO:0009132","GO:0009132")</f>
        <v>GO:0009132</v>
      </c>
      <c r="B508" t="s">
        <v>680</v>
      </c>
      <c r="C508">
        <v>281</v>
      </c>
      <c r="D508">
        <v>37</v>
      </c>
      <c r="E508" s="2">
        <v>7.0084676149185398E-9</v>
      </c>
      <c r="F508" s="2">
        <v>6.3076208534266894E-8</v>
      </c>
      <c r="G508" t="s">
        <v>3633</v>
      </c>
    </row>
    <row r="509" spans="1:7" x14ac:dyDescent="0.25">
      <c r="A509" s="4" t="str">
        <f>HYPERLINK("http://amigo.geneontology.org/cgi-bin/amigo/term-details.cgi?term=GO:0010393","GO:0010393")</f>
        <v>GO:0010393</v>
      </c>
      <c r="B509" t="s">
        <v>3698</v>
      </c>
      <c r="C509">
        <v>77</v>
      </c>
      <c r="D509">
        <v>18</v>
      </c>
      <c r="E509" s="2">
        <v>7.5518412611822893E-9</v>
      </c>
      <c r="F509" s="2">
        <v>6.7966571350640599E-8</v>
      </c>
      <c r="G509" t="s">
        <v>3696</v>
      </c>
    </row>
    <row r="510" spans="1:7" x14ac:dyDescent="0.25">
      <c r="A510" s="4" t="str">
        <f>HYPERLINK("http://amigo.geneontology.org/cgi-bin/amigo/term-details.cgi?term=GO:0045488","GO:0045488")</f>
        <v>GO:0045488</v>
      </c>
      <c r="B510" t="s">
        <v>3697</v>
      </c>
      <c r="C510">
        <v>77</v>
      </c>
      <c r="D510">
        <v>18</v>
      </c>
      <c r="E510" s="2">
        <v>7.5518412611822893E-9</v>
      </c>
      <c r="F510" s="2">
        <v>6.7966571350640599E-8</v>
      </c>
      <c r="G510" t="s">
        <v>3696</v>
      </c>
    </row>
    <row r="511" spans="1:7" x14ac:dyDescent="0.25">
      <c r="A511" s="4" t="str">
        <f>HYPERLINK("http://amigo.geneontology.org/cgi-bin/amigo/term-details.cgi?term=GO:0034613","GO:0034613")</f>
        <v>GO:0034613</v>
      </c>
      <c r="B511" t="s">
        <v>656</v>
      </c>
      <c r="C511">
        <v>1179</v>
      </c>
      <c r="D511">
        <v>98</v>
      </c>
      <c r="E511" s="2">
        <v>8.0484826497895102E-9</v>
      </c>
      <c r="F511" s="2">
        <v>7.2436343848105596E-8</v>
      </c>
      <c r="G511" t="s">
        <v>3689</v>
      </c>
    </row>
    <row r="512" spans="1:7" x14ac:dyDescent="0.25">
      <c r="A512" s="4" t="str">
        <f>HYPERLINK("http://amigo.geneontology.org/cgi-bin/amigo/term-details.cgi?term=GO:0009664","GO:0009664")</f>
        <v>GO:0009664</v>
      </c>
      <c r="B512" t="s">
        <v>1326</v>
      </c>
      <c r="C512">
        <v>234</v>
      </c>
      <c r="D512">
        <v>33</v>
      </c>
      <c r="E512" s="2">
        <v>8.1306990155899294E-9</v>
      </c>
      <c r="F512" s="2">
        <v>6.5045592124719396E-8</v>
      </c>
      <c r="G512" t="s">
        <v>3695</v>
      </c>
    </row>
    <row r="513" spans="1:7" x14ac:dyDescent="0.25">
      <c r="A513" s="4" t="str">
        <f>HYPERLINK("http://amigo.geneontology.org/cgi-bin/amigo/term-details.cgi?term=GO:0009694","GO:0009694")</f>
        <v>GO:0009694</v>
      </c>
      <c r="B513" t="s">
        <v>3694</v>
      </c>
      <c r="C513">
        <v>61</v>
      </c>
      <c r="D513">
        <v>16</v>
      </c>
      <c r="E513" s="2">
        <v>8.5878187524014094E-9</v>
      </c>
      <c r="F513" s="2">
        <v>6.8702550019211301E-8</v>
      </c>
      <c r="G513" t="s">
        <v>3693</v>
      </c>
    </row>
    <row r="514" spans="1:7" x14ac:dyDescent="0.25">
      <c r="A514" s="4" t="str">
        <f>HYPERLINK("http://amigo.geneontology.org/cgi-bin/amigo/term-details.cgi?term=GO:0009135","GO:0009135")</f>
        <v>GO:0009135</v>
      </c>
      <c r="B514" t="s">
        <v>679</v>
      </c>
      <c r="C514">
        <v>259</v>
      </c>
      <c r="D514">
        <v>35</v>
      </c>
      <c r="E514" s="2">
        <v>8.9955862740200507E-9</v>
      </c>
      <c r="F514" s="2">
        <v>7.1964690192160406E-8</v>
      </c>
      <c r="G514" t="s">
        <v>3692</v>
      </c>
    </row>
    <row r="515" spans="1:7" x14ac:dyDescent="0.25">
      <c r="A515" s="4" t="str">
        <f>HYPERLINK("http://amigo.geneontology.org/cgi-bin/amigo/term-details.cgi?term=GO:0009185","GO:0009185")</f>
        <v>GO:0009185</v>
      </c>
      <c r="B515" t="s">
        <v>678</v>
      </c>
      <c r="C515">
        <v>259</v>
      </c>
      <c r="D515">
        <v>35</v>
      </c>
      <c r="E515" s="2">
        <v>8.9955862740200507E-9</v>
      </c>
      <c r="F515" s="2">
        <v>7.1964690192160406E-8</v>
      </c>
      <c r="G515" t="s">
        <v>3692</v>
      </c>
    </row>
    <row r="516" spans="1:7" x14ac:dyDescent="0.25">
      <c r="A516" s="4" t="str">
        <f>HYPERLINK("http://amigo.geneontology.org/cgi-bin/amigo/term-details.cgi?term=GO:0009179","GO:0009179")</f>
        <v>GO:0009179</v>
      </c>
      <c r="B516" t="s">
        <v>677</v>
      </c>
      <c r="C516">
        <v>259</v>
      </c>
      <c r="D516">
        <v>35</v>
      </c>
      <c r="E516" s="2">
        <v>8.9955862740200507E-9</v>
      </c>
      <c r="F516" s="2">
        <v>7.1964690192160406E-8</v>
      </c>
      <c r="G516" t="s">
        <v>3692</v>
      </c>
    </row>
    <row r="517" spans="1:7" x14ac:dyDescent="0.25">
      <c r="A517" s="4" t="str">
        <f>HYPERLINK("http://amigo.geneontology.org/cgi-bin/amigo/term-details.cgi?term=GO:0046031","GO:0046031")</f>
        <v>GO:0046031</v>
      </c>
      <c r="B517" t="s">
        <v>676</v>
      </c>
      <c r="C517">
        <v>259</v>
      </c>
      <c r="D517">
        <v>35</v>
      </c>
      <c r="E517" s="2">
        <v>8.9955862740200507E-9</v>
      </c>
      <c r="F517" s="2">
        <v>7.1964690192160406E-8</v>
      </c>
      <c r="G517" t="s">
        <v>3692</v>
      </c>
    </row>
    <row r="518" spans="1:7" x14ac:dyDescent="0.25">
      <c r="A518" s="4" t="str">
        <f>HYPERLINK("http://amigo.geneontology.org/cgi-bin/amigo/term-details.cgi?term=GO:0006757","GO:0006757")</f>
        <v>GO:0006757</v>
      </c>
      <c r="B518" t="s">
        <v>675</v>
      </c>
      <c r="C518">
        <v>259</v>
      </c>
      <c r="D518">
        <v>35</v>
      </c>
      <c r="E518" s="2">
        <v>8.9955862740200507E-9</v>
      </c>
      <c r="F518" s="2">
        <v>7.1964690192160406E-8</v>
      </c>
      <c r="G518" t="s">
        <v>3692</v>
      </c>
    </row>
    <row r="519" spans="1:7" x14ac:dyDescent="0.25">
      <c r="A519" s="4" t="str">
        <f>HYPERLINK("http://amigo.geneontology.org/cgi-bin/amigo/term-details.cgi?term=GO:0006096","GO:0006096")</f>
        <v>GO:0006096</v>
      </c>
      <c r="B519" t="s">
        <v>674</v>
      </c>
      <c r="C519">
        <v>259</v>
      </c>
      <c r="D519">
        <v>35</v>
      </c>
      <c r="E519" s="2">
        <v>8.9955862740200507E-9</v>
      </c>
      <c r="F519" s="2">
        <v>7.1964690192160406E-8</v>
      </c>
      <c r="G519" t="s">
        <v>3692</v>
      </c>
    </row>
    <row r="520" spans="1:7" x14ac:dyDescent="0.25">
      <c r="A520" s="4" t="str">
        <f>HYPERLINK("http://amigo.geneontology.org/cgi-bin/amigo/term-details.cgi?term=GO:2001070","GO:2001070")</f>
        <v>GO:2001070</v>
      </c>
      <c r="B520" t="s">
        <v>574</v>
      </c>
      <c r="C520">
        <v>33</v>
      </c>
      <c r="D520">
        <v>12</v>
      </c>
      <c r="E520" s="2">
        <v>1.0443702737038499E-8</v>
      </c>
      <c r="F520" s="2">
        <v>8.3549621896307996E-8</v>
      </c>
      <c r="G520" t="s">
        <v>3691</v>
      </c>
    </row>
    <row r="521" spans="1:7" x14ac:dyDescent="0.25">
      <c r="A521" s="4" t="str">
        <f>HYPERLINK("http://amigo.geneontology.org/cgi-bin/amigo/term-details.cgi?term=GO:1901575","GO:1901575")</f>
        <v>GO:1901575</v>
      </c>
      <c r="B521" t="s">
        <v>1063</v>
      </c>
      <c r="C521">
        <v>2326</v>
      </c>
      <c r="D521">
        <v>165</v>
      </c>
      <c r="E521" s="2">
        <v>1.07155587822911E-8</v>
      </c>
      <c r="F521" s="2">
        <v>8.5724470258329106E-8</v>
      </c>
      <c r="G521" t="s">
        <v>3690</v>
      </c>
    </row>
    <row r="522" spans="1:7" x14ac:dyDescent="0.25">
      <c r="A522" s="4" t="str">
        <f>HYPERLINK("http://amigo.geneontology.org/cgi-bin/amigo/term-details.cgi?term=GO:0070727","GO:0070727")</f>
        <v>GO:0070727</v>
      </c>
      <c r="B522" t="s">
        <v>852</v>
      </c>
      <c r="C522">
        <v>1186</v>
      </c>
      <c r="D522">
        <v>98</v>
      </c>
      <c r="E522" s="2">
        <v>1.07812401590065E-8</v>
      </c>
      <c r="F522" s="2">
        <v>8.6249921272052305E-8</v>
      </c>
      <c r="G522" t="s">
        <v>3689</v>
      </c>
    </row>
    <row r="523" spans="1:7" x14ac:dyDescent="0.25">
      <c r="A523" s="4" t="str">
        <f>HYPERLINK("http://amigo.geneontology.org/cgi-bin/amigo/term-details.cgi?term=GO:0051049","GO:0051049")</f>
        <v>GO:0051049</v>
      </c>
      <c r="B523" t="s">
        <v>3688</v>
      </c>
      <c r="C523">
        <v>136</v>
      </c>
      <c r="D523">
        <v>24</v>
      </c>
      <c r="E523" s="2">
        <v>1.07949790517758E-8</v>
      </c>
      <c r="F523" s="2">
        <v>8.6359832414206906E-8</v>
      </c>
      <c r="G523" t="s">
        <v>3687</v>
      </c>
    </row>
    <row r="524" spans="1:7" x14ac:dyDescent="0.25">
      <c r="A524" s="4" t="str">
        <f>HYPERLINK("http://amigo.geneontology.org/cgi-bin/amigo/term-details.cgi?term=GO:0035194","GO:0035194")</f>
        <v>GO:0035194</v>
      </c>
      <c r="B524" t="s">
        <v>3686</v>
      </c>
      <c r="C524">
        <v>136</v>
      </c>
      <c r="D524">
        <v>24</v>
      </c>
      <c r="E524" s="2">
        <v>1.07949790517758E-8</v>
      </c>
      <c r="F524" s="2">
        <v>8.6359832414206906E-8</v>
      </c>
      <c r="G524" t="s">
        <v>3685</v>
      </c>
    </row>
    <row r="525" spans="1:7" x14ac:dyDescent="0.25">
      <c r="A525" s="4" t="str">
        <f>HYPERLINK("http://amigo.geneontology.org/cgi-bin/amigo/term-details.cgi?term=GO:1990204","GO:1990204")</f>
        <v>GO:1990204</v>
      </c>
      <c r="B525" t="s">
        <v>750</v>
      </c>
      <c r="C525">
        <v>191</v>
      </c>
      <c r="D525">
        <v>29</v>
      </c>
      <c r="E525" s="2">
        <v>1.19736051699445E-8</v>
      </c>
      <c r="F525" s="2">
        <v>9.5788841359556596E-8</v>
      </c>
      <c r="G525" t="s">
        <v>3684</v>
      </c>
    </row>
    <row r="526" spans="1:7" x14ac:dyDescent="0.25">
      <c r="A526" s="4" t="str">
        <f>HYPERLINK("http://amigo.geneontology.org/cgi-bin/amigo/term-details.cgi?term=GO:0070838","GO:0070838")</f>
        <v>GO:0070838</v>
      </c>
      <c r="B526" t="s">
        <v>162</v>
      </c>
      <c r="C526">
        <v>250</v>
      </c>
      <c r="D526">
        <v>34</v>
      </c>
      <c r="E526" s="2">
        <v>1.2367778799875001E-8</v>
      </c>
      <c r="F526" s="2">
        <v>9.8942230399000403E-8</v>
      </c>
      <c r="G526" t="s">
        <v>3674</v>
      </c>
    </row>
    <row r="527" spans="1:7" x14ac:dyDescent="0.25">
      <c r="A527" s="4" t="str">
        <f>HYPERLINK("http://amigo.geneontology.org/cgi-bin/amigo/term-details.cgi?term=GO:0009768","GO:0009768")</f>
        <v>GO:0009768</v>
      </c>
      <c r="B527" t="s">
        <v>3683</v>
      </c>
      <c r="C527">
        <v>9</v>
      </c>
      <c r="D527">
        <v>7</v>
      </c>
      <c r="E527" s="2">
        <v>1.27552275514741E-8</v>
      </c>
      <c r="F527" s="2">
        <v>1.02041820411793E-7</v>
      </c>
      <c r="G527" t="s">
        <v>3682</v>
      </c>
    </row>
    <row r="528" spans="1:7" x14ac:dyDescent="0.25">
      <c r="A528" s="4" t="str">
        <f>HYPERLINK("http://amigo.geneontology.org/cgi-bin/amigo/term-details.cgi?term=GO:0006412","GO:0006412")</f>
        <v>GO:0006412</v>
      </c>
      <c r="B528" t="s">
        <v>789</v>
      </c>
      <c r="C528">
        <v>1759</v>
      </c>
      <c r="D528">
        <v>132</v>
      </c>
      <c r="E528" s="2">
        <v>1.32857109463002E-8</v>
      </c>
      <c r="F528" s="2">
        <v>1.06285687570402E-7</v>
      </c>
      <c r="G528" t="s">
        <v>3653</v>
      </c>
    </row>
    <row r="529" spans="1:7" x14ac:dyDescent="0.25">
      <c r="A529" s="4" t="str">
        <f>HYPERLINK("http://amigo.geneontology.org/cgi-bin/amigo/term-details.cgi?term=GO:0000347","GO:0000347")</f>
        <v>GO:0000347</v>
      </c>
      <c r="B529" t="s">
        <v>3681</v>
      </c>
      <c r="C529">
        <v>17</v>
      </c>
      <c r="D529">
        <v>9</v>
      </c>
      <c r="E529" s="2">
        <v>1.3650318752895501E-8</v>
      </c>
      <c r="F529" s="2">
        <v>1.0920255002316401E-7</v>
      </c>
      <c r="G529" t="s">
        <v>3680</v>
      </c>
    </row>
    <row r="530" spans="1:7" x14ac:dyDescent="0.25">
      <c r="A530" s="4" t="str">
        <f>HYPERLINK("http://amigo.geneontology.org/cgi-bin/amigo/term-details.cgi?term=GO:0009063","GO:0009063")</f>
        <v>GO:0009063</v>
      </c>
      <c r="B530" t="s">
        <v>1142</v>
      </c>
      <c r="C530">
        <v>227</v>
      </c>
      <c r="D530">
        <v>32</v>
      </c>
      <c r="E530" s="2">
        <v>1.3710742959723699E-8</v>
      </c>
      <c r="F530" s="2">
        <v>1.09685943677789E-7</v>
      </c>
      <c r="G530" t="s">
        <v>3679</v>
      </c>
    </row>
    <row r="531" spans="1:7" x14ac:dyDescent="0.25">
      <c r="A531" s="4" t="str">
        <f>HYPERLINK("http://amigo.geneontology.org/cgi-bin/amigo/term-details.cgi?term=GO:0009695","GO:0009695")</f>
        <v>GO:0009695</v>
      </c>
      <c r="B531" t="s">
        <v>3678</v>
      </c>
      <c r="C531">
        <v>55</v>
      </c>
      <c r="D531">
        <v>15</v>
      </c>
      <c r="E531" s="2">
        <v>1.39744857194571E-8</v>
      </c>
      <c r="F531" s="2">
        <v>1.11795885755656E-7</v>
      </c>
      <c r="G531" t="s">
        <v>3677</v>
      </c>
    </row>
    <row r="532" spans="1:7" x14ac:dyDescent="0.25">
      <c r="A532" s="4" t="str">
        <f>HYPERLINK("http://amigo.geneontology.org/cgi-bin/amigo/term-details.cgi?term=GO:0043604","GO:0043604")</f>
        <v>GO:0043604</v>
      </c>
      <c r="B532" t="s">
        <v>782</v>
      </c>
      <c r="C532">
        <v>1864</v>
      </c>
      <c r="D532">
        <v>138</v>
      </c>
      <c r="E532" s="2">
        <v>1.41744097697056E-8</v>
      </c>
      <c r="F532" s="2">
        <v>1.13395278157645E-7</v>
      </c>
      <c r="G532" t="s">
        <v>3676</v>
      </c>
    </row>
    <row r="533" spans="1:7" x14ac:dyDescent="0.25">
      <c r="A533" s="4" t="str">
        <f>HYPERLINK("http://amigo.geneontology.org/cgi-bin/amigo/term-details.cgi?term=GO:0009259","GO:0009259")</f>
        <v>GO:0009259</v>
      </c>
      <c r="B533" t="s">
        <v>513</v>
      </c>
      <c r="C533">
        <v>814</v>
      </c>
      <c r="D533">
        <v>74</v>
      </c>
      <c r="E533" s="2">
        <v>1.50765222203575E-8</v>
      </c>
      <c r="F533" s="2">
        <v>1.2061217776286E-7</v>
      </c>
      <c r="G533" t="s">
        <v>3675</v>
      </c>
    </row>
    <row r="534" spans="1:7" x14ac:dyDescent="0.25">
      <c r="A534" s="4" t="str">
        <f>HYPERLINK("http://amigo.geneontology.org/cgi-bin/amigo/term-details.cgi?term=GO:0072594","GO:0072594")</f>
        <v>GO:0072594</v>
      </c>
      <c r="B534" t="s">
        <v>528</v>
      </c>
      <c r="C534">
        <v>533</v>
      </c>
      <c r="D534">
        <v>55</v>
      </c>
      <c r="E534" s="2">
        <v>1.6095614149208599E-8</v>
      </c>
      <c r="F534" s="2">
        <v>1.2876491319366901E-7</v>
      </c>
      <c r="G534" t="s">
        <v>3632</v>
      </c>
    </row>
    <row r="535" spans="1:7" x14ac:dyDescent="0.25">
      <c r="A535" s="4" t="str">
        <f>HYPERLINK("http://amigo.geneontology.org/cgi-bin/amigo/term-details.cgi?term=GO:0072511","GO:0072511")</f>
        <v>GO:0072511</v>
      </c>
      <c r="B535" t="s">
        <v>163</v>
      </c>
      <c r="C535">
        <v>253</v>
      </c>
      <c r="D535">
        <v>34</v>
      </c>
      <c r="E535" s="2">
        <v>1.6735805969673599E-8</v>
      </c>
      <c r="F535" s="2">
        <v>1.3388644775738901E-7</v>
      </c>
      <c r="G535" t="s">
        <v>3674</v>
      </c>
    </row>
    <row r="536" spans="1:7" x14ac:dyDescent="0.25">
      <c r="A536" s="4" t="str">
        <f>HYPERLINK("http://amigo.geneontology.org/cgi-bin/amigo/term-details.cgi?term=GO:0042623","GO:0042623")</f>
        <v>GO:0042623</v>
      </c>
      <c r="B536" t="s">
        <v>279</v>
      </c>
      <c r="C536">
        <v>755</v>
      </c>
      <c r="D536">
        <v>70</v>
      </c>
      <c r="E536" s="2">
        <v>1.6772438521363301E-8</v>
      </c>
      <c r="F536" s="2">
        <v>1.3417950817090601E-7</v>
      </c>
      <c r="G536" t="s">
        <v>3673</v>
      </c>
    </row>
    <row r="537" spans="1:7" x14ac:dyDescent="0.25">
      <c r="A537" s="4" t="str">
        <f>HYPERLINK("http://amigo.geneontology.org/cgi-bin/amigo/term-details.cgi?term=GO:0043269","GO:0043269")</f>
        <v>GO:0043269</v>
      </c>
      <c r="B537" t="s">
        <v>3672</v>
      </c>
      <c r="C537">
        <v>129</v>
      </c>
      <c r="D537">
        <v>23</v>
      </c>
      <c r="E537" s="2">
        <v>1.7707834612874198E-8</v>
      </c>
      <c r="F537" s="2">
        <v>1.4166267690299401E-7</v>
      </c>
      <c r="G537" t="s">
        <v>3671</v>
      </c>
    </row>
    <row r="538" spans="1:7" x14ac:dyDescent="0.25">
      <c r="A538" s="4" t="str">
        <f>HYPERLINK("http://amigo.geneontology.org/cgi-bin/amigo/term-details.cgi?term=GO:0009743","GO:0009743")</f>
        <v>GO:0009743</v>
      </c>
      <c r="B538" t="s">
        <v>3670</v>
      </c>
      <c r="C538">
        <v>195</v>
      </c>
      <c r="D538">
        <v>29</v>
      </c>
      <c r="E538" s="2">
        <v>1.9229383953517601E-8</v>
      </c>
      <c r="F538" s="2">
        <v>1.5383507162814099E-7</v>
      </c>
      <c r="G538" t="s">
        <v>3669</v>
      </c>
    </row>
    <row r="539" spans="1:7" x14ac:dyDescent="0.25">
      <c r="A539" s="4" t="str">
        <f>HYPERLINK("http://amigo.geneontology.org/cgi-bin/amigo/term-details.cgi?term=GO:0016759","GO:0016759")</f>
        <v>GO:0016759</v>
      </c>
      <c r="B539" t="s">
        <v>595</v>
      </c>
      <c r="C539">
        <v>100</v>
      </c>
      <c r="D539">
        <v>20</v>
      </c>
      <c r="E539" s="2">
        <v>1.9830093828537099E-8</v>
      </c>
      <c r="F539" s="2">
        <v>1.58640750628296E-7</v>
      </c>
      <c r="G539" t="s">
        <v>1165</v>
      </c>
    </row>
    <row r="540" spans="1:7" x14ac:dyDescent="0.25">
      <c r="A540" s="4" t="str">
        <f>HYPERLINK("http://amigo.geneontology.org/cgi-bin/amigo/term-details.cgi?term=GO:0016760","GO:0016760")</f>
        <v>GO:0016760</v>
      </c>
      <c r="B540" t="s">
        <v>594</v>
      </c>
      <c r="C540">
        <v>100</v>
      </c>
      <c r="D540">
        <v>20</v>
      </c>
      <c r="E540" s="2">
        <v>1.9830093828537099E-8</v>
      </c>
      <c r="F540" s="2">
        <v>1.58640750628296E-7</v>
      </c>
      <c r="G540" t="s">
        <v>1165</v>
      </c>
    </row>
    <row r="541" spans="1:7" x14ac:dyDescent="0.25">
      <c r="A541" s="4" t="str">
        <f>HYPERLINK("http://amigo.geneontology.org/cgi-bin/amigo/term-details.cgi?term=GO:0019898","GO:0019898")</f>
        <v>GO:0019898</v>
      </c>
      <c r="B541" t="s">
        <v>880</v>
      </c>
      <c r="C541">
        <v>100</v>
      </c>
      <c r="D541">
        <v>20</v>
      </c>
      <c r="E541" s="2">
        <v>1.9830093828537099E-8</v>
      </c>
      <c r="F541" s="2">
        <v>1.58640750628296E-7</v>
      </c>
      <c r="G541" t="s">
        <v>3668</v>
      </c>
    </row>
    <row r="542" spans="1:7" x14ac:dyDescent="0.25">
      <c r="A542" s="4" t="str">
        <f>HYPERLINK("http://amigo.geneontology.org/cgi-bin/amigo/term-details.cgi?term=GO:0043603","GO:0043603")</f>
        <v>GO:0043603</v>
      </c>
      <c r="B542" t="s">
        <v>787</v>
      </c>
      <c r="C542">
        <v>1979</v>
      </c>
      <c r="D542">
        <v>144</v>
      </c>
      <c r="E542" s="2">
        <v>2.0095383110807499E-8</v>
      </c>
      <c r="F542" s="2">
        <v>1.6076306488645999E-7</v>
      </c>
      <c r="G542" t="s">
        <v>3667</v>
      </c>
    </row>
    <row r="543" spans="1:7" x14ac:dyDescent="0.25">
      <c r="A543" s="4" t="str">
        <f>HYPERLINK("http://amigo.geneontology.org/cgi-bin/amigo/term-details.cgi?term=GO:0045229","GO:0045229")</f>
        <v>GO:0045229</v>
      </c>
      <c r="B543" t="s">
        <v>3666</v>
      </c>
      <c r="C543">
        <v>609</v>
      </c>
      <c r="D543">
        <v>60</v>
      </c>
      <c r="E543" s="2">
        <v>2.0147885803101599E-8</v>
      </c>
      <c r="F543" s="2">
        <v>1.6118308642481301E-7</v>
      </c>
      <c r="G543" t="s">
        <v>3665</v>
      </c>
    </row>
    <row r="544" spans="1:7" x14ac:dyDescent="0.25">
      <c r="A544" s="4" t="str">
        <f>HYPERLINK("http://amigo.geneontology.org/cgi-bin/amigo/term-details.cgi?term=GO:0072330","GO:0072330")</f>
        <v>GO:0072330</v>
      </c>
      <c r="B544" t="s">
        <v>2011</v>
      </c>
      <c r="C544">
        <v>655</v>
      </c>
      <c r="D544">
        <v>63</v>
      </c>
      <c r="E544" s="2">
        <v>2.2240405395055699E-8</v>
      </c>
      <c r="F544" s="2">
        <v>1.7792324316044599E-7</v>
      </c>
      <c r="G544" t="s">
        <v>3664</v>
      </c>
    </row>
    <row r="545" spans="1:7" x14ac:dyDescent="0.25">
      <c r="A545" s="4" t="str">
        <f>HYPERLINK("http://amigo.geneontology.org/cgi-bin/amigo/term-details.cgi?term=GO:0000070","GO:0000070")</f>
        <v>GO:0000070</v>
      </c>
      <c r="B545" t="s">
        <v>1331</v>
      </c>
      <c r="C545">
        <v>35</v>
      </c>
      <c r="D545">
        <v>12</v>
      </c>
      <c r="E545" s="2">
        <v>2.2571367499312699E-8</v>
      </c>
      <c r="F545" s="2">
        <v>1.8057093999450101E-7</v>
      </c>
      <c r="G545" t="s">
        <v>3587</v>
      </c>
    </row>
    <row r="546" spans="1:7" x14ac:dyDescent="0.25">
      <c r="A546" s="4" t="str">
        <f>HYPERLINK("http://amigo.geneontology.org/cgi-bin/amigo/term-details.cgi?term=GO:0003924","GO:0003924")</f>
        <v>GO:0003924</v>
      </c>
      <c r="B546" t="s">
        <v>120</v>
      </c>
      <c r="C546">
        <v>468</v>
      </c>
      <c r="D546">
        <v>50</v>
      </c>
      <c r="E546" s="2">
        <v>2.3444341949335702E-8</v>
      </c>
      <c r="F546" s="2">
        <v>1.8755473559468601E-7</v>
      </c>
      <c r="G546" t="s">
        <v>3663</v>
      </c>
    </row>
    <row r="547" spans="1:7" x14ac:dyDescent="0.25">
      <c r="A547" s="4" t="str">
        <f>HYPERLINK("http://amigo.geneontology.org/cgi-bin/amigo/term-details.cgi?term=GO:0000229","GO:0000229")</f>
        <v>GO:0000229</v>
      </c>
      <c r="B547" t="s">
        <v>3662</v>
      </c>
      <c r="C547">
        <v>18</v>
      </c>
      <c r="D547">
        <v>9</v>
      </c>
      <c r="E547" s="2">
        <v>2.6196228458263802E-8</v>
      </c>
      <c r="F547" s="2">
        <v>2.0956982766610999E-7</v>
      </c>
      <c r="G547" t="s">
        <v>3660</v>
      </c>
    </row>
    <row r="548" spans="1:7" x14ac:dyDescent="0.25">
      <c r="A548" s="4" t="str">
        <f>HYPERLINK("http://amigo.geneontology.org/cgi-bin/amigo/term-details.cgi?term=GO:0009508","GO:0009508")</f>
        <v>GO:0009508</v>
      </c>
      <c r="B548" t="s">
        <v>3661</v>
      </c>
      <c r="C548">
        <v>18</v>
      </c>
      <c r="D548">
        <v>9</v>
      </c>
      <c r="E548" s="2">
        <v>2.6196228458263802E-8</v>
      </c>
      <c r="F548" s="2">
        <v>2.0956982766610999E-7</v>
      </c>
      <c r="G548" t="s">
        <v>3660</v>
      </c>
    </row>
    <row r="549" spans="1:7" x14ac:dyDescent="0.25">
      <c r="A549" s="4" t="str">
        <f>HYPERLINK("http://amigo.geneontology.org/cgi-bin/amigo/term-details.cgi?term=GO:0090697","GO:0090697")</f>
        <v>GO:0090697</v>
      </c>
      <c r="B549" t="s">
        <v>3659</v>
      </c>
      <c r="C549">
        <v>153</v>
      </c>
      <c r="D549">
        <v>25</v>
      </c>
      <c r="E549" s="2">
        <v>2.6807056118837999E-8</v>
      </c>
      <c r="F549" s="2">
        <v>2.1445644895070399E-7</v>
      </c>
      <c r="G549" t="s">
        <v>3658</v>
      </c>
    </row>
    <row r="550" spans="1:7" x14ac:dyDescent="0.25">
      <c r="A550" s="4" t="str">
        <f>HYPERLINK("http://amigo.geneontology.org/cgi-bin/amigo/term-details.cgi?term=GO:0071554","GO:0071554")</f>
        <v>GO:0071554</v>
      </c>
      <c r="B550" t="s">
        <v>3657</v>
      </c>
      <c r="C550">
        <v>1000</v>
      </c>
      <c r="D550">
        <v>85</v>
      </c>
      <c r="E550" s="2">
        <v>2.88575770775934E-8</v>
      </c>
      <c r="F550" s="2">
        <v>2.3086061662074701E-7</v>
      </c>
      <c r="G550" t="s">
        <v>3656</v>
      </c>
    </row>
    <row r="551" spans="1:7" x14ac:dyDescent="0.25">
      <c r="A551" s="4" t="str">
        <f>HYPERLINK("http://amigo.geneontology.org/cgi-bin/amigo/term-details.cgi?term=GO:0046165","GO:0046165")</f>
        <v>GO:0046165</v>
      </c>
      <c r="B551" t="s">
        <v>3655</v>
      </c>
      <c r="C551">
        <v>112</v>
      </c>
      <c r="D551">
        <v>21</v>
      </c>
      <c r="E551" s="2">
        <v>2.9222160897473399E-8</v>
      </c>
      <c r="F551" s="2">
        <v>2.33777287179787E-7</v>
      </c>
      <c r="G551" t="s">
        <v>3654</v>
      </c>
    </row>
    <row r="552" spans="1:7" x14ac:dyDescent="0.25">
      <c r="A552" s="4" t="str">
        <f>HYPERLINK("http://amigo.geneontology.org/cgi-bin/amigo/term-details.cgi?term=GO:0043043","GO:0043043")</f>
        <v>GO:0043043</v>
      </c>
      <c r="B552" t="s">
        <v>781</v>
      </c>
      <c r="C552">
        <v>1784</v>
      </c>
      <c r="D552">
        <v>132</v>
      </c>
      <c r="E552" s="2">
        <v>3.0068565176734602E-8</v>
      </c>
      <c r="F552" s="2">
        <v>2.4054852141387698E-7</v>
      </c>
      <c r="G552" t="s">
        <v>3653</v>
      </c>
    </row>
    <row r="553" spans="1:7" x14ac:dyDescent="0.25">
      <c r="A553" s="4" t="str">
        <f>HYPERLINK("http://amigo.geneontology.org/cgi-bin/amigo/term-details.cgi?term=GO:0040008","GO:0040008")</f>
        <v>GO:0040008</v>
      </c>
      <c r="B553" t="s">
        <v>3652</v>
      </c>
      <c r="C553">
        <v>154</v>
      </c>
      <c r="D553">
        <v>25</v>
      </c>
      <c r="E553" s="2">
        <v>3.0632976602573302E-8</v>
      </c>
      <c r="F553" s="2">
        <v>2.4506381282058599E-7</v>
      </c>
      <c r="G553" t="s">
        <v>3651</v>
      </c>
    </row>
    <row r="554" spans="1:7" x14ac:dyDescent="0.25">
      <c r="A554" s="4" t="str">
        <f>HYPERLINK("http://amigo.geneontology.org/cgi-bin/amigo/term-details.cgi?term=GO:0009072","GO:0009072")</f>
        <v>GO:0009072</v>
      </c>
      <c r="B554" t="s">
        <v>347</v>
      </c>
      <c r="C554">
        <v>336</v>
      </c>
      <c r="D554">
        <v>40</v>
      </c>
      <c r="E554" s="2">
        <v>3.11702205380254E-8</v>
      </c>
      <c r="F554" s="2">
        <v>2.4936176430420299E-7</v>
      </c>
      <c r="G554" t="s">
        <v>3650</v>
      </c>
    </row>
    <row r="555" spans="1:7" x14ac:dyDescent="0.25">
      <c r="A555" s="4" t="str">
        <f>HYPERLINK("http://amigo.geneontology.org/cgi-bin/amigo/term-details.cgi?term=GO:0009654","GO:0009654")</f>
        <v>GO:0009654</v>
      </c>
      <c r="B555" t="s">
        <v>760</v>
      </c>
      <c r="C555">
        <v>75</v>
      </c>
      <c r="D555">
        <v>17</v>
      </c>
      <c r="E555" s="2">
        <v>3.2065761361900899E-8</v>
      </c>
      <c r="F555" s="2">
        <v>2.5652609089520698E-7</v>
      </c>
      <c r="G555" t="s">
        <v>1228</v>
      </c>
    </row>
    <row r="556" spans="1:7" x14ac:dyDescent="0.25">
      <c r="A556" s="4" t="str">
        <f>HYPERLINK("http://amigo.geneontology.org/cgi-bin/amigo/term-details.cgi?term=GO:0006518","GO:0006518")</f>
        <v>GO:0006518</v>
      </c>
      <c r="B556" t="s">
        <v>791</v>
      </c>
      <c r="C556">
        <v>1842</v>
      </c>
      <c r="D556">
        <v>135</v>
      </c>
      <c r="E556" s="2">
        <v>3.6557129913007099E-8</v>
      </c>
      <c r="F556" s="2">
        <v>2.92457039304057E-7</v>
      </c>
      <c r="G556" t="s">
        <v>3649</v>
      </c>
    </row>
    <row r="557" spans="1:7" x14ac:dyDescent="0.25">
      <c r="A557" s="4" t="str">
        <f>HYPERLINK("http://amigo.geneontology.org/cgi-bin/amigo/term-details.cgi?term=GO:0004820","GO:0004820")</f>
        <v>GO:0004820</v>
      </c>
      <c r="B557" t="s">
        <v>747</v>
      </c>
      <c r="C557">
        <v>10</v>
      </c>
      <c r="D557">
        <v>7</v>
      </c>
      <c r="E557" s="2">
        <v>4.0840750585978599E-8</v>
      </c>
      <c r="F557" s="2">
        <v>3.2672600468782799E-7</v>
      </c>
      <c r="G557" t="s">
        <v>1345</v>
      </c>
    </row>
    <row r="558" spans="1:7" x14ac:dyDescent="0.25">
      <c r="A558" s="4" t="str">
        <f>HYPERLINK("http://amigo.geneontology.org/cgi-bin/amigo/term-details.cgi?term=GO:0006426","GO:0006426")</f>
        <v>GO:0006426</v>
      </c>
      <c r="B558" t="s">
        <v>746</v>
      </c>
      <c r="C558">
        <v>10</v>
      </c>
      <c r="D558">
        <v>7</v>
      </c>
      <c r="E558" s="2">
        <v>4.0840750585978599E-8</v>
      </c>
      <c r="F558" s="2">
        <v>3.2672600468782799E-7</v>
      </c>
      <c r="G558" t="s">
        <v>1345</v>
      </c>
    </row>
    <row r="559" spans="1:7" x14ac:dyDescent="0.25">
      <c r="A559" s="4" t="str">
        <f>HYPERLINK("http://amigo.geneontology.org/cgi-bin/amigo/term-details.cgi?term=GO:0006766","GO:0006766")</f>
        <v>GO:0006766</v>
      </c>
      <c r="B559" t="s">
        <v>1325</v>
      </c>
      <c r="C559">
        <v>179</v>
      </c>
      <c r="D559">
        <v>27</v>
      </c>
      <c r="E559" s="2">
        <v>4.3189933660816599E-8</v>
      </c>
      <c r="F559" s="2">
        <v>3.45519469286533E-7</v>
      </c>
      <c r="G559" t="s">
        <v>3648</v>
      </c>
    </row>
    <row r="560" spans="1:7" x14ac:dyDescent="0.25">
      <c r="A560" s="4" t="str">
        <f>HYPERLINK("http://amigo.geneontology.org/cgi-bin/amigo/term-details.cgi?term=GO:0009066","GO:0009066")</f>
        <v>GO:0009066</v>
      </c>
      <c r="B560" t="s">
        <v>1076</v>
      </c>
      <c r="C560">
        <v>179</v>
      </c>
      <c r="D560">
        <v>27</v>
      </c>
      <c r="E560" s="2">
        <v>4.3189933660816599E-8</v>
      </c>
      <c r="F560" s="2">
        <v>3.45519469286533E-7</v>
      </c>
      <c r="G560" t="s">
        <v>3647</v>
      </c>
    </row>
    <row r="561" spans="1:7" x14ac:dyDescent="0.25">
      <c r="A561" s="4" t="str">
        <f>HYPERLINK("http://amigo.geneontology.org/cgi-bin/amigo/term-details.cgi?term=GO:0033554","GO:0033554")</f>
        <v>GO:0033554</v>
      </c>
      <c r="B561" t="s">
        <v>845</v>
      </c>
      <c r="C561">
        <v>962</v>
      </c>
      <c r="D561">
        <v>82</v>
      </c>
      <c r="E561" s="2">
        <v>4.4516707935896097E-8</v>
      </c>
      <c r="F561" s="2">
        <v>3.5613366348716899E-7</v>
      </c>
      <c r="G561" t="s">
        <v>3646</v>
      </c>
    </row>
    <row r="562" spans="1:7" x14ac:dyDescent="0.25">
      <c r="A562" s="4" t="str">
        <f>HYPERLINK("http://amigo.geneontology.org/cgi-bin/amigo/term-details.cgi?term=GO:0071705","GO:0071705")</f>
        <v>GO:0071705</v>
      </c>
      <c r="B562" t="s">
        <v>231</v>
      </c>
      <c r="C562">
        <v>1936</v>
      </c>
      <c r="D562">
        <v>140</v>
      </c>
      <c r="E562" s="2">
        <v>4.5427461297452102E-8</v>
      </c>
      <c r="F562" s="2">
        <v>3.6341969037961697E-7</v>
      </c>
      <c r="G562" t="s">
        <v>3645</v>
      </c>
    </row>
    <row r="563" spans="1:7" x14ac:dyDescent="0.25">
      <c r="A563" s="4" t="str">
        <f>HYPERLINK("http://amigo.geneontology.org/cgi-bin/amigo/term-details.cgi?term=GO:0048449","GO:0048449")</f>
        <v>GO:0048449</v>
      </c>
      <c r="B563" t="s">
        <v>3644</v>
      </c>
      <c r="C563">
        <v>115</v>
      </c>
      <c r="D563">
        <v>21</v>
      </c>
      <c r="E563" s="2">
        <v>4.7247784349517E-8</v>
      </c>
      <c r="F563" s="2">
        <v>3.77982274796136E-7</v>
      </c>
      <c r="G563" t="s">
        <v>3643</v>
      </c>
    </row>
    <row r="564" spans="1:7" x14ac:dyDescent="0.25">
      <c r="A564" s="4" t="str">
        <f>HYPERLINK("http://amigo.geneontology.org/cgi-bin/amigo/term-details.cgi?term=GO:0043207","GO:0043207")</f>
        <v>GO:0043207</v>
      </c>
      <c r="B564" t="s">
        <v>2183</v>
      </c>
      <c r="C564">
        <v>537</v>
      </c>
      <c r="D564">
        <v>54</v>
      </c>
      <c r="E564" s="2">
        <v>5.1104848724093002E-8</v>
      </c>
      <c r="F564" s="2">
        <v>4.0883878979274401E-7</v>
      </c>
      <c r="G564" t="s">
        <v>3642</v>
      </c>
    </row>
    <row r="565" spans="1:7" x14ac:dyDescent="0.25">
      <c r="A565" s="4" t="str">
        <f>HYPERLINK("http://amigo.geneontology.org/cgi-bin/amigo/term-details.cgi?term=GO:0051707","GO:0051707")</f>
        <v>GO:0051707</v>
      </c>
      <c r="B565" t="s">
        <v>2182</v>
      </c>
      <c r="C565">
        <v>537</v>
      </c>
      <c r="D565">
        <v>54</v>
      </c>
      <c r="E565" s="2">
        <v>5.1104848724093002E-8</v>
      </c>
      <c r="F565" s="2">
        <v>4.0883878979274401E-7</v>
      </c>
      <c r="G565" t="s">
        <v>3642</v>
      </c>
    </row>
    <row r="566" spans="1:7" x14ac:dyDescent="0.25">
      <c r="A566" s="4" t="str">
        <f>HYPERLINK("http://amigo.geneontology.org/cgi-bin/amigo/term-details.cgi?term=GO:0000315","GO:0000315")</f>
        <v>GO:0000315</v>
      </c>
      <c r="B566" t="s">
        <v>3641</v>
      </c>
      <c r="C566">
        <v>7</v>
      </c>
      <c r="D566">
        <v>6</v>
      </c>
      <c r="E566" s="2">
        <v>5.7250035231525201E-8</v>
      </c>
      <c r="F566" s="2">
        <v>4.5800028185220198E-7</v>
      </c>
      <c r="G566" t="s">
        <v>3639</v>
      </c>
    </row>
    <row r="567" spans="1:7" x14ac:dyDescent="0.25">
      <c r="A567" s="4" t="str">
        <f>HYPERLINK("http://amigo.geneontology.org/cgi-bin/amigo/term-details.cgi?term=GO:0000311","GO:0000311")</f>
        <v>GO:0000311</v>
      </c>
      <c r="B567" t="s">
        <v>3640</v>
      </c>
      <c r="C567">
        <v>7</v>
      </c>
      <c r="D567">
        <v>6</v>
      </c>
      <c r="E567" s="2">
        <v>5.7250035231525201E-8</v>
      </c>
      <c r="F567" s="2">
        <v>4.5800028185220198E-7</v>
      </c>
      <c r="G567" t="s">
        <v>3639</v>
      </c>
    </row>
    <row r="568" spans="1:7" x14ac:dyDescent="0.25">
      <c r="A568" s="4" t="str">
        <f>HYPERLINK("http://amigo.geneontology.org/cgi-bin/amigo/term-details.cgi?term=GO:0042026","GO:0042026")</f>
        <v>GO:0042026</v>
      </c>
      <c r="B568" t="s">
        <v>862</v>
      </c>
      <c r="C568">
        <v>31</v>
      </c>
      <c r="D568">
        <v>11</v>
      </c>
      <c r="E568" s="2">
        <v>5.8030794680362002E-8</v>
      </c>
      <c r="F568" s="2">
        <v>4.6424635744289602E-7</v>
      </c>
      <c r="G568" t="s">
        <v>1404</v>
      </c>
    </row>
    <row r="569" spans="1:7" x14ac:dyDescent="0.25">
      <c r="A569" s="4" t="str">
        <f>HYPERLINK("http://amigo.geneontology.org/cgi-bin/amigo/term-details.cgi?term=GO:0046835","GO:0046835")</f>
        <v>GO:0046835</v>
      </c>
      <c r="B569" t="s">
        <v>1130</v>
      </c>
      <c r="C569">
        <v>78</v>
      </c>
      <c r="D569">
        <v>17</v>
      </c>
      <c r="E569" s="2">
        <v>5.9567792047191899E-8</v>
      </c>
      <c r="F569" s="2">
        <v>4.7654233637753498E-7</v>
      </c>
      <c r="G569" t="s">
        <v>3638</v>
      </c>
    </row>
    <row r="570" spans="1:7" x14ac:dyDescent="0.25">
      <c r="A570" s="4" t="str">
        <f>HYPERLINK("http://amigo.geneontology.org/cgi-bin/amigo/term-details.cgi?term=GO:0046474","GO:0046474")</f>
        <v>GO:0046474</v>
      </c>
      <c r="B570" t="s">
        <v>554</v>
      </c>
      <c r="C570">
        <v>254</v>
      </c>
      <c r="D570">
        <v>33</v>
      </c>
      <c r="E570" s="2">
        <v>6.13039392389133E-8</v>
      </c>
      <c r="F570" s="2">
        <v>4.9043151391130704E-7</v>
      </c>
      <c r="G570" t="s">
        <v>3637</v>
      </c>
    </row>
    <row r="571" spans="1:7" x14ac:dyDescent="0.25">
      <c r="A571" s="4" t="str">
        <f>HYPERLINK("http://amigo.geneontology.org/cgi-bin/amigo/term-details.cgi?term=GO:0048444","GO:0048444")</f>
        <v>GO:0048444</v>
      </c>
      <c r="B571" t="s">
        <v>3636</v>
      </c>
      <c r="C571">
        <v>127</v>
      </c>
      <c r="D571">
        <v>22</v>
      </c>
      <c r="E571" s="2">
        <v>6.1358520454867499E-8</v>
      </c>
      <c r="F571" s="2">
        <v>4.9086816363893999E-7</v>
      </c>
      <c r="G571" t="s">
        <v>3635</v>
      </c>
    </row>
    <row r="572" spans="1:7" x14ac:dyDescent="0.25">
      <c r="A572" s="4" t="str">
        <f>HYPERLINK("http://amigo.geneontology.org/cgi-bin/amigo/term-details.cgi?term=GO:0070726","GO:0070726")</f>
        <v>GO:0070726</v>
      </c>
      <c r="B572" t="s">
        <v>654</v>
      </c>
      <c r="C572">
        <v>38</v>
      </c>
      <c r="D572">
        <v>12</v>
      </c>
      <c r="E572" s="2">
        <v>6.4523956465744496E-8</v>
      </c>
      <c r="F572" s="2">
        <v>5.1619165172595597E-7</v>
      </c>
      <c r="G572" t="s">
        <v>1163</v>
      </c>
    </row>
    <row r="573" spans="1:7" x14ac:dyDescent="0.25">
      <c r="A573" s="4" t="str">
        <f>HYPERLINK("http://amigo.geneontology.org/cgi-bin/amigo/term-details.cgi?term=GO:0071668","GO:0071668")</f>
        <v>GO:0071668</v>
      </c>
      <c r="B573" t="s">
        <v>652</v>
      </c>
      <c r="C573">
        <v>38</v>
      </c>
      <c r="D573">
        <v>12</v>
      </c>
      <c r="E573" s="2">
        <v>6.4523956465744496E-8</v>
      </c>
      <c r="F573" s="2">
        <v>5.1619165172595597E-7</v>
      </c>
      <c r="G573" t="s">
        <v>1163</v>
      </c>
    </row>
    <row r="574" spans="1:7" x14ac:dyDescent="0.25">
      <c r="A574" s="4" t="str">
        <f>HYPERLINK("http://amigo.geneontology.org/cgi-bin/amigo/term-details.cgi?term=GO:0010215","GO:0010215")</f>
        <v>GO:0010215</v>
      </c>
      <c r="B574" t="s">
        <v>651</v>
      </c>
      <c r="C574">
        <v>38</v>
      </c>
      <c r="D574">
        <v>12</v>
      </c>
      <c r="E574" s="2">
        <v>6.4523956465744496E-8</v>
      </c>
      <c r="F574" s="2">
        <v>5.1619165172595597E-7</v>
      </c>
      <c r="G574" t="s">
        <v>1163</v>
      </c>
    </row>
    <row r="575" spans="1:7" x14ac:dyDescent="0.25">
      <c r="A575" s="4" t="str">
        <f>HYPERLINK("http://amigo.geneontology.org/cgi-bin/amigo/term-details.cgi?term=GO:0009607","GO:0009607")</f>
        <v>GO:0009607</v>
      </c>
      <c r="B575" t="s">
        <v>2148</v>
      </c>
      <c r="C575">
        <v>615</v>
      </c>
      <c r="D575">
        <v>59</v>
      </c>
      <c r="E575" s="2">
        <v>6.6753501345562198E-8</v>
      </c>
      <c r="F575" s="2">
        <v>4.67274509418935E-7</v>
      </c>
      <c r="G575" t="s">
        <v>3634</v>
      </c>
    </row>
    <row r="576" spans="1:7" x14ac:dyDescent="0.25">
      <c r="A576" s="4" t="str">
        <f>HYPERLINK("http://amigo.geneontology.org/cgi-bin/amigo/term-details.cgi?term=GO:0046939","GO:0046939")</f>
        <v>GO:0046939</v>
      </c>
      <c r="B576" t="s">
        <v>683</v>
      </c>
      <c r="C576">
        <v>307</v>
      </c>
      <c r="D576">
        <v>37</v>
      </c>
      <c r="E576" s="2">
        <v>7.3082648661132403E-8</v>
      </c>
      <c r="F576" s="2">
        <v>5.1157854062792604E-7</v>
      </c>
      <c r="G576" t="s">
        <v>3633</v>
      </c>
    </row>
    <row r="577" spans="1:7" x14ac:dyDescent="0.25">
      <c r="A577" s="4" t="str">
        <f>HYPERLINK("http://amigo.geneontology.org/cgi-bin/amigo/term-details.cgi?term=GO:0033365","GO:0033365")</f>
        <v>GO:0033365</v>
      </c>
      <c r="B577" t="s">
        <v>499</v>
      </c>
      <c r="C577">
        <v>558</v>
      </c>
      <c r="D577">
        <v>55</v>
      </c>
      <c r="E577" s="2">
        <v>7.5299555638594199E-8</v>
      </c>
      <c r="F577" s="2">
        <v>5.2709688947015902E-7</v>
      </c>
      <c r="G577" t="s">
        <v>3632</v>
      </c>
    </row>
    <row r="578" spans="1:7" x14ac:dyDescent="0.25">
      <c r="A578" s="4" t="str">
        <f>HYPERLINK("http://amigo.geneontology.org/cgi-bin/amigo/term-details.cgi?term=GO:0045934","GO:0045934")</f>
        <v>GO:0045934</v>
      </c>
      <c r="B578" t="s">
        <v>3631</v>
      </c>
      <c r="C578">
        <v>244</v>
      </c>
      <c r="D578">
        <v>32</v>
      </c>
      <c r="E578" s="2">
        <v>7.7323077737563202E-8</v>
      </c>
      <c r="F578" s="2">
        <v>5.4126154416294199E-7</v>
      </c>
      <c r="G578" t="s">
        <v>3630</v>
      </c>
    </row>
    <row r="579" spans="1:7" x14ac:dyDescent="0.25">
      <c r="A579" s="4" t="str">
        <f>HYPERLINK("http://amigo.geneontology.org/cgi-bin/amigo/term-details.cgi?term=GO:0006950","GO:0006950")</f>
        <v>GO:0006950</v>
      </c>
      <c r="B579" t="s">
        <v>3629</v>
      </c>
      <c r="C579">
        <v>4305</v>
      </c>
      <c r="D579">
        <v>268</v>
      </c>
      <c r="E579" s="2">
        <v>7.8938263288351604E-8</v>
      </c>
      <c r="F579" s="2">
        <v>5.5256784301846102E-7</v>
      </c>
      <c r="G579" t="s">
        <v>3628</v>
      </c>
    </row>
    <row r="580" spans="1:7" x14ac:dyDescent="0.25">
      <c r="A580" s="4" t="str">
        <f>HYPERLINK("http://amigo.geneontology.org/cgi-bin/amigo/term-details.cgi?term=GO:0032544","GO:0032544")</f>
        <v>GO:0032544</v>
      </c>
      <c r="B580" t="s">
        <v>3627</v>
      </c>
      <c r="C580">
        <v>15</v>
      </c>
      <c r="D580">
        <v>8</v>
      </c>
      <c r="E580" s="2">
        <v>8.3776455117676095E-8</v>
      </c>
      <c r="F580" s="2">
        <v>5.8643518582373198E-7</v>
      </c>
      <c r="G580" t="s">
        <v>3626</v>
      </c>
    </row>
    <row r="581" spans="1:7" x14ac:dyDescent="0.25">
      <c r="A581" s="4" t="str">
        <f>HYPERLINK("http://amigo.geneontology.org/cgi-bin/amigo/term-details.cgi?term=GO:0009451","GO:0009451")</f>
        <v>GO:0009451</v>
      </c>
      <c r="B581" t="s">
        <v>3625</v>
      </c>
      <c r="C581">
        <v>502</v>
      </c>
      <c r="D581">
        <v>51</v>
      </c>
      <c r="E581" s="2">
        <v>8.5698515667452095E-8</v>
      </c>
      <c r="F581" s="2">
        <v>5.9988960967216497E-7</v>
      </c>
      <c r="G581" t="s">
        <v>3624</v>
      </c>
    </row>
    <row r="582" spans="1:7" x14ac:dyDescent="0.25">
      <c r="A582" s="4" t="str">
        <f>HYPERLINK("http://amigo.geneontology.org/cgi-bin/amigo/term-details.cgi?term=GO:0016143","GO:0016143")</f>
        <v>GO:0016143</v>
      </c>
      <c r="B582" t="s">
        <v>3623</v>
      </c>
      <c r="C582">
        <v>99</v>
      </c>
      <c r="D582">
        <v>19</v>
      </c>
      <c r="E582" s="2">
        <v>8.9027524721624097E-8</v>
      </c>
      <c r="F582" s="2">
        <v>6.2319267305136801E-7</v>
      </c>
      <c r="G582" t="s">
        <v>3620</v>
      </c>
    </row>
    <row r="583" spans="1:7" x14ac:dyDescent="0.25">
      <c r="A583" s="4" t="str">
        <f>HYPERLINK("http://amigo.geneontology.org/cgi-bin/amigo/term-details.cgi?term=GO:0019757","GO:0019757")</f>
        <v>GO:0019757</v>
      </c>
      <c r="B583" t="s">
        <v>3622</v>
      </c>
      <c r="C583">
        <v>99</v>
      </c>
      <c r="D583">
        <v>19</v>
      </c>
      <c r="E583" s="2">
        <v>8.9027524721624097E-8</v>
      </c>
      <c r="F583" s="2">
        <v>6.2319267305136801E-7</v>
      </c>
      <c r="G583" t="s">
        <v>3620</v>
      </c>
    </row>
    <row r="584" spans="1:7" x14ac:dyDescent="0.25">
      <c r="A584" s="4" t="str">
        <f>HYPERLINK("http://amigo.geneontology.org/cgi-bin/amigo/term-details.cgi?term=GO:0019760","GO:0019760")</f>
        <v>GO:0019760</v>
      </c>
      <c r="B584" t="s">
        <v>3621</v>
      </c>
      <c r="C584">
        <v>99</v>
      </c>
      <c r="D584">
        <v>19</v>
      </c>
      <c r="E584" s="2">
        <v>8.9027524721624097E-8</v>
      </c>
      <c r="F584" s="2">
        <v>6.2319267305136801E-7</v>
      </c>
      <c r="G584" t="s">
        <v>3620</v>
      </c>
    </row>
    <row r="585" spans="1:7" x14ac:dyDescent="0.25">
      <c r="A585" s="4" t="str">
        <f>HYPERLINK("http://amigo.geneontology.org/cgi-bin/amigo/term-details.cgi?term=GO:0090696","GO:0090696")</f>
        <v>GO:0090696</v>
      </c>
      <c r="B585" t="s">
        <v>3619</v>
      </c>
      <c r="C585">
        <v>174</v>
      </c>
      <c r="D585">
        <v>26</v>
      </c>
      <c r="E585" s="2">
        <v>9.2331531049877603E-8</v>
      </c>
      <c r="F585" s="2">
        <v>6.46320717349143E-7</v>
      </c>
      <c r="G585" t="s">
        <v>3618</v>
      </c>
    </row>
    <row r="586" spans="1:7" x14ac:dyDescent="0.25">
      <c r="A586" s="4" t="str">
        <f>HYPERLINK("http://amigo.geneontology.org/cgi-bin/amigo/term-details.cgi?term=GO:1901698","GO:1901698")</f>
        <v>GO:1901698</v>
      </c>
      <c r="B586" t="s">
        <v>924</v>
      </c>
      <c r="C586">
        <v>234</v>
      </c>
      <c r="D586">
        <v>31</v>
      </c>
      <c r="E586" s="2">
        <v>9.7204091802902505E-8</v>
      </c>
      <c r="F586" s="2">
        <v>6.8042864262031696E-7</v>
      </c>
      <c r="G586" t="s">
        <v>3617</v>
      </c>
    </row>
    <row r="587" spans="1:7" x14ac:dyDescent="0.25">
      <c r="A587" s="4" t="str">
        <f>HYPERLINK("http://amigo.geneontology.org/cgi-bin/amigo/term-details.cgi?term=GO:0097708","GO:0097708")</f>
        <v>GO:0097708</v>
      </c>
      <c r="B587" t="s">
        <v>1035</v>
      </c>
      <c r="C587">
        <v>325</v>
      </c>
      <c r="D587">
        <v>38</v>
      </c>
      <c r="E587" s="2">
        <v>1.08727454000496E-7</v>
      </c>
      <c r="F587" s="2">
        <v>7.6109217800347602E-7</v>
      </c>
      <c r="G587" t="s">
        <v>3604</v>
      </c>
    </row>
    <row r="588" spans="1:7" x14ac:dyDescent="0.25">
      <c r="A588" s="4" t="str">
        <f>HYPERLINK("http://amigo.geneontology.org/cgi-bin/amigo/term-details.cgi?term=GO:0031410","GO:0031410")</f>
        <v>GO:0031410</v>
      </c>
      <c r="B588" t="s">
        <v>1034</v>
      </c>
      <c r="C588">
        <v>325</v>
      </c>
      <c r="D588">
        <v>38</v>
      </c>
      <c r="E588" s="2">
        <v>1.08727454000496E-7</v>
      </c>
      <c r="F588" s="2">
        <v>7.6109217800347602E-7</v>
      </c>
      <c r="G588" t="s">
        <v>3604</v>
      </c>
    </row>
    <row r="589" spans="1:7" x14ac:dyDescent="0.25">
      <c r="A589" s="4" t="str">
        <f>HYPERLINK("http://amigo.geneontology.org/cgi-bin/amigo/term-details.cgi?term=GO:0009123","GO:0009123")</f>
        <v>GO:0009123</v>
      </c>
      <c r="B589" t="s">
        <v>561</v>
      </c>
      <c r="C589">
        <v>654</v>
      </c>
      <c r="D589">
        <v>61</v>
      </c>
      <c r="E589" s="2">
        <v>1.0920541724467E-7</v>
      </c>
      <c r="F589" s="2">
        <v>7.6443792071268998E-7</v>
      </c>
      <c r="G589" t="s">
        <v>3616</v>
      </c>
    </row>
    <row r="590" spans="1:7" x14ac:dyDescent="0.25">
      <c r="A590" s="4" t="str">
        <f>HYPERLINK("http://amigo.geneontology.org/cgi-bin/amigo/term-details.cgi?term=GO:0042646","GO:0042646")</f>
        <v>GO:0042646</v>
      </c>
      <c r="B590" t="s">
        <v>3615</v>
      </c>
      <c r="C590">
        <v>33</v>
      </c>
      <c r="D590">
        <v>11</v>
      </c>
      <c r="E590" s="2">
        <v>1.2197269563146699E-7</v>
      </c>
      <c r="F590" s="2">
        <v>8.5380886942027305E-7</v>
      </c>
      <c r="G590" t="s">
        <v>3614</v>
      </c>
    </row>
    <row r="591" spans="1:7" x14ac:dyDescent="0.25">
      <c r="A591" s="4" t="str">
        <f>HYPERLINK("http://amigo.geneontology.org/cgi-bin/amigo/term-details.cgi?term=GO:0009524","GO:0009524")</f>
        <v>GO:0009524</v>
      </c>
      <c r="B591" t="s">
        <v>3613</v>
      </c>
      <c r="C591">
        <v>40</v>
      </c>
      <c r="D591">
        <v>12</v>
      </c>
      <c r="E591" s="2">
        <v>1.22372475702814E-7</v>
      </c>
      <c r="F591" s="2">
        <v>8.5660732991969905E-7</v>
      </c>
      <c r="G591" t="s">
        <v>3612</v>
      </c>
    </row>
    <row r="592" spans="1:7" x14ac:dyDescent="0.25">
      <c r="A592" s="4" t="str">
        <f>HYPERLINK("http://amigo.geneontology.org/cgi-bin/amigo/term-details.cgi?term=GO:0009735","GO:0009735")</f>
        <v>GO:0009735</v>
      </c>
      <c r="B592" t="s">
        <v>3611</v>
      </c>
      <c r="C592">
        <v>64</v>
      </c>
      <c r="D592">
        <v>15</v>
      </c>
      <c r="E592" s="2">
        <v>1.27465173692153E-7</v>
      </c>
      <c r="F592" s="2">
        <v>8.9225621584507705E-7</v>
      </c>
      <c r="G592" t="s">
        <v>3610</v>
      </c>
    </row>
    <row r="593" spans="1:7" x14ac:dyDescent="0.25">
      <c r="A593" s="4" t="str">
        <f>HYPERLINK("http://amigo.geneontology.org/cgi-bin/amigo/term-details.cgi?term=GO:0006810","GO:0006810")</f>
        <v>GO:0006810</v>
      </c>
      <c r="B593" t="s">
        <v>821</v>
      </c>
      <c r="C593">
        <v>6389</v>
      </c>
      <c r="D593">
        <v>374</v>
      </c>
      <c r="E593" s="2">
        <v>1.46153887969635E-7</v>
      </c>
      <c r="F593" s="2">
        <v>1.02307721578744E-6</v>
      </c>
      <c r="G593" t="s">
        <v>3609</v>
      </c>
    </row>
    <row r="594" spans="1:7" x14ac:dyDescent="0.25">
      <c r="A594" s="4" t="str">
        <f>HYPERLINK("http://amigo.geneontology.org/cgi-bin/amigo/term-details.cgi?term=GO:0071944","GO:0071944")</f>
        <v>GO:0071944</v>
      </c>
      <c r="B594" t="s">
        <v>1733</v>
      </c>
      <c r="C594">
        <v>1731</v>
      </c>
      <c r="D594">
        <v>126</v>
      </c>
      <c r="E594" s="2">
        <v>1.48909995513007E-7</v>
      </c>
      <c r="F594" s="2">
        <v>1.0423699685910499E-6</v>
      </c>
      <c r="G594" t="s">
        <v>3608</v>
      </c>
    </row>
    <row r="595" spans="1:7" x14ac:dyDescent="0.25">
      <c r="A595" s="4" t="str">
        <f>HYPERLINK("http://amigo.geneontology.org/cgi-bin/amigo/term-details.cgi?term=GO:0010608","GO:0010608")</f>
        <v>GO:0010608</v>
      </c>
      <c r="B595" t="s">
        <v>3607</v>
      </c>
      <c r="C595">
        <v>316</v>
      </c>
      <c r="D595">
        <v>37</v>
      </c>
      <c r="E595" s="2">
        <v>1.53000240981425E-7</v>
      </c>
      <c r="F595" s="2">
        <v>1.0710016868699699E-6</v>
      </c>
      <c r="G595" t="s">
        <v>3606</v>
      </c>
    </row>
    <row r="596" spans="1:7" x14ac:dyDescent="0.25">
      <c r="A596" s="4" t="str">
        <f>HYPERLINK("http://amigo.geneontology.org/cgi-bin/amigo/term-details.cgi?term=GO:0044267","GO:0044267")</f>
        <v>GO:0044267</v>
      </c>
      <c r="B596" t="s">
        <v>360</v>
      </c>
      <c r="C596">
        <v>10315</v>
      </c>
      <c r="D596">
        <v>570</v>
      </c>
      <c r="E596" s="2">
        <v>1.5751235062265099E-7</v>
      </c>
      <c r="F596" s="2">
        <v>1.1025864543585499E-6</v>
      </c>
      <c r="G596" t="s">
        <v>3605</v>
      </c>
    </row>
    <row r="597" spans="1:7" x14ac:dyDescent="0.25">
      <c r="A597" s="4" t="str">
        <f>HYPERLINK("http://amigo.geneontology.org/cgi-bin/amigo/term-details.cgi?term=GO:0031982","GO:0031982")</f>
        <v>GO:0031982</v>
      </c>
      <c r="B597" t="s">
        <v>1036</v>
      </c>
      <c r="C597">
        <v>330</v>
      </c>
      <c r="D597">
        <v>38</v>
      </c>
      <c r="E597" s="2">
        <v>1.61368031280452E-7</v>
      </c>
      <c r="F597" s="2">
        <v>1.12957621896316E-6</v>
      </c>
      <c r="G597" t="s">
        <v>3604</v>
      </c>
    </row>
    <row r="598" spans="1:7" x14ac:dyDescent="0.25">
      <c r="A598" s="4" t="str">
        <f>HYPERLINK("http://amigo.geneontology.org/cgi-bin/amigo/term-details.cgi?term=GO:0016779","GO:0016779")</f>
        <v>GO:0016779</v>
      </c>
      <c r="B598" t="s">
        <v>725</v>
      </c>
      <c r="C598">
        <v>498</v>
      </c>
      <c r="D598">
        <v>50</v>
      </c>
      <c r="E598" s="2">
        <v>1.6376119876448899E-7</v>
      </c>
      <c r="F598" s="2">
        <v>1.1463283913514199E-6</v>
      </c>
      <c r="G598" t="s">
        <v>3603</v>
      </c>
    </row>
    <row r="599" spans="1:7" x14ac:dyDescent="0.25">
      <c r="A599" s="4" t="str">
        <f>HYPERLINK("http://amigo.geneontology.org/cgi-bin/amigo/term-details.cgi?term=GO:0000148","GO:0000148")</f>
        <v>GO:0000148</v>
      </c>
      <c r="B599" t="s">
        <v>578</v>
      </c>
      <c r="C599">
        <v>41</v>
      </c>
      <c r="D599">
        <v>12</v>
      </c>
      <c r="E599" s="2">
        <v>1.65866118368916E-7</v>
      </c>
      <c r="F599" s="2">
        <v>1.1610628285824099E-6</v>
      </c>
      <c r="G599" t="s">
        <v>1341</v>
      </c>
    </row>
    <row r="600" spans="1:7" x14ac:dyDescent="0.25">
      <c r="A600" s="4" t="str">
        <f>HYPERLINK("http://amigo.geneontology.org/cgi-bin/amigo/term-details.cgi?term=GO:0006074","GO:0006074")</f>
        <v>GO:0006074</v>
      </c>
      <c r="B600" t="s">
        <v>576</v>
      </c>
      <c r="C600">
        <v>41</v>
      </c>
      <c r="D600">
        <v>12</v>
      </c>
      <c r="E600" s="2">
        <v>1.65866118368916E-7</v>
      </c>
      <c r="F600" s="2">
        <v>1.1610628285824099E-6</v>
      </c>
      <c r="G600" t="s">
        <v>1341</v>
      </c>
    </row>
    <row r="601" spans="1:7" x14ac:dyDescent="0.25">
      <c r="A601" s="4" t="str">
        <f>HYPERLINK("http://amigo.geneontology.org/cgi-bin/amigo/term-details.cgi?term=GO:0006075","GO:0006075")</f>
        <v>GO:0006075</v>
      </c>
      <c r="B601" t="s">
        <v>575</v>
      </c>
      <c r="C601">
        <v>41</v>
      </c>
      <c r="D601">
        <v>12</v>
      </c>
      <c r="E601" s="2">
        <v>1.65866118368916E-7</v>
      </c>
      <c r="F601" s="2">
        <v>1.1610628285824099E-6</v>
      </c>
      <c r="G601" t="s">
        <v>1341</v>
      </c>
    </row>
    <row r="602" spans="1:7" x14ac:dyDescent="0.25">
      <c r="A602" s="4" t="str">
        <f>HYPERLINK("http://amigo.geneontology.org/cgi-bin/amigo/term-details.cgi?term=GO:0009161","GO:0009161")</f>
        <v>GO:0009161</v>
      </c>
      <c r="B602" t="s">
        <v>531</v>
      </c>
      <c r="C602">
        <v>648</v>
      </c>
      <c r="D602">
        <v>60</v>
      </c>
      <c r="E602" s="2">
        <v>1.77344018261035E-7</v>
      </c>
      <c r="F602" s="2">
        <v>1.2414081278272399E-6</v>
      </c>
      <c r="G602" t="s">
        <v>3602</v>
      </c>
    </row>
    <row r="603" spans="1:7" x14ac:dyDescent="0.25">
      <c r="A603" s="4" t="str">
        <f>HYPERLINK("http://amigo.geneontology.org/cgi-bin/amigo/term-details.cgi?term=GO:0009696","GO:0009696")</f>
        <v>GO:0009696</v>
      </c>
      <c r="B603" t="s">
        <v>2007</v>
      </c>
      <c r="C603">
        <v>57</v>
      </c>
      <c r="D603">
        <v>14</v>
      </c>
      <c r="E603" s="2">
        <v>1.7802100665300099E-7</v>
      </c>
      <c r="F603" s="2">
        <v>1.2461470465710099E-6</v>
      </c>
      <c r="G603" t="s">
        <v>3601</v>
      </c>
    </row>
    <row r="604" spans="1:7" x14ac:dyDescent="0.25">
      <c r="A604" s="4" t="str">
        <f>HYPERLINK("http://amigo.geneontology.org/cgi-bin/amigo/term-details.cgi?term=GO:0009697","GO:0009697")</f>
        <v>GO:0009697</v>
      </c>
      <c r="B604" t="s">
        <v>2006</v>
      </c>
      <c r="C604">
        <v>57</v>
      </c>
      <c r="D604">
        <v>14</v>
      </c>
      <c r="E604" s="2">
        <v>1.7802100665300099E-7</v>
      </c>
      <c r="F604" s="2">
        <v>1.2461470465710099E-6</v>
      </c>
      <c r="G604" t="s">
        <v>3601</v>
      </c>
    </row>
    <row r="605" spans="1:7" x14ac:dyDescent="0.25">
      <c r="A605" s="4" t="str">
        <f>HYPERLINK("http://amigo.geneontology.org/cgi-bin/amigo/term-details.cgi?term=GO:0045017","GO:0045017")</f>
        <v>GO:0045017</v>
      </c>
      <c r="B605" t="s">
        <v>457</v>
      </c>
      <c r="C605">
        <v>318</v>
      </c>
      <c r="D605">
        <v>37</v>
      </c>
      <c r="E605" s="2">
        <v>1.7946481428128099E-7</v>
      </c>
      <c r="F605" s="2">
        <v>1.25625369996896E-6</v>
      </c>
      <c r="G605" t="s">
        <v>3600</v>
      </c>
    </row>
    <row r="606" spans="1:7" x14ac:dyDescent="0.25">
      <c r="A606" s="4" t="str">
        <f>HYPERLINK("http://amigo.geneontology.org/cgi-bin/amigo/term-details.cgi?term=GO:0047262","GO:0047262")</f>
        <v>GO:0047262</v>
      </c>
      <c r="B606" t="s">
        <v>3599</v>
      </c>
      <c r="C606">
        <v>49</v>
      </c>
      <c r="D606">
        <v>13</v>
      </c>
      <c r="E606" s="2">
        <v>1.8323986761880599E-7</v>
      </c>
      <c r="F606" s="2">
        <v>1.2826790733316401E-6</v>
      </c>
      <c r="G606" t="s">
        <v>3598</v>
      </c>
    </row>
    <row r="607" spans="1:7" x14ac:dyDescent="0.25">
      <c r="A607" s="4" t="str">
        <f>HYPERLINK("http://amigo.geneontology.org/cgi-bin/amigo/term-details.cgi?term=GO:0006006","GO:0006006")</f>
        <v>GO:0006006</v>
      </c>
      <c r="B607" t="s">
        <v>1147</v>
      </c>
      <c r="C607">
        <v>157</v>
      </c>
      <c r="D607">
        <v>24</v>
      </c>
      <c r="E607" s="2">
        <v>1.83688445236213E-7</v>
      </c>
      <c r="F607" s="2">
        <v>1.2858191166534901E-6</v>
      </c>
      <c r="G607" t="s">
        <v>3597</v>
      </c>
    </row>
    <row r="608" spans="1:7" x14ac:dyDescent="0.25">
      <c r="A608" s="4" t="str">
        <f>HYPERLINK("http://amigo.geneontology.org/cgi-bin/amigo/term-details.cgi?term=GO:0033281","GO:0033281")</f>
        <v>GO:0033281</v>
      </c>
      <c r="B608" t="s">
        <v>3596</v>
      </c>
      <c r="C608">
        <v>5</v>
      </c>
      <c r="D608">
        <v>5</v>
      </c>
      <c r="E608" s="2">
        <v>1.8842702027552599E-7</v>
      </c>
      <c r="F608" s="2">
        <v>1.31898914192868E-6</v>
      </c>
      <c r="G608" t="s">
        <v>3595</v>
      </c>
    </row>
    <row r="609" spans="1:7" x14ac:dyDescent="0.25">
      <c r="A609" s="4" t="str">
        <f>HYPERLINK("http://amigo.geneontology.org/cgi-bin/amigo/term-details.cgi?term=GO:0009108","GO:0009108")</f>
        <v>GO:0009108</v>
      </c>
      <c r="B609" t="s">
        <v>1003</v>
      </c>
      <c r="C609">
        <v>332</v>
      </c>
      <c r="D609">
        <v>38</v>
      </c>
      <c r="E609" s="2">
        <v>1.8845729725635499E-7</v>
      </c>
      <c r="F609" s="2">
        <v>1.3192010807944899E-6</v>
      </c>
      <c r="G609" t="s">
        <v>3594</v>
      </c>
    </row>
    <row r="610" spans="1:7" x14ac:dyDescent="0.25">
      <c r="A610" s="4" t="str">
        <f>HYPERLINK("http://amigo.geneontology.org/cgi-bin/amigo/term-details.cgi?term=GO:1905393","GO:1905393")</f>
        <v>GO:1905393</v>
      </c>
      <c r="B610" t="s">
        <v>3593</v>
      </c>
      <c r="C610">
        <v>158</v>
      </c>
      <c r="D610">
        <v>24</v>
      </c>
      <c r="E610" s="2">
        <v>2.07346791600205E-7</v>
      </c>
      <c r="F610" s="2">
        <v>1.45142754120143E-6</v>
      </c>
      <c r="G610" t="s">
        <v>3592</v>
      </c>
    </row>
    <row r="611" spans="1:7" x14ac:dyDescent="0.25">
      <c r="A611" s="4" t="str">
        <f>HYPERLINK("http://amigo.geneontology.org/cgi-bin/amigo/term-details.cgi?term=GO:0016246","GO:0016246")</f>
        <v>GO:0016246</v>
      </c>
      <c r="B611" t="s">
        <v>3591</v>
      </c>
      <c r="C611">
        <v>125</v>
      </c>
      <c r="D611">
        <v>21</v>
      </c>
      <c r="E611" s="2">
        <v>2.0798873510319401E-7</v>
      </c>
      <c r="F611" s="2">
        <v>1.45592114572235E-6</v>
      </c>
      <c r="G611" t="s">
        <v>3590</v>
      </c>
    </row>
    <row r="612" spans="1:7" x14ac:dyDescent="0.25">
      <c r="A612" s="4" t="str">
        <f>HYPERLINK("http://amigo.geneontology.org/cgi-bin/amigo/term-details.cgi?term=GO:0009533","GO:0009533")</f>
        <v>GO:0009533</v>
      </c>
      <c r="B612" t="s">
        <v>3589</v>
      </c>
      <c r="C612">
        <v>8</v>
      </c>
      <c r="D612">
        <v>6</v>
      </c>
      <c r="E612" s="2">
        <v>2.20147319178305E-7</v>
      </c>
      <c r="F612" s="2">
        <v>1.54103123424813E-6</v>
      </c>
      <c r="G612" t="s">
        <v>3588</v>
      </c>
    </row>
    <row r="613" spans="1:7" x14ac:dyDescent="0.25">
      <c r="A613" s="4" t="str">
        <f>HYPERLINK("http://amigo.geneontology.org/cgi-bin/amigo/term-details.cgi?term=GO:0140014","GO:0140014")</f>
        <v>GO:0140014</v>
      </c>
      <c r="B613" t="s">
        <v>1332</v>
      </c>
      <c r="C613">
        <v>42</v>
      </c>
      <c r="D613">
        <v>12</v>
      </c>
      <c r="E613" s="2">
        <v>2.22627717720166E-7</v>
      </c>
      <c r="F613" s="2">
        <v>1.55839402404116E-6</v>
      </c>
      <c r="G613" t="s">
        <v>3587</v>
      </c>
    </row>
    <row r="614" spans="1:7" x14ac:dyDescent="0.25">
      <c r="A614" s="4" t="str">
        <f>HYPERLINK("http://amigo.geneontology.org/cgi-bin/amigo/term-details.cgi?term=GO:0009368","GO:0009368")</f>
        <v>GO:0009368</v>
      </c>
      <c r="B614" t="s">
        <v>3586</v>
      </c>
      <c r="C614">
        <v>12</v>
      </c>
      <c r="D614">
        <v>7</v>
      </c>
      <c r="E614" s="2">
        <v>2.48728803019419E-7</v>
      </c>
      <c r="F614" s="2">
        <v>1.7411016211359299E-6</v>
      </c>
      <c r="G614" t="s">
        <v>3584</v>
      </c>
    </row>
    <row r="615" spans="1:7" x14ac:dyDescent="0.25">
      <c r="A615" s="4" t="str">
        <f>HYPERLINK("http://amigo.geneontology.org/cgi-bin/amigo/term-details.cgi?term=GO:0009840","GO:0009840")</f>
        <v>GO:0009840</v>
      </c>
      <c r="B615" t="s">
        <v>3585</v>
      </c>
      <c r="C615">
        <v>12</v>
      </c>
      <c r="D615">
        <v>7</v>
      </c>
      <c r="E615" s="2">
        <v>2.48728803019419E-7</v>
      </c>
      <c r="F615" s="2">
        <v>1.7411016211359299E-6</v>
      </c>
      <c r="G615" t="s">
        <v>3584</v>
      </c>
    </row>
    <row r="616" spans="1:7" x14ac:dyDescent="0.25">
      <c r="A616" s="4" t="str">
        <f>HYPERLINK("http://amigo.geneontology.org/cgi-bin/amigo/term-details.cgi?term=GO:0009547","GO:0009547")</f>
        <v>GO:0009547</v>
      </c>
      <c r="B616" t="s">
        <v>3583</v>
      </c>
      <c r="C616">
        <v>12</v>
      </c>
      <c r="D616">
        <v>7</v>
      </c>
      <c r="E616" s="2">
        <v>2.48728803019419E-7</v>
      </c>
      <c r="F616" s="2">
        <v>1.7411016211359299E-6</v>
      </c>
      <c r="G616" t="s">
        <v>3485</v>
      </c>
    </row>
    <row r="617" spans="1:7" x14ac:dyDescent="0.25">
      <c r="A617" s="4" t="str">
        <f>HYPERLINK("http://amigo.geneontology.org/cgi-bin/amigo/term-details.cgi?term=GO:0031507","GO:0031507")</f>
        <v>GO:0031507</v>
      </c>
      <c r="B617" t="s">
        <v>3582</v>
      </c>
      <c r="C617">
        <v>12</v>
      </c>
      <c r="D617">
        <v>7</v>
      </c>
      <c r="E617" s="2">
        <v>2.48728803019419E-7</v>
      </c>
      <c r="F617" s="2">
        <v>1.7411016211359299E-6</v>
      </c>
      <c r="G617" t="s">
        <v>3560</v>
      </c>
    </row>
    <row r="618" spans="1:7" x14ac:dyDescent="0.25">
      <c r="A618" s="4" t="str">
        <f>HYPERLINK("http://amigo.geneontology.org/cgi-bin/amigo/term-details.cgi?term=GO:0047334","GO:0047334")</f>
        <v>GO:0047334</v>
      </c>
      <c r="B618" t="s">
        <v>396</v>
      </c>
      <c r="C618">
        <v>12</v>
      </c>
      <c r="D618">
        <v>7</v>
      </c>
      <c r="E618" s="2">
        <v>2.48728803019419E-7</v>
      </c>
      <c r="F618" s="2">
        <v>1.7411016211359299E-6</v>
      </c>
      <c r="G618" t="s">
        <v>1162</v>
      </c>
    </row>
    <row r="619" spans="1:7" x14ac:dyDescent="0.25">
      <c r="A619" s="4" t="str">
        <f>HYPERLINK("http://amigo.geneontology.org/cgi-bin/amigo/term-details.cgi?term=GO:0048646","GO:0048646")</f>
        <v>GO:0048646</v>
      </c>
      <c r="B619" t="s">
        <v>3581</v>
      </c>
      <c r="C619">
        <v>219</v>
      </c>
      <c r="D619">
        <v>29</v>
      </c>
      <c r="E619" s="2">
        <v>2.4981636359714403E-7</v>
      </c>
      <c r="F619" s="2">
        <v>1.74871454518001E-6</v>
      </c>
      <c r="G619" t="s">
        <v>3580</v>
      </c>
    </row>
    <row r="620" spans="1:7" x14ac:dyDescent="0.25">
      <c r="A620" s="4" t="str">
        <f>HYPERLINK("http://amigo.geneontology.org/cgi-bin/amigo/term-details.cgi?term=GO:0009073","GO:0009073")</f>
        <v>GO:0009073</v>
      </c>
      <c r="B620" t="s">
        <v>326</v>
      </c>
      <c r="C620">
        <v>160</v>
      </c>
      <c r="D620">
        <v>24</v>
      </c>
      <c r="E620" s="2">
        <v>2.6331414057218598E-7</v>
      </c>
      <c r="F620" s="2">
        <v>1.8431989840053E-6</v>
      </c>
      <c r="G620" t="s">
        <v>3579</v>
      </c>
    </row>
    <row r="621" spans="1:7" x14ac:dyDescent="0.25">
      <c r="A621" s="4" t="str">
        <f>HYPERLINK("http://amigo.geneontology.org/cgi-bin/amigo/term-details.cgi?term=GO:0009086","GO:0009086")</f>
        <v>GO:0009086</v>
      </c>
      <c r="B621" t="s">
        <v>3578</v>
      </c>
      <c r="C621">
        <v>106</v>
      </c>
      <c r="D621">
        <v>19</v>
      </c>
      <c r="E621" s="2">
        <v>2.7435800180439302E-7</v>
      </c>
      <c r="F621" s="2">
        <v>1.9205060126307501E-6</v>
      </c>
      <c r="G621" t="s">
        <v>3562</v>
      </c>
    </row>
    <row r="622" spans="1:7" x14ac:dyDescent="0.25">
      <c r="A622" s="4" t="str">
        <f>HYPERLINK("http://amigo.geneontology.org/cgi-bin/amigo/term-details.cgi?term=GO:0051253","GO:0051253")</f>
        <v>GO:0051253</v>
      </c>
      <c r="B622" t="s">
        <v>3577</v>
      </c>
      <c r="C622">
        <v>220</v>
      </c>
      <c r="D622">
        <v>29</v>
      </c>
      <c r="E622" s="2">
        <v>2.7540139965627899E-7</v>
      </c>
      <c r="F622" s="2">
        <v>1.9278097975939499E-6</v>
      </c>
      <c r="G622" t="s">
        <v>3576</v>
      </c>
    </row>
    <row r="623" spans="1:7" x14ac:dyDescent="0.25">
      <c r="A623" s="4" t="str">
        <f>HYPERLINK("http://amigo.geneontology.org/cgi-bin/amigo/term-details.cgi?term=GO:0009706","GO:0009706")</f>
        <v>GO:0009706</v>
      </c>
      <c r="B623" t="s">
        <v>3575</v>
      </c>
      <c r="C623">
        <v>59</v>
      </c>
      <c r="D623">
        <v>14</v>
      </c>
      <c r="E623" s="2">
        <v>2.8256897124461999E-7</v>
      </c>
      <c r="F623" s="2">
        <v>1.9779827987123399E-6</v>
      </c>
      <c r="G623" t="s">
        <v>3551</v>
      </c>
    </row>
    <row r="624" spans="1:7" x14ac:dyDescent="0.25">
      <c r="A624" s="4" t="str">
        <f>HYPERLINK("http://amigo.geneontology.org/cgi-bin/amigo/term-details.cgi?term=GO:0051082","GO:0051082")</f>
        <v>GO:0051082</v>
      </c>
      <c r="B624" t="s">
        <v>853</v>
      </c>
      <c r="C624">
        <v>233</v>
      </c>
      <c r="D624">
        <v>30</v>
      </c>
      <c r="E624" s="2">
        <v>2.9023609238484899E-7</v>
      </c>
      <c r="F624" s="2">
        <v>2.0316526466939401E-6</v>
      </c>
      <c r="G624" t="s">
        <v>3574</v>
      </c>
    </row>
    <row r="625" spans="1:7" x14ac:dyDescent="0.25">
      <c r="A625" s="4" t="str">
        <f>HYPERLINK("http://amigo.geneontology.org/cgi-bin/amigo/term-details.cgi?term=GO:0046189","GO:0046189")</f>
        <v>GO:0046189</v>
      </c>
      <c r="B625" t="s">
        <v>1870</v>
      </c>
      <c r="C625">
        <v>68</v>
      </c>
      <c r="D625">
        <v>15</v>
      </c>
      <c r="E625" s="2">
        <v>2.9880920266321301E-7</v>
      </c>
      <c r="F625" s="2">
        <v>2.0916644186424899E-6</v>
      </c>
      <c r="G625" t="s">
        <v>3545</v>
      </c>
    </row>
    <row r="626" spans="1:7" x14ac:dyDescent="0.25">
      <c r="A626" s="4" t="str">
        <f>HYPERLINK("http://amigo.geneontology.org/cgi-bin/amigo/term-details.cgi?term=GO:0070589","GO:0070589")</f>
        <v>GO:0070589</v>
      </c>
      <c r="B626" t="s">
        <v>3573</v>
      </c>
      <c r="C626">
        <v>117</v>
      </c>
      <c r="D626">
        <v>20</v>
      </c>
      <c r="E626" s="2">
        <v>3.0040601760141799E-7</v>
      </c>
      <c r="F626" s="2">
        <v>2.1028421232099202E-6</v>
      </c>
      <c r="G626" t="s">
        <v>3571</v>
      </c>
    </row>
    <row r="627" spans="1:7" x14ac:dyDescent="0.25">
      <c r="A627" s="4" t="str">
        <f>HYPERLINK("http://amigo.geneontology.org/cgi-bin/amigo/term-details.cgi?term=GO:0044038","GO:0044038")</f>
        <v>GO:0044038</v>
      </c>
      <c r="B627" t="s">
        <v>3572</v>
      </c>
      <c r="C627">
        <v>117</v>
      </c>
      <c r="D627">
        <v>20</v>
      </c>
      <c r="E627" s="2">
        <v>3.0040601760141799E-7</v>
      </c>
      <c r="F627" s="2">
        <v>2.1028421232099202E-6</v>
      </c>
      <c r="G627" t="s">
        <v>3571</v>
      </c>
    </row>
    <row r="628" spans="1:7" x14ac:dyDescent="0.25">
      <c r="A628" s="4" t="str">
        <f>HYPERLINK("http://amigo.geneontology.org/cgi-bin/amigo/term-details.cgi?term=GO:0010033","GO:0010033")</f>
        <v>GO:0010033</v>
      </c>
      <c r="B628" t="s">
        <v>1921</v>
      </c>
      <c r="C628">
        <v>1410</v>
      </c>
      <c r="D628">
        <v>106</v>
      </c>
      <c r="E628" s="2">
        <v>3.1767131600309402E-7</v>
      </c>
      <c r="F628" s="2">
        <v>2.22369921202166E-6</v>
      </c>
      <c r="G628" t="s">
        <v>3570</v>
      </c>
    </row>
    <row r="629" spans="1:7" x14ac:dyDescent="0.25">
      <c r="A629" s="4" t="str">
        <f>HYPERLINK("http://amigo.geneontology.org/cgi-bin/amigo/term-details.cgi?term=GO:0009126","GO:0009126")</f>
        <v>GO:0009126</v>
      </c>
      <c r="B629" t="s">
        <v>545</v>
      </c>
      <c r="C629">
        <v>614</v>
      </c>
      <c r="D629">
        <v>57</v>
      </c>
      <c r="E629" s="2">
        <v>3.2574752296341202E-7</v>
      </c>
      <c r="F629" s="2">
        <v>2.2802326607438898E-6</v>
      </c>
      <c r="G629" t="s">
        <v>3569</v>
      </c>
    </row>
    <row r="630" spans="1:7" x14ac:dyDescent="0.25">
      <c r="A630" s="4" t="str">
        <f>HYPERLINK("http://amigo.geneontology.org/cgi-bin/amigo/term-details.cgi?term=GO:0009167","GO:0009167")</f>
        <v>GO:0009167</v>
      </c>
      <c r="B630" t="s">
        <v>544</v>
      </c>
      <c r="C630">
        <v>614</v>
      </c>
      <c r="D630">
        <v>57</v>
      </c>
      <c r="E630" s="2">
        <v>3.2574752296341202E-7</v>
      </c>
      <c r="F630" s="2">
        <v>2.2802326607438898E-6</v>
      </c>
      <c r="G630" t="s">
        <v>3569</v>
      </c>
    </row>
    <row r="631" spans="1:7" x14ac:dyDescent="0.25">
      <c r="A631" s="4" t="str">
        <f>HYPERLINK("http://amigo.geneontology.org/cgi-bin/amigo/term-details.cgi?term=GO:0005643","GO:0005643")</f>
        <v>GO:0005643</v>
      </c>
      <c r="B631" t="s">
        <v>599</v>
      </c>
      <c r="C631">
        <v>60</v>
      </c>
      <c r="D631">
        <v>14</v>
      </c>
      <c r="E631" s="2">
        <v>3.53218708607901E-7</v>
      </c>
      <c r="F631" s="2">
        <v>2.4725309602553098E-6</v>
      </c>
      <c r="G631" t="s">
        <v>3568</v>
      </c>
    </row>
    <row r="632" spans="1:7" x14ac:dyDescent="0.25">
      <c r="A632" s="4" t="str">
        <f>HYPERLINK("http://amigo.geneontology.org/cgi-bin/amigo/term-details.cgi?term=GO:0071702","GO:0071702")</f>
        <v>GO:0071702</v>
      </c>
      <c r="B632" t="s">
        <v>672</v>
      </c>
      <c r="C632">
        <v>2259</v>
      </c>
      <c r="D632">
        <v>154</v>
      </c>
      <c r="E632" s="2">
        <v>3.66082227371472E-7</v>
      </c>
      <c r="F632" s="2">
        <v>2.5625755916003002E-6</v>
      </c>
      <c r="G632" t="s">
        <v>3567</v>
      </c>
    </row>
    <row r="633" spans="1:7" x14ac:dyDescent="0.25">
      <c r="A633" s="4" t="str">
        <f>HYPERLINK("http://amigo.geneontology.org/cgi-bin/amigo/term-details.cgi?term=GO:0008443","GO:0008443")</f>
        <v>GO:0008443</v>
      </c>
      <c r="B633" t="s">
        <v>143</v>
      </c>
      <c r="C633">
        <v>44</v>
      </c>
      <c r="D633">
        <v>12</v>
      </c>
      <c r="E633" s="2">
        <v>3.9029427092912999E-7</v>
      </c>
      <c r="F633" s="2">
        <v>2.7320598965039099E-6</v>
      </c>
      <c r="G633" t="s">
        <v>3566</v>
      </c>
    </row>
    <row r="634" spans="1:7" x14ac:dyDescent="0.25">
      <c r="A634" s="4" t="str">
        <f>HYPERLINK("http://amigo.geneontology.org/cgi-bin/amigo/term-details.cgi?term=GO:0048046","GO:0048046")</f>
        <v>GO:0048046</v>
      </c>
      <c r="B634" t="s">
        <v>1432</v>
      </c>
      <c r="C634">
        <v>357</v>
      </c>
      <c r="D634">
        <v>39</v>
      </c>
      <c r="E634" s="2">
        <v>4.3831295634366E-7</v>
      </c>
      <c r="F634" s="2">
        <v>3.06819069440562E-6</v>
      </c>
      <c r="G634" t="s">
        <v>3565</v>
      </c>
    </row>
    <row r="635" spans="1:7" x14ac:dyDescent="0.25">
      <c r="A635" s="4" t="str">
        <f>HYPERLINK("http://amigo.geneontology.org/cgi-bin/amigo/term-details.cgi?term=GO:0009150","GO:0009150")</f>
        <v>GO:0009150</v>
      </c>
      <c r="B635" t="s">
        <v>516</v>
      </c>
      <c r="C635">
        <v>683</v>
      </c>
      <c r="D635">
        <v>61</v>
      </c>
      <c r="E635" s="2">
        <v>4.8099050035479E-7</v>
      </c>
      <c r="F635" s="2">
        <v>3.3669335024835301E-6</v>
      </c>
      <c r="G635" t="s">
        <v>3564</v>
      </c>
    </row>
    <row r="636" spans="1:7" x14ac:dyDescent="0.25">
      <c r="A636" s="4" t="str">
        <f>HYPERLINK("http://amigo.geneontology.org/cgi-bin/amigo/term-details.cgi?term=GO:0006555","GO:0006555")</f>
        <v>GO:0006555</v>
      </c>
      <c r="B636" t="s">
        <v>3563</v>
      </c>
      <c r="C636">
        <v>110</v>
      </c>
      <c r="D636">
        <v>19</v>
      </c>
      <c r="E636" s="2">
        <v>4.9861325515999604E-7</v>
      </c>
      <c r="F636" s="2">
        <v>3.4902927861199701E-6</v>
      </c>
      <c r="G636" t="s">
        <v>3562</v>
      </c>
    </row>
    <row r="637" spans="1:7" x14ac:dyDescent="0.25">
      <c r="A637" s="4" t="str">
        <f>HYPERLINK("http://amigo.geneontology.org/cgi-bin/amigo/term-details.cgi?term=GO:0000996","GO:0000996")</f>
        <v>GO:0000996</v>
      </c>
      <c r="B637" t="s">
        <v>868</v>
      </c>
      <c r="C637">
        <v>18</v>
      </c>
      <c r="D637">
        <v>8</v>
      </c>
      <c r="E637" s="2">
        <v>5.04120697335981E-7</v>
      </c>
      <c r="F637" s="2">
        <v>3.5288448813518698E-6</v>
      </c>
      <c r="G637" t="s">
        <v>1161</v>
      </c>
    </row>
    <row r="638" spans="1:7" x14ac:dyDescent="0.25">
      <c r="A638" s="4" t="str">
        <f>HYPERLINK("http://amigo.geneontology.org/cgi-bin/amigo/term-details.cgi?term=GO:0016987","GO:0016987")</f>
        <v>GO:0016987</v>
      </c>
      <c r="B638" t="s">
        <v>736</v>
      </c>
      <c r="C638">
        <v>18</v>
      </c>
      <c r="D638">
        <v>8</v>
      </c>
      <c r="E638" s="2">
        <v>5.04120697335981E-7</v>
      </c>
      <c r="F638" s="2">
        <v>3.5288448813518698E-6</v>
      </c>
      <c r="G638" t="s">
        <v>1161</v>
      </c>
    </row>
    <row r="639" spans="1:7" x14ac:dyDescent="0.25">
      <c r="A639" s="4" t="str">
        <f>HYPERLINK("http://amigo.geneontology.org/cgi-bin/amigo/term-details.cgi?term=GO:0051225","GO:0051225")</f>
        <v>GO:0051225</v>
      </c>
      <c r="B639" t="s">
        <v>487</v>
      </c>
      <c r="C639">
        <v>45</v>
      </c>
      <c r="D639">
        <v>12</v>
      </c>
      <c r="E639" s="2">
        <v>5.1027087273895696E-7</v>
      </c>
      <c r="F639" s="2">
        <v>3.5718961091727001E-6</v>
      </c>
      <c r="G639" t="s">
        <v>3306</v>
      </c>
    </row>
    <row r="640" spans="1:7" x14ac:dyDescent="0.25">
      <c r="A640" s="4" t="str">
        <f>HYPERLINK("http://amigo.geneontology.org/cgi-bin/amigo/term-details.cgi?term=GO:0070828","GO:0070828")</f>
        <v>GO:0070828</v>
      </c>
      <c r="B640" t="s">
        <v>3561</v>
      </c>
      <c r="C640">
        <v>13</v>
      </c>
      <c r="D640">
        <v>7</v>
      </c>
      <c r="E640" s="2">
        <v>5.1770220990556801E-7</v>
      </c>
      <c r="F640" s="2">
        <v>3.6239154693389701E-6</v>
      </c>
      <c r="G640" t="s">
        <v>3560</v>
      </c>
    </row>
    <row r="641" spans="1:7" x14ac:dyDescent="0.25">
      <c r="A641" s="4" t="str">
        <f>HYPERLINK("http://amigo.geneontology.org/cgi-bin/amigo/term-details.cgi?term=GO:0000819","GO:0000819")</f>
        <v>GO:0000819</v>
      </c>
      <c r="B641" t="s">
        <v>1333</v>
      </c>
      <c r="C641">
        <v>121</v>
      </c>
      <c r="D641">
        <v>20</v>
      </c>
      <c r="E641" s="2">
        <v>5.2570377916061497E-7</v>
      </c>
      <c r="F641" s="2">
        <v>3.6799264541243099E-6</v>
      </c>
      <c r="G641" t="s">
        <v>3559</v>
      </c>
    </row>
    <row r="642" spans="1:7" x14ac:dyDescent="0.25">
      <c r="A642" s="4" t="str">
        <f>HYPERLINK("http://amigo.geneontology.org/cgi-bin/amigo/term-details.cgi?term=GO:0072521","GO:0072521")</f>
        <v>GO:0072521</v>
      </c>
      <c r="B642" t="s">
        <v>597</v>
      </c>
      <c r="C642">
        <v>779</v>
      </c>
      <c r="D642">
        <v>67</v>
      </c>
      <c r="E642" s="2">
        <v>5.2797327736569304E-7</v>
      </c>
      <c r="F642" s="2">
        <v>3.6958129415598499E-6</v>
      </c>
      <c r="G642" t="s">
        <v>3558</v>
      </c>
    </row>
    <row r="643" spans="1:7" x14ac:dyDescent="0.25">
      <c r="A643" s="4" t="str">
        <f>HYPERLINK("http://amigo.geneontology.org/cgi-bin/amigo/term-details.cgi?term=GO:0005911","GO:0005911")</f>
        <v>GO:0005911</v>
      </c>
      <c r="B643" t="s">
        <v>3557</v>
      </c>
      <c r="C643">
        <v>402</v>
      </c>
      <c r="D643">
        <v>42</v>
      </c>
      <c r="E643" s="2">
        <v>5.3888756355639702E-7</v>
      </c>
      <c r="F643" s="2">
        <v>3.7722129448947802E-6</v>
      </c>
      <c r="G643" t="s">
        <v>3555</v>
      </c>
    </row>
    <row r="644" spans="1:7" x14ac:dyDescent="0.25">
      <c r="A644" s="4" t="str">
        <f>HYPERLINK("http://amigo.geneontology.org/cgi-bin/amigo/term-details.cgi?term=GO:0009506","GO:0009506")</f>
        <v>GO:0009506</v>
      </c>
      <c r="B644" t="s">
        <v>3556</v>
      </c>
      <c r="C644">
        <v>402</v>
      </c>
      <c r="D644">
        <v>42</v>
      </c>
      <c r="E644" s="2">
        <v>5.3888756355639702E-7</v>
      </c>
      <c r="F644" s="2">
        <v>3.7722129448947802E-6</v>
      </c>
      <c r="G644" t="s">
        <v>3555</v>
      </c>
    </row>
    <row r="645" spans="1:7" x14ac:dyDescent="0.25">
      <c r="A645" s="4" t="str">
        <f>HYPERLINK("http://amigo.geneontology.org/cgi-bin/amigo/term-details.cgi?term=GO:0006346","GO:0006346")</f>
        <v>GO:0006346</v>
      </c>
      <c r="B645" t="s">
        <v>3554</v>
      </c>
      <c r="C645">
        <v>71</v>
      </c>
      <c r="D645">
        <v>15</v>
      </c>
      <c r="E645" s="2">
        <v>5.4204152380126502E-7</v>
      </c>
      <c r="F645" s="2">
        <v>3.79429066660886E-6</v>
      </c>
      <c r="G645" t="s">
        <v>3553</v>
      </c>
    </row>
    <row r="646" spans="1:7" x14ac:dyDescent="0.25">
      <c r="A646" s="4" t="str">
        <f>HYPERLINK("http://amigo.geneontology.org/cgi-bin/amigo/term-details.cgi?term=GO:0009528","GO:0009528")</f>
        <v>GO:0009528</v>
      </c>
      <c r="B646" t="s">
        <v>3552</v>
      </c>
      <c r="C646">
        <v>62</v>
      </c>
      <c r="D646">
        <v>14</v>
      </c>
      <c r="E646" s="2">
        <v>5.4386496101928297E-7</v>
      </c>
      <c r="F646" s="2">
        <v>3.8070547271349799E-6</v>
      </c>
      <c r="G646" t="s">
        <v>3551</v>
      </c>
    </row>
    <row r="647" spans="1:7" x14ac:dyDescent="0.25">
      <c r="A647" s="4" t="str">
        <f>HYPERLINK("http://amigo.geneontology.org/cgi-bin/amigo/term-details.cgi?term=GO:0030060","GO:0030060")</f>
        <v>GO:0030060</v>
      </c>
      <c r="B647" t="s">
        <v>726</v>
      </c>
      <c r="C647">
        <v>24</v>
      </c>
      <c r="D647">
        <v>9</v>
      </c>
      <c r="E647" s="2">
        <v>5.5008960559304897E-7</v>
      </c>
      <c r="F647" s="2">
        <v>3.8506272391513396E-6</v>
      </c>
      <c r="G647" t="s">
        <v>3550</v>
      </c>
    </row>
    <row r="648" spans="1:7" x14ac:dyDescent="0.25">
      <c r="A648" s="4" t="str">
        <f>HYPERLINK("http://amigo.geneontology.org/cgi-bin/amigo/term-details.cgi?term=GO:0006970","GO:0006970")</f>
        <v>GO:0006970</v>
      </c>
      <c r="B648" t="s">
        <v>1953</v>
      </c>
      <c r="C648">
        <v>279</v>
      </c>
      <c r="D648">
        <v>33</v>
      </c>
      <c r="E648" s="2">
        <v>5.5362781763082703E-7</v>
      </c>
      <c r="F648" s="2">
        <v>3.8753947234157896E-6</v>
      </c>
      <c r="G648" t="s">
        <v>3549</v>
      </c>
    </row>
    <row r="649" spans="1:7" x14ac:dyDescent="0.25">
      <c r="A649" s="4" t="str">
        <f>HYPERLINK("http://amigo.geneontology.org/cgi-bin/amigo/term-details.cgi?term=GO:0045087","GO:0045087")</f>
        <v>GO:0045087</v>
      </c>
      <c r="B649" t="s">
        <v>2232</v>
      </c>
      <c r="C649">
        <v>253</v>
      </c>
      <c r="D649">
        <v>31</v>
      </c>
      <c r="E649" s="2">
        <v>5.5847414138808396E-7</v>
      </c>
      <c r="F649" s="2">
        <v>3.90931898971659E-6</v>
      </c>
      <c r="G649" t="s">
        <v>3537</v>
      </c>
    </row>
    <row r="650" spans="1:7" x14ac:dyDescent="0.25">
      <c r="A650" s="4" t="str">
        <f>HYPERLINK("http://amigo.geneontology.org/cgi-bin/amigo/term-details.cgi?term=GO:0031324","GO:0031324")</f>
        <v>GO:0031324</v>
      </c>
      <c r="B650" t="s">
        <v>3548</v>
      </c>
      <c r="C650">
        <v>461</v>
      </c>
      <c r="D650">
        <v>46</v>
      </c>
      <c r="E650" s="2">
        <v>5.93619239009204E-7</v>
      </c>
      <c r="F650" s="2">
        <v>4.1553346730644301E-6</v>
      </c>
      <c r="G650" t="s">
        <v>3547</v>
      </c>
    </row>
    <row r="651" spans="1:7" x14ac:dyDescent="0.25">
      <c r="A651" s="4" t="str">
        <f>HYPERLINK("http://amigo.geneontology.org/cgi-bin/amigo/term-details.cgi?term=GO:0006163","GO:0006163")</f>
        <v>GO:0006163</v>
      </c>
      <c r="B651" t="s">
        <v>538</v>
      </c>
      <c r="C651">
        <v>719</v>
      </c>
      <c r="D651">
        <v>63</v>
      </c>
      <c r="E651" s="2">
        <v>6.06661670209949E-7</v>
      </c>
      <c r="F651" s="2">
        <v>4.24663169146964E-6</v>
      </c>
      <c r="G651" t="s">
        <v>3546</v>
      </c>
    </row>
    <row r="652" spans="1:7" x14ac:dyDescent="0.25">
      <c r="A652" s="4" t="str">
        <f>HYPERLINK("http://amigo.geneontology.org/cgi-bin/amigo/term-details.cgi?term=GO:0043140","GO:0043140")</f>
        <v>GO:0043140</v>
      </c>
      <c r="B652" t="s">
        <v>670</v>
      </c>
      <c r="C652">
        <v>9</v>
      </c>
      <c r="D652">
        <v>6</v>
      </c>
      <c r="E652" s="2">
        <v>6.3493150240741901E-7</v>
      </c>
      <c r="F652" s="2">
        <v>4.4445205168519303E-6</v>
      </c>
      <c r="G652" t="s">
        <v>3412</v>
      </c>
    </row>
    <row r="653" spans="1:7" x14ac:dyDescent="0.25">
      <c r="A653" s="4" t="str">
        <f>HYPERLINK("http://amigo.geneontology.org/cgi-bin/amigo/term-details.cgi?term=GO:0018958","GO:0018958")</f>
        <v>GO:0018958</v>
      </c>
      <c r="B653" t="s">
        <v>1840</v>
      </c>
      <c r="C653">
        <v>72</v>
      </c>
      <c r="D653">
        <v>15</v>
      </c>
      <c r="E653" s="2">
        <v>6.5608106010318901E-7</v>
      </c>
      <c r="F653" s="2">
        <v>4.5925674207223199E-6</v>
      </c>
      <c r="G653" t="s">
        <v>3545</v>
      </c>
    </row>
    <row r="654" spans="1:7" x14ac:dyDescent="0.25">
      <c r="A654" s="4" t="str">
        <f>HYPERLINK("http://amigo.geneontology.org/cgi-bin/amigo/term-details.cgi?term=GO:0044003","GO:0044003")</f>
        <v>GO:0044003</v>
      </c>
      <c r="B654" t="s">
        <v>3544</v>
      </c>
      <c r="C654">
        <v>63</v>
      </c>
      <c r="D654">
        <v>14</v>
      </c>
      <c r="E654" s="2">
        <v>6.7015419477670996E-7</v>
      </c>
      <c r="F654" s="2">
        <v>4.6910793634369704E-6</v>
      </c>
      <c r="G654" t="s">
        <v>3040</v>
      </c>
    </row>
    <row r="655" spans="1:7" x14ac:dyDescent="0.25">
      <c r="A655" s="4" t="str">
        <f>HYPERLINK("http://amigo.geneontology.org/cgi-bin/amigo/term-details.cgi?term=GO:0016049","GO:0016049")</f>
        <v>GO:0016049</v>
      </c>
      <c r="B655" t="s">
        <v>850</v>
      </c>
      <c r="C655">
        <v>217</v>
      </c>
      <c r="D655">
        <v>28</v>
      </c>
      <c r="E655" s="2">
        <v>6.7920318468445599E-7</v>
      </c>
      <c r="F655" s="2">
        <v>4.7544222927911903E-6</v>
      </c>
      <c r="G655" t="s">
        <v>3543</v>
      </c>
    </row>
    <row r="656" spans="1:7" x14ac:dyDescent="0.25">
      <c r="A656" s="4" t="str">
        <f>HYPERLINK("http://amigo.geneontology.org/cgi-bin/amigo/term-details.cgi?term=GO:0022414","GO:0022414")</f>
        <v>GO:0022414</v>
      </c>
      <c r="B656" t="s">
        <v>933</v>
      </c>
      <c r="C656">
        <v>1818</v>
      </c>
      <c r="D656">
        <v>128</v>
      </c>
      <c r="E656" s="2">
        <v>6.8941382846914899E-7</v>
      </c>
      <c r="F656" s="2">
        <v>4.1364829708148897E-6</v>
      </c>
      <c r="G656" t="s">
        <v>3542</v>
      </c>
    </row>
    <row r="657" spans="1:7" x14ac:dyDescent="0.25">
      <c r="A657" s="4" t="str">
        <f>HYPERLINK("http://amigo.geneontology.org/cgi-bin/amigo/term-details.cgi?term=GO:0016616","GO:0016616")</f>
        <v>GO:0016616</v>
      </c>
      <c r="B657" t="s">
        <v>723</v>
      </c>
      <c r="C657">
        <v>392</v>
      </c>
      <c r="D657">
        <v>41</v>
      </c>
      <c r="E657" s="2">
        <v>7.0978640335987802E-7</v>
      </c>
      <c r="F657" s="2">
        <v>4.25871842015927E-6</v>
      </c>
      <c r="G657" t="s">
        <v>3541</v>
      </c>
    </row>
    <row r="658" spans="1:7" x14ac:dyDescent="0.25">
      <c r="A658" s="4" t="str">
        <f>HYPERLINK("http://amigo.geneontology.org/cgi-bin/amigo/term-details.cgi?term=GO:0009744","GO:0009744")</f>
        <v>GO:0009744</v>
      </c>
      <c r="B658" t="s">
        <v>3540</v>
      </c>
      <c r="C658">
        <v>102</v>
      </c>
      <c r="D658">
        <v>18</v>
      </c>
      <c r="E658" s="2">
        <v>7.1170515701967802E-7</v>
      </c>
      <c r="F658" s="2">
        <v>4.2702309421180603E-6</v>
      </c>
      <c r="G658" t="s">
        <v>3532</v>
      </c>
    </row>
    <row r="659" spans="1:7" x14ac:dyDescent="0.25">
      <c r="A659" s="4" t="str">
        <f>HYPERLINK("http://amigo.geneontology.org/cgi-bin/amigo/term-details.cgi?term=GO:0031225","GO:0031225")</f>
        <v>GO:0031225</v>
      </c>
      <c r="B659" t="s">
        <v>638</v>
      </c>
      <c r="C659">
        <v>82</v>
      </c>
      <c r="D659">
        <v>16</v>
      </c>
      <c r="E659" s="2">
        <v>7.1798960606893698E-7</v>
      </c>
      <c r="F659" s="2">
        <v>4.3079376364136202E-6</v>
      </c>
      <c r="G659" t="s">
        <v>3539</v>
      </c>
    </row>
    <row r="660" spans="1:7" x14ac:dyDescent="0.25">
      <c r="A660" s="4" t="str">
        <f>HYPERLINK("http://amigo.geneontology.org/cgi-bin/amigo/term-details.cgi?term=GO:1990234","GO:1990234")</f>
        <v>GO:1990234</v>
      </c>
      <c r="B660" t="s">
        <v>462</v>
      </c>
      <c r="C660">
        <v>584</v>
      </c>
      <c r="D660">
        <v>54</v>
      </c>
      <c r="E660" s="2">
        <v>7.3921922397279099E-7</v>
      </c>
      <c r="F660" s="2">
        <v>4.4353153438367398E-6</v>
      </c>
      <c r="G660" t="s">
        <v>3538</v>
      </c>
    </row>
    <row r="661" spans="1:7" x14ac:dyDescent="0.25">
      <c r="A661" s="4" t="str">
        <f>HYPERLINK("http://amigo.geneontology.org/cgi-bin/amigo/term-details.cgi?term=GO:0006955","GO:0006955")</f>
        <v>GO:0006955</v>
      </c>
      <c r="B661" t="s">
        <v>2228</v>
      </c>
      <c r="C661">
        <v>257</v>
      </c>
      <c r="D661">
        <v>31</v>
      </c>
      <c r="E661" s="2">
        <v>7.8604967883354095E-7</v>
      </c>
      <c r="F661" s="2">
        <v>4.7162980730012504E-6</v>
      </c>
      <c r="G661" t="s">
        <v>3537</v>
      </c>
    </row>
    <row r="662" spans="1:7" x14ac:dyDescent="0.25">
      <c r="A662" s="4" t="str">
        <f>HYPERLINK("http://amigo.geneontology.org/cgi-bin/amigo/term-details.cgi?term=GO:0051817","GO:0051817")</f>
        <v>GO:0051817</v>
      </c>
      <c r="B662" t="s">
        <v>3536</v>
      </c>
      <c r="C662">
        <v>64</v>
      </c>
      <c r="D662">
        <v>14</v>
      </c>
      <c r="E662" s="2">
        <v>8.2210712069584395E-7</v>
      </c>
      <c r="F662" s="2">
        <v>4.9326427241750601E-6</v>
      </c>
      <c r="G662" t="s">
        <v>3040</v>
      </c>
    </row>
    <row r="663" spans="1:7" x14ac:dyDescent="0.25">
      <c r="A663" s="4" t="str">
        <f>HYPERLINK("http://amigo.geneontology.org/cgi-bin/amigo/term-details.cgi?term=GO:0098588","GO:0098588")</f>
        <v>GO:0098588</v>
      </c>
      <c r="B663" t="s">
        <v>506</v>
      </c>
      <c r="C663">
        <v>821</v>
      </c>
      <c r="D663">
        <v>69</v>
      </c>
      <c r="E663" s="2">
        <v>8.2648370595310595E-7</v>
      </c>
      <c r="F663" s="2">
        <v>4.9589022357186302E-6</v>
      </c>
      <c r="G663" t="s">
        <v>3535</v>
      </c>
    </row>
    <row r="664" spans="1:7" x14ac:dyDescent="0.25">
      <c r="A664" s="4" t="str">
        <f>HYPERLINK("http://amigo.geneontology.org/cgi-bin/amigo/term-details.cgi?term=GO:0016887","GO:0016887")</f>
        <v>GO:0016887</v>
      </c>
      <c r="B664" t="s">
        <v>340</v>
      </c>
      <c r="C664">
        <v>1067</v>
      </c>
      <c r="D664">
        <v>84</v>
      </c>
      <c r="E664" s="2">
        <v>8.5171899301163602E-7</v>
      </c>
      <c r="F664" s="2">
        <v>5.11031395806981E-6</v>
      </c>
      <c r="G664" t="s">
        <v>3534</v>
      </c>
    </row>
    <row r="665" spans="1:7" x14ac:dyDescent="0.25">
      <c r="A665" s="4" t="str">
        <f>HYPERLINK("http://amigo.geneontology.org/cgi-bin/amigo/term-details.cgi?term=GO:0007051","GO:0007051")</f>
        <v>GO:0007051</v>
      </c>
      <c r="B665" t="s">
        <v>488</v>
      </c>
      <c r="C665">
        <v>47</v>
      </c>
      <c r="D665">
        <v>12</v>
      </c>
      <c r="E665" s="2">
        <v>8.5220935590409896E-7</v>
      </c>
      <c r="F665" s="2">
        <v>5.1132561354245901E-6</v>
      </c>
      <c r="G665" t="s">
        <v>3306</v>
      </c>
    </row>
    <row r="666" spans="1:7" x14ac:dyDescent="0.25">
      <c r="A666" s="4" t="str">
        <f>HYPERLINK("http://amigo.geneontology.org/cgi-bin/amigo/term-details.cgi?term=GO:0003843","GO:0003843")</f>
        <v>GO:0003843</v>
      </c>
      <c r="B666" t="s">
        <v>577</v>
      </c>
      <c r="C666">
        <v>47</v>
      </c>
      <c r="D666">
        <v>12</v>
      </c>
      <c r="E666" s="2">
        <v>8.5220935590409896E-7</v>
      </c>
      <c r="F666" s="2">
        <v>5.1132561354245901E-6</v>
      </c>
      <c r="G666" t="s">
        <v>1341</v>
      </c>
    </row>
    <row r="667" spans="1:7" x14ac:dyDescent="0.25">
      <c r="A667" s="4" t="str">
        <f>HYPERLINK("http://amigo.geneontology.org/cgi-bin/amigo/term-details.cgi?term=GO:0009595","GO:0009595")</f>
        <v>GO:0009595</v>
      </c>
      <c r="B667" t="s">
        <v>2030</v>
      </c>
      <c r="C667">
        <v>32</v>
      </c>
      <c r="D667">
        <v>10</v>
      </c>
      <c r="E667" s="2">
        <v>9.0906248602460798E-7</v>
      </c>
      <c r="F667" s="2">
        <v>5.4543749161476496E-6</v>
      </c>
      <c r="G667" t="s">
        <v>2937</v>
      </c>
    </row>
    <row r="668" spans="1:7" x14ac:dyDescent="0.25">
      <c r="A668" s="4" t="str">
        <f>HYPERLINK("http://amigo.geneontology.org/cgi-bin/amigo/term-details.cgi?term=GO:0034285","GO:0034285")</f>
        <v>GO:0034285</v>
      </c>
      <c r="B668" t="s">
        <v>3533</v>
      </c>
      <c r="C668">
        <v>104</v>
      </c>
      <c r="D668">
        <v>18</v>
      </c>
      <c r="E668" s="2">
        <v>9.5689371067416596E-7</v>
      </c>
      <c r="F668" s="2">
        <v>5.7413622640449996E-6</v>
      </c>
      <c r="G668" t="s">
        <v>3532</v>
      </c>
    </row>
    <row r="669" spans="1:7" x14ac:dyDescent="0.25">
      <c r="A669" s="4" t="str">
        <f>HYPERLINK("http://amigo.geneontology.org/cgi-bin/amigo/term-details.cgi?term=GO:0005768","GO:0005768")</f>
        <v>GO:0005768</v>
      </c>
      <c r="B669" t="s">
        <v>1902</v>
      </c>
      <c r="C669">
        <v>197</v>
      </c>
      <c r="D669">
        <v>26</v>
      </c>
      <c r="E669" s="2">
        <v>1.0842866151401299E-6</v>
      </c>
      <c r="F669" s="2">
        <v>6.5057196908407999E-6</v>
      </c>
      <c r="G669" t="s">
        <v>3531</v>
      </c>
    </row>
    <row r="670" spans="1:7" x14ac:dyDescent="0.25">
      <c r="A670" s="4" t="str">
        <f>HYPERLINK("http://amigo.geneontology.org/cgi-bin/amigo/term-details.cgi?term=GO:0072657","GO:0072657")</f>
        <v>GO:0072657</v>
      </c>
      <c r="B670" t="s">
        <v>650</v>
      </c>
      <c r="C670">
        <v>197</v>
      </c>
      <c r="D670">
        <v>26</v>
      </c>
      <c r="E670" s="2">
        <v>1.0842866151401299E-6</v>
      </c>
      <c r="F670" s="2">
        <v>6.5057196908407999E-6</v>
      </c>
      <c r="G670" t="s">
        <v>3530</v>
      </c>
    </row>
    <row r="671" spans="1:7" x14ac:dyDescent="0.25">
      <c r="A671" s="4" t="str">
        <f>HYPERLINK("http://amigo.geneontology.org/cgi-bin/amigo/term-details.cgi?term=GO:0090150","GO:0090150")</f>
        <v>GO:0090150</v>
      </c>
      <c r="B671" t="s">
        <v>649</v>
      </c>
      <c r="C671">
        <v>197</v>
      </c>
      <c r="D671">
        <v>26</v>
      </c>
      <c r="E671" s="2">
        <v>1.0842866151401299E-6</v>
      </c>
      <c r="F671" s="2">
        <v>6.5057196908407999E-6</v>
      </c>
      <c r="G671" t="s">
        <v>3530</v>
      </c>
    </row>
    <row r="672" spans="1:7" x14ac:dyDescent="0.25">
      <c r="A672" s="4" t="str">
        <f>HYPERLINK("http://amigo.geneontology.org/cgi-bin/amigo/term-details.cgi?term=GO:0004853","GO:0004853")</f>
        <v>GO:0004853</v>
      </c>
      <c r="B672" t="s">
        <v>714</v>
      </c>
      <c r="C672">
        <v>6</v>
      </c>
      <c r="D672">
        <v>5</v>
      </c>
      <c r="E672" s="2">
        <v>1.0880233905691099E-6</v>
      </c>
      <c r="F672" s="2">
        <v>6.5281403434146596E-6</v>
      </c>
      <c r="G672" t="s">
        <v>1158</v>
      </c>
    </row>
    <row r="673" spans="1:7" x14ac:dyDescent="0.25">
      <c r="A673" s="4" t="str">
        <f>HYPERLINK("http://amigo.geneontology.org/cgi-bin/amigo/term-details.cgi?term=GO:0019464","GO:0019464")</f>
        <v>GO:0019464</v>
      </c>
      <c r="B673" t="s">
        <v>1166</v>
      </c>
      <c r="C673">
        <v>6</v>
      </c>
      <c r="D673">
        <v>5</v>
      </c>
      <c r="E673" s="2">
        <v>1.0880233905691099E-6</v>
      </c>
      <c r="F673" s="2">
        <v>6.5281403434146596E-6</v>
      </c>
      <c r="G673" t="s">
        <v>1301</v>
      </c>
    </row>
    <row r="674" spans="1:7" x14ac:dyDescent="0.25">
      <c r="A674" s="4" t="str">
        <f>HYPERLINK("http://amigo.geneontology.org/cgi-bin/amigo/term-details.cgi?term=GO:0009056","GO:0009056")</f>
        <v>GO:0009056</v>
      </c>
      <c r="B674" t="s">
        <v>1062</v>
      </c>
      <c r="C674">
        <v>2670</v>
      </c>
      <c r="D674">
        <v>174</v>
      </c>
      <c r="E674" s="2">
        <v>1.11391627589471E-6</v>
      </c>
      <c r="F674" s="2">
        <v>6.6834976553682799E-6</v>
      </c>
      <c r="G674" t="s">
        <v>3529</v>
      </c>
    </row>
    <row r="675" spans="1:7" x14ac:dyDescent="0.25">
      <c r="A675" s="4" t="str">
        <f>HYPERLINK("http://amigo.geneontology.org/cgi-bin/amigo/term-details.cgi?term=GO:0000139","GO:0000139")</f>
        <v>GO:0000139</v>
      </c>
      <c r="B675" t="s">
        <v>3528</v>
      </c>
      <c r="C675">
        <v>185</v>
      </c>
      <c r="D675">
        <v>25</v>
      </c>
      <c r="E675" s="2">
        <v>1.1140881180099799E-6</v>
      </c>
      <c r="F675" s="2">
        <v>6.6845287080599103E-6</v>
      </c>
      <c r="G675" t="s">
        <v>3527</v>
      </c>
    </row>
    <row r="676" spans="1:7" x14ac:dyDescent="0.25">
      <c r="A676" s="4" t="str">
        <f>HYPERLINK("http://amigo.geneontology.org/cgi-bin/amigo/term-details.cgi?term=GO:0051193","GO:0051193")</f>
        <v>GO:0051193</v>
      </c>
      <c r="B676" t="s">
        <v>1825</v>
      </c>
      <c r="C676">
        <v>57</v>
      </c>
      <c r="D676">
        <v>13</v>
      </c>
      <c r="E676" s="2">
        <v>1.2176758589068799E-6</v>
      </c>
      <c r="F676" s="2">
        <v>7.3060551534412996E-6</v>
      </c>
      <c r="G676" t="s">
        <v>3526</v>
      </c>
    </row>
    <row r="677" spans="1:7" x14ac:dyDescent="0.25">
      <c r="A677" s="4" t="str">
        <f>HYPERLINK("http://amigo.geneontology.org/cgi-bin/amigo/term-details.cgi?term=GO:0046486","GO:0046486")</f>
        <v>GO:0046486</v>
      </c>
      <c r="B677" t="s">
        <v>562</v>
      </c>
      <c r="C677">
        <v>521</v>
      </c>
      <c r="D677">
        <v>49</v>
      </c>
      <c r="E677" s="2">
        <v>1.45213376532656E-6</v>
      </c>
      <c r="F677" s="2">
        <v>8.7128025919593999E-6</v>
      </c>
      <c r="G677" t="s">
        <v>3525</v>
      </c>
    </row>
    <row r="678" spans="1:7" x14ac:dyDescent="0.25">
      <c r="A678" s="4" t="str">
        <f>HYPERLINK("http://amigo.geneontology.org/cgi-bin/amigo/term-details.cgi?term=GO:0010287","GO:0010287")</f>
        <v>GO:0010287</v>
      </c>
      <c r="B678" t="s">
        <v>3524</v>
      </c>
      <c r="C678">
        <v>58</v>
      </c>
      <c r="D678">
        <v>13</v>
      </c>
      <c r="E678" s="2">
        <v>1.5044816450733001E-6</v>
      </c>
      <c r="F678" s="2">
        <v>9.02688987043982E-6</v>
      </c>
      <c r="G678" t="s">
        <v>3523</v>
      </c>
    </row>
    <row r="679" spans="1:7" x14ac:dyDescent="0.25">
      <c r="A679" s="4" t="str">
        <f>HYPERLINK("http://amigo.geneontology.org/cgi-bin/amigo/term-details.cgi?term=GO:0001053","GO:0001053")</f>
        <v>GO:0001053</v>
      </c>
      <c r="B679" t="s">
        <v>3522</v>
      </c>
      <c r="C679">
        <v>10</v>
      </c>
      <c r="D679">
        <v>6</v>
      </c>
      <c r="E679" s="2">
        <v>1.52606763008531E-6</v>
      </c>
      <c r="F679" s="2">
        <v>9.15640578051187E-6</v>
      </c>
      <c r="G679" t="s">
        <v>3521</v>
      </c>
    </row>
    <row r="680" spans="1:7" x14ac:dyDescent="0.25">
      <c r="A680" s="4" t="str">
        <f>HYPERLINK("http://amigo.geneontology.org/cgi-bin/amigo/term-details.cgi?term=GO:0006353","GO:0006353")</f>
        <v>GO:0006353</v>
      </c>
      <c r="B680" t="s">
        <v>1295</v>
      </c>
      <c r="C680">
        <v>10</v>
      </c>
      <c r="D680">
        <v>6</v>
      </c>
      <c r="E680" s="2">
        <v>1.52606763008531E-6</v>
      </c>
      <c r="F680" s="2">
        <v>9.15640578051187E-6</v>
      </c>
      <c r="G680" t="s">
        <v>3520</v>
      </c>
    </row>
    <row r="681" spans="1:7" x14ac:dyDescent="0.25">
      <c r="A681" s="4" t="str">
        <f>HYPERLINK("http://amigo.geneontology.org/cgi-bin/amigo/term-details.cgi?term=GO:0045892","GO:0045892")</f>
        <v>GO:0045892</v>
      </c>
      <c r="B681" t="s">
        <v>3519</v>
      </c>
      <c r="C681">
        <v>214</v>
      </c>
      <c r="D681">
        <v>27</v>
      </c>
      <c r="E681" s="2">
        <v>1.6513066795875399E-6</v>
      </c>
      <c r="F681" s="2">
        <v>9.9078400775252695E-6</v>
      </c>
      <c r="G681" t="s">
        <v>3515</v>
      </c>
    </row>
    <row r="682" spans="1:7" x14ac:dyDescent="0.25">
      <c r="A682" s="4" t="str">
        <f>HYPERLINK("http://amigo.geneontology.org/cgi-bin/amigo/term-details.cgi?term=GO:0051701","GO:0051701")</f>
        <v>GO:0051701</v>
      </c>
      <c r="B682" t="s">
        <v>3518</v>
      </c>
      <c r="C682">
        <v>68</v>
      </c>
      <c r="D682">
        <v>14</v>
      </c>
      <c r="E682" s="2">
        <v>1.7862681086095599E-6</v>
      </c>
      <c r="F682" s="2">
        <v>1.0717608651657301E-5</v>
      </c>
      <c r="G682" t="s">
        <v>3040</v>
      </c>
    </row>
    <row r="683" spans="1:7" x14ac:dyDescent="0.25">
      <c r="A683" s="4" t="str">
        <f>HYPERLINK("http://amigo.geneontology.org/cgi-bin/amigo/term-details.cgi?term=GO:1902679","GO:1902679")</f>
        <v>GO:1902679</v>
      </c>
      <c r="B683" t="s">
        <v>3517</v>
      </c>
      <c r="C683">
        <v>215</v>
      </c>
      <c r="D683">
        <v>27</v>
      </c>
      <c r="E683" s="2">
        <v>1.80775148755841E-6</v>
      </c>
      <c r="F683" s="2">
        <v>1.08465089253505E-5</v>
      </c>
      <c r="G683" t="s">
        <v>3515</v>
      </c>
    </row>
    <row r="684" spans="1:7" x14ac:dyDescent="0.25">
      <c r="A684" s="4" t="str">
        <f>HYPERLINK("http://amigo.geneontology.org/cgi-bin/amigo/term-details.cgi?term=GO:1903507","GO:1903507")</f>
        <v>GO:1903507</v>
      </c>
      <c r="B684" t="s">
        <v>3516</v>
      </c>
      <c r="C684">
        <v>215</v>
      </c>
      <c r="D684">
        <v>27</v>
      </c>
      <c r="E684" s="2">
        <v>1.80775148755841E-6</v>
      </c>
      <c r="F684" s="2">
        <v>1.08465089253505E-5</v>
      </c>
      <c r="G684" t="s">
        <v>3515</v>
      </c>
    </row>
    <row r="685" spans="1:7" x14ac:dyDescent="0.25">
      <c r="A685" s="4" t="str">
        <f>HYPERLINK("http://amigo.geneontology.org/cgi-bin/amigo/term-details.cgi?term=GO:1901700","GO:1901700")</f>
        <v>GO:1901700</v>
      </c>
      <c r="B685" t="s">
        <v>926</v>
      </c>
      <c r="C685">
        <v>877</v>
      </c>
      <c r="D685">
        <v>71</v>
      </c>
      <c r="E685" s="2">
        <v>2.1985515071242301E-6</v>
      </c>
      <c r="F685" s="2">
        <v>1.3191309042745401E-5</v>
      </c>
      <c r="G685" t="s">
        <v>3514</v>
      </c>
    </row>
    <row r="686" spans="1:7" x14ac:dyDescent="0.25">
      <c r="A686" s="4" t="str">
        <f>HYPERLINK("http://amigo.geneontology.org/cgi-bin/amigo/term-details.cgi?term=GO:0003755","GO:0003755")</f>
        <v>GO:0003755</v>
      </c>
      <c r="B686" t="s">
        <v>646</v>
      </c>
      <c r="C686">
        <v>133</v>
      </c>
      <c r="D686">
        <v>20</v>
      </c>
      <c r="E686" s="2">
        <v>2.4291881014408399E-6</v>
      </c>
      <c r="F686" s="2">
        <v>1.4575128608645E-5</v>
      </c>
      <c r="G686" t="s">
        <v>3490</v>
      </c>
    </row>
    <row r="687" spans="1:7" x14ac:dyDescent="0.25">
      <c r="A687" s="4" t="str">
        <f>HYPERLINK("http://amigo.geneontology.org/cgi-bin/amigo/term-details.cgi?term=GO:0010413","GO:0010413")</f>
        <v>GO:0010413</v>
      </c>
      <c r="B687" t="s">
        <v>3513</v>
      </c>
      <c r="C687">
        <v>70</v>
      </c>
      <c r="D687">
        <v>14</v>
      </c>
      <c r="E687" s="2">
        <v>2.5732438261991799E-6</v>
      </c>
      <c r="F687" s="2">
        <v>1.5439462957195101E-5</v>
      </c>
      <c r="G687" t="s">
        <v>3161</v>
      </c>
    </row>
    <row r="688" spans="1:7" x14ac:dyDescent="0.25">
      <c r="A688" s="4" t="str">
        <f>HYPERLINK("http://amigo.geneontology.org/cgi-bin/amigo/term-details.cgi?term=GO:0006612","GO:0006612")</f>
        <v>GO:0006612</v>
      </c>
      <c r="B688" t="s">
        <v>645</v>
      </c>
      <c r="C688">
        <v>157</v>
      </c>
      <c r="D688">
        <v>22</v>
      </c>
      <c r="E688" s="2">
        <v>2.6091192475514E-6</v>
      </c>
      <c r="F688" s="2">
        <v>1.56547154853084E-5</v>
      </c>
      <c r="G688" t="s">
        <v>3512</v>
      </c>
    </row>
    <row r="689" spans="1:7" x14ac:dyDescent="0.25">
      <c r="A689" s="4" t="str">
        <f>HYPERLINK("http://amigo.geneontology.org/cgi-bin/amigo/term-details.cgi?term=GO:0006650","GO:0006650")</f>
        <v>GO:0006650</v>
      </c>
      <c r="B689" t="s">
        <v>625</v>
      </c>
      <c r="C689">
        <v>457</v>
      </c>
      <c r="D689">
        <v>44</v>
      </c>
      <c r="E689" s="2">
        <v>2.6447716712745301E-6</v>
      </c>
      <c r="F689" s="2">
        <v>1.5868630027647201E-5</v>
      </c>
      <c r="G689" t="s">
        <v>3511</v>
      </c>
    </row>
    <row r="690" spans="1:7" x14ac:dyDescent="0.25">
      <c r="A690" s="4" t="str">
        <f>HYPERLINK("http://amigo.geneontology.org/cgi-bin/amigo/term-details.cgi?term=GO:1901657","GO:1901657")</f>
        <v>GO:1901657</v>
      </c>
      <c r="B690" t="s">
        <v>410</v>
      </c>
      <c r="C690">
        <v>259</v>
      </c>
      <c r="D690">
        <v>30</v>
      </c>
      <c r="E690" s="2">
        <v>2.7200582388675501E-6</v>
      </c>
      <c r="F690" s="2">
        <v>1.6320349433205302E-5</v>
      </c>
      <c r="G690" t="s">
        <v>3510</v>
      </c>
    </row>
    <row r="691" spans="1:7" x14ac:dyDescent="0.25">
      <c r="A691" s="4" t="str">
        <f>HYPERLINK("http://amigo.geneontology.org/cgi-bin/amigo/term-details.cgi?term=GO:0052249","GO:0052249")</f>
        <v>GO:0052249</v>
      </c>
      <c r="B691" t="s">
        <v>3509</v>
      </c>
      <c r="C691">
        <v>52</v>
      </c>
      <c r="D691">
        <v>12</v>
      </c>
      <c r="E691" s="2">
        <v>2.7277579235276201E-6</v>
      </c>
      <c r="F691" s="2">
        <v>1.6366547541165699E-5</v>
      </c>
      <c r="G691" t="s">
        <v>3499</v>
      </c>
    </row>
    <row r="692" spans="1:7" x14ac:dyDescent="0.25">
      <c r="A692" s="4" t="str">
        <f>HYPERLINK("http://amigo.geneontology.org/cgi-bin/amigo/term-details.cgi?term=GO:0052018","GO:0052018")</f>
        <v>GO:0052018</v>
      </c>
      <c r="B692" t="s">
        <v>3508</v>
      </c>
      <c r="C692">
        <v>52</v>
      </c>
      <c r="D692">
        <v>12</v>
      </c>
      <c r="E692" s="2">
        <v>2.7277579235276201E-6</v>
      </c>
      <c r="F692" s="2">
        <v>1.6366547541165699E-5</v>
      </c>
      <c r="G692" t="s">
        <v>3499</v>
      </c>
    </row>
    <row r="693" spans="1:7" x14ac:dyDescent="0.25">
      <c r="A693" s="4" t="str">
        <f>HYPERLINK("http://amigo.geneontology.org/cgi-bin/amigo/term-details.cgi?term=GO:0009616","GO:0009616")</f>
        <v>GO:0009616</v>
      </c>
      <c r="B693" t="s">
        <v>3507</v>
      </c>
      <c r="C693">
        <v>52</v>
      </c>
      <c r="D693">
        <v>12</v>
      </c>
      <c r="E693" s="2">
        <v>2.7277579235276201E-6</v>
      </c>
      <c r="F693" s="2">
        <v>1.6366547541165699E-5</v>
      </c>
      <c r="G693" t="s">
        <v>3499</v>
      </c>
    </row>
    <row r="694" spans="1:7" x14ac:dyDescent="0.25">
      <c r="A694" s="4" t="str">
        <f>HYPERLINK("http://amigo.geneontology.org/cgi-bin/amigo/term-details.cgi?term=GO:0051606","GO:0051606")</f>
        <v>GO:0051606</v>
      </c>
      <c r="B694" t="s">
        <v>1587</v>
      </c>
      <c r="C694">
        <v>61</v>
      </c>
      <c r="D694">
        <v>13</v>
      </c>
      <c r="E694" s="2">
        <v>2.75786487774162E-6</v>
      </c>
      <c r="F694" s="2">
        <v>1.65471892664497E-5</v>
      </c>
      <c r="G694" t="s">
        <v>3506</v>
      </c>
    </row>
    <row r="695" spans="1:7" x14ac:dyDescent="0.25">
      <c r="A695" s="4" t="str">
        <f>HYPERLINK("http://amigo.geneontology.org/cgi-bin/amigo/term-details.cgi?term=GO:0070592","GO:0070592")</f>
        <v>GO:0070592</v>
      </c>
      <c r="B695" t="s">
        <v>3505</v>
      </c>
      <c r="C695">
        <v>112</v>
      </c>
      <c r="D695">
        <v>18</v>
      </c>
      <c r="E695" s="2">
        <v>2.8974969215029198E-6</v>
      </c>
      <c r="F695" s="2">
        <v>1.7384981529017499E-5</v>
      </c>
      <c r="G695" t="s">
        <v>3504</v>
      </c>
    </row>
    <row r="696" spans="1:7" x14ac:dyDescent="0.25">
      <c r="A696" s="4" t="str">
        <f>HYPERLINK("http://amigo.geneontology.org/cgi-bin/amigo/term-details.cgi?term=GO:0006002","GO:0006002")</f>
        <v>GO:0006002</v>
      </c>
      <c r="B696" t="s">
        <v>183</v>
      </c>
      <c r="C696">
        <v>36</v>
      </c>
      <c r="D696">
        <v>10</v>
      </c>
      <c r="E696" s="2">
        <v>3.0341786152620099E-6</v>
      </c>
      <c r="F696" s="2">
        <v>1.8205071691572E-5</v>
      </c>
      <c r="G696" t="s">
        <v>1154</v>
      </c>
    </row>
    <row r="697" spans="1:7" x14ac:dyDescent="0.25">
      <c r="A697" s="4" t="str">
        <f>HYPERLINK("http://amigo.geneontology.org/cgi-bin/amigo/term-details.cgi?term=GO:0010310","GO:0010310")</f>
        <v>GO:0010310</v>
      </c>
      <c r="B697" t="s">
        <v>1896</v>
      </c>
      <c r="C697">
        <v>44</v>
      </c>
      <c r="D697">
        <v>11</v>
      </c>
      <c r="E697" s="2">
        <v>3.0507426080074402E-6</v>
      </c>
      <c r="F697" s="2">
        <v>1.83044556480446E-5</v>
      </c>
      <c r="G697" t="s">
        <v>3503</v>
      </c>
    </row>
    <row r="698" spans="1:7" x14ac:dyDescent="0.25">
      <c r="A698" s="4" t="str">
        <f>HYPERLINK("http://amigo.geneontology.org/cgi-bin/amigo/term-details.cgi?term=GO:0072528","GO:0072528")</f>
        <v>GO:0072528</v>
      </c>
      <c r="B698" t="s">
        <v>716</v>
      </c>
      <c r="C698">
        <v>221</v>
      </c>
      <c r="D698">
        <v>27</v>
      </c>
      <c r="E698" s="2">
        <v>3.06958883049939E-6</v>
      </c>
      <c r="F698" s="2">
        <v>1.8417532982996299E-5</v>
      </c>
      <c r="G698" t="s">
        <v>3442</v>
      </c>
    </row>
    <row r="699" spans="1:7" x14ac:dyDescent="0.25">
      <c r="A699" s="4" t="str">
        <f>HYPERLINK("http://amigo.geneontology.org/cgi-bin/amigo/term-details.cgi?term=GO:0042765","GO:0042765")</f>
        <v>GO:0042765</v>
      </c>
      <c r="B699" t="s">
        <v>518</v>
      </c>
      <c r="C699">
        <v>22</v>
      </c>
      <c r="D699">
        <v>8</v>
      </c>
      <c r="E699" s="2">
        <v>3.1308179338230698E-6</v>
      </c>
      <c r="F699" s="2">
        <v>1.87849076029384E-5</v>
      </c>
      <c r="G699" t="s">
        <v>1152</v>
      </c>
    </row>
    <row r="700" spans="1:7" x14ac:dyDescent="0.25">
      <c r="A700" s="4" t="str">
        <f>HYPERLINK("http://amigo.geneontology.org/cgi-bin/amigo/term-details.cgi?term=GO:0000373","GO:0000373")</f>
        <v>GO:0000373</v>
      </c>
      <c r="B700" t="s">
        <v>3502</v>
      </c>
      <c r="C700">
        <v>22</v>
      </c>
      <c r="D700">
        <v>8</v>
      </c>
      <c r="E700" s="2">
        <v>3.1308179338230698E-6</v>
      </c>
      <c r="F700" s="2">
        <v>1.87849076029384E-5</v>
      </c>
      <c r="G700" t="s">
        <v>3501</v>
      </c>
    </row>
    <row r="701" spans="1:7" x14ac:dyDescent="0.25">
      <c r="A701" s="4" t="str">
        <f>HYPERLINK("http://amigo.geneontology.org/cgi-bin/amigo/term-details.cgi?term=GO:0098586","GO:0098586")</f>
        <v>GO:0098586</v>
      </c>
      <c r="B701" t="s">
        <v>3500</v>
      </c>
      <c r="C701">
        <v>53</v>
      </c>
      <c r="D701">
        <v>12</v>
      </c>
      <c r="E701" s="2">
        <v>3.38106342102206E-6</v>
      </c>
      <c r="F701" s="2">
        <v>2.0286380526132399E-5</v>
      </c>
      <c r="G701" t="s">
        <v>3499</v>
      </c>
    </row>
    <row r="702" spans="1:7" x14ac:dyDescent="0.25">
      <c r="A702" s="4" t="str">
        <f>HYPERLINK("http://amigo.geneontology.org/cgi-bin/amigo/term-details.cgi?term=GO:0005960","GO:0005960")</f>
        <v>GO:0005960</v>
      </c>
      <c r="B702" t="s">
        <v>1167</v>
      </c>
      <c r="C702">
        <v>7</v>
      </c>
      <c r="D702">
        <v>5</v>
      </c>
      <c r="E702" s="2">
        <v>3.6649567791212401E-6</v>
      </c>
      <c r="F702" s="2">
        <v>2.1989740674727401E-5</v>
      </c>
      <c r="G702" t="s">
        <v>1301</v>
      </c>
    </row>
    <row r="703" spans="1:7" x14ac:dyDescent="0.25">
      <c r="A703" s="4" t="str">
        <f>HYPERLINK("http://amigo.geneontology.org/cgi-bin/amigo/term-details.cgi?term=GO:0010497","GO:0010497")</f>
        <v>GO:0010497</v>
      </c>
      <c r="B703" t="s">
        <v>3498</v>
      </c>
      <c r="C703">
        <v>7</v>
      </c>
      <c r="D703">
        <v>5</v>
      </c>
      <c r="E703" s="2">
        <v>3.6649567791212401E-6</v>
      </c>
      <c r="F703" s="2">
        <v>2.1989740674727401E-5</v>
      </c>
      <c r="G703" t="s">
        <v>3465</v>
      </c>
    </row>
    <row r="704" spans="1:7" x14ac:dyDescent="0.25">
      <c r="A704" s="4" t="str">
        <f>HYPERLINK("http://amigo.geneontology.org/cgi-bin/amigo/term-details.cgi?term=GO:0016879","GO:0016879")</f>
        <v>GO:0016879</v>
      </c>
      <c r="B704" t="s">
        <v>871</v>
      </c>
      <c r="C704">
        <v>361</v>
      </c>
      <c r="D704">
        <v>37</v>
      </c>
      <c r="E704" s="2">
        <v>3.8515753489813102E-6</v>
      </c>
      <c r="F704" s="2">
        <v>2.31094520938878E-5</v>
      </c>
      <c r="G704" t="s">
        <v>3497</v>
      </c>
    </row>
    <row r="705" spans="1:7" x14ac:dyDescent="0.25">
      <c r="A705" s="4" t="str">
        <f>HYPERLINK("http://amigo.geneontology.org/cgi-bin/amigo/term-details.cgi?term=GO:0016615","GO:0016615")</f>
        <v>GO:0016615</v>
      </c>
      <c r="B705" t="s">
        <v>735</v>
      </c>
      <c r="C705">
        <v>45</v>
      </c>
      <c r="D705">
        <v>11</v>
      </c>
      <c r="E705" s="2">
        <v>3.8726599338575798E-6</v>
      </c>
      <c r="F705" s="2">
        <v>2.3235959603145501E-5</v>
      </c>
      <c r="G705" t="s">
        <v>1153</v>
      </c>
    </row>
    <row r="706" spans="1:7" x14ac:dyDescent="0.25">
      <c r="A706" s="4" t="str">
        <f>HYPERLINK("http://amigo.geneontology.org/cgi-bin/amigo/term-details.cgi?term=GO:0009651","GO:0009651")</f>
        <v>GO:0009651</v>
      </c>
      <c r="B706" t="s">
        <v>1933</v>
      </c>
      <c r="C706">
        <v>237</v>
      </c>
      <c r="D706">
        <v>28</v>
      </c>
      <c r="E706" s="2">
        <v>3.9244862987857801E-6</v>
      </c>
      <c r="F706" s="2">
        <v>2.3546917792714699E-5</v>
      </c>
      <c r="G706" t="s">
        <v>3496</v>
      </c>
    </row>
    <row r="707" spans="1:7" x14ac:dyDescent="0.25">
      <c r="A707" s="4" t="str">
        <f>HYPERLINK("http://amigo.geneontology.org/cgi-bin/amigo/term-details.cgi?term=GO:0003872","GO:0003872")</f>
        <v>GO:0003872</v>
      </c>
      <c r="B707" t="s">
        <v>173</v>
      </c>
      <c r="C707">
        <v>37</v>
      </c>
      <c r="D707">
        <v>10</v>
      </c>
      <c r="E707" s="2">
        <v>3.98916270493624E-6</v>
      </c>
      <c r="F707" s="2">
        <v>2.3934976229617399E-5</v>
      </c>
      <c r="G707" t="s">
        <v>1154</v>
      </c>
    </row>
    <row r="708" spans="1:7" x14ac:dyDescent="0.25">
      <c r="A708" s="4" t="str">
        <f>HYPERLINK("http://amigo.geneontology.org/cgi-bin/amigo/term-details.cgi?term=GO:2000377","GO:2000377")</f>
        <v>GO:2000377</v>
      </c>
      <c r="B708" t="s">
        <v>429</v>
      </c>
      <c r="C708">
        <v>54</v>
      </c>
      <c r="D708">
        <v>12</v>
      </c>
      <c r="E708" s="2">
        <v>4.1683012183545404E-6</v>
      </c>
      <c r="F708" s="2">
        <v>2.50098073101272E-5</v>
      </c>
      <c r="G708" t="s">
        <v>3495</v>
      </c>
    </row>
    <row r="709" spans="1:7" x14ac:dyDescent="0.25">
      <c r="A709" s="4" t="str">
        <f>HYPERLINK("http://amigo.geneontology.org/cgi-bin/amigo/term-details.cgi?term=GO:0010297","GO:0010297")</f>
        <v>GO:0010297</v>
      </c>
      <c r="B709" t="s">
        <v>3494</v>
      </c>
      <c r="C709">
        <v>4</v>
      </c>
      <c r="D709">
        <v>4</v>
      </c>
      <c r="E709" s="2">
        <v>4.1720806053061E-6</v>
      </c>
      <c r="F709" s="2">
        <v>2.5032483631836598E-5</v>
      </c>
      <c r="G709" t="s">
        <v>3493</v>
      </c>
    </row>
    <row r="710" spans="1:7" x14ac:dyDescent="0.25">
      <c r="A710" s="4" t="str">
        <f>HYPERLINK("http://amigo.geneontology.org/cgi-bin/amigo/term-details.cgi?term=GO:0010394","GO:0010394")</f>
        <v>GO:0010394</v>
      </c>
      <c r="B710" t="s">
        <v>3492</v>
      </c>
      <c r="C710">
        <v>4</v>
      </c>
      <c r="D710">
        <v>4</v>
      </c>
      <c r="E710" s="2">
        <v>4.1720806053061E-6</v>
      </c>
      <c r="F710" s="2">
        <v>2.5032483631836598E-5</v>
      </c>
      <c r="G710" t="s">
        <v>3422</v>
      </c>
    </row>
    <row r="711" spans="1:7" x14ac:dyDescent="0.25">
      <c r="A711" s="4" t="str">
        <f>HYPERLINK("http://amigo.geneontology.org/cgi-bin/amigo/term-details.cgi?term=GO:0010289","GO:0010289")</f>
        <v>GO:0010289</v>
      </c>
      <c r="B711" t="s">
        <v>3491</v>
      </c>
      <c r="C711">
        <v>4</v>
      </c>
      <c r="D711">
        <v>4</v>
      </c>
      <c r="E711" s="2">
        <v>4.1720806053061E-6</v>
      </c>
      <c r="F711" s="2">
        <v>2.5032483631836598E-5</v>
      </c>
      <c r="G711" t="s">
        <v>3422</v>
      </c>
    </row>
    <row r="712" spans="1:7" x14ac:dyDescent="0.25">
      <c r="A712" s="4" t="str">
        <f>HYPERLINK("http://amigo.geneontology.org/cgi-bin/amigo/term-details.cgi?term=GO:0016859","GO:0016859")</f>
        <v>GO:0016859</v>
      </c>
      <c r="B712" t="s">
        <v>847</v>
      </c>
      <c r="C712">
        <v>138</v>
      </c>
      <c r="D712">
        <v>20</v>
      </c>
      <c r="E712" s="2">
        <v>4.3367434628664798E-6</v>
      </c>
      <c r="F712" s="2">
        <v>2.6020460777198801E-5</v>
      </c>
      <c r="G712" t="s">
        <v>3490</v>
      </c>
    </row>
    <row r="713" spans="1:7" x14ac:dyDescent="0.25">
      <c r="A713" s="4" t="str">
        <f>HYPERLINK("http://amigo.geneontology.org/cgi-bin/amigo/term-details.cgi?term=GO:0071478","GO:0071478")</f>
        <v>GO:0071478</v>
      </c>
      <c r="B713" t="s">
        <v>3489</v>
      </c>
      <c r="C713">
        <v>64</v>
      </c>
      <c r="D713">
        <v>13</v>
      </c>
      <c r="E713" s="2">
        <v>4.8612237677336801E-6</v>
      </c>
      <c r="F713" s="2">
        <v>2.9167342606402101E-5</v>
      </c>
      <c r="G713" t="s">
        <v>3487</v>
      </c>
    </row>
    <row r="714" spans="1:7" x14ac:dyDescent="0.25">
      <c r="A714" s="4" t="str">
        <f>HYPERLINK("http://amigo.geneontology.org/cgi-bin/amigo/term-details.cgi?term=GO:0071482","GO:0071482")</f>
        <v>GO:0071482</v>
      </c>
      <c r="B714" t="s">
        <v>3488</v>
      </c>
      <c r="C714">
        <v>64</v>
      </c>
      <c r="D714">
        <v>13</v>
      </c>
      <c r="E714" s="2">
        <v>4.8612237677336801E-6</v>
      </c>
      <c r="F714" s="2">
        <v>2.9167342606402101E-5</v>
      </c>
      <c r="G714" t="s">
        <v>3487</v>
      </c>
    </row>
    <row r="715" spans="1:7" x14ac:dyDescent="0.25">
      <c r="A715" s="4" t="str">
        <f>HYPERLINK("http://amigo.geneontology.org/cgi-bin/amigo/term-details.cgi?term=GO:0006108","GO:0006108")</f>
        <v>GO:0006108</v>
      </c>
      <c r="B715" t="s">
        <v>737</v>
      </c>
      <c r="C715">
        <v>46</v>
      </c>
      <c r="D715">
        <v>11</v>
      </c>
      <c r="E715" s="2">
        <v>4.8817545204422899E-6</v>
      </c>
      <c r="F715" s="2">
        <v>2.9290527122653699E-5</v>
      </c>
      <c r="G715" t="s">
        <v>1153</v>
      </c>
    </row>
    <row r="716" spans="1:7" x14ac:dyDescent="0.25">
      <c r="A716" s="4" t="str">
        <f>HYPERLINK("http://amigo.geneontology.org/cgi-bin/amigo/term-details.cgi?term=GO:0000313","GO:0000313")</f>
        <v>GO:0000313</v>
      </c>
      <c r="B716" t="s">
        <v>3486</v>
      </c>
      <c r="C716">
        <v>17</v>
      </c>
      <c r="D716">
        <v>7</v>
      </c>
      <c r="E716" s="2">
        <v>4.99809477173977E-6</v>
      </c>
      <c r="F716" s="2">
        <v>2.9988568630438602E-5</v>
      </c>
      <c r="G716" t="s">
        <v>3485</v>
      </c>
    </row>
    <row r="717" spans="1:7" x14ac:dyDescent="0.25">
      <c r="A717" s="4" t="str">
        <f>HYPERLINK("http://amigo.geneontology.org/cgi-bin/amigo/term-details.cgi?term=GO:0006338","GO:0006338")</f>
        <v>GO:0006338</v>
      </c>
      <c r="B717" t="s">
        <v>542</v>
      </c>
      <c r="C717">
        <v>74</v>
      </c>
      <c r="D717">
        <v>14</v>
      </c>
      <c r="E717" s="2">
        <v>5.1245107337512501E-6</v>
      </c>
      <c r="F717" s="2">
        <v>3.0747064402507499E-5</v>
      </c>
      <c r="G717" t="s">
        <v>3484</v>
      </c>
    </row>
    <row r="718" spans="1:7" x14ac:dyDescent="0.25">
      <c r="A718" s="4" t="str">
        <f>HYPERLINK("http://amigo.geneontology.org/cgi-bin/amigo/term-details.cgi?term=GO:0000413","GO:0000413")</f>
        <v>GO:0000413</v>
      </c>
      <c r="B718" t="s">
        <v>647</v>
      </c>
      <c r="C718">
        <v>128</v>
      </c>
      <c r="D718">
        <v>19</v>
      </c>
      <c r="E718" s="2">
        <v>5.21721021206863E-6</v>
      </c>
      <c r="F718" s="2">
        <v>3.1303261272411802E-5</v>
      </c>
      <c r="G718" t="s">
        <v>3470</v>
      </c>
    </row>
    <row r="719" spans="1:7" x14ac:dyDescent="0.25">
      <c r="A719" s="4" t="str">
        <f>HYPERLINK("http://amigo.geneontology.org/cgi-bin/amigo/term-details.cgi?term=GO:0009247","GO:0009247")</f>
        <v>GO:0009247</v>
      </c>
      <c r="B719" t="s">
        <v>563</v>
      </c>
      <c r="C719">
        <v>117</v>
      </c>
      <c r="D719">
        <v>18</v>
      </c>
      <c r="E719" s="2">
        <v>5.4756353943345399E-6</v>
      </c>
      <c r="F719" s="2">
        <v>3.2853812366007199E-5</v>
      </c>
      <c r="G719" t="s">
        <v>3380</v>
      </c>
    </row>
    <row r="720" spans="1:7" x14ac:dyDescent="0.25">
      <c r="A720" s="4" t="str">
        <f>HYPERLINK("http://amigo.geneontology.org/cgi-bin/amigo/term-details.cgi?term=GO:0043038","GO:0043038")</f>
        <v>GO:0043038</v>
      </c>
      <c r="B720" t="s">
        <v>175</v>
      </c>
      <c r="C720">
        <v>255</v>
      </c>
      <c r="D720">
        <v>29</v>
      </c>
      <c r="E720" s="2">
        <v>5.6700993249513296E-6</v>
      </c>
      <c r="F720" s="2">
        <v>3.4020595949708001E-5</v>
      </c>
      <c r="G720" t="s">
        <v>3483</v>
      </c>
    </row>
    <row r="721" spans="1:7" x14ac:dyDescent="0.25">
      <c r="A721" s="4" t="str">
        <f>HYPERLINK("http://amigo.geneontology.org/cgi-bin/amigo/term-details.cgi?term=GO:0043039","GO:0043039")</f>
        <v>GO:0043039</v>
      </c>
      <c r="B721" t="s">
        <v>174</v>
      </c>
      <c r="C721">
        <v>255</v>
      </c>
      <c r="D721">
        <v>29</v>
      </c>
      <c r="E721" s="2">
        <v>5.6700993249513296E-6</v>
      </c>
      <c r="F721" s="2">
        <v>3.4020595949708001E-5</v>
      </c>
      <c r="G721" t="s">
        <v>3483</v>
      </c>
    </row>
    <row r="722" spans="1:7" x14ac:dyDescent="0.25">
      <c r="A722" s="4" t="str">
        <f>HYPERLINK("http://amigo.geneontology.org/cgi-bin/amigo/term-details.cgi?term=GO:0044403","GO:0044403")</f>
        <v>GO:0044403</v>
      </c>
      <c r="B722" t="s">
        <v>3482</v>
      </c>
      <c r="C722">
        <v>75</v>
      </c>
      <c r="D722">
        <v>14</v>
      </c>
      <c r="E722" s="2">
        <v>6.0391910936594697E-6</v>
      </c>
      <c r="F722" s="2">
        <v>3.6235146561956799E-5</v>
      </c>
      <c r="G722" t="s">
        <v>3040</v>
      </c>
    </row>
    <row r="723" spans="1:7" x14ac:dyDescent="0.25">
      <c r="A723" s="4" t="str">
        <f>HYPERLINK("http://amigo.geneontology.org/cgi-bin/amigo/term-details.cgi?term=GO:0046777","GO:0046777")</f>
        <v>GO:0046777</v>
      </c>
      <c r="B723" t="s">
        <v>3481</v>
      </c>
      <c r="C723">
        <v>75</v>
      </c>
      <c r="D723">
        <v>14</v>
      </c>
      <c r="E723" s="2">
        <v>6.0391910936594697E-6</v>
      </c>
      <c r="F723" s="2">
        <v>3.6235146561956799E-5</v>
      </c>
      <c r="G723" t="s">
        <v>3480</v>
      </c>
    </row>
    <row r="724" spans="1:7" x14ac:dyDescent="0.25">
      <c r="A724" s="4" t="str">
        <f>HYPERLINK("http://amigo.geneontology.org/cgi-bin/amigo/term-details.cgi?term=GO:0010050","GO:0010050")</f>
        <v>GO:0010050</v>
      </c>
      <c r="B724" t="s">
        <v>3479</v>
      </c>
      <c r="C724">
        <v>24</v>
      </c>
      <c r="D724">
        <v>8</v>
      </c>
      <c r="E724" s="2">
        <v>6.63922837025267E-6</v>
      </c>
      <c r="F724" s="2">
        <v>3.9835370221516002E-5</v>
      </c>
      <c r="G724" t="s">
        <v>3478</v>
      </c>
    </row>
    <row r="725" spans="1:7" x14ac:dyDescent="0.25">
      <c r="A725" s="4" t="str">
        <f>HYPERLINK("http://amigo.geneontology.org/cgi-bin/amigo/term-details.cgi?term=GO:0000990","GO:0000990")</f>
        <v>GO:0000990</v>
      </c>
      <c r="B725" t="s">
        <v>869</v>
      </c>
      <c r="C725">
        <v>24</v>
      </c>
      <c r="D725">
        <v>8</v>
      </c>
      <c r="E725" s="2">
        <v>6.63922837025267E-6</v>
      </c>
      <c r="F725" s="2">
        <v>3.9835370221516002E-5</v>
      </c>
      <c r="G725" t="s">
        <v>1161</v>
      </c>
    </row>
    <row r="726" spans="1:7" x14ac:dyDescent="0.25">
      <c r="A726" s="4" t="str">
        <f>HYPERLINK("http://amigo.geneontology.org/cgi-bin/amigo/term-details.cgi?term=GO:0042546","GO:0042546")</f>
        <v>GO:0042546</v>
      </c>
      <c r="B726" t="s">
        <v>3477</v>
      </c>
      <c r="C726">
        <v>399</v>
      </c>
      <c r="D726">
        <v>39</v>
      </c>
      <c r="E726" s="2">
        <v>6.6542792654335898E-6</v>
      </c>
      <c r="F726" s="2">
        <v>3.9925675592601497E-5</v>
      </c>
      <c r="G726" t="s">
        <v>3476</v>
      </c>
    </row>
    <row r="727" spans="1:7" x14ac:dyDescent="0.25">
      <c r="A727" s="4" t="str">
        <f>HYPERLINK("http://amigo.geneontology.org/cgi-bin/amigo/term-details.cgi?term=GO:0009890","GO:0009890")</f>
        <v>GO:0009890</v>
      </c>
      <c r="B727" t="s">
        <v>3475</v>
      </c>
      <c r="C727">
        <v>400</v>
      </c>
      <c r="D727">
        <v>39</v>
      </c>
      <c r="E727" s="2">
        <v>7.0554403475727596E-6</v>
      </c>
      <c r="F727" s="2">
        <v>4.2332642085436598E-5</v>
      </c>
      <c r="G727" t="s">
        <v>3473</v>
      </c>
    </row>
    <row r="728" spans="1:7" x14ac:dyDescent="0.25">
      <c r="A728" s="4" t="str">
        <f>HYPERLINK("http://amigo.geneontology.org/cgi-bin/amigo/term-details.cgi?term=GO:0031327","GO:0031327")</f>
        <v>GO:0031327</v>
      </c>
      <c r="B728" t="s">
        <v>3474</v>
      </c>
      <c r="C728">
        <v>400</v>
      </c>
      <c r="D728">
        <v>39</v>
      </c>
      <c r="E728" s="2">
        <v>7.0554403475727596E-6</v>
      </c>
      <c r="F728" s="2">
        <v>4.2332642085436598E-5</v>
      </c>
      <c r="G728" t="s">
        <v>3473</v>
      </c>
    </row>
    <row r="729" spans="1:7" x14ac:dyDescent="0.25">
      <c r="A729" s="4" t="str">
        <f>HYPERLINK("http://amigo.geneontology.org/cgi-bin/amigo/term-details.cgi?term=GO:0071407","GO:0071407")</f>
        <v>GO:0071407</v>
      </c>
      <c r="B729" t="s">
        <v>2117</v>
      </c>
      <c r="C729">
        <v>231</v>
      </c>
      <c r="D729">
        <v>27</v>
      </c>
      <c r="E729" s="2">
        <v>7.0624631956288001E-6</v>
      </c>
      <c r="F729" s="2">
        <v>4.2374779173772803E-5</v>
      </c>
      <c r="G729" t="s">
        <v>3472</v>
      </c>
    </row>
    <row r="730" spans="1:7" x14ac:dyDescent="0.25">
      <c r="A730" s="4" t="str">
        <f>HYPERLINK("http://amigo.geneontology.org/cgi-bin/amigo/term-details.cgi?term=GO:0034654","GO:0034654")</f>
        <v>GO:0034654</v>
      </c>
      <c r="B730" t="s">
        <v>709</v>
      </c>
      <c r="C730">
        <v>2685</v>
      </c>
      <c r="D730">
        <v>170</v>
      </c>
      <c r="E730" s="2">
        <v>7.7031957666332193E-6</v>
      </c>
      <c r="F730" s="2">
        <v>4.6219174599799299E-5</v>
      </c>
      <c r="G730" t="s">
        <v>3471</v>
      </c>
    </row>
    <row r="731" spans="1:7" x14ac:dyDescent="0.25">
      <c r="A731" s="4" t="str">
        <f>HYPERLINK("http://amigo.geneontology.org/cgi-bin/amigo/term-details.cgi?term=GO:0018208","GO:0018208")</f>
        <v>GO:0018208</v>
      </c>
      <c r="B731" t="s">
        <v>648</v>
      </c>
      <c r="C731">
        <v>132</v>
      </c>
      <c r="D731">
        <v>19</v>
      </c>
      <c r="E731" s="2">
        <v>8.2422764695422704E-6</v>
      </c>
      <c r="F731" s="2">
        <v>4.9453658817253602E-5</v>
      </c>
      <c r="G731" t="s">
        <v>3470</v>
      </c>
    </row>
    <row r="732" spans="1:7" x14ac:dyDescent="0.25">
      <c r="A732" s="4" t="str">
        <f>HYPERLINK("http://amigo.geneontology.org/cgi-bin/amigo/term-details.cgi?term=GO:0016628","GO:0016628")</f>
        <v>GO:0016628</v>
      </c>
      <c r="B732" t="s">
        <v>1150</v>
      </c>
      <c r="C732">
        <v>58</v>
      </c>
      <c r="D732">
        <v>12</v>
      </c>
      <c r="E732" s="2">
        <v>9.1627408165952696E-6</v>
      </c>
      <c r="F732" s="2">
        <v>5.49764448995716E-5</v>
      </c>
      <c r="G732" t="s">
        <v>3469</v>
      </c>
    </row>
    <row r="733" spans="1:7" x14ac:dyDescent="0.25">
      <c r="A733" s="4" t="str">
        <f>HYPERLINK("http://amigo.geneontology.org/cgi-bin/amigo/term-details.cgi?term=GO:0010087","GO:0010087")</f>
        <v>GO:0010087</v>
      </c>
      <c r="B733" t="s">
        <v>3468</v>
      </c>
      <c r="C733">
        <v>58</v>
      </c>
      <c r="D733">
        <v>12</v>
      </c>
      <c r="E733" s="2">
        <v>9.1627408165952696E-6</v>
      </c>
      <c r="F733" s="2">
        <v>5.49764448995716E-5</v>
      </c>
      <c r="G733" t="s">
        <v>3467</v>
      </c>
    </row>
    <row r="734" spans="1:7" x14ac:dyDescent="0.25">
      <c r="A734" s="4" t="str">
        <f>HYPERLINK("http://amigo.geneontology.org/cgi-bin/amigo/term-details.cgi?term=GO:0006418","GO:0006418")</f>
        <v>GO:0006418</v>
      </c>
      <c r="B734" t="s">
        <v>184</v>
      </c>
      <c r="C734">
        <v>248</v>
      </c>
      <c r="D734">
        <v>28</v>
      </c>
      <c r="E734" s="2">
        <v>9.3356495198570692E-6</v>
      </c>
      <c r="F734" s="2">
        <v>5.6013897119142402E-5</v>
      </c>
      <c r="G734" t="s">
        <v>1410</v>
      </c>
    </row>
    <row r="735" spans="1:7" x14ac:dyDescent="0.25">
      <c r="A735" s="4" t="str">
        <f>HYPERLINK("http://amigo.geneontology.org/cgi-bin/amigo/term-details.cgi?term=GO:0010496","GO:0010496")</f>
        <v>GO:0010496</v>
      </c>
      <c r="B735" t="s">
        <v>3466</v>
      </c>
      <c r="C735">
        <v>8</v>
      </c>
      <c r="D735">
        <v>5</v>
      </c>
      <c r="E735" s="2">
        <v>9.4063058787852703E-6</v>
      </c>
      <c r="F735" s="2">
        <v>5.6437835272711601E-5</v>
      </c>
      <c r="G735" t="s">
        <v>3465</v>
      </c>
    </row>
    <row r="736" spans="1:7" x14ac:dyDescent="0.25">
      <c r="A736" s="4" t="str">
        <f>HYPERLINK("http://amigo.geneontology.org/cgi-bin/amigo/term-details.cgi?term=GO:0000793","GO:0000793")</f>
        <v>GO:0000793</v>
      </c>
      <c r="B736" t="s">
        <v>1336</v>
      </c>
      <c r="C736">
        <v>68</v>
      </c>
      <c r="D736">
        <v>13</v>
      </c>
      <c r="E736" s="2">
        <v>9.8058962566367608E-6</v>
      </c>
      <c r="F736" s="2">
        <v>5.8835377539820602E-5</v>
      </c>
      <c r="G736" t="s">
        <v>3464</v>
      </c>
    </row>
    <row r="737" spans="1:7" x14ac:dyDescent="0.25">
      <c r="A737" s="4" t="str">
        <f>HYPERLINK("http://amigo.geneontology.org/cgi-bin/amigo/term-details.cgi?term=GO:0019748","GO:0019748")</f>
        <v>GO:0019748</v>
      </c>
      <c r="B737" t="s">
        <v>1220</v>
      </c>
      <c r="C737">
        <v>362</v>
      </c>
      <c r="D737">
        <v>36</v>
      </c>
      <c r="E737" s="2">
        <v>1.00909264840215E-5</v>
      </c>
      <c r="F737" s="2">
        <v>6.0545558904129199E-5</v>
      </c>
      <c r="G737" t="s">
        <v>3463</v>
      </c>
    </row>
    <row r="738" spans="1:7" x14ac:dyDescent="0.25">
      <c r="A738" s="4" t="str">
        <f>HYPERLINK("http://amigo.geneontology.org/cgi-bin/amigo/term-details.cgi?term=GO:0051172","GO:0051172")</f>
        <v>GO:0051172</v>
      </c>
      <c r="B738" t="s">
        <v>3462</v>
      </c>
      <c r="C738">
        <v>452</v>
      </c>
      <c r="D738">
        <v>42</v>
      </c>
      <c r="E738" s="2">
        <v>1.04960653909374E-5</v>
      </c>
      <c r="F738" s="2">
        <v>6.29763923456247E-5</v>
      </c>
      <c r="G738" t="s">
        <v>3461</v>
      </c>
    </row>
    <row r="739" spans="1:7" x14ac:dyDescent="0.25">
      <c r="A739" s="4" t="str">
        <f>HYPERLINK("http://amigo.geneontology.org/cgi-bin/amigo/term-details.cgi?term=GO:0043331","GO:0043331")</f>
        <v>GO:0043331</v>
      </c>
      <c r="B739" t="s">
        <v>3460</v>
      </c>
      <c r="C739">
        <v>100</v>
      </c>
      <c r="D739">
        <v>16</v>
      </c>
      <c r="E739" s="2">
        <v>1.0728987704336599E-5</v>
      </c>
      <c r="F739" s="2">
        <v>6.4373926226019807E-5</v>
      </c>
      <c r="G739" t="s">
        <v>3452</v>
      </c>
    </row>
    <row r="740" spans="1:7" x14ac:dyDescent="0.25">
      <c r="A740" s="4" t="str">
        <f>HYPERLINK("http://amigo.geneontology.org/cgi-bin/amigo/term-details.cgi?term=GO:0071359","GO:0071359")</f>
        <v>GO:0071359</v>
      </c>
      <c r="B740" t="s">
        <v>3459</v>
      </c>
      <c r="C740">
        <v>100</v>
      </c>
      <c r="D740">
        <v>16</v>
      </c>
      <c r="E740" s="2">
        <v>1.0728987704336599E-5</v>
      </c>
      <c r="F740" s="2">
        <v>6.4373926226019807E-5</v>
      </c>
      <c r="G740" t="s">
        <v>3452</v>
      </c>
    </row>
    <row r="741" spans="1:7" x14ac:dyDescent="0.25">
      <c r="A741" s="4" t="str">
        <f>HYPERLINK("http://amigo.geneontology.org/cgi-bin/amigo/term-details.cgi?term=GO:0031050","GO:0031050")</f>
        <v>GO:0031050</v>
      </c>
      <c r="B741" t="s">
        <v>3458</v>
      </c>
      <c r="C741">
        <v>100</v>
      </c>
      <c r="D741">
        <v>16</v>
      </c>
      <c r="E741" s="2">
        <v>1.0728987704336599E-5</v>
      </c>
      <c r="F741" s="2">
        <v>6.4373926226019807E-5</v>
      </c>
      <c r="G741" t="s">
        <v>3452</v>
      </c>
    </row>
    <row r="742" spans="1:7" x14ac:dyDescent="0.25">
      <c r="A742" s="4" t="str">
        <f>HYPERLINK("http://amigo.geneontology.org/cgi-bin/amigo/term-details.cgi?term=GO:0070918","GO:0070918")</f>
        <v>GO:0070918</v>
      </c>
      <c r="B742" t="s">
        <v>3457</v>
      </c>
      <c r="C742">
        <v>100</v>
      </c>
      <c r="D742">
        <v>16</v>
      </c>
      <c r="E742" s="2">
        <v>1.0728987704336599E-5</v>
      </c>
      <c r="F742" s="2">
        <v>6.4373926226019807E-5</v>
      </c>
      <c r="G742" t="s">
        <v>3452</v>
      </c>
    </row>
    <row r="743" spans="1:7" x14ac:dyDescent="0.25">
      <c r="A743" s="4" t="str">
        <f>HYPERLINK("http://amigo.geneontology.org/cgi-bin/amigo/term-details.cgi?term=GO:1903509","GO:1903509")</f>
        <v>GO:1903509</v>
      </c>
      <c r="B743" t="s">
        <v>510</v>
      </c>
      <c r="C743">
        <v>147</v>
      </c>
      <c r="D743">
        <v>20</v>
      </c>
      <c r="E743" s="2">
        <v>1.1421124781019199E-5</v>
      </c>
      <c r="F743" s="2">
        <v>6.8526748686115194E-5</v>
      </c>
      <c r="G743" t="s">
        <v>3456</v>
      </c>
    </row>
    <row r="744" spans="1:7" x14ac:dyDescent="0.25">
      <c r="A744" s="4" t="str">
        <f>HYPERLINK("http://amigo.geneontology.org/cgi-bin/amigo/term-details.cgi?term=GO:0016830","GO:0016830")</f>
        <v>GO:0016830</v>
      </c>
      <c r="B744" t="s">
        <v>932</v>
      </c>
      <c r="C744">
        <v>321</v>
      </c>
      <c r="D744">
        <v>33</v>
      </c>
      <c r="E744" s="2">
        <v>1.16972209953922E-5</v>
      </c>
      <c r="F744" s="2">
        <v>7.0183325972353401E-5</v>
      </c>
      <c r="G744" t="s">
        <v>3455</v>
      </c>
    </row>
    <row r="745" spans="1:7" x14ac:dyDescent="0.25">
      <c r="A745" s="4" t="str">
        <f>HYPERLINK("http://amigo.geneontology.org/cgi-bin/amigo/term-details.cgi?term=GO:0019538","GO:0019538")</f>
        <v>GO:0019538</v>
      </c>
      <c r="B745" t="s">
        <v>346</v>
      </c>
      <c r="C745">
        <v>12453</v>
      </c>
      <c r="D745">
        <v>655</v>
      </c>
      <c r="E745" s="2">
        <v>1.1737685618550501E-5</v>
      </c>
      <c r="F745" s="2">
        <v>7.0426113711302994E-5</v>
      </c>
      <c r="G745" t="s">
        <v>3454</v>
      </c>
    </row>
    <row r="746" spans="1:7" x14ac:dyDescent="0.25">
      <c r="A746" s="4" t="str">
        <f>HYPERLINK("http://amigo.geneontology.org/cgi-bin/amigo/term-details.cgi?term=GO:1901699","GO:1901699")</f>
        <v>GO:1901699</v>
      </c>
      <c r="B746" t="s">
        <v>3453</v>
      </c>
      <c r="C746">
        <v>101</v>
      </c>
      <c r="D746">
        <v>16</v>
      </c>
      <c r="E746" s="2">
        <v>1.2216366029142E-5</v>
      </c>
      <c r="F746" s="2">
        <v>7.3298196174852095E-5</v>
      </c>
      <c r="G746" t="s">
        <v>3452</v>
      </c>
    </row>
    <row r="747" spans="1:7" x14ac:dyDescent="0.25">
      <c r="A747" s="4" t="str">
        <f>HYPERLINK("http://amigo.geneontology.org/cgi-bin/amigo/term-details.cgi?term=GO:0005840","GO:0005840")</f>
        <v>GO:0005840</v>
      </c>
      <c r="B747" t="s">
        <v>741</v>
      </c>
      <c r="C747">
        <v>1268</v>
      </c>
      <c r="D747">
        <v>91</v>
      </c>
      <c r="E747" s="2">
        <v>1.2944945529348201E-5</v>
      </c>
      <c r="F747" s="2">
        <v>7.7669673176089204E-5</v>
      </c>
      <c r="G747" t="s">
        <v>3451</v>
      </c>
    </row>
    <row r="748" spans="1:7" x14ac:dyDescent="0.25">
      <c r="A748" s="4" t="str">
        <f>HYPERLINK("http://amigo.geneontology.org/cgi-bin/amigo/term-details.cgi?term=GO:0032886","GO:0032886")</f>
        <v>GO:0032886</v>
      </c>
      <c r="B748" t="s">
        <v>3450</v>
      </c>
      <c r="C748">
        <v>42</v>
      </c>
      <c r="D748">
        <v>10</v>
      </c>
      <c r="E748" s="2">
        <v>1.37012735519952E-5</v>
      </c>
      <c r="F748" s="2">
        <v>8.2207641311971295E-5</v>
      </c>
      <c r="G748" t="s">
        <v>3449</v>
      </c>
    </row>
    <row r="749" spans="1:7" x14ac:dyDescent="0.25">
      <c r="A749" s="4" t="str">
        <f>HYPERLINK("http://amigo.geneontology.org/cgi-bin/amigo/term-details.cgi?term=GO:0022626","GO:0022626")</f>
        <v>GO:0022626</v>
      </c>
      <c r="B749" t="s">
        <v>3448</v>
      </c>
      <c r="C749">
        <v>42</v>
      </c>
      <c r="D749">
        <v>10</v>
      </c>
      <c r="E749" s="2">
        <v>1.37012735519952E-5</v>
      </c>
      <c r="F749" s="2">
        <v>8.2207641311971295E-5</v>
      </c>
      <c r="G749" t="s">
        <v>3447</v>
      </c>
    </row>
    <row r="750" spans="1:7" x14ac:dyDescent="0.25">
      <c r="A750" s="4" t="str">
        <f>HYPERLINK("http://amigo.geneontology.org/cgi-bin/amigo/term-details.cgi?term=GO:0009165","GO:0009165")</f>
        <v>GO:0009165</v>
      </c>
      <c r="B750" t="s">
        <v>511</v>
      </c>
      <c r="C750">
        <v>566</v>
      </c>
      <c r="D750">
        <v>49</v>
      </c>
      <c r="E750" s="2">
        <v>1.38911412666916E-5</v>
      </c>
      <c r="F750" s="2">
        <v>8.3346847600150004E-5</v>
      </c>
      <c r="G750" t="s">
        <v>3443</v>
      </c>
    </row>
    <row r="751" spans="1:7" x14ac:dyDescent="0.25">
      <c r="A751" s="4" t="str">
        <f>HYPERLINK("http://amigo.geneontology.org/cgi-bin/amigo/term-details.cgi?term=GO:0070035","GO:0070035")</f>
        <v>GO:0070035</v>
      </c>
      <c r="B751" t="s">
        <v>1097</v>
      </c>
      <c r="C751">
        <v>213</v>
      </c>
      <c r="D751">
        <v>25</v>
      </c>
      <c r="E751" s="2">
        <v>1.4088736824536001E-5</v>
      </c>
      <c r="F751" s="2">
        <v>8.4532420947216195E-5</v>
      </c>
      <c r="G751" t="s">
        <v>3446</v>
      </c>
    </row>
    <row r="752" spans="1:7" x14ac:dyDescent="0.25">
      <c r="A752" s="4" t="str">
        <f>HYPERLINK("http://amigo.geneontology.org/cgi-bin/amigo/term-details.cgi?term=GO:0008026","GO:0008026")</f>
        <v>GO:0008026</v>
      </c>
      <c r="B752" t="s">
        <v>1096</v>
      </c>
      <c r="C752">
        <v>213</v>
      </c>
      <c r="D752">
        <v>25</v>
      </c>
      <c r="E752" s="2">
        <v>1.4088736824536001E-5</v>
      </c>
      <c r="F752" s="2">
        <v>8.4532420947216195E-5</v>
      </c>
      <c r="G752" t="s">
        <v>3446</v>
      </c>
    </row>
    <row r="753" spans="1:7" x14ac:dyDescent="0.25">
      <c r="A753" s="4" t="str">
        <f>HYPERLINK("http://amigo.geneontology.org/cgi-bin/amigo/term-details.cgi?term=GO:0070887","GO:0070887")</f>
        <v>GO:0070887</v>
      </c>
      <c r="B753" t="s">
        <v>837</v>
      </c>
      <c r="C753">
        <v>632</v>
      </c>
      <c r="D753">
        <v>53</v>
      </c>
      <c r="E753" s="2">
        <v>1.5417482669295701E-5</v>
      </c>
      <c r="F753" s="2">
        <v>9.2504896015774306E-5</v>
      </c>
      <c r="G753" t="s">
        <v>3445</v>
      </c>
    </row>
    <row r="754" spans="1:7" x14ac:dyDescent="0.25">
      <c r="A754" s="4" t="str">
        <f>HYPERLINK("http://amigo.geneontology.org/cgi-bin/amigo/term-details.cgi?term=GO:0046467","GO:0046467")</f>
        <v>GO:0046467</v>
      </c>
      <c r="B754" t="s">
        <v>553</v>
      </c>
      <c r="C754">
        <v>138</v>
      </c>
      <c r="D754">
        <v>19</v>
      </c>
      <c r="E754" s="2">
        <v>1.5767448501022501E-5</v>
      </c>
      <c r="F754" s="2">
        <v>9.4604691006135494E-5</v>
      </c>
      <c r="G754" t="s">
        <v>3224</v>
      </c>
    </row>
    <row r="755" spans="1:7" x14ac:dyDescent="0.25">
      <c r="A755" s="4" t="str">
        <f>HYPERLINK("http://amigo.geneontology.org/cgi-bin/amigo/term-details.cgi?term=GO:0005635","GO:0005635")</f>
        <v>GO:0005635</v>
      </c>
      <c r="B755" t="s">
        <v>556</v>
      </c>
      <c r="C755">
        <v>92</v>
      </c>
      <c r="D755">
        <v>15</v>
      </c>
      <c r="E755" s="2">
        <v>1.5877720546134701E-5</v>
      </c>
      <c r="F755" s="2">
        <v>9.5266323276808405E-5</v>
      </c>
      <c r="G755" t="s">
        <v>3444</v>
      </c>
    </row>
    <row r="756" spans="1:7" x14ac:dyDescent="0.25">
      <c r="A756" s="4" t="str">
        <f>HYPERLINK("http://amigo.geneontology.org/cgi-bin/amigo/term-details.cgi?term=GO:1901293","GO:1901293")</f>
        <v>GO:1901293</v>
      </c>
      <c r="B756" t="s">
        <v>512</v>
      </c>
      <c r="C756">
        <v>569</v>
      </c>
      <c r="D756">
        <v>49</v>
      </c>
      <c r="E756" s="2">
        <v>1.5946504176680402E-5</v>
      </c>
      <c r="F756" s="2">
        <v>9.5679025060082607E-5</v>
      </c>
      <c r="G756" t="s">
        <v>3443</v>
      </c>
    </row>
    <row r="757" spans="1:7" x14ac:dyDescent="0.25">
      <c r="A757" s="4" t="str">
        <f>HYPERLINK("http://amigo.geneontology.org/cgi-bin/amigo/term-details.cgi?term=GO:0072527","GO:0072527")</f>
        <v>GO:0072527</v>
      </c>
      <c r="B757" t="s">
        <v>708</v>
      </c>
      <c r="C757">
        <v>242</v>
      </c>
      <c r="D757">
        <v>27</v>
      </c>
      <c r="E757" s="2">
        <v>1.65460933966799E-5</v>
      </c>
      <c r="F757" s="2">
        <v>9.9276560380079704E-5</v>
      </c>
      <c r="G757" t="s">
        <v>3442</v>
      </c>
    </row>
    <row r="758" spans="1:7" x14ac:dyDescent="0.25">
      <c r="A758" s="4" t="str">
        <f>HYPERLINK("http://amigo.geneontology.org/cgi-bin/amigo/term-details.cgi?term=GO:0031407","GO:0031407")</f>
        <v>GO:0031407</v>
      </c>
      <c r="B758" t="s">
        <v>1430</v>
      </c>
      <c r="C758">
        <v>43</v>
      </c>
      <c r="D758">
        <v>10</v>
      </c>
      <c r="E758" s="2">
        <v>1.7130256286305499E-5</v>
      </c>
      <c r="F758" s="2">
        <v>1.0278153771783301E-4</v>
      </c>
      <c r="G758" t="s">
        <v>3441</v>
      </c>
    </row>
    <row r="759" spans="1:7" x14ac:dyDescent="0.25">
      <c r="A759" s="4" t="str">
        <f>HYPERLINK("http://amigo.geneontology.org/cgi-bin/amigo/term-details.cgi?term=GO:0031408","GO:0031408")</f>
        <v>GO:0031408</v>
      </c>
      <c r="B759" t="s">
        <v>1429</v>
      </c>
      <c r="C759">
        <v>43</v>
      </c>
      <c r="D759">
        <v>10</v>
      </c>
      <c r="E759" s="2">
        <v>1.7130256286305499E-5</v>
      </c>
      <c r="F759" s="2">
        <v>1.0278153771783301E-4</v>
      </c>
      <c r="G759" t="s">
        <v>3441</v>
      </c>
    </row>
    <row r="760" spans="1:7" x14ac:dyDescent="0.25">
      <c r="A760" s="4" t="str">
        <f>HYPERLINK("http://amigo.geneontology.org/cgi-bin/amigo/term-details.cgi?term=GO:2000113","GO:2000113")</f>
        <v>GO:2000113</v>
      </c>
      <c r="B760" t="s">
        <v>3440</v>
      </c>
      <c r="C760">
        <v>387</v>
      </c>
      <c r="D760">
        <v>37</v>
      </c>
      <c r="E760" s="2">
        <v>1.83722522698732E-5</v>
      </c>
      <c r="F760" s="2">
        <v>1.10233513619239E-4</v>
      </c>
      <c r="G760" t="s">
        <v>3430</v>
      </c>
    </row>
    <row r="761" spans="1:7" x14ac:dyDescent="0.25">
      <c r="A761" s="4" t="str">
        <f>HYPERLINK("http://amigo.geneontology.org/cgi-bin/amigo/term-details.cgi?term=GO:0016094","GO:0016094")</f>
        <v>GO:0016094</v>
      </c>
      <c r="B761" t="s">
        <v>3439</v>
      </c>
      <c r="C761">
        <v>14</v>
      </c>
      <c r="D761">
        <v>6</v>
      </c>
      <c r="E761" s="2">
        <v>1.8650324432531698E-5</v>
      </c>
      <c r="F761" s="2">
        <v>1.1190194659518999E-4</v>
      </c>
      <c r="G761" t="s">
        <v>3338</v>
      </c>
    </row>
    <row r="762" spans="1:7" x14ac:dyDescent="0.25">
      <c r="A762" s="4" t="str">
        <f>HYPERLINK("http://amigo.geneontology.org/cgi-bin/amigo/term-details.cgi?term=GO:0019408","GO:0019408")</f>
        <v>GO:0019408</v>
      </c>
      <c r="B762" t="s">
        <v>3438</v>
      </c>
      <c r="C762">
        <v>14</v>
      </c>
      <c r="D762">
        <v>6</v>
      </c>
      <c r="E762" s="2">
        <v>1.8650324432531698E-5</v>
      </c>
      <c r="F762" s="2">
        <v>1.1190194659518999E-4</v>
      </c>
      <c r="G762" t="s">
        <v>3338</v>
      </c>
    </row>
    <row r="763" spans="1:7" x14ac:dyDescent="0.25">
      <c r="A763" s="4" t="str">
        <f>HYPERLINK("http://amigo.geneontology.org/cgi-bin/amigo/term-details.cgi?term=GO:0007267","GO:0007267")</f>
        <v>GO:0007267</v>
      </c>
      <c r="B763" t="s">
        <v>3437</v>
      </c>
      <c r="C763">
        <v>35</v>
      </c>
      <c r="D763">
        <v>9</v>
      </c>
      <c r="E763" s="2">
        <v>1.8909072005079201E-5</v>
      </c>
      <c r="F763" s="2">
        <v>9.4545360025396401E-5</v>
      </c>
      <c r="G763" t="s">
        <v>3436</v>
      </c>
    </row>
    <row r="764" spans="1:7" x14ac:dyDescent="0.25">
      <c r="A764" s="4" t="str">
        <f>HYPERLINK("http://amigo.geneontology.org/cgi-bin/amigo/term-details.cgi?term=GO:0010089","GO:0010089")</f>
        <v>GO:0010089</v>
      </c>
      <c r="B764" t="s">
        <v>3435</v>
      </c>
      <c r="C764">
        <v>35</v>
      </c>
      <c r="D764">
        <v>9</v>
      </c>
      <c r="E764" s="2">
        <v>1.8909072005079201E-5</v>
      </c>
      <c r="F764" s="2">
        <v>9.4545360025396401E-5</v>
      </c>
      <c r="G764" t="s">
        <v>3434</v>
      </c>
    </row>
    <row r="765" spans="1:7" x14ac:dyDescent="0.25">
      <c r="A765" s="4" t="str">
        <f>HYPERLINK("http://amigo.geneontology.org/cgi-bin/amigo/term-details.cgi?term=GO:0023014","GO:0023014")</f>
        <v>GO:0023014</v>
      </c>
      <c r="B765" t="s">
        <v>1944</v>
      </c>
      <c r="C765">
        <v>116</v>
      </c>
      <c r="D765">
        <v>17</v>
      </c>
      <c r="E765" s="2">
        <v>1.90196878637355E-5</v>
      </c>
      <c r="F765" s="2">
        <v>9.5098439318677604E-5</v>
      </c>
      <c r="G765" t="s">
        <v>3433</v>
      </c>
    </row>
    <row r="766" spans="1:7" x14ac:dyDescent="0.25">
      <c r="A766" s="4" t="str">
        <f>HYPERLINK("http://amigo.geneontology.org/cgi-bin/amigo/term-details.cgi?term=GO:0009144","GO:0009144")</f>
        <v>GO:0009144</v>
      </c>
      <c r="B766" t="s">
        <v>460</v>
      </c>
      <c r="C766">
        <v>573</v>
      </c>
      <c r="D766">
        <v>49</v>
      </c>
      <c r="E766" s="2">
        <v>1.9123948734295301E-5</v>
      </c>
      <c r="F766" s="2">
        <v>9.5619743671476797E-5</v>
      </c>
      <c r="G766" t="s">
        <v>3432</v>
      </c>
    </row>
    <row r="767" spans="1:7" x14ac:dyDescent="0.25">
      <c r="A767" s="4" t="str">
        <f>HYPERLINK("http://amigo.geneontology.org/cgi-bin/amigo/term-details.cgi?term=GO:0009205","GO:0009205")</f>
        <v>GO:0009205</v>
      </c>
      <c r="B767" t="s">
        <v>458</v>
      </c>
      <c r="C767">
        <v>573</v>
      </c>
      <c r="D767">
        <v>49</v>
      </c>
      <c r="E767" s="2">
        <v>1.9123948734295301E-5</v>
      </c>
      <c r="F767" s="2">
        <v>9.5619743671476797E-5</v>
      </c>
      <c r="G767" t="s">
        <v>3432</v>
      </c>
    </row>
    <row r="768" spans="1:7" x14ac:dyDescent="0.25">
      <c r="A768" s="4" t="str">
        <f>HYPERLINK("http://amigo.geneontology.org/cgi-bin/amigo/term-details.cgi?term=GO:0010558","GO:0010558")</f>
        <v>GO:0010558</v>
      </c>
      <c r="B768" t="s">
        <v>3431</v>
      </c>
      <c r="C768">
        <v>388</v>
      </c>
      <c r="D768">
        <v>37</v>
      </c>
      <c r="E768" s="2">
        <v>1.9435852189188499E-5</v>
      </c>
      <c r="F768" s="2">
        <v>9.7179260945942506E-5</v>
      </c>
      <c r="G768" t="s">
        <v>3430</v>
      </c>
    </row>
    <row r="769" spans="1:7" x14ac:dyDescent="0.25">
      <c r="A769" s="4" t="str">
        <f>HYPERLINK("http://amigo.geneontology.org/cgi-bin/amigo/term-details.cgi?term=GO:0010028","GO:0010028")</f>
        <v>GO:0010028</v>
      </c>
      <c r="B769" t="s">
        <v>3429</v>
      </c>
      <c r="C769">
        <v>5</v>
      </c>
      <c r="D769">
        <v>4</v>
      </c>
      <c r="E769" s="2">
        <v>2.0106694945604599E-5</v>
      </c>
      <c r="F769" s="2">
        <v>1.00533474728023E-4</v>
      </c>
      <c r="G769" t="s">
        <v>3428</v>
      </c>
    </row>
    <row r="770" spans="1:7" x14ac:dyDescent="0.25">
      <c r="A770" s="4" t="str">
        <f>HYPERLINK("http://amigo.geneontology.org/cgi-bin/amigo/term-details.cgi?term=GO:0015695","GO:0015695")</f>
        <v>GO:0015695</v>
      </c>
      <c r="B770" t="s">
        <v>3427</v>
      </c>
      <c r="C770">
        <v>5</v>
      </c>
      <c r="D770">
        <v>4</v>
      </c>
      <c r="E770" s="2">
        <v>2.0106694945604599E-5</v>
      </c>
      <c r="F770" s="2">
        <v>1.00533474728023E-4</v>
      </c>
      <c r="G770" t="s">
        <v>2469</v>
      </c>
    </row>
    <row r="771" spans="1:7" x14ac:dyDescent="0.25">
      <c r="A771" s="4" t="str">
        <f>HYPERLINK("http://amigo.geneontology.org/cgi-bin/amigo/term-details.cgi?term=GO:0098807","GO:0098807")</f>
        <v>GO:0098807</v>
      </c>
      <c r="B771" t="s">
        <v>3426</v>
      </c>
      <c r="C771">
        <v>5</v>
      </c>
      <c r="D771">
        <v>4</v>
      </c>
      <c r="E771" s="2">
        <v>2.0106694945604599E-5</v>
      </c>
      <c r="F771" s="2">
        <v>1.00533474728023E-4</v>
      </c>
      <c r="G771" t="s">
        <v>3425</v>
      </c>
    </row>
    <row r="772" spans="1:7" x14ac:dyDescent="0.25">
      <c r="A772" s="4" t="str">
        <f>HYPERLINK("http://amigo.geneontology.org/cgi-bin/amigo/term-details.cgi?term=GO:0018196","GO:0018196")</f>
        <v>GO:0018196</v>
      </c>
      <c r="B772" t="s">
        <v>1290</v>
      </c>
      <c r="C772">
        <v>5</v>
      </c>
      <c r="D772">
        <v>4</v>
      </c>
      <c r="E772" s="2">
        <v>2.0106694945604599E-5</v>
      </c>
      <c r="F772" s="2">
        <v>1.00533474728023E-4</v>
      </c>
      <c r="G772" t="s">
        <v>3424</v>
      </c>
    </row>
    <row r="773" spans="1:7" x14ac:dyDescent="0.25">
      <c r="A773" s="4" t="str">
        <f>HYPERLINK("http://amigo.geneontology.org/cgi-bin/amigo/term-details.cgi?term=GO:0018279","GO:0018279")</f>
        <v>GO:0018279</v>
      </c>
      <c r="B773" t="s">
        <v>1289</v>
      </c>
      <c r="C773">
        <v>5</v>
      </c>
      <c r="D773">
        <v>4</v>
      </c>
      <c r="E773" s="2">
        <v>2.0106694945604599E-5</v>
      </c>
      <c r="F773" s="2">
        <v>1.00533474728023E-4</v>
      </c>
      <c r="G773" t="s">
        <v>3424</v>
      </c>
    </row>
    <row r="774" spans="1:7" x14ac:dyDescent="0.25">
      <c r="A774" s="4" t="str">
        <f>HYPERLINK("http://amigo.geneontology.org/cgi-bin/amigo/term-details.cgi?term=GO:0004412","GO:0004412")</f>
        <v>GO:0004412</v>
      </c>
      <c r="B774" t="s">
        <v>634</v>
      </c>
      <c r="C774">
        <v>5</v>
      </c>
      <c r="D774">
        <v>4</v>
      </c>
      <c r="E774" s="2">
        <v>2.0106694945604599E-5</v>
      </c>
      <c r="F774" s="2">
        <v>1.00533474728023E-4</v>
      </c>
      <c r="G774" t="s">
        <v>1151</v>
      </c>
    </row>
    <row r="775" spans="1:7" x14ac:dyDescent="0.25">
      <c r="A775" s="4" t="str">
        <f>HYPERLINK("http://amigo.geneontology.org/cgi-bin/amigo/term-details.cgi?term=GO:0052325","GO:0052325")</f>
        <v>GO:0052325</v>
      </c>
      <c r="B775" t="s">
        <v>3423</v>
      </c>
      <c r="C775">
        <v>5</v>
      </c>
      <c r="D775">
        <v>4</v>
      </c>
      <c r="E775" s="2">
        <v>2.0106694945604599E-5</v>
      </c>
      <c r="F775" s="2">
        <v>1.00533474728023E-4</v>
      </c>
      <c r="G775" t="s">
        <v>3422</v>
      </c>
    </row>
    <row r="776" spans="1:7" x14ac:dyDescent="0.25">
      <c r="A776" s="4" t="str">
        <f>HYPERLINK("http://amigo.geneontology.org/cgi-bin/amigo/term-details.cgi?term=GO:1901668","GO:1901668")</f>
        <v>GO:1901668</v>
      </c>
      <c r="B776" t="s">
        <v>428</v>
      </c>
      <c r="C776">
        <v>9</v>
      </c>
      <c r="D776">
        <v>5</v>
      </c>
      <c r="E776" s="2">
        <v>2.0370523847424399E-5</v>
      </c>
      <c r="F776" s="2">
        <v>1.01852619237122E-4</v>
      </c>
      <c r="G776" t="s">
        <v>3151</v>
      </c>
    </row>
    <row r="777" spans="1:7" x14ac:dyDescent="0.25">
      <c r="A777" s="4" t="str">
        <f>HYPERLINK("http://amigo.geneontology.org/cgi-bin/amigo/term-details.cgi?term=GO:1901671","GO:1901671")</f>
        <v>GO:1901671</v>
      </c>
      <c r="B777" t="s">
        <v>427</v>
      </c>
      <c r="C777">
        <v>9</v>
      </c>
      <c r="D777">
        <v>5</v>
      </c>
      <c r="E777" s="2">
        <v>2.0370523847424399E-5</v>
      </c>
      <c r="F777" s="2">
        <v>1.01852619237122E-4</v>
      </c>
      <c r="G777" t="s">
        <v>3151</v>
      </c>
    </row>
    <row r="778" spans="1:7" x14ac:dyDescent="0.25">
      <c r="A778" s="4" t="str">
        <f>HYPERLINK("http://amigo.geneontology.org/cgi-bin/amigo/term-details.cgi?term=GO:0009251","GO:0009251")</f>
        <v>GO:0009251</v>
      </c>
      <c r="B778" t="s">
        <v>694</v>
      </c>
      <c r="C778">
        <v>44</v>
      </c>
      <c r="D778">
        <v>10</v>
      </c>
      <c r="E778" s="2">
        <v>2.1271289720125102E-5</v>
      </c>
      <c r="F778" s="2">
        <v>1.06356448600625E-4</v>
      </c>
      <c r="G778" t="s">
        <v>3421</v>
      </c>
    </row>
    <row r="779" spans="1:7" x14ac:dyDescent="0.25">
      <c r="A779" s="4" t="str">
        <f>HYPERLINK("http://amigo.geneontology.org/cgi-bin/amigo/term-details.cgi?term=GO:0044247","GO:0044247")</f>
        <v>GO:0044247</v>
      </c>
      <c r="B779" t="s">
        <v>693</v>
      </c>
      <c r="C779">
        <v>44</v>
      </c>
      <c r="D779">
        <v>10</v>
      </c>
      <c r="E779" s="2">
        <v>2.1271289720125102E-5</v>
      </c>
      <c r="F779" s="2">
        <v>1.06356448600625E-4</v>
      </c>
      <c r="G779" t="s">
        <v>3421</v>
      </c>
    </row>
    <row r="780" spans="1:7" x14ac:dyDescent="0.25">
      <c r="A780" s="4" t="str">
        <f>HYPERLINK("http://amigo.geneontology.org/cgi-bin/amigo/term-details.cgi?term=GO:0044275","GO:0044275")</f>
        <v>GO:0044275</v>
      </c>
      <c r="B780" t="s">
        <v>609</v>
      </c>
      <c r="C780">
        <v>63</v>
      </c>
      <c r="D780">
        <v>12</v>
      </c>
      <c r="E780" s="2">
        <v>2.2234684313084999E-5</v>
      </c>
      <c r="F780" s="2">
        <v>1.11173421565425E-4</v>
      </c>
      <c r="G780" t="s">
        <v>3420</v>
      </c>
    </row>
    <row r="781" spans="1:7" x14ac:dyDescent="0.25">
      <c r="A781" s="4" t="str">
        <f>HYPERLINK("http://amigo.geneontology.org/cgi-bin/amigo/term-details.cgi?term=GO:0019707","GO:0019707")</f>
        <v>GO:0019707</v>
      </c>
      <c r="B781" t="s">
        <v>3419</v>
      </c>
      <c r="C781">
        <v>63</v>
      </c>
      <c r="D781">
        <v>12</v>
      </c>
      <c r="E781" s="2">
        <v>2.2234684313084999E-5</v>
      </c>
      <c r="F781" s="2">
        <v>1.11173421565425E-4</v>
      </c>
      <c r="G781" t="s">
        <v>3272</v>
      </c>
    </row>
    <row r="782" spans="1:7" x14ac:dyDescent="0.25">
      <c r="A782" s="4" t="str">
        <f>HYPERLINK("http://amigo.geneontology.org/cgi-bin/amigo/term-details.cgi?term=GO:0019706","GO:0019706")</f>
        <v>GO:0019706</v>
      </c>
      <c r="B782" t="s">
        <v>3418</v>
      </c>
      <c r="C782">
        <v>63</v>
      </c>
      <c r="D782">
        <v>12</v>
      </c>
      <c r="E782" s="2">
        <v>2.2234684313084999E-5</v>
      </c>
      <c r="F782" s="2">
        <v>1.11173421565425E-4</v>
      </c>
      <c r="G782" t="s">
        <v>3272</v>
      </c>
    </row>
    <row r="783" spans="1:7" x14ac:dyDescent="0.25">
      <c r="A783" s="4" t="str">
        <f>HYPERLINK("http://amigo.geneontology.org/cgi-bin/amigo/term-details.cgi?term=GO:0004576","GO:0004576")</f>
        <v>GO:0004576</v>
      </c>
      <c r="B783" t="s">
        <v>411</v>
      </c>
      <c r="C783">
        <v>28</v>
      </c>
      <c r="D783">
        <v>8</v>
      </c>
      <c r="E783" s="2">
        <v>2.38580704124757E-5</v>
      </c>
      <c r="F783" s="2">
        <v>1.1929035206237799E-4</v>
      </c>
      <c r="G783" t="s">
        <v>3417</v>
      </c>
    </row>
    <row r="784" spans="1:7" x14ac:dyDescent="0.25">
      <c r="A784" s="4" t="str">
        <f>HYPERLINK("http://amigo.geneontology.org/cgi-bin/amigo/term-details.cgi?term=GO:0004373","GO:0004373")</f>
        <v>GO:0004373</v>
      </c>
      <c r="B784" t="s">
        <v>400</v>
      </c>
      <c r="C784">
        <v>28</v>
      </c>
      <c r="D784">
        <v>8</v>
      </c>
      <c r="E784" s="2">
        <v>2.38580704124757E-5</v>
      </c>
      <c r="F784" s="2">
        <v>1.1929035206237799E-4</v>
      </c>
      <c r="G784" t="s">
        <v>1389</v>
      </c>
    </row>
    <row r="785" spans="1:7" x14ac:dyDescent="0.25">
      <c r="A785" s="4" t="str">
        <f>HYPERLINK("http://amigo.geneontology.org/cgi-bin/amigo/term-details.cgi?term=GO:0009199","GO:0009199")</f>
        <v>GO:0009199</v>
      </c>
      <c r="B785" t="s">
        <v>459</v>
      </c>
      <c r="C785">
        <v>594</v>
      </c>
      <c r="D785">
        <v>50</v>
      </c>
      <c r="E785" s="2">
        <v>2.3923488834922801E-5</v>
      </c>
      <c r="F785" s="2">
        <v>1.19617444174614E-4</v>
      </c>
      <c r="G785" t="s">
        <v>3391</v>
      </c>
    </row>
    <row r="786" spans="1:7" x14ac:dyDescent="0.25">
      <c r="A786" s="4" t="str">
        <f>HYPERLINK("http://amigo.geneontology.org/cgi-bin/amigo/term-details.cgi?term=GO:0016875","GO:0016875")</f>
        <v>GO:0016875</v>
      </c>
      <c r="B786" t="s">
        <v>867</v>
      </c>
      <c r="C786">
        <v>261</v>
      </c>
      <c r="D786">
        <v>28</v>
      </c>
      <c r="E786" s="2">
        <v>2.4030675845608399E-5</v>
      </c>
      <c r="F786" s="2">
        <v>1.2015337922804199E-4</v>
      </c>
      <c r="G786" t="s">
        <v>1410</v>
      </c>
    </row>
    <row r="787" spans="1:7" x14ac:dyDescent="0.25">
      <c r="A787" s="4" t="str">
        <f>HYPERLINK("http://amigo.geneontology.org/cgi-bin/amigo/term-details.cgi?term=GO:0004812","GO:0004812")</f>
        <v>GO:0004812</v>
      </c>
      <c r="B787" t="s">
        <v>176</v>
      </c>
      <c r="C787">
        <v>261</v>
      </c>
      <c r="D787">
        <v>28</v>
      </c>
      <c r="E787" s="2">
        <v>2.4030675845608399E-5</v>
      </c>
      <c r="F787" s="2">
        <v>1.2015337922804199E-4</v>
      </c>
      <c r="G787" t="s">
        <v>1410</v>
      </c>
    </row>
    <row r="788" spans="1:7" x14ac:dyDescent="0.25">
      <c r="A788" s="4" t="str">
        <f>HYPERLINK("http://amigo.geneontology.org/cgi-bin/amigo/term-details.cgi?term=GO:0061572","GO:0061572")</f>
        <v>GO:0061572</v>
      </c>
      <c r="B788" t="s">
        <v>3416</v>
      </c>
      <c r="C788">
        <v>21</v>
      </c>
      <c r="D788">
        <v>7</v>
      </c>
      <c r="E788" s="2">
        <v>2.54681057684944E-5</v>
      </c>
      <c r="F788" s="2">
        <v>1.2734052884247199E-4</v>
      </c>
      <c r="G788" t="s">
        <v>3414</v>
      </c>
    </row>
    <row r="789" spans="1:7" x14ac:dyDescent="0.25">
      <c r="A789" s="4" t="str">
        <f>HYPERLINK("http://amigo.geneontology.org/cgi-bin/amigo/term-details.cgi?term=GO:0051017","GO:0051017")</f>
        <v>GO:0051017</v>
      </c>
      <c r="B789" t="s">
        <v>3415</v>
      </c>
      <c r="C789">
        <v>21</v>
      </c>
      <c r="D789">
        <v>7</v>
      </c>
      <c r="E789" s="2">
        <v>2.54681057684944E-5</v>
      </c>
      <c r="F789" s="2">
        <v>1.2734052884247199E-4</v>
      </c>
      <c r="G789" t="s">
        <v>3414</v>
      </c>
    </row>
    <row r="790" spans="1:7" x14ac:dyDescent="0.25">
      <c r="A790" s="4" t="str">
        <f>HYPERLINK("http://amigo.geneontology.org/cgi-bin/amigo/term-details.cgi?term=GO:0042724","GO:0042724")</f>
        <v>GO:0042724</v>
      </c>
      <c r="B790" t="s">
        <v>719</v>
      </c>
      <c r="C790">
        <v>21</v>
      </c>
      <c r="D790">
        <v>7</v>
      </c>
      <c r="E790" s="2">
        <v>2.54681057684944E-5</v>
      </c>
      <c r="F790" s="2">
        <v>1.2734052884247199E-4</v>
      </c>
      <c r="G790" t="s">
        <v>3277</v>
      </c>
    </row>
    <row r="791" spans="1:7" x14ac:dyDescent="0.25">
      <c r="A791" s="4" t="str">
        <f>HYPERLINK("http://amigo.geneontology.org/cgi-bin/amigo/term-details.cgi?term=GO:0009228","GO:0009228")</f>
        <v>GO:0009228</v>
      </c>
      <c r="B791" t="s">
        <v>718</v>
      </c>
      <c r="C791">
        <v>21</v>
      </c>
      <c r="D791">
        <v>7</v>
      </c>
      <c r="E791" s="2">
        <v>2.54681057684944E-5</v>
      </c>
      <c r="F791" s="2">
        <v>1.2734052884247199E-4</v>
      </c>
      <c r="G791" t="s">
        <v>3277</v>
      </c>
    </row>
    <row r="792" spans="1:7" x14ac:dyDescent="0.25">
      <c r="A792" s="4" t="str">
        <f>HYPERLINK("http://amigo.geneontology.org/cgi-bin/amigo/term-details.cgi?term=GO:0030001","GO:0030001")</f>
        <v>GO:0030001</v>
      </c>
      <c r="B792" t="s">
        <v>220</v>
      </c>
      <c r="C792">
        <v>860</v>
      </c>
      <c r="D792">
        <v>66</v>
      </c>
      <c r="E792" s="2">
        <v>2.6374003105996798E-5</v>
      </c>
      <c r="F792" s="2">
        <v>1.3187001552998401E-4</v>
      </c>
      <c r="G792" t="s">
        <v>3413</v>
      </c>
    </row>
    <row r="793" spans="1:7" x14ac:dyDescent="0.25">
      <c r="A793" s="4" t="str">
        <f>HYPERLINK("http://amigo.geneontology.org/cgi-bin/amigo/term-details.cgi?term=GO:0043138","GO:0043138")</f>
        <v>GO:0043138</v>
      </c>
      <c r="B793" t="s">
        <v>671</v>
      </c>
      <c r="C793">
        <v>15</v>
      </c>
      <c r="D793">
        <v>6</v>
      </c>
      <c r="E793" s="2">
        <v>2.98893927178769E-5</v>
      </c>
      <c r="F793" s="2">
        <v>1.49446963589384E-4</v>
      </c>
      <c r="G793" t="s">
        <v>3412</v>
      </c>
    </row>
    <row r="794" spans="1:7" x14ac:dyDescent="0.25">
      <c r="A794" s="4" t="str">
        <f>HYPERLINK("http://amigo.geneontology.org/cgi-bin/amigo/term-details.cgi?term=GO:0090116","GO:0090116")</f>
        <v>GO:0090116</v>
      </c>
      <c r="B794" t="s">
        <v>3411</v>
      </c>
      <c r="C794">
        <v>15</v>
      </c>
      <c r="D794">
        <v>6</v>
      </c>
      <c r="E794" s="2">
        <v>2.98893927178769E-5</v>
      </c>
      <c r="F794" s="2">
        <v>1.49446963589384E-4</v>
      </c>
      <c r="G794" t="s">
        <v>3372</v>
      </c>
    </row>
    <row r="795" spans="1:7" x14ac:dyDescent="0.25">
      <c r="A795" s="4" t="str">
        <f>HYPERLINK("http://amigo.geneontology.org/cgi-bin/amigo/term-details.cgi?term=GO:0030422","GO:0030422")</f>
        <v>GO:0030422</v>
      </c>
      <c r="B795" t="s">
        <v>3410</v>
      </c>
      <c r="C795">
        <v>97</v>
      </c>
      <c r="D795">
        <v>15</v>
      </c>
      <c r="E795" s="2">
        <v>3.0331235142209701E-5</v>
      </c>
      <c r="F795" s="2">
        <v>1.5165617571104799E-4</v>
      </c>
      <c r="G795" t="s">
        <v>3409</v>
      </c>
    </row>
    <row r="796" spans="1:7" x14ac:dyDescent="0.25">
      <c r="A796" s="4" t="str">
        <f>HYPERLINK("http://amigo.geneontology.org/cgi-bin/amigo/term-details.cgi?term=GO:0104004","GO:0104004")</f>
        <v>GO:0104004</v>
      </c>
      <c r="B796" t="s">
        <v>3408</v>
      </c>
      <c r="C796">
        <v>86</v>
      </c>
      <c r="D796">
        <v>14</v>
      </c>
      <c r="E796" s="2">
        <v>3.0693391539161498E-5</v>
      </c>
      <c r="F796" s="2">
        <v>1.5346695769580699E-4</v>
      </c>
      <c r="G796" t="s">
        <v>3406</v>
      </c>
    </row>
    <row r="797" spans="1:7" x14ac:dyDescent="0.25">
      <c r="A797" s="4" t="str">
        <f>HYPERLINK("http://amigo.geneontology.org/cgi-bin/amigo/term-details.cgi?term=GO:0071214","GO:0071214")</f>
        <v>GO:0071214</v>
      </c>
      <c r="B797" t="s">
        <v>3407</v>
      </c>
      <c r="C797">
        <v>86</v>
      </c>
      <c r="D797">
        <v>14</v>
      </c>
      <c r="E797" s="2">
        <v>3.0693391539161498E-5</v>
      </c>
      <c r="F797" s="2">
        <v>1.5346695769580699E-4</v>
      </c>
      <c r="G797" t="s">
        <v>3406</v>
      </c>
    </row>
    <row r="798" spans="1:7" x14ac:dyDescent="0.25">
      <c r="A798" s="4" t="str">
        <f>HYPERLINK("http://amigo.geneontology.org/cgi-bin/amigo/term-details.cgi?term=GO:0034284","GO:0034284")</f>
        <v>GO:0034284</v>
      </c>
      <c r="B798" t="s">
        <v>3405</v>
      </c>
      <c r="C798">
        <v>65</v>
      </c>
      <c r="D798">
        <v>12</v>
      </c>
      <c r="E798" s="2">
        <v>3.0866993006783001E-5</v>
      </c>
      <c r="F798" s="2">
        <v>1.5433496503391501E-4</v>
      </c>
      <c r="G798" t="s">
        <v>3403</v>
      </c>
    </row>
    <row r="799" spans="1:7" x14ac:dyDescent="0.25">
      <c r="A799" s="4" t="str">
        <f>HYPERLINK("http://amigo.geneontology.org/cgi-bin/amigo/term-details.cgi?term=GO:0009746","GO:0009746")</f>
        <v>GO:0009746</v>
      </c>
      <c r="B799" t="s">
        <v>3404</v>
      </c>
      <c r="C799">
        <v>65</v>
      </c>
      <c r="D799">
        <v>12</v>
      </c>
      <c r="E799" s="2">
        <v>3.0866993006783001E-5</v>
      </c>
      <c r="F799" s="2">
        <v>1.5433496503391501E-4</v>
      </c>
      <c r="G799" t="s">
        <v>3403</v>
      </c>
    </row>
    <row r="800" spans="1:7" x14ac:dyDescent="0.25">
      <c r="A800" s="4" t="str">
        <f>HYPERLINK("http://amigo.geneontology.org/cgi-bin/amigo/term-details.cgi?term=GO:0046034","GO:0046034")</f>
        <v>GO:0046034</v>
      </c>
      <c r="B800" t="s">
        <v>444</v>
      </c>
      <c r="C800">
        <v>553</v>
      </c>
      <c r="D800">
        <v>47</v>
      </c>
      <c r="E800" s="2">
        <v>3.2491239068440199E-5</v>
      </c>
      <c r="F800" s="2">
        <v>1.62456195342201E-4</v>
      </c>
      <c r="G800" t="s">
        <v>3402</v>
      </c>
    </row>
    <row r="801" spans="1:7" x14ac:dyDescent="0.25">
      <c r="A801" s="4" t="str">
        <f>HYPERLINK("http://amigo.geneontology.org/cgi-bin/amigo/term-details.cgi?term=GO:0043412","GO:0043412")</f>
        <v>GO:0043412</v>
      </c>
      <c r="B801" t="s">
        <v>367</v>
      </c>
      <c r="C801">
        <v>8612</v>
      </c>
      <c r="D801">
        <v>464</v>
      </c>
      <c r="E801" s="2">
        <v>3.3669326967145103E-5</v>
      </c>
      <c r="F801" s="2">
        <v>1.6834663483572499E-4</v>
      </c>
      <c r="G801" t="s">
        <v>3401</v>
      </c>
    </row>
    <row r="802" spans="1:7" x14ac:dyDescent="0.25">
      <c r="A802" s="4" t="str">
        <f>HYPERLINK("http://amigo.geneontology.org/cgi-bin/amigo/term-details.cgi?term=GO:0031978","GO:0031978")</f>
        <v>GO:0031978</v>
      </c>
      <c r="B802" t="s">
        <v>3400</v>
      </c>
      <c r="C802">
        <v>56</v>
      </c>
      <c r="D802">
        <v>11</v>
      </c>
      <c r="E802" s="2">
        <v>3.59281560620203E-5</v>
      </c>
      <c r="F802" s="2">
        <v>1.7964078031010099E-4</v>
      </c>
      <c r="G802" t="s">
        <v>3398</v>
      </c>
    </row>
    <row r="803" spans="1:7" x14ac:dyDescent="0.25">
      <c r="A803" s="4" t="str">
        <f>HYPERLINK("http://amigo.geneontology.org/cgi-bin/amigo/term-details.cgi?term=GO:0009543","GO:0009543")</f>
        <v>GO:0009543</v>
      </c>
      <c r="B803" t="s">
        <v>3399</v>
      </c>
      <c r="C803">
        <v>56</v>
      </c>
      <c r="D803">
        <v>11</v>
      </c>
      <c r="E803" s="2">
        <v>3.59281560620203E-5</v>
      </c>
      <c r="F803" s="2">
        <v>1.7964078031010099E-4</v>
      </c>
      <c r="G803" t="s">
        <v>3398</v>
      </c>
    </row>
    <row r="804" spans="1:7" x14ac:dyDescent="0.25">
      <c r="A804" s="4" t="str">
        <f>HYPERLINK("http://amigo.geneontology.org/cgi-bin/amigo/term-details.cgi?term=GO:0016409","GO:0016409")</f>
        <v>GO:0016409</v>
      </c>
      <c r="B804" t="s">
        <v>1662</v>
      </c>
      <c r="C804">
        <v>66</v>
      </c>
      <c r="D804">
        <v>12</v>
      </c>
      <c r="E804" s="2">
        <v>3.6180826028625501E-5</v>
      </c>
      <c r="F804" s="2">
        <v>1.80904130143127E-4</v>
      </c>
      <c r="G804" t="s">
        <v>3272</v>
      </c>
    </row>
    <row r="805" spans="1:7" x14ac:dyDescent="0.25">
      <c r="A805" s="4" t="str">
        <f>HYPERLINK("http://amigo.geneontology.org/cgi-bin/amigo/term-details.cgi?term=GO:0044282","GO:0044282")</f>
        <v>GO:0044282</v>
      </c>
      <c r="B805" t="s">
        <v>1126</v>
      </c>
      <c r="C805">
        <v>540</v>
      </c>
      <c r="D805">
        <v>46</v>
      </c>
      <c r="E805" s="2">
        <v>3.7033986740806498E-5</v>
      </c>
      <c r="F805" s="2">
        <v>1.8516993370403201E-4</v>
      </c>
      <c r="G805" t="s">
        <v>3397</v>
      </c>
    </row>
    <row r="806" spans="1:7" x14ac:dyDescent="0.25">
      <c r="A806" s="4" t="str">
        <f>HYPERLINK("http://amigo.geneontology.org/cgi-bin/amigo/term-details.cgi?term=GO:0030176","GO:0030176")</f>
        <v>GO:0030176</v>
      </c>
      <c r="B806" t="s">
        <v>494</v>
      </c>
      <c r="C806">
        <v>38</v>
      </c>
      <c r="D806">
        <v>9</v>
      </c>
      <c r="E806" s="2">
        <v>3.8612019911646302E-5</v>
      </c>
      <c r="F806" s="2">
        <v>1.9306009955823099E-4</v>
      </c>
      <c r="G806" t="s">
        <v>3305</v>
      </c>
    </row>
    <row r="807" spans="1:7" x14ac:dyDescent="0.25">
      <c r="A807" s="4" t="str">
        <f>HYPERLINK("http://amigo.geneontology.org/cgi-bin/amigo/term-details.cgi?term=GO:0006298","GO:0006298")</f>
        <v>GO:0006298</v>
      </c>
      <c r="B807" t="s">
        <v>1121</v>
      </c>
      <c r="C807">
        <v>38</v>
      </c>
      <c r="D807">
        <v>9</v>
      </c>
      <c r="E807" s="2">
        <v>3.8612019911646302E-5</v>
      </c>
      <c r="F807" s="2">
        <v>1.9306009955823099E-4</v>
      </c>
      <c r="G807" t="s">
        <v>1399</v>
      </c>
    </row>
    <row r="808" spans="1:7" x14ac:dyDescent="0.25">
      <c r="A808" s="4" t="str">
        <f>HYPERLINK("http://amigo.geneontology.org/cgi-bin/amigo/term-details.cgi?term=GO:0030983","GO:0030983")</f>
        <v>GO:0030983</v>
      </c>
      <c r="B808" t="s">
        <v>1120</v>
      </c>
      <c r="C808">
        <v>38</v>
      </c>
      <c r="D808">
        <v>9</v>
      </c>
      <c r="E808" s="2">
        <v>3.8612019911646302E-5</v>
      </c>
      <c r="F808" s="2">
        <v>1.9306009955823099E-4</v>
      </c>
      <c r="G808" t="s">
        <v>1399</v>
      </c>
    </row>
    <row r="809" spans="1:7" x14ac:dyDescent="0.25">
      <c r="A809" s="4" t="str">
        <f>HYPERLINK("http://amigo.geneontology.org/cgi-bin/amigo/term-details.cgi?term=GO:0043062","GO:0043062")</f>
        <v>GO:0043062</v>
      </c>
      <c r="B809" t="s">
        <v>851</v>
      </c>
      <c r="C809">
        <v>77</v>
      </c>
      <c r="D809">
        <v>13</v>
      </c>
      <c r="E809" s="2">
        <v>3.9326480919799002E-5</v>
      </c>
      <c r="F809" s="2">
        <v>1.9663240459899501E-4</v>
      </c>
      <c r="G809" t="s">
        <v>3396</v>
      </c>
    </row>
    <row r="810" spans="1:7" x14ac:dyDescent="0.25">
      <c r="A810" s="4" t="str">
        <f>HYPERLINK("http://amigo.geneontology.org/cgi-bin/amigo/term-details.cgi?term=GO:0030198","GO:0030198")</f>
        <v>GO:0030198</v>
      </c>
      <c r="B810" t="s">
        <v>655</v>
      </c>
      <c r="C810">
        <v>77</v>
      </c>
      <c r="D810">
        <v>13</v>
      </c>
      <c r="E810" s="2">
        <v>3.9326480919799002E-5</v>
      </c>
      <c r="F810" s="2">
        <v>1.9663240459899501E-4</v>
      </c>
      <c r="G810" t="s">
        <v>3396</v>
      </c>
    </row>
    <row r="811" spans="1:7" x14ac:dyDescent="0.25">
      <c r="A811" s="4" t="str">
        <f>HYPERLINK("http://amigo.geneontology.org/cgi-bin/amigo/term-details.cgi?term=GO:0046364","GO:0046364")</f>
        <v>GO:0046364</v>
      </c>
      <c r="B811" t="s">
        <v>106</v>
      </c>
      <c r="C811">
        <v>100</v>
      </c>
      <c r="D811">
        <v>15</v>
      </c>
      <c r="E811" s="2">
        <v>4.3725211342483599E-5</v>
      </c>
      <c r="F811" s="2">
        <v>2.18626056712418E-4</v>
      </c>
      <c r="G811" t="s">
        <v>3395</v>
      </c>
    </row>
    <row r="812" spans="1:7" x14ac:dyDescent="0.25">
      <c r="A812" s="4" t="str">
        <f>HYPERLINK("http://amigo.geneontology.org/cgi-bin/amigo/term-details.cgi?term=GO:0051607","GO:0051607")</f>
        <v>GO:0051607</v>
      </c>
      <c r="B812" t="s">
        <v>3394</v>
      </c>
      <c r="C812">
        <v>78</v>
      </c>
      <c r="D812">
        <v>13</v>
      </c>
      <c r="E812" s="2">
        <v>4.5249508657811699E-5</v>
      </c>
      <c r="F812" s="2">
        <v>2.2624754328905801E-4</v>
      </c>
      <c r="G812" t="s">
        <v>3218</v>
      </c>
    </row>
    <row r="813" spans="1:7" x14ac:dyDescent="0.25">
      <c r="A813" s="4" t="str">
        <f>HYPERLINK("http://amigo.geneontology.org/cgi-bin/amigo/term-details.cgi?term=GO:0003886","GO:0003886")</f>
        <v>GO:0003886</v>
      </c>
      <c r="B813" t="s">
        <v>3393</v>
      </c>
      <c r="C813">
        <v>16</v>
      </c>
      <c r="D813">
        <v>6</v>
      </c>
      <c r="E813" s="2">
        <v>4.5986925417810101E-5</v>
      </c>
      <c r="F813" s="2">
        <v>2.2993462708905001E-4</v>
      </c>
      <c r="G813" t="s">
        <v>3372</v>
      </c>
    </row>
    <row r="814" spans="1:7" x14ac:dyDescent="0.25">
      <c r="A814" s="4" t="str">
        <f>HYPERLINK("http://amigo.geneontology.org/cgi-bin/amigo/term-details.cgi?term=GO:0001101","GO:0001101")</f>
        <v>GO:0001101</v>
      </c>
      <c r="B814" t="s">
        <v>984</v>
      </c>
      <c r="C814">
        <v>529</v>
      </c>
      <c r="D814">
        <v>45</v>
      </c>
      <c r="E814" s="2">
        <v>4.6168424691079798E-5</v>
      </c>
      <c r="F814" s="2">
        <v>2.3084212345539899E-4</v>
      </c>
      <c r="G814" t="s">
        <v>3392</v>
      </c>
    </row>
    <row r="815" spans="1:7" x14ac:dyDescent="0.25">
      <c r="A815" s="4" t="str">
        <f>HYPERLINK("http://amigo.geneontology.org/cgi-bin/amigo/term-details.cgi?term=GO:0009141","GO:0009141")</f>
        <v>GO:0009141</v>
      </c>
      <c r="B815" t="s">
        <v>445</v>
      </c>
      <c r="C815">
        <v>610</v>
      </c>
      <c r="D815">
        <v>50</v>
      </c>
      <c r="E815" s="2">
        <v>4.7176620843616301E-5</v>
      </c>
      <c r="F815" s="2">
        <v>2.3588310421808099E-4</v>
      </c>
      <c r="G815" t="s">
        <v>3391</v>
      </c>
    </row>
    <row r="816" spans="1:7" x14ac:dyDescent="0.25">
      <c r="A816" s="4" t="str">
        <f>HYPERLINK("http://amigo.geneontology.org/cgi-bin/amigo/term-details.cgi?term=GO:0044428","GO:0044428")</f>
        <v>GO:0044428</v>
      </c>
      <c r="B816" t="s">
        <v>514</v>
      </c>
      <c r="C816">
        <v>1105</v>
      </c>
      <c r="D816">
        <v>79</v>
      </c>
      <c r="E816" s="2">
        <v>5.2529368695181602E-5</v>
      </c>
      <c r="F816" s="2">
        <v>2.6264684347590799E-4</v>
      </c>
      <c r="G816" t="s">
        <v>3390</v>
      </c>
    </row>
    <row r="817" spans="1:7" x14ac:dyDescent="0.25">
      <c r="A817" s="4" t="str">
        <f>HYPERLINK("http://amigo.geneontology.org/cgi-bin/amigo/term-details.cgi?term=GO:0005945","GO:0005945")</f>
        <v>GO:0005945</v>
      </c>
      <c r="B817" t="s">
        <v>1869</v>
      </c>
      <c r="C817">
        <v>31</v>
      </c>
      <c r="D817">
        <v>8</v>
      </c>
      <c r="E817" s="2">
        <v>5.36349127255858E-5</v>
      </c>
      <c r="F817" s="2">
        <v>2.6817456362792898E-4</v>
      </c>
      <c r="G817" t="s">
        <v>3389</v>
      </c>
    </row>
    <row r="818" spans="1:7" x14ac:dyDescent="0.25">
      <c r="A818" s="4" t="str">
        <f>HYPERLINK("http://amigo.geneontology.org/cgi-bin/amigo/term-details.cgi?term=GO:0044462","GO:0044462")</f>
        <v>GO:0044462</v>
      </c>
      <c r="B818" t="s">
        <v>3388</v>
      </c>
      <c r="C818">
        <v>6</v>
      </c>
      <c r="D818">
        <v>4</v>
      </c>
      <c r="E818" s="2">
        <v>5.81440380534799E-5</v>
      </c>
      <c r="F818" s="2">
        <v>2.9072019026739901E-4</v>
      </c>
      <c r="G818" t="s">
        <v>3387</v>
      </c>
    </row>
    <row r="819" spans="1:7" x14ac:dyDescent="0.25">
      <c r="A819" s="4" t="str">
        <f>HYPERLINK("http://amigo.geneontology.org/cgi-bin/amigo/term-details.cgi?term=GO:0009704","GO:0009704")</f>
        <v>GO:0009704</v>
      </c>
      <c r="B819" t="s">
        <v>3386</v>
      </c>
      <c r="C819">
        <v>6</v>
      </c>
      <c r="D819">
        <v>4</v>
      </c>
      <c r="E819" s="2">
        <v>5.81440380534799E-5</v>
      </c>
      <c r="F819" s="2">
        <v>2.9072019026739901E-4</v>
      </c>
      <c r="G819" t="s">
        <v>3385</v>
      </c>
    </row>
    <row r="820" spans="1:7" x14ac:dyDescent="0.25">
      <c r="A820" s="4" t="str">
        <f>HYPERLINK("http://amigo.geneontology.org/cgi-bin/amigo/term-details.cgi?term=GO:0033186","GO:0033186")</f>
        <v>GO:0033186</v>
      </c>
      <c r="B820" t="s">
        <v>3384</v>
      </c>
      <c r="C820">
        <v>6</v>
      </c>
      <c r="D820">
        <v>4</v>
      </c>
      <c r="E820" s="2">
        <v>5.81440380534799E-5</v>
      </c>
      <c r="F820" s="2">
        <v>2.9072019026739901E-4</v>
      </c>
      <c r="G820" t="s">
        <v>3383</v>
      </c>
    </row>
    <row r="821" spans="1:7" x14ac:dyDescent="0.25">
      <c r="A821" s="4" t="str">
        <f>HYPERLINK("http://amigo.geneontology.org/cgi-bin/amigo/term-details.cgi?term=GO:0009606","GO:0009606")</f>
        <v>GO:0009606</v>
      </c>
      <c r="B821" t="s">
        <v>3382</v>
      </c>
      <c r="C821">
        <v>91</v>
      </c>
      <c r="D821">
        <v>14</v>
      </c>
      <c r="E821" s="2">
        <v>5.8495759326507902E-5</v>
      </c>
      <c r="F821" s="2">
        <v>2.92478796632539E-4</v>
      </c>
      <c r="G821" t="s">
        <v>3381</v>
      </c>
    </row>
    <row r="822" spans="1:7" x14ac:dyDescent="0.25">
      <c r="A822" s="4" t="str">
        <f>HYPERLINK("http://amigo.geneontology.org/cgi-bin/amigo/term-details.cgi?term=GO:0006664","GO:0006664")</f>
        <v>GO:0006664</v>
      </c>
      <c r="B822" t="s">
        <v>509</v>
      </c>
      <c r="C822">
        <v>139</v>
      </c>
      <c r="D822">
        <v>18</v>
      </c>
      <c r="E822" s="2">
        <v>5.9571970966669198E-5</v>
      </c>
      <c r="F822" s="2">
        <v>2.9785985483334602E-4</v>
      </c>
      <c r="G822" t="s">
        <v>3380</v>
      </c>
    </row>
    <row r="823" spans="1:7" x14ac:dyDescent="0.25">
      <c r="A823" s="4" t="str">
        <f>HYPERLINK("http://amigo.geneontology.org/cgi-bin/amigo/term-details.cgi?term=GO:0061695","GO:0061695")</f>
        <v>GO:0061695</v>
      </c>
      <c r="B823" t="s">
        <v>1028</v>
      </c>
      <c r="C823">
        <v>205</v>
      </c>
      <c r="D823">
        <v>23</v>
      </c>
      <c r="E823" s="2">
        <v>6.1793757338989003E-5</v>
      </c>
      <c r="F823" s="2">
        <v>3.0896878669494499E-4</v>
      </c>
      <c r="G823" t="s">
        <v>3379</v>
      </c>
    </row>
    <row r="824" spans="1:7" x14ac:dyDescent="0.25">
      <c r="A824" s="4" t="str">
        <f>HYPERLINK("http://amigo.geneontology.org/cgi-bin/amigo/term-details.cgi?term=GO:0000272","GO:0000272")</f>
        <v>GO:0000272</v>
      </c>
      <c r="B824" t="s">
        <v>534</v>
      </c>
      <c r="C824">
        <v>127</v>
      </c>
      <c r="D824">
        <v>17</v>
      </c>
      <c r="E824" s="2">
        <v>6.2047536398040403E-5</v>
      </c>
      <c r="F824" s="2">
        <v>3.1023768199020199E-4</v>
      </c>
      <c r="G824" t="s">
        <v>3378</v>
      </c>
    </row>
    <row r="825" spans="1:7" x14ac:dyDescent="0.25">
      <c r="A825" s="4" t="str">
        <f>HYPERLINK("http://amigo.geneontology.org/cgi-bin/amigo/term-details.cgi?term=GO:0000394","GO:0000394")</f>
        <v>GO:0000394</v>
      </c>
      <c r="B825" t="s">
        <v>3377</v>
      </c>
      <c r="C825">
        <v>115</v>
      </c>
      <c r="D825">
        <v>16</v>
      </c>
      <c r="E825" s="2">
        <v>6.3056639471057298E-5</v>
      </c>
      <c r="F825" s="2">
        <v>3.15283197355286E-4</v>
      </c>
      <c r="G825" t="s">
        <v>3376</v>
      </c>
    </row>
    <row r="826" spans="1:7" x14ac:dyDescent="0.25">
      <c r="A826" s="4" t="str">
        <f>HYPERLINK("http://amigo.geneontology.org/cgi-bin/amigo/term-details.cgi?term=GO:0014070","GO:0014070")</f>
        <v>GO:0014070</v>
      </c>
      <c r="B826" t="s">
        <v>2124</v>
      </c>
      <c r="C826">
        <v>290</v>
      </c>
      <c r="D826">
        <v>29</v>
      </c>
      <c r="E826" s="2">
        <v>6.3083625458874301E-5</v>
      </c>
      <c r="F826" s="2">
        <v>3.1541812729437099E-4</v>
      </c>
      <c r="G826" t="s">
        <v>3375</v>
      </c>
    </row>
    <row r="827" spans="1:7" x14ac:dyDescent="0.25">
      <c r="A827" s="4" t="str">
        <f>HYPERLINK("http://amigo.geneontology.org/cgi-bin/amigo/term-details.cgi?term=GO:0009008","GO:0009008")</f>
        <v>GO:0009008</v>
      </c>
      <c r="B827" t="s">
        <v>3374</v>
      </c>
      <c r="C827">
        <v>17</v>
      </c>
      <c r="D827">
        <v>6</v>
      </c>
      <c r="E827" s="2">
        <v>6.8344469403681298E-5</v>
      </c>
      <c r="F827" s="2">
        <v>3.4172234701840601E-4</v>
      </c>
      <c r="G827" t="s">
        <v>3372</v>
      </c>
    </row>
    <row r="828" spans="1:7" x14ac:dyDescent="0.25">
      <c r="A828" s="4" t="str">
        <f>HYPERLINK("http://amigo.geneontology.org/cgi-bin/amigo/term-details.cgi?term=GO:0032776","GO:0032776")</f>
        <v>GO:0032776</v>
      </c>
      <c r="B828" t="s">
        <v>3373</v>
      </c>
      <c r="C828">
        <v>17</v>
      </c>
      <c r="D828">
        <v>6</v>
      </c>
      <c r="E828" s="2">
        <v>6.8344469403681298E-5</v>
      </c>
      <c r="F828" s="2">
        <v>3.4172234701840601E-4</v>
      </c>
      <c r="G828" t="s">
        <v>3372</v>
      </c>
    </row>
    <row r="829" spans="1:7" x14ac:dyDescent="0.25">
      <c r="A829" s="4" t="str">
        <f>HYPERLINK("http://amigo.geneontology.org/cgi-bin/amigo/term-details.cgi?term=GO:0016122","GO:0016122")</f>
        <v>GO:0016122</v>
      </c>
      <c r="B829" t="s">
        <v>3371</v>
      </c>
      <c r="C829">
        <v>17</v>
      </c>
      <c r="D829">
        <v>6</v>
      </c>
      <c r="E829" s="2">
        <v>6.8344469403681298E-5</v>
      </c>
      <c r="F829" s="2">
        <v>3.4172234701840601E-4</v>
      </c>
      <c r="G829" t="s">
        <v>3370</v>
      </c>
    </row>
    <row r="830" spans="1:7" x14ac:dyDescent="0.25">
      <c r="A830" s="4" t="str">
        <f>HYPERLINK("http://amigo.geneontology.org/cgi-bin/amigo/term-details.cgi?term=GO:0019348","GO:0019348")</f>
        <v>GO:0019348</v>
      </c>
      <c r="B830" t="s">
        <v>3369</v>
      </c>
      <c r="C830">
        <v>17</v>
      </c>
      <c r="D830">
        <v>6</v>
      </c>
      <c r="E830" s="2">
        <v>6.8344469403681298E-5</v>
      </c>
      <c r="F830" s="2">
        <v>3.4172234701840601E-4</v>
      </c>
      <c r="G830" t="s">
        <v>3338</v>
      </c>
    </row>
    <row r="831" spans="1:7" x14ac:dyDescent="0.25">
      <c r="A831" s="4" t="str">
        <f>HYPERLINK("http://amigo.geneontology.org/cgi-bin/amigo/term-details.cgi?term=GO:0002790","GO:0002790")</f>
        <v>GO:0002790</v>
      </c>
      <c r="B831" t="s">
        <v>3368</v>
      </c>
      <c r="C831">
        <v>17</v>
      </c>
      <c r="D831">
        <v>6</v>
      </c>
      <c r="E831" s="2">
        <v>6.8344469403681298E-5</v>
      </c>
      <c r="F831" s="2">
        <v>3.4172234701840601E-4</v>
      </c>
      <c r="G831" t="s">
        <v>1168</v>
      </c>
    </row>
    <row r="832" spans="1:7" x14ac:dyDescent="0.25">
      <c r="A832" s="4" t="str">
        <f>HYPERLINK("http://amigo.geneontology.org/cgi-bin/amigo/term-details.cgi?term=GO:0009306","GO:0009306")</f>
        <v>GO:0009306</v>
      </c>
      <c r="B832" t="s">
        <v>713</v>
      </c>
      <c r="C832">
        <v>17</v>
      </c>
      <c r="D832">
        <v>6</v>
      </c>
      <c r="E832" s="2">
        <v>6.8344469403681298E-5</v>
      </c>
      <c r="F832" s="2">
        <v>3.4172234701840601E-4</v>
      </c>
      <c r="G832" t="s">
        <v>1168</v>
      </c>
    </row>
    <row r="833" spans="1:7" x14ac:dyDescent="0.25">
      <c r="A833" s="4" t="str">
        <f>HYPERLINK("http://amigo.geneontology.org/cgi-bin/amigo/term-details.cgi?term=GO:0050662","GO:0050662")</f>
        <v>GO:0050662</v>
      </c>
      <c r="B833" t="s">
        <v>961</v>
      </c>
      <c r="C833">
        <v>1801</v>
      </c>
      <c r="D833">
        <v>117</v>
      </c>
      <c r="E833" s="2">
        <v>6.9106254602456101E-5</v>
      </c>
      <c r="F833" s="2">
        <v>3.4553127301227999E-4</v>
      </c>
      <c r="G833" t="s">
        <v>3367</v>
      </c>
    </row>
    <row r="834" spans="1:7" x14ac:dyDescent="0.25">
      <c r="A834" s="4" t="str">
        <f>HYPERLINK("http://amigo.geneontology.org/cgi-bin/amigo/term-details.cgi?term=GO:0005956","GO:0005956")</f>
        <v>GO:0005956</v>
      </c>
      <c r="B834" t="s">
        <v>637</v>
      </c>
      <c r="C834">
        <v>11</v>
      </c>
      <c r="D834">
        <v>5</v>
      </c>
      <c r="E834" s="2">
        <v>6.92042253883078E-5</v>
      </c>
      <c r="F834" s="2">
        <v>3.46021126941539E-4</v>
      </c>
      <c r="G834" t="s">
        <v>1071</v>
      </c>
    </row>
    <row r="835" spans="1:7" x14ac:dyDescent="0.25">
      <c r="A835" s="4" t="str">
        <f>HYPERLINK("http://amigo.geneontology.org/cgi-bin/amigo/term-details.cgi?term=GO:1990066","GO:1990066")</f>
        <v>GO:1990066</v>
      </c>
      <c r="B835" t="s">
        <v>3366</v>
      </c>
      <c r="C835">
        <v>11</v>
      </c>
      <c r="D835">
        <v>5</v>
      </c>
      <c r="E835" s="2">
        <v>6.92042253883078E-5</v>
      </c>
      <c r="F835" s="2">
        <v>3.46021126941539E-4</v>
      </c>
      <c r="G835" t="s">
        <v>3364</v>
      </c>
    </row>
    <row r="836" spans="1:7" x14ac:dyDescent="0.25">
      <c r="A836" s="4" t="str">
        <f>HYPERLINK("http://amigo.geneontology.org/cgi-bin/amigo/term-details.cgi?term=GO:0010196","GO:0010196")</f>
        <v>GO:0010196</v>
      </c>
      <c r="B836" t="s">
        <v>3365</v>
      </c>
      <c r="C836">
        <v>11</v>
      </c>
      <c r="D836">
        <v>5</v>
      </c>
      <c r="E836" s="2">
        <v>6.92042253883078E-5</v>
      </c>
      <c r="F836" s="2">
        <v>3.46021126941539E-4</v>
      </c>
      <c r="G836" t="s">
        <v>3364</v>
      </c>
    </row>
    <row r="837" spans="1:7" x14ac:dyDescent="0.25">
      <c r="A837" s="4" t="str">
        <f>HYPERLINK("http://amigo.geneontology.org/cgi-bin/amigo/term-details.cgi?term=GO:0009750","GO:0009750")</f>
        <v>GO:0009750</v>
      </c>
      <c r="B837" t="s">
        <v>3363</v>
      </c>
      <c r="C837">
        <v>60</v>
      </c>
      <c r="D837">
        <v>11</v>
      </c>
      <c r="E837" s="2">
        <v>7.0032320096785595E-5</v>
      </c>
      <c r="F837" s="2">
        <v>3.5016160048392797E-4</v>
      </c>
      <c r="G837" t="s">
        <v>3362</v>
      </c>
    </row>
    <row r="838" spans="1:7" x14ac:dyDescent="0.25">
      <c r="A838" s="4" t="str">
        <f>HYPERLINK("http://amigo.geneontology.org/cgi-bin/amigo/term-details.cgi?term=GO:0006633","GO:0006633")</f>
        <v>GO:0006633</v>
      </c>
      <c r="B838" t="s">
        <v>3361</v>
      </c>
      <c r="C838">
        <v>444</v>
      </c>
      <c r="D838">
        <v>39</v>
      </c>
      <c r="E838" s="2">
        <v>7.2543297464282102E-5</v>
      </c>
      <c r="F838" s="2">
        <v>3.6271648732141002E-4</v>
      </c>
      <c r="G838" t="s">
        <v>3360</v>
      </c>
    </row>
    <row r="839" spans="1:7" x14ac:dyDescent="0.25">
      <c r="A839" s="4" t="str">
        <f>HYPERLINK("http://amigo.geneontology.org/cgi-bin/amigo/term-details.cgi?term=GO:0042221","GO:0042221")</f>
        <v>GO:0042221</v>
      </c>
      <c r="B839" t="s">
        <v>916</v>
      </c>
      <c r="C839">
        <v>2082</v>
      </c>
      <c r="D839">
        <v>132</v>
      </c>
      <c r="E839" s="2">
        <v>7.2587424171022703E-5</v>
      </c>
      <c r="F839" s="2">
        <v>3.62937120855113E-4</v>
      </c>
      <c r="G839" t="s">
        <v>3359</v>
      </c>
    </row>
    <row r="840" spans="1:7" x14ac:dyDescent="0.25">
      <c r="A840" s="4" t="str">
        <f>HYPERLINK("http://amigo.geneontology.org/cgi-bin/amigo/term-details.cgi?term=GO:0016831","GO:0016831")</f>
        <v>GO:0016831</v>
      </c>
      <c r="B840" t="s">
        <v>305</v>
      </c>
      <c r="C840">
        <v>237</v>
      </c>
      <c r="D840">
        <v>25</v>
      </c>
      <c r="E840" s="2">
        <v>8.3699653447178094E-5</v>
      </c>
      <c r="F840" s="2">
        <v>4.1849826723589E-4</v>
      </c>
      <c r="G840" t="s">
        <v>3358</v>
      </c>
    </row>
    <row r="841" spans="1:7" x14ac:dyDescent="0.25">
      <c r="A841" s="4" t="str">
        <f>HYPERLINK("http://amigo.geneontology.org/cgi-bin/amigo/term-details.cgi?term=GO:0050308","GO:0050308")</f>
        <v>GO:0050308</v>
      </c>
      <c r="B841" t="s">
        <v>1337</v>
      </c>
      <c r="C841">
        <v>33</v>
      </c>
      <c r="D841">
        <v>8</v>
      </c>
      <c r="E841" s="2">
        <v>8.7072565893616996E-5</v>
      </c>
      <c r="F841" s="2">
        <v>4.3536282946808499E-4</v>
      </c>
      <c r="G841" t="s">
        <v>2939</v>
      </c>
    </row>
    <row r="842" spans="1:7" x14ac:dyDescent="0.25">
      <c r="A842" s="4" t="str">
        <f>HYPERLINK("http://amigo.geneontology.org/cgi-bin/amigo/term-details.cgi?term=GO:0046501","GO:0046501")</f>
        <v>GO:0046501</v>
      </c>
      <c r="B842" t="s">
        <v>3357</v>
      </c>
      <c r="C842">
        <v>25</v>
      </c>
      <c r="D842">
        <v>7</v>
      </c>
      <c r="E842" s="2">
        <v>8.9769489030549603E-5</v>
      </c>
      <c r="F842" s="2">
        <v>4.4884744515274799E-4</v>
      </c>
      <c r="G842" t="s">
        <v>3355</v>
      </c>
    </row>
    <row r="843" spans="1:7" x14ac:dyDescent="0.25">
      <c r="A843" s="4" t="str">
        <f>HYPERLINK("http://amigo.geneontology.org/cgi-bin/amigo/term-details.cgi?term=GO:0006782","GO:0006782")</f>
        <v>GO:0006782</v>
      </c>
      <c r="B843" t="s">
        <v>3356</v>
      </c>
      <c r="C843">
        <v>25</v>
      </c>
      <c r="D843">
        <v>7</v>
      </c>
      <c r="E843" s="2">
        <v>8.9769489030549603E-5</v>
      </c>
      <c r="F843" s="2">
        <v>4.4884744515274799E-4</v>
      </c>
      <c r="G843" t="s">
        <v>3355</v>
      </c>
    </row>
    <row r="844" spans="1:7" x14ac:dyDescent="0.25">
      <c r="A844" s="4" t="str">
        <f>HYPERLINK("http://amigo.geneontology.org/cgi-bin/amigo/term-details.cgi?term=GO:0016741","GO:0016741")</f>
        <v>GO:0016741</v>
      </c>
      <c r="B844" t="s">
        <v>823</v>
      </c>
      <c r="C844">
        <v>1089</v>
      </c>
      <c r="D844">
        <v>77</v>
      </c>
      <c r="E844" s="2">
        <v>9.1963324973598596E-5</v>
      </c>
      <c r="F844" s="2">
        <v>4.59816624867993E-4</v>
      </c>
      <c r="G844" t="s">
        <v>3354</v>
      </c>
    </row>
    <row r="845" spans="1:7" x14ac:dyDescent="0.25">
      <c r="A845" s="4" t="str">
        <f>HYPERLINK("http://amigo.geneontology.org/cgi-bin/amigo/term-details.cgi?term=GO:0072374","GO:0072374")</f>
        <v>GO:0072374</v>
      </c>
      <c r="B845" t="s">
        <v>3353</v>
      </c>
      <c r="C845">
        <v>3</v>
      </c>
      <c r="D845">
        <v>3</v>
      </c>
      <c r="E845" s="2">
        <v>9.2351316698873503E-5</v>
      </c>
      <c r="F845" s="2">
        <v>4.6175658349436699E-4</v>
      </c>
      <c r="G845" t="s">
        <v>3351</v>
      </c>
    </row>
    <row r="846" spans="1:7" x14ac:dyDescent="0.25">
      <c r="A846" s="4" t="str">
        <f>HYPERLINK("http://amigo.geneontology.org/cgi-bin/amigo/term-details.cgi?term=GO:0009974","GO:0009974")</f>
        <v>GO:0009974</v>
      </c>
      <c r="B846" t="s">
        <v>3352</v>
      </c>
      <c r="C846">
        <v>3</v>
      </c>
      <c r="D846">
        <v>3</v>
      </c>
      <c r="E846" s="2">
        <v>9.2351316698873503E-5</v>
      </c>
      <c r="F846" s="2">
        <v>4.6175658349436699E-4</v>
      </c>
      <c r="G846" t="s">
        <v>3351</v>
      </c>
    </row>
    <row r="847" spans="1:7" x14ac:dyDescent="0.25">
      <c r="A847" s="4" t="str">
        <f>HYPERLINK("http://amigo.geneontology.org/cgi-bin/amigo/term-details.cgi?term=GO:0004845","GO:0004845")</f>
        <v>GO:0004845</v>
      </c>
      <c r="B847" t="s">
        <v>706</v>
      </c>
      <c r="C847">
        <v>3</v>
      </c>
      <c r="D847">
        <v>3</v>
      </c>
      <c r="E847" s="2">
        <v>9.2351316698873503E-5</v>
      </c>
      <c r="F847" s="2">
        <v>4.6175658349436699E-4</v>
      </c>
      <c r="G847" t="s">
        <v>393</v>
      </c>
    </row>
    <row r="848" spans="1:7" x14ac:dyDescent="0.25">
      <c r="A848" s="4" t="str">
        <f>HYPERLINK("http://amigo.geneontology.org/cgi-bin/amigo/term-details.cgi?term=GO:0046107","GO:0046107")</f>
        <v>GO:0046107</v>
      </c>
      <c r="B848" t="s">
        <v>702</v>
      </c>
      <c r="C848">
        <v>3</v>
      </c>
      <c r="D848">
        <v>3</v>
      </c>
      <c r="E848" s="2">
        <v>9.2351316698873503E-5</v>
      </c>
      <c r="F848" s="2">
        <v>4.6175658349436699E-4</v>
      </c>
      <c r="G848" t="s">
        <v>393</v>
      </c>
    </row>
    <row r="849" spans="1:7" x14ac:dyDescent="0.25">
      <c r="A849" s="4" t="str">
        <f>HYPERLINK("http://amigo.geneontology.org/cgi-bin/amigo/term-details.cgi?term=GO:0006223","GO:0006223")</f>
        <v>GO:0006223</v>
      </c>
      <c r="B849" t="s">
        <v>701</v>
      </c>
      <c r="C849">
        <v>3</v>
      </c>
      <c r="D849">
        <v>3</v>
      </c>
      <c r="E849" s="2">
        <v>9.2351316698873503E-5</v>
      </c>
      <c r="F849" s="2">
        <v>4.6175658349436699E-4</v>
      </c>
      <c r="G849" t="s">
        <v>393</v>
      </c>
    </row>
    <row r="850" spans="1:7" x14ac:dyDescent="0.25">
      <c r="A850" s="4" t="str">
        <f>HYPERLINK("http://amigo.geneontology.org/cgi-bin/amigo/term-details.cgi?term=GO:0000710","GO:0000710")</f>
        <v>GO:0000710</v>
      </c>
      <c r="B850" t="s">
        <v>3350</v>
      </c>
      <c r="C850">
        <v>3</v>
      </c>
      <c r="D850">
        <v>3</v>
      </c>
      <c r="E850" s="2">
        <v>9.2351316698873503E-5</v>
      </c>
      <c r="F850" s="2">
        <v>4.6175658349436699E-4</v>
      </c>
      <c r="G850" t="s">
        <v>2616</v>
      </c>
    </row>
    <row r="851" spans="1:7" x14ac:dyDescent="0.25">
      <c r="A851" s="4" t="str">
        <f>HYPERLINK("http://amigo.geneontology.org/cgi-bin/amigo/term-details.cgi?term=GO:0010777","GO:0010777")</f>
        <v>GO:0010777</v>
      </c>
      <c r="B851" t="s">
        <v>3349</v>
      </c>
      <c r="C851">
        <v>3</v>
      </c>
      <c r="D851">
        <v>3</v>
      </c>
      <c r="E851" s="2">
        <v>9.2351316698873503E-5</v>
      </c>
      <c r="F851" s="2">
        <v>4.6175658349436699E-4</v>
      </c>
      <c r="G851" t="s">
        <v>2616</v>
      </c>
    </row>
    <row r="852" spans="1:7" x14ac:dyDescent="0.25">
      <c r="A852" s="4" t="str">
        <f>HYPERLINK("http://amigo.geneontology.org/cgi-bin/amigo/term-details.cgi?term=GO:0009783","GO:0009783")</f>
        <v>GO:0009783</v>
      </c>
      <c r="B852" t="s">
        <v>3348</v>
      </c>
      <c r="C852">
        <v>3</v>
      </c>
      <c r="D852">
        <v>3</v>
      </c>
      <c r="E852" s="2">
        <v>9.2351316698873503E-5</v>
      </c>
      <c r="F852" s="2">
        <v>4.6175658349436699E-4</v>
      </c>
      <c r="G852" t="s">
        <v>3347</v>
      </c>
    </row>
    <row r="853" spans="1:7" x14ac:dyDescent="0.25">
      <c r="A853" s="4" t="str">
        <f>HYPERLINK("http://amigo.geneontology.org/cgi-bin/amigo/term-details.cgi?term=GO:0048529","GO:0048529")</f>
        <v>GO:0048529</v>
      </c>
      <c r="B853" t="s">
        <v>700</v>
      </c>
      <c r="C853">
        <v>3</v>
      </c>
      <c r="D853">
        <v>3</v>
      </c>
      <c r="E853" s="2">
        <v>9.2351316698873503E-5</v>
      </c>
      <c r="F853" s="2">
        <v>4.6175658349436699E-4</v>
      </c>
      <c r="G853" t="s">
        <v>699</v>
      </c>
    </row>
    <row r="854" spans="1:7" x14ac:dyDescent="0.25">
      <c r="A854" s="4" t="str">
        <f>HYPERLINK("http://amigo.geneontology.org/cgi-bin/amigo/term-details.cgi?term=GO:0016642","GO:0016642")</f>
        <v>GO:0016642</v>
      </c>
      <c r="B854" t="s">
        <v>698</v>
      </c>
      <c r="C854">
        <v>3</v>
      </c>
      <c r="D854">
        <v>3</v>
      </c>
      <c r="E854" s="2">
        <v>9.2351316698873503E-5</v>
      </c>
      <c r="F854" s="2">
        <v>4.6175658349436699E-4</v>
      </c>
      <c r="G854" t="s">
        <v>696</v>
      </c>
    </row>
    <row r="855" spans="1:7" x14ac:dyDescent="0.25">
      <c r="A855" s="4" t="str">
        <f>HYPERLINK("http://amigo.geneontology.org/cgi-bin/amigo/term-details.cgi?term=GO:0004375","GO:0004375")</f>
        <v>GO:0004375</v>
      </c>
      <c r="B855" t="s">
        <v>697</v>
      </c>
      <c r="C855">
        <v>3</v>
      </c>
      <c r="D855">
        <v>3</v>
      </c>
      <c r="E855" s="2">
        <v>9.2351316698873503E-5</v>
      </c>
      <c r="F855" s="2">
        <v>4.6175658349436699E-4</v>
      </c>
      <c r="G855" t="s">
        <v>696</v>
      </c>
    </row>
    <row r="856" spans="1:7" x14ac:dyDescent="0.25">
      <c r="A856" s="4" t="str">
        <f>HYPERLINK("http://amigo.geneontology.org/cgi-bin/amigo/term-details.cgi?term=GO:0031409","GO:0031409")</f>
        <v>GO:0031409</v>
      </c>
      <c r="B856" t="s">
        <v>3346</v>
      </c>
      <c r="C856">
        <v>3</v>
      </c>
      <c r="D856">
        <v>3</v>
      </c>
      <c r="E856" s="2">
        <v>9.2351316698873503E-5</v>
      </c>
      <c r="F856" s="2">
        <v>4.6175658349436699E-4</v>
      </c>
      <c r="G856" t="s">
        <v>3345</v>
      </c>
    </row>
    <row r="857" spans="1:7" x14ac:dyDescent="0.25">
      <c r="A857" s="4" t="str">
        <f>HYPERLINK("http://amigo.geneontology.org/cgi-bin/amigo/term-details.cgi?term=GO:0010157","GO:0010157")</f>
        <v>GO:0010157</v>
      </c>
      <c r="B857" t="s">
        <v>3344</v>
      </c>
      <c r="C857">
        <v>3</v>
      </c>
      <c r="D857">
        <v>3</v>
      </c>
      <c r="E857" s="2">
        <v>9.2351316698873503E-5</v>
      </c>
      <c r="F857" s="2">
        <v>4.6175658349436699E-4</v>
      </c>
      <c r="G857" t="s">
        <v>3343</v>
      </c>
    </row>
    <row r="858" spans="1:7" x14ac:dyDescent="0.25">
      <c r="A858" s="4" t="str">
        <f>HYPERLINK("http://amigo.geneontology.org/cgi-bin/amigo/term-details.cgi?term=GO:0004418","GO:0004418")</f>
        <v>GO:0004418</v>
      </c>
      <c r="B858" t="s">
        <v>690</v>
      </c>
      <c r="C858">
        <v>3</v>
      </c>
      <c r="D858">
        <v>3</v>
      </c>
      <c r="E858" s="2">
        <v>9.2351316698873503E-5</v>
      </c>
      <c r="F858" s="2">
        <v>4.6175658349436699E-4</v>
      </c>
      <c r="G858" t="s">
        <v>686</v>
      </c>
    </row>
    <row r="859" spans="1:7" x14ac:dyDescent="0.25">
      <c r="A859" s="4" t="str">
        <f>HYPERLINK("http://amigo.geneontology.org/cgi-bin/amigo/term-details.cgi?term=GO:0018198","GO:0018198")</f>
        <v>GO:0018198</v>
      </c>
      <c r="B859" t="s">
        <v>688</v>
      </c>
      <c r="C859">
        <v>3</v>
      </c>
      <c r="D859">
        <v>3</v>
      </c>
      <c r="E859" s="2">
        <v>9.2351316698873503E-5</v>
      </c>
      <c r="F859" s="2">
        <v>4.6175658349436699E-4</v>
      </c>
      <c r="G859" t="s">
        <v>686</v>
      </c>
    </row>
    <row r="860" spans="1:7" x14ac:dyDescent="0.25">
      <c r="A860" s="4" t="str">
        <f>HYPERLINK("http://amigo.geneontology.org/cgi-bin/amigo/term-details.cgi?term=GO:0018160","GO:0018160")</f>
        <v>GO:0018160</v>
      </c>
      <c r="B860" t="s">
        <v>687</v>
      </c>
      <c r="C860">
        <v>3</v>
      </c>
      <c r="D860">
        <v>3</v>
      </c>
      <c r="E860" s="2">
        <v>9.2351316698873503E-5</v>
      </c>
      <c r="F860" s="2">
        <v>4.6175658349436699E-4</v>
      </c>
      <c r="G860" t="s">
        <v>686</v>
      </c>
    </row>
    <row r="861" spans="1:7" x14ac:dyDescent="0.25">
      <c r="A861" s="4" t="str">
        <f>HYPERLINK("http://amigo.geneontology.org/cgi-bin/amigo/term-details.cgi?term=GO:0008974","GO:0008974")</f>
        <v>GO:0008974</v>
      </c>
      <c r="B861" t="s">
        <v>685</v>
      </c>
      <c r="C861">
        <v>3</v>
      </c>
      <c r="D861">
        <v>3</v>
      </c>
      <c r="E861" s="2">
        <v>9.2351316698873503E-5</v>
      </c>
      <c r="F861" s="2">
        <v>4.6175658349436699E-4</v>
      </c>
      <c r="G861" t="s">
        <v>684</v>
      </c>
    </row>
    <row r="862" spans="1:7" x14ac:dyDescent="0.25">
      <c r="A862" s="4" t="str">
        <f>HYPERLINK("http://amigo.geneontology.org/cgi-bin/amigo/term-details.cgi?term=GO:0006084","GO:0006084")</f>
        <v>GO:0006084</v>
      </c>
      <c r="B862" t="s">
        <v>3342</v>
      </c>
      <c r="C862">
        <v>62</v>
      </c>
      <c r="D862">
        <v>11</v>
      </c>
      <c r="E862" s="2">
        <v>9.5597868643036406E-5</v>
      </c>
      <c r="F862" s="2">
        <v>4.7798934321518198E-4</v>
      </c>
      <c r="G862" t="s">
        <v>3289</v>
      </c>
    </row>
    <row r="863" spans="1:7" x14ac:dyDescent="0.25">
      <c r="A863" s="4" t="str">
        <f>HYPERLINK("http://amigo.geneontology.org/cgi-bin/amigo/term-details.cgi?term=GO:0003906","GO:0003906")</f>
        <v>GO:0003906</v>
      </c>
      <c r="B863" t="s">
        <v>3341</v>
      </c>
      <c r="C863">
        <v>18</v>
      </c>
      <c r="D863">
        <v>6</v>
      </c>
      <c r="E863" s="2">
        <v>9.8587755874795003E-5</v>
      </c>
      <c r="F863" s="2">
        <v>4.9293877937397503E-4</v>
      </c>
      <c r="G863" t="s">
        <v>3340</v>
      </c>
    </row>
    <row r="864" spans="1:7" x14ac:dyDescent="0.25">
      <c r="A864" s="4" t="str">
        <f>HYPERLINK("http://amigo.geneontology.org/cgi-bin/amigo/term-details.cgi?term=GO:0016093","GO:0016093")</f>
        <v>GO:0016093</v>
      </c>
      <c r="B864" t="s">
        <v>3339</v>
      </c>
      <c r="C864">
        <v>18</v>
      </c>
      <c r="D864">
        <v>6</v>
      </c>
      <c r="E864" s="2">
        <v>9.8587755874795003E-5</v>
      </c>
      <c r="F864" s="2">
        <v>4.9293877937397503E-4</v>
      </c>
      <c r="G864" t="s">
        <v>3338</v>
      </c>
    </row>
    <row r="865" spans="1:7" x14ac:dyDescent="0.25">
      <c r="A865" s="4" t="str">
        <f>HYPERLINK("http://amigo.geneontology.org/cgi-bin/amigo/term-details.cgi?term=GO:0004462","GO:0004462")</f>
        <v>GO:0004462</v>
      </c>
      <c r="B865" t="s">
        <v>639</v>
      </c>
      <c r="C865">
        <v>18</v>
      </c>
      <c r="D865">
        <v>6</v>
      </c>
      <c r="E865" s="2">
        <v>9.8587755874795003E-5</v>
      </c>
      <c r="F865" s="2">
        <v>4.9293877937397503E-4</v>
      </c>
      <c r="G865" t="s">
        <v>1143</v>
      </c>
    </row>
    <row r="866" spans="1:7" x14ac:dyDescent="0.25">
      <c r="A866" s="4" t="str">
        <f>HYPERLINK("http://amigo.geneontology.org/cgi-bin/amigo/term-details.cgi?term=GO:0006952","GO:0006952")</f>
        <v>GO:0006952</v>
      </c>
      <c r="B866" t="s">
        <v>3337</v>
      </c>
      <c r="C866">
        <v>1416</v>
      </c>
      <c r="D866">
        <v>95</v>
      </c>
      <c r="E866" s="2">
        <v>1.0486014913205499E-4</v>
      </c>
      <c r="F866" s="2">
        <v>5.2430074566027496E-4</v>
      </c>
      <c r="G866" t="s">
        <v>3336</v>
      </c>
    </row>
    <row r="867" spans="1:7" x14ac:dyDescent="0.25">
      <c r="A867" s="4" t="str">
        <f>HYPERLINK("http://amigo.geneontology.org/cgi-bin/amigo/term-details.cgi?term=GO:0051540","GO:0051540")</f>
        <v>GO:0051540</v>
      </c>
      <c r="B867" t="s">
        <v>839</v>
      </c>
      <c r="C867">
        <v>329</v>
      </c>
      <c r="D867">
        <v>31</v>
      </c>
      <c r="E867" s="2">
        <v>1.09020084833156E-4</v>
      </c>
      <c r="F867" s="2">
        <v>5.4510042416578103E-4</v>
      </c>
      <c r="G867" t="s">
        <v>3335</v>
      </c>
    </row>
    <row r="868" spans="1:7" x14ac:dyDescent="0.25">
      <c r="A868" s="4" t="str">
        <f>HYPERLINK("http://amigo.geneontology.org/cgi-bin/amigo/term-details.cgi?term=GO:0051536","GO:0051536")</f>
        <v>GO:0051536</v>
      </c>
      <c r="B868" t="s">
        <v>838</v>
      </c>
      <c r="C868">
        <v>329</v>
      </c>
      <c r="D868">
        <v>31</v>
      </c>
      <c r="E868" s="2">
        <v>1.09020084833156E-4</v>
      </c>
      <c r="F868" s="2">
        <v>5.4510042416578103E-4</v>
      </c>
      <c r="G868" t="s">
        <v>3335</v>
      </c>
    </row>
    <row r="869" spans="1:7" x14ac:dyDescent="0.25">
      <c r="A869" s="4" t="str">
        <f>HYPERLINK("http://amigo.geneontology.org/cgi-bin/amigo/term-details.cgi?term=GO:0007389","GO:0007389")</f>
        <v>GO:0007389</v>
      </c>
      <c r="B869" t="s">
        <v>3334</v>
      </c>
      <c r="C869">
        <v>159</v>
      </c>
      <c r="D869">
        <v>19</v>
      </c>
      <c r="E869" s="2">
        <v>1.12995170576238E-4</v>
      </c>
      <c r="F869" s="2">
        <v>5.6497585288119005E-4</v>
      </c>
      <c r="G869" t="s">
        <v>3333</v>
      </c>
    </row>
    <row r="870" spans="1:7" x14ac:dyDescent="0.25">
      <c r="A870" s="4" t="str">
        <f>HYPERLINK("http://amigo.geneontology.org/cgi-bin/amigo/term-details.cgi?term=GO:0003746","GO:0003746")</f>
        <v>GO:0003746</v>
      </c>
      <c r="B870" t="s">
        <v>720</v>
      </c>
      <c r="C870">
        <v>85</v>
      </c>
      <c r="D870">
        <v>13</v>
      </c>
      <c r="E870" s="2">
        <v>1.13014752177637E-4</v>
      </c>
      <c r="F870" s="2">
        <v>5.6507376088818495E-4</v>
      </c>
      <c r="G870" t="s">
        <v>3205</v>
      </c>
    </row>
    <row r="871" spans="1:7" x14ac:dyDescent="0.25">
      <c r="A871" s="4" t="str">
        <f>HYPERLINK("http://amigo.geneontology.org/cgi-bin/amigo/term-details.cgi?term=GO:0016071","GO:0016071")</f>
        <v>GO:0016071</v>
      </c>
      <c r="B871" t="s">
        <v>3332</v>
      </c>
      <c r="C871">
        <v>632</v>
      </c>
      <c r="D871">
        <v>50</v>
      </c>
      <c r="E871" s="2">
        <v>1.13046425704755E-4</v>
      </c>
      <c r="F871" s="2">
        <v>5.6523212852377901E-4</v>
      </c>
      <c r="G871" t="s">
        <v>3331</v>
      </c>
    </row>
    <row r="872" spans="1:7" x14ac:dyDescent="0.25">
      <c r="A872" s="4" t="str">
        <f>HYPERLINK("http://amigo.geneontology.org/cgi-bin/amigo/term-details.cgi?term=GO:0045037","GO:0045037")</f>
        <v>GO:0045037</v>
      </c>
      <c r="B872" t="s">
        <v>3330</v>
      </c>
      <c r="C872">
        <v>12</v>
      </c>
      <c r="D872">
        <v>5</v>
      </c>
      <c r="E872" s="2">
        <v>1.14202213117834E-4</v>
      </c>
      <c r="F872" s="2">
        <v>5.7101106558917099E-4</v>
      </c>
      <c r="G872" t="s">
        <v>3329</v>
      </c>
    </row>
    <row r="873" spans="1:7" x14ac:dyDescent="0.25">
      <c r="A873" s="4" t="str">
        <f>HYPERLINK("http://amigo.geneontology.org/cgi-bin/amigo/term-details.cgi?term=GO:0005739","GO:0005739")</f>
        <v>GO:0005739</v>
      </c>
      <c r="B873" t="s">
        <v>3328</v>
      </c>
      <c r="C873">
        <v>1405</v>
      </c>
      <c r="D873">
        <v>94</v>
      </c>
      <c r="E873" s="2">
        <v>1.2516537962686399E-4</v>
      </c>
      <c r="F873" s="2">
        <v>6.2582689813432397E-4</v>
      </c>
      <c r="G873" t="s">
        <v>3327</v>
      </c>
    </row>
    <row r="874" spans="1:7" x14ac:dyDescent="0.25">
      <c r="A874" s="4" t="str">
        <f>HYPERLINK("http://amigo.geneontology.org/cgi-bin/amigo/term-details.cgi?term=GO:0009615","GO:0009615")</f>
        <v>GO:0009615</v>
      </c>
      <c r="B874" t="s">
        <v>3326</v>
      </c>
      <c r="C874">
        <v>86</v>
      </c>
      <c r="D874">
        <v>13</v>
      </c>
      <c r="E874" s="2">
        <v>1.2767472052095899E-4</v>
      </c>
      <c r="F874" s="2">
        <v>6.3837360260479898E-4</v>
      </c>
      <c r="G874" t="s">
        <v>3218</v>
      </c>
    </row>
    <row r="875" spans="1:7" x14ac:dyDescent="0.25">
      <c r="A875" s="4" t="str">
        <f>HYPERLINK("http://amigo.geneontology.org/cgi-bin/amigo/term-details.cgi?term=GO:0010243","GO:0010243")</f>
        <v>GO:0010243</v>
      </c>
      <c r="B875" t="s">
        <v>2206</v>
      </c>
      <c r="C875">
        <v>86</v>
      </c>
      <c r="D875">
        <v>13</v>
      </c>
      <c r="E875" s="2">
        <v>1.2767472052095899E-4</v>
      </c>
      <c r="F875" s="2">
        <v>6.3837360260479898E-4</v>
      </c>
      <c r="G875" t="s">
        <v>3325</v>
      </c>
    </row>
    <row r="876" spans="1:7" x14ac:dyDescent="0.25">
      <c r="A876" s="4" t="str">
        <f>HYPERLINK("http://amigo.geneontology.org/cgi-bin/amigo/term-details.cgi?term=GO:0044796","GO:0044796")</f>
        <v>GO:0044796</v>
      </c>
      <c r="B876" t="s">
        <v>3324</v>
      </c>
      <c r="C876">
        <v>7</v>
      </c>
      <c r="D876">
        <v>4</v>
      </c>
      <c r="E876" s="2">
        <v>1.3078281309265001E-4</v>
      </c>
      <c r="F876" s="2">
        <v>6.5391406546325202E-4</v>
      </c>
      <c r="G876" t="s">
        <v>1102</v>
      </c>
    </row>
    <row r="877" spans="1:7" x14ac:dyDescent="0.25">
      <c r="A877" s="4" t="str">
        <f>HYPERLINK("http://amigo.geneontology.org/cgi-bin/amigo/term-details.cgi?term=GO:0043626","GO:0043626")</f>
        <v>GO:0043626</v>
      </c>
      <c r="B877" t="s">
        <v>3323</v>
      </c>
      <c r="C877">
        <v>7</v>
      </c>
      <c r="D877">
        <v>4</v>
      </c>
      <c r="E877" s="2">
        <v>1.3078281309265001E-4</v>
      </c>
      <c r="F877" s="2">
        <v>6.5391406546325202E-4</v>
      </c>
      <c r="G877" t="s">
        <v>1102</v>
      </c>
    </row>
    <row r="878" spans="1:7" x14ac:dyDescent="0.25">
      <c r="A878" s="4" t="str">
        <f>HYPERLINK("http://amigo.geneontology.org/cgi-bin/amigo/term-details.cgi?term=GO:1990904","GO:1990904")</f>
        <v>GO:1990904</v>
      </c>
      <c r="B878" t="s">
        <v>870</v>
      </c>
      <c r="C878">
        <v>1591</v>
      </c>
      <c r="D878">
        <v>104</v>
      </c>
      <c r="E878" s="2">
        <v>1.3514289725478901E-4</v>
      </c>
      <c r="F878" s="2">
        <v>6.7571448627394798E-4</v>
      </c>
      <c r="G878" t="s">
        <v>3322</v>
      </c>
    </row>
    <row r="879" spans="1:7" x14ac:dyDescent="0.25">
      <c r="A879" s="4" t="str">
        <f>HYPERLINK("http://amigo.geneontology.org/cgi-bin/amigo/term-details.cgi?term=GO:0030529","GO:0030529")</f>
        <v>GO:0030529</v>
      </c>
      <c r="B879" t="s">
        <v>738</v>
      </c>
      <c r="C879">
        <v>1591</v>
      </c>
      <c r="D879">
        <v>104</v>
      </c>
      <c r="E879" s="2">
        <v>1.3514289725478901E-4</v>
      </c>
      <c r="F879" s="2">
        <v>6.7571448627394798E-4</v>
      </c>
      <c r="G879" t="s">
        <v>3322</v>
      </c>
    </row>
    <row r="880" spans="1:7" x14ac:dyDescent="0.25">
      <c r="A880" s="4" t="str">
        <f>HYPERLINK("http://amigo.geneontology.org/cgi-bin/amigo/term-details.cgi?term=GO:0006506","GO:0006506")</f>
        <v>GO:0006506</v>
      </c>
      <c r="B880" t="s">
        <v>586</v>
      </c>
      <c r="C880">
        <v>54</v>
      </c>
      <c r="D880">
        <v>10</v>
      </c>
      <c r="E880" s="2">
        <v>1.3585620778090699E-4</v>
      </c>
      <c r="F880" s="2">
        <v>6.7928103890453802E-4</v>
      </c>
      <c r="G880" t="s">
        <v>1051</v>
      </c>
    </row>
    <row r="881" spans="1:7" x14ac:dyDescent="0.25">
      <c r="A881" s="4" t="str">
        <f>HYPERLINK("http://amigo.geneontology.org/cgi-bin/amigo/term-details.cgi?term=GO:0071310","GO:0071310")</f>
        <v>GO:0071310</v>
      </c>
      <c r="B881" t="s">
        <v>1314</v>
      </c>
      <c r="C881">
        <v>571</v>
      </c>
      <c r="D881">
        <v>46</v>
      </c>
      <c r="E881" s="2">
        <v>1.37428004524477E-4</v>
      </c>
      <c r="F881" s="2">
        <v>6.8714002262238599E-4</v>
      </c>
      <c r="G881" t="s">
        <v>3321</v>
      </c>
    </row>
    <row r="882" spans="1:7" x14ac:dyDescent="0.25">
      <c r="A882" s="4" t="str">
        <f>HYPERLINK("http://amigo.geneontology.org/cgi-bin/amigo/term-details.cgi?term=GO:0008168","GO:0008168")</f>
        <v>GO:0008168</v>
      </c>
      <c r="B882" t="s">
        <v>454</v>
      </c>
      <c r="C882">
        <v>1051</v>
      </c>
      <c r="D882">
        <v>74</v>
      </c>
      <c r="E882" s="2">
        <v>1.4119419414574701E-4</v>
      </c>
      <c r="F882" s="2">
        <v>7.0597097072873903E-4</v>
      </c>
      <c r="G882" t="s">
        <v>3320</v>
      </c>
    </row>
    <row r="883" spans="1:7" x14ac:dyDescent="0.25">
      <c r="A883" s="4" t="str">
        <f>HYPERLINK("http://amigo.geneontology.org/cgi-bin/amigo/term-details.cgi?term=GO:0000165","GO:0000165")</f>
        <v>GO:0000165</v>
      </c>
      <c r="B883" t="s">
        <v>2145</v>
      </c>
      <c r="C883">
        <v>76</v>
      </c>
      <c r="D883">
        <v>12</v>
      </c>
      <c r="E883" s="2">
        <v>1.5018360811664501E-4</v>
      </c>
      <c r="F883" s="2">
        <v>7.5091804058322596E-4</v>
      </c>
      <c r="G883" t="s">
        <v>3319</v>
      </c>
    </row>
    <row r="884" spans="1:7" x14ac:dyDescent="0.25">
      <c r="A884" s="4" t="str">
        <f>HYPERLINK("http://amigo.geneontology.org/cgi-bin/amigo/term-details.cgi?term=GO:0016054","GO:0016054")</f>
        <v>GO:0016054</v>
      </c>
      <c r="B884" t="s">
        <v>1119</v>
      </c>
      <c r="C884">
        <v>381</v>
      </c>
      <c r="D884">
        <v>34</v>
      </c>
      <c r="E884" s="2">
        <v>1.50215141609756E-4</v>
      </c>
      <c r="F884" s="2">
        <v>7.5107570804878098E-4</v>
      </c>
      <c r="G884" t="s">
        <v>3318</v>
      </c>
    </row>
    <row r="885" spans="1:7" x14ac:dyDescent="0.25">
      <c r="A885" s="4" t="str">
        <f>HYPERLINK("http://amigo.geneontology.org/cgi-bin/amigo/term-details.cgi?term=GO:0046395","GO:0046395")</f>
        <v>GO:0046395</v>
      </c>
      <c r="B885" t="s">
        <v>1128</v>
      </c>
      <c r="C885">
        <v>381</v>
      </c>
      <c r="D885">
        <v>34</v>
      </c>
      <c r="E885" s="2">
        <v>1.50215141609756E-4</v>
      </c>
      <c r="F885" s="2">
        <v>7.5107570804878098E-4</v>
      </c>
      <c r="G885" t="s">
        <v>3318</v>
      </c>
    </row>
    <row r="886" spans="1:7" x14ac:dyDescent="0.25">
      <c r="A886" s="4" t="str">
        <f>HYPERLINK("http://amigo.geneontology.org/cgi-bin/amigo/term-details.cgi?term=GO:0046390","GO:0046390")</f>
        <v>GO:0046390</v>
      </c>
      <c r="B886" t="s">
        <v>1386</v>
      </c>
      <c r="C886">
        <v>428</v>
      </c>
      <c r="D886">
        <v>37</v>
      </c>
      <c r="E886" s="2">
        <v>1.5039018636600201E-4</v>
      </c>
      <c r="F886" s="2">
        <v>7.5195093183001401E-4</v>
      </c>
      <c r="G886" t="s">
        <v>3317</v>
      </c>
    </row>
    <row r="887" spans="1:7" x14ac:dyDescent="0.25">
      <c r="A887" s="4" t="str">
        <f>HYPERLINK("http://amigo.geneontology.org/cgi-bin/amigo/term-details.cgi?term=GO:0009260","GO:0009260")</f>
        <v>GO:0009260</v>
      </c>
      <c r="B887" t="s">
        <v>1385</v>
      </c>
      <c r="C887">
        <v>428</v>
      </c>
      <c r="D887">
        <v>37</v>
      </c>
      <c r="E887" s="2">
        <v>1.5039018636600201E-4</v>
      </c>
      <c r="F887" s="2">
        <v>7.5195093183001401E-4</v>
      </c>
      <c r="G887" t="s">
        <v>3317</v>
      </c>
    </row>
    <row r="888" spans="1:7" x14ac:dyDescent="0.25">
      <c r="A888" s="4" t="str">
        <f>HYPERLINK("http://amigo.geneontology.org/cgi-bin/amigo/term-details.cgi?term=GO:0008757","GO:0008757")</f>
        <v>GO:0008757</v>
      </c>
      <c r="B888" t="s">
        <v>1032</v>
      </c>
      <c r="C888">
        <v>290</v>
      </c>
      <c r="D888">
        <v>28</v>
      </c>
      <c r="E888" s="2">
        <v>1.51845358483743E-4</v>
      </c>
      <c r="F888" s="2">
        <v>7.5922679241871799E-4</v>
      </c>
      <c r="G888" t="s">
        <v>3316</v>
      </c>
    </row>
    <row r="889" spans="1:7" x14ac:dyDescent="0.25">
      <c r="A889" s="4" t="str">
        <f>HYPERLINK("http://amigo.geneontology.org/cgi-bin/amigo/term-details.cgi?term=GO:0010119","GO:0010119")</f>
        <v>GO:0010119</v>
      </c>
      <c r="B889" t="s">
        <v>3315</v>
      </c>
      <c r="C889">
        <v>27</v>
      </c>
      <c r="D889">
        <v>7</v>
      </c>
      <c r="E889" s="2">
        <v>1.5315843921416799E-4</v>
      </c>
      <c r="F889" s="2">
        <v>7.6579219607084202E-4</v>
      </c>
      <c r="G889" t="s">
        <v>3314</v>
      </c>
    </row>
    <row r="890" spans="1:7" x14ac:dyDescent="0.25">
      <c r="A890" s="4" t="str">
        <f>HYPERLINK("http://amigo.geneontology.org/cgi-bin/amigo/term-details.cgi?term=GO:0042537","GO:0042537")</f>
        <v>GO:0042537</v>
      </c>
      <c r="B890" t="s">
        <v>2063</v>
      </c>
      <c r="C890">
        <v>125</v>
      </c>
      <c r="D890">
        <v>16</v>
      </c>
      <c r="E890" s="2">
        <v>1.7159286018102201E-4</v>
      </c>
      <c r="F890" s="2">
        <v>8.5796430090510998E-4</v>
      </c>
      <c r="G890" t="s">
        <v>3313</v>
      </c>
    </row>
    <row r="891" spans="1:7" x14ac:dyDescent="0.25">
      <c r="A891" s="4" t="str">
        <f>HYPERLINK("http://amigo.geneontology.org/cgi-bin/amigo/term-details.cgi?term=GO:0043648","GO:0043648")</f>
        <v>GO:0043648</v>
      </c>
      <c r="B891" t="s">
        <v>223</v>
      </c>
      <c r="C891">
        <v>151</v>
      </c>
      <c r="D891">
        <v>18</v>
      </c>
      <c r="E891" s="2">
        <v>1.7424681729085099E-4</v>
      </c>
      <c r="F891" s="2">
        <v>8.7123408645425502E-4</v>
      </c>
      <c r="G891" t="s">
        <v>3312</v>
      </c>
    </row>
    <row r="892" spans="1:7" x14ac:dyDescent="0.25">
      <c r="A892" s="4" t="str">
        <f>HYPERLINK("http://amigo.geneontology.org/cgi-bin/amigo/term-details.cgi?term=GO:0140098","GO:0140098")</f>
        <v>GO:0140098</v>
      </c>
      <c r="B892" t="s">
        <v>3311</v>
      </c>
      <c r="C892">
        <v>1025</v>
      </c>
      <c r="D892">
        <v>72</v>
      </c>
      <c r="E892" s="2">
        <v>1.8430332500304501E-4</v>
      </c>
      <c r="F892" s="2">
        <v>9.2151662501522896E-4</v>
      </c>
      <c r="G892" t="s">
        <v>3310</v>
      </c>
    </row>
    <row r="893" spans="1:7" x14ac:dyDescent="0.25">
      <c r="A893" s="4" t="str">
        <f>HYPERLINK("http://amigo.geneontology.org/cgi-bin/amigo/term-details.cgi?term=GO:0035821","GO:0035821")</f>
        <v>GO:0035821</v>
      </c>
      <c r="B893" t="s">
        <v>3309</v>
      </c>
      <c r="C893">
        <v>101</v>
      </c>
      <c r="D893">
        <v>14</v>
      </c>
      <c r="E893" s="2">
        <v>1.8433713627865901E-4</v>
      </c>
      <c r="F893" s="2">
        <v>9.2168568139329801E-4</v>
      </c>
      <c r="G893" t="s">
        <v>3040</v>
      </c>
    </row>
    <row r="894" spans="1:7" x14ac:dyDescent="0.25">
      <c r="A894" s="4" t="str">
        <f>HYPERLINK("http://amigo.geneontology.org/cgi-bin/amigo/term-details.cgi?term=GO:0019222","GO:0019222")</f>
        <v>GO:0019222</v>
      </c>
      <c r="B894" t="s">
        <v>936</v>
      </c>
      <c r="C894">
        <v>5550</v>
      </c>
      <c r="D894">
        <v>306</v>
      </c>
      <c r="E894" s="2">
        <v>1.8471518383335599E-4</v>
      </c>
      <c r="F894" s="2">
        <v>9.2357591916678201E-4</v>
      </c>
      <c r="G894" t="s">
        <v>3308</v>
      </c>
    </row>
    <row r="895" spans="1:7" x14ac:dyDescent="0.25">
      <c r="A895" s="4" t="str">
        <f>HYPERLINK("http://amigo.geneontology.org/cgi-bin/amigo/term-details.cgi?term=GO:0070925","GO:0070925")</f>
        <v>GO:0070925</v>
      </c>
      <c r="B895" t="s">
        <v>3307</v>
      </c>
      <c r="C895">
        <v>78</v>
      </c>
      <c r="D895">
        <v>12</v>
      </c>
      <c r="E895" s="2">
        <v>1.9344954487680001E-4</v>
      </c>
      <c r="F895" s="2">
        <v>9.6724772438400099E-4</v>
      </c>
      <c r="G895" t="s">
        <v>3306</v>
      </c>
    </row>
    <row r="896" spans="1:7" x14ac:dyDescent="0.25">
      <c r="A896" s="4" t="str">
        <f>HYPERLINK("http://amigo.geneontology.org/cgi-bin/amigo/term-details.cgi?term=GO:0031227","GO:0031227")</f>
        <v>GO:0031227</v>
      </c>
      <c r="B896" t="s">
        <v>495</v>
      </c>
      <c r="C896">
        <v>47</v>
      </c>
      <c r="D896">
        <v>9</v>
      </c>
      <c r="E896" s="2">
        <v>2.2358466002058799E-4</v>
      </c>
      <c r="F896">
        <v>1.1179233001029399E-3</v>
      </c>
      <c r="G896" t="s">
        <v>3305</v>
      </c>
    </row>
    <row r="897" spans="1:7" x14ac:dyDescent="0.25">
      <c r="A897" s="4" t="str">
        <f>HYPERLINK("http://amigo.geneontology.org/cgi-bin/amigo/term-details.cgi?term=GO:0042436","GO:0042436")</f>
        <v>GO:0042436</v>
      </c>
      <c r="B897" t="s">
        <v>3304</v>
      </c>
      <c r="C897">
        <v>47</v>
      </c>
      <c r="D897">
        <v>9</v>
      </c>
      <c r="E897" s="2">
        <v>2.2358466002058799E-4</v>
      </c>
      <c r="F897">
        <v>1.1179233001029399E-3</v>
      </c>
      <c r="G897" t="s">
        <v>3194</v>
      </c>
    </row>
    <row r="898" spans="1:7" x14ac:dyDescent="0.25">
      <c r="A898" s="4" t="str">
        <f>HYPERLINK("http://amigo.geneontology.org/cgi-bin/amigo/term-details.cgi?term=GO:0046218","GO:0046218")</f>
        <v>GO:0046218</v>
      </c>
      <c r="B898" t="s">
        <v>3303</v>
      </c>
      <c r="C898">
        <v>47</v>
      </c>
      <c r="D898">
        <v>9</v>
      </c>
      <c r="E898" s="2">
        <v>2.2358466002058799E-4</v>
      </c>
      <c r="F898">
        <v>1.1179233001029399E-3</v>
      </c>
      <c r="G898" t="s">
        <v>3194</v>
      </c>
    </row>
    <row r="899" spans="1:7" x14ac:dyDescent="0.25">
      <c r="A899" s="4" t="str">
        <f>HYPERLINK("http://amigo.geneontology.org/cgi-bin/amigo/term-details.cgi?term=GO:0006569","GO:0006569")</f>
        <v>GO:0006569</v>
      </c>
      <c r="B899" t="s">
        <v>3302</v>
      </c>
      <c r="C899">
        <v>47</v>
      </c>
      <c r="D899">
        <v>9</v>
      </c>
      <c r="E899" s="2">
        <v>2.2358466002058799E-4</v>
      </c>
      <c r="F899">
        <v>1.1179233001029399E-3</v>
      </c>
      <c r="G899" t="s">
        <v>3194</v>
      </c>
    </row>
    <row r="900" spans="1:7" x14ac:dyDescent="0.25">
      <c r="A900" s="4" t="str">
        <f>HYPERLINK("http://amigo.geneontology.org/cgi-bin/amigo/term-details.cgi?term=GO:0016614","GO:0016614")</f>
        <v>GO:0016614</v>
      </c>
      <c r="B900" t="s">
        <v>829</v>
      </c>
      <c r="C900">
        <v>617</v>
      </c>
      <c r="D900">
        <v>48</v>
      </c>
      <c r="E900" s="2">
        <v>2.24858138526845E-4</v>
      </c>
      <c r="F900">
        <v>1.12429069263422E-3</v>
      </c>
      <c r="G900" t="s">
        <v>3301</v>
      </c>
    </row>
    <row r="901" spans="1:7" x14ac:dyDescent="0.25">
      <c r="A901" s="4" t="str">
        <f>HYPERLINK("http://amigo.geneontology.org/cgi-bin/amigo/term-details.cgi?term=GO:0009753","GO:0009753")</f>
        <v>GO:0009753</v>
      </c>
      <c r="B901" t="s">
        <v>2234</v>
      </c>
      <c r="C901">
        <v>103</v>
      </c>
      <c r="D901">
        <v>14</v>
      </c>
      <c r="E901" s="2">
        <v>2.2732761987022E-4</v>
      </c>
      <c r="F901">
        <v>1.1366380993511E-3</v>
      </c>
      <c r="G901" t="s">
        <v>3300</v>
      </c>
    </row>
    <row r="902" spans="1:7" x14ac:dyDescent="0.25">
      <c r="A902" s="4" t="str">
        <f>HYPERLINK("http://amigo.geneontology.org/cgi-bin/amigo/term-details.cgi?term=GO:0000228","GO:0000228")</f>
        <v>GO:0000228</v>
      </c>
      <c r="B902" t="s">
        <v>3299</v>
      </c>
      <c r="C902">
        <v>116</v>
      </c>
      <c r="D902">
        <v>15</v>
      </c>
      <c r="E902" s="2">
        <v>2.41496804994643E-4</v>
      </c>
      <c r="F902">
        <v>1.2074840249732099E-3</v>
      </c>
      <c r="G902" t="s">
        <v>3298</v>
      </c>
    </row>
    <row r="903" spans="1:7" x14ac:dyDescent="0.25">
      <c r="A903" s="4" t="str">
        <f>HYPERLINK("http://amigo.geneontology.org/cgi-bin/amigo/term-details.cgi?term=GO:0051920","GO:0051920")</f>
        <v>GO:0051920</v>
      </c>
      <c r="B903" t="s">
        <v>635</v>
      </c>
      <c r="C903">
        <v>8</v>
      </c>
      <c r="D903">
        <v>4</v>
      </c>
      <c r="E903" s="2">
        <v>2.5215932028714501E-4</v>
      </c>
      <c r="F903">
        <v>1.26079660143572E-3</v>
      </c>
      <c r="G903" t="s">
        <v>3297</v>
      </c>
    </row>
    <row r="904" spans="1:7" x14ac:dyDescent="0.25">
      <c r="A904" s="4" t="str">
        <f>HYPERLINK("http://amigo.geneontology.org/cgi-bin/amigo/term-details.cgi?term=GO:0015101","GO:0015101")</f>
        <v>GO:0015101</v>
      </c>
      <c r="B904" t="s">
        <v>3296</v>
      </c>
      <c r="C904">
        <v>8</v>
      </c>
      <c r="D904">
        <v>4</v>
      </c>
      <c r="E904" s="2">
        <v>2.5215932028714501E-4</v>
      </c>
      <c r="F904">
        <v>1.26079660143572E-3</v>
      </c>
      <c r="G904" t="s">
        <v>2469</v>
      </c>
    </row>
    <row r="905" spans="1:7" x14ac:dyDescent="0.25">
      <c r="A905" s="4" t="str">
        <f>HYPERLINK("http://amigo.geneontology.org/cgi-bin/amigo/term-details.cgi?term=GO:0048868","GO:0048868")</f>
        <v>GO:0048868</v>
      </c>
      <c r="B905" t="s">
        <v>3295</v>
      </c>
      <c r="C905">
        <v>92</v>
      </c>
      <c r="D905">
        <v>13</v>
      </c>
      <c r="E905" s="2">
        <v>2.5476603746862702E-4</v>
      </c>
      <c r="F905">
        <v>1.27383018734313E-3</v>
      </c>
      <c r="G905" t="s">
        <v>3294</v>
      </c>
    </row>
    <row r="906" spans="1:7" x14ac:dyDescent="0.25">
      <c r="A906" s="4" t="str">
        <f>HYPERLINK("http://amigo.geneontology.org/cgi-bin/amigo/term-details.cgi?term=GO:0007000","GO:0007000")</f>
        <v>GO:0007000</v>
      </c>
      <c r="B906" t="s">
        <v>3293</v>
      </c>
      <c r="C906">
        <v>21</v>
      </c>
      <c r="D906">
        <v>6</v>
      </c>
      <c r="E906" s="2">
        <v>2.5635566123750799E-4</v>
      </c>
      <c r="F906">
        <v>1.2817783061875401E-3</v>
      </c>
      <c r="G906" t="s">
        <v>3292</v>
      </c>
    </row>
    <row r="907" spans="1:7" x14ac:dyDescent="0.25">
      <c r="A907" s="4" t="str">
        <f>HYPERLINK("http://amigo.geneontology.org/cgi-bin/amigo/term-details.cgi?term=GO:0035383","GO:0035383")</f>
        <v>GO:0035383</v>
      </c>
      <c r="B907" t="s">
        <v>3291</v>
      </c>
      <c r="C907">
        <v>69</v>
      </c>
      <c r="D907">
        <v>11</v>
      </c>
      <c r="E907" s="2">
        <v>2.5671656735060902E-4</v>
      </c>
      <c r="F907">
        <v>1.28358283675304E-3</v>
      </c>
      <c r="G907" t="s">
        <v>3289</v>
      </c>
    </row>
    <row r="908" spans="1:7" x14ac:dyDescent="0.25">
      <c r="A908" s="4" t="str">
        <f>HYPERLINK("http://amigo.geneontology.org/cgi-bin/amigo/term-details.cgi?term=GO:0006637","GO:0006637")</f>
        <v>GO:0006637</v>
      </c>
      <c r="B908" t="s">
        <v>3290</v>
      </c>
      <c r="C908">
        <v>69</v>
      </c>
      <c r="D908">
        <v>11</v>
      </c>
      <c r="E908" s="2">
        <v>2.5671656735060902E-4</v>
      </c>
      <c r="F908">
        <v>1.28358283675304E-3</v>
      </c>
      <c r="G908" t="s">
        <v>3289</v>
      </c>
    </row>
    <row r="909" spans="1:7" x14ac:dyDescent="0.25">
      <c r="A909" s="4" t="str">
        <f>HYPERLINK("http://amigo.geneontology.org/cgi-bin/amigo/term-details.cgi?term=GO:0048523","GO:0048523")</f>
        <v>GO:0048523</v>
      </c>
      <c r="B909" t="s">
        <v>3288</v>
      </c>
      <c r="C909">
        <v>655</v>
      </c>
      <c r="D909">
        <v>50</v>
      </c>
      <c r="E909" s="2">
        <v>2.63075309702946E-4</v>
      </c>
      <c r="F909">
        <v>1.31537654851473E-3</v>
      </c>
      <c r="G909" t="s">
        <v>3287</v>
      </c>
    </row>
    <row r="910" spans="1:7" x14ac:dyDescent="0.25">
      <c r="A910" s="4" t="str">
        <f>HYPERLINK("http://amigo.geneontology.org/cgi-bin/amigo/term-details.cgi?term=GO:0042737","GO:0042737")</f>
        <v>GO:0042737</v>
      </c>
      <c r="B910" t="s">
        <v>1847</v>
      </c>
      <c r="C910">
        <v>473</v>
      </c>
      <c r="D910">
        <v>39</v>
      </c>
      <c r="E910" s="2">
        <v>2.6720177937208001E-4</v>
      </c>
      <c r="F910">
        <v>1.3360088968604E-3</v>
      </c>
      <c r="G910" t="s">
        <v>3286</v>
      </c>
    </row>
    <row r="911" spans="1:7" x14ac:dyDescent="0.25">
      <c r="A911" s="4" t="str">
        <f>HYPERLINK("http://amigo.geneontology.org/cgi-bin/amigo/term-details.cgi?term=GO:0010304","GO:0010304")</f>
        <v>GO:0010304</v>
      </c>
      <c r="B911" t="s">
        <v>3285</v>
      </c>
      <c r="C911">
        <v>14</v>
      </c>
      <c r="D911">
        <v>5</v>
      </c>
      <c r="E911" s="2">
        <v>2.6754078347763902E-4</v>
      </c>
      <c r="F911">
        <v>1.3377039173881899E-3</v>
      </c>
      <c r="G911" t="s">
        <v>3284</v>
      </c>
    </row>
    <row r="912" spans="1:7" x14ac:dyDescent="0.25">
      <c r="A912" s="4" t="str">
        <f>HYPERLINK("http://amigo.geneontology.org/cgi-bin/amigo/term-details.cgi?term=GO:0016559","GO:0016559")</f>
        <v>GO:0016559</v>
      </c>
      <c r="B912" t="s">
        <v>507</v>
      </c>
      <c r="C912">
        <v>14</v>
      </c>
      <c r="D912">
        <v>5</v>
      </c>
      <c r="E912" s="2">
        <v>2.6754078347763902E-4</v>
      </c>
      <c r="F912">
        <v>1.3377039173881899E-3</v>
      </c>
      <c r="G912" t="s">
        <v>3283</v>
      </c>
    </row>
    <row r="913" spans="1:7" x14ac:dyDescent="0.25">
      <c r="A913" s="4" t="str">
        <f>HYPERLINK("http://amigo.geneontology.org/cgi-bin/amigo/term-details.cgi?term=GO:0051353","GO:0051353")</f>
        <v>GO:0051353</v>
      </c>
      <c r="B913" t="s">
        <v>430</v>
      </c>
      <c r="C913">
        <v>14</v>
      </c>
      <c r="D913">
        <v>5</v>
      </c>
      <c r="E913" s="2">
        <v>2.6754078347763902E-4</v>
      </c>
      <c r="F913">
        <v>1.3377039173881899E-3</v>
      </c>
      <c r="G913" t="s">
        <v>3151</v>
      </c>
    </row>
    <row r="914" spans="1:7" x14ac:dyDescent="0.25">
      <c r="A914" s="4" t="str">
        <f>HYPERLINK("http://amigo.geneontology.org/cgi-bin/amigo/term-details.cgi?term=GO:0050794","GO:0050794")</f>
        <v>GO:0050794</v>
      </c>
      <c r="B914" t="s">
        <v>929</v>
      </c>
      <c r="C914">
        <v>7503</v>
      </c>
      <c r="D914">
        <v>400</v>
      </c>
      <c r="E914" s="2">
        <v>2.8140596399958901E-4</v>
      </c>
      <c r="F914">
        <v>1.12562385599835E-3</v>
      </c>
      <c r="G914" t="s">
        <v>3282</v>
      </c>
    </row>
    <row r="915" spans="1:7" x14ac:dyDescent="0.25">
      <c r="A915" s="4" t="str">
        <f>HYPERLINK("http://amigo.geneontology.org/cgi-bin/amigo/term-details.cgi?term=GO:0008047","GO:0008047")</f>
        <v>GO:0008047</v>
      </c>
      <c r="B915" t="s">
        <v>3281</v>
      </c>
      <c r="C915">
        <v>93</v>
      </c>
      <c r="D915">
        <v>13</v>
      </c>
      <c r="E915" s="2">
        <v>2.8403462149035702E-4</v>
      </c>
      <c r="F915">
        <v>1.1361384859614201E-3</v>
      </c>
      <c r="G915" t="s">
        <v>3280</v>
      </c>
    </row>
    <row r="916" spans="1:7" x14ac:dyDescent="0.25">
      <c r="A916" s="4" t="str">
        <f>HYPERLINK("http://amigo.geneontology.org/cgi-bin/amigo/term-details.cgi?term=GO:0005815","GO:0005815")</f>
        <v>GO:0005815</v>
      </c>
      <c r="B916" t="s">
        <v>600</v>
      </c>
      <c r="C916">
        <v>39</v>
      </c>
      <c r="D916">
        <v>8</v>
      </c>
      <c r="E916" s="2">
        <v>3.0299267563227298E-4</v>
      </c>
      <c r="F916">
        <v>1.21197070252909E-3</v>
      </c>
      <c r="G916" t="s">
        <v>1414</v>
      </c>
    </row>
    <row r="917" spans="1:7" x14ac:dyDescent="0.25">
      <c r="A917" s="4" t="str">
        <f>HYPERLINK("http://amigo.geneontology.org/cgi-bin/amigo/term-details.cgi?term=GO:0048229","GO:0048229")</f>
        <v>GO:0048229</v>
      </c>
      <c r="B917" t="s">
        <v>3279</v>
      </c>
      <c r="C917">
        <v>349</v>
      </c>
      <c r="D917">
        <v>31</v>
      </c>
      <c r="E917" s="2">
        <v>3.09796314380022E-4</v>
      </c>
      <c r="F917">
        <v>1.23918525752009E-3</v>
      </c>
      <c r="G917" t="s">
        <v>3278</v>
      </c>
    </row>
    <row r="918" spans="1:7" x14ac:dyDescent="0.25">
      <c r="A918" s="4" t="str">
        <f>HYPERLINK("http://amigo.geneontology.org/cgi-bin/amigo/term-details.cgi?term=GO:0042723","GO:0042723")</f>
        <v>GO:0042723</v>
      </c>
      <c r="B918" t="s">
        <v>659</v>
      </c>
      <c r="C918">
        <v>30</v>
      </c>
      <c r="D918">
        <v>7</v>
      </c>
      <c r="E918" s="2">
        <v>3.1169865649758103E-4</v>
      </c>
      <c r="F918">
        <v>1.24679462599032E-3</v>
      </c>
      <c r="G918" t="s">
        <v>3277</v>
      </c>
    </row>
    <row r="919" spans="1:7" x14ac:dyDescent="0.25">
      <c r="A919" s="4" t="str">
        <f>HYPERLINK("http://amigo.geneontology.org/cgi-bin/amigo/term-details.cgi?term=GO:0006772","GO:0006772")</f>
        <v>GO:0006772</v>
      </c>
      <c r="B919" t="s">
        <v>658</v>
      </c>
      <c r="C919">
        <v>30</v>
      </c>
      <c r="D919">
        <v>7</v>
      </c>
      <c r="E919" s="2">
        <v>3.1169865649758103E-4</v>
      </c>
      <c r="F919">
        <v>1.24679462599032E-3</v>
      </c>
      <c r="G919" t="s">
        <v>3277</v>
      </c>
    </row>
    <row r="920" spans="1:7" x14ac:dyDescent="0.25">
      <c r="A920" s="4" t="str">
        <f>HYPERLINK("http://amigo.geneontology.org/cgi-bin/amigo/term-details.cgi?term=GO:0009834","GO:0009834")</f>
        <v>GO:0009834</v>
      </c>
      <c r="B920" t="s">
        <v>3276</v>
      </c>
      <c r="C920">
        <v>30</v>
      </c>
      <c r="D920">
        <v>7</v>
      </c>
      <c r="E920" s="2">
        <v>3.1169865649758103E-4</v>
      </c>
      <c r="F920">
        <v>1.24679462599032E-3</v>
      </c>
      <c r="G920" t="s">
        <v>3275</v>
      </c>
    </row>
    <row r="921" spans="1:7" x14ac:dyDescent="0.25">
      <c r="A921" s="4" t="str">
        <f>HYPERLINK("http://amigo.geneontology.org/cgi-bin/amigo/term-details.cgi?term=GO:0035196","GO:0035196")</f>
        <v>GO:0035196</v>
      </c>
      <c r="B921" t="s">
        <v>3274</v>
      </c>
      <c r="C921">
        <v>82</v>
      </c>
      <c r="D921">
        <v>12</v>
      </c>
      <c r="E921" s="2">
        <v>3.12441262592072E-4</v>
      </c>
      <c r="F921">
        <v>1.24976505036828E-3</v>
      </c>
      <c r="G921" t="s">
        <v>3234</v>
      </c>
    </row>
    <row r="922" spans="1:7" x14ac:dyDescent="0.25">
      <c r="A922" s="4" t="str">
        <f>HYPERLINK("http://amigo.geneontology.org/cgi-bin/amigo/term-details.cgi?term=GO:0016417","GO:0016417")</f>
        <v>GO:0016417</v>
      </c>
      <c r="B922" t="s">
        <v>3273</v>
      </c>
      <c r="C922">
        <v>82</v>
      </c>
      <c r="D922">
        <v>12</v>
      </c>
      <c r="E922" s="2">
        <v>3.12441262592072E-4</v>
      </c>
      <c r="F922">
        <v>1.24976505036828E-3</v>
      </c>
      <c r="G922" t="s">
        <v>3272</v>
      </c>
    </row>
    <row r="923" spans="1:7" x14ac:dyDescent="0.25">
      <c r="A923" s="4" t="str">
        <f>HYPERLINK("http://amigo.geneontology.org/cgi-bin/amigo/term-details.cgi?term=GO:1901659","GO:1901659")</f>
        <v>GO:1901659</v>
      </c>
      <c r="B923" t="s">
        <v>3271</v>
      </c>
      <c r="C923">
        <v>172</v>
      </c>
      <c r="D923">
        <v>19</v>
      </c>
      <c r="E923" s="2">
        <v>3.1505119685846101E-4</v>
      </c>
      <c r="F923">
        <v>1.2602047874338399E-3</v>
      </c>
      <c r="G923" t="s">
        <v>3270</v>
      </c>
    </row>
    <row r="924" spans="1:7" x14ac:dyDescent="0.25">
      <c r="A924" s="4" t="str">
        <f>HYPERLINK("http://amigo.geneontology.org/cgi-bin/amigo/term-details.cgi?term=GO:0009932","GO:0009932")</f>
        <v>GO:0009932</v>
      </c>
      <c r="B924" t="s">
        <v>3269</v>
      </c>
      <c r="C924">
        <v>71</v>
      </c>
      <c r="D924">
        <v>11</v>
      </c>
      <c r="E924" s="2">
        <v>3.3182542408003802E-4</v>
      </c>
      <c r="F924">
        <v>1.3273016963201499E-3</v>
      </c>
      <c r="G924" t="s">
        <v>3044</v>
      </c>
    </row>
    <row r="925" spans="1:7" x14ac:dyDescent="0.25">
      <c r="A925" s="4" t="str">
        <f>HYPERLINK("http://amigo.geneontology.org/cgi-bin/amigo/term-details.cgi?term=GO:0006505","GO:0006505")</f>
        <v>GO:0006505</v>
      </c>
      <c r="B925" t="s">
        <v>587</v>
      </c>
      <c r="C925">
        <v>60</v>
      </c>
      <c r="D925">
        <v>10</v>
      </c>
      <c r="E925" s="2">
        <v>3.3454885352383299E-4</v>
      </c>
      <c r="F925">
        <v>1.33819541409533E-3</v>
      </c>
      <c r="G925" t="s">
        <v>1051</v>
      </c>
    </row>
    <row r="926" spans="1:7" x14ac:dyDescent="0.25">
      <c r="A926" s="4" t="str">
        <f>HYPERLINK("http://amigo.geneontology.org/cgi-bin/amigo/term-details.cgi?term=GO:0006783","GO:0006783")</f>
        <v>GO:0006783</v>
      </c>
      <c r="B926" t="s">
        <v>1441</v>
      </c>
      <c r="C926">
        <v>60</v>
      </c>
      <c r="D926">
        <v>10</v>
      </c>
      <c r="E926" s="2">
        <v>3.3454885352383299E-4</v>
      </c>
      <c r="F926">
        <v>1.33819541409533E-3</v>
      </c>
      <c r="G926" t="s">
        <v>3268</v>
      </c>
    </row>
    <row r="927" spans="1:7" x14ac:dyDescent="0.25">
      <c r="A927" s="4" t="str">
        <f>HYPERLINK("http://amigo.geneontology.org/cgi-bin/amigo/term-details.cgi?term=GO:0005319","GO:0005319")</f>
        <v>GO:0005319</v>
      </c>
      <c r="B927" t="s">
        <v>814</v>
      </c>
      <c r="C927">
        <v>60</v>
      </c>
      <c r="D927">
        <v>10</v>
      </c>
      <c r="E927" s="2">
        <v>3.3454885352383299E-4</v>
      </c>
      <c r="F927">
        <v>1.33819541409533E-3</v>
      </c>
      <c r="G927" t="s">
        <v>3267</v>
      </c>
    </row>
    <row r="928" spans="1:7" x14ac:dyDescent="0.25">
      <c r="A928" s="4" t="str">
        <f>HYPERLINK("http://amigo.geneontology.org/cgi-bin/amigo/term-details.cgi?term=GO:0004252","GO:0004252")</f>
        <v>GO:0004252</v>
      </c>
      <c r="B928" t="s">
        <v>493</v>
      </c>
      <c r="C928">
        <v>446</v>
      </c>
      <c r="D928">
        <v>37</v>
      </c>
      <c r="E928" s="2">
        <v>3.3567096024004301E-4</v>
      </c>
      <c r="F928">
        <v>1.3426838409601701E-3</v>
      </c>
      <c r="G928" t="s">
        <v>3266</v>
      </c>
    </row>
    <row r="929" spans="1:7" x14ac:dyDescent="0.25">
      <c r="A929" s="4" t="str">
        <f>HYPERLINK("http://amigo.geneontology.org/cgi-bin/amigo/term-details.cgi?term=GO:0016646","GO:0016646")</f>
        <v>GO:0016646</v>
      </c>
      <c r="B929" t="s">
        <v>1132</v>
      </c>
      <c r="C929">
        <v>22</v>
      </c>
      <c r="D929">
        <v>6</v>
      </c>
      <c r="E929" s="2">
        <v>3.3902946915453903E-4</v>
      </c>
      <c r="F929">
        <v>1.35611787661815E-3</v>
      </c>
      <c r="G929" t="s">
        <v>3265</v>
      </c>
    </row>
    <row r="930" spans="1:7" x14ac:dyDescent="0.25">
      <c r="A930" s="4" t="str">
        <f>HYPERLINK("http://amigo.geneontology.org/cgi-bin/amigo/term-details.cgi?term=GO:0043467","GO:0043467")</f>
        <v>GO:0043467</v>
      </c>
      <c r="B930" t="s">
        <v>1049</v>
      </c>
      <c r="C930">
        <v>22</v>
      </c>
      <c r="D930">
        <v>6</v>
      </c>
      <c r="E930" s="2">
        <v>3.3902946915453903E-4</v>
      </c>
      <c r="F930">
        <v>1.35611787661815E-3</v>
      </c>
      <c r="G930" t="s">
        <v>3264</v>
      </c>
    </row>
    <row r="931" spans="1:7" x14ac:dyDescent="0.25">
      <c r="A931" s="4" t="str">
        <f>HYPERLINK("http://amigo.geneontology.org/cgi-bin/amigo/term-details.cgi?term=GO:0042548","GO:0042548")</f>
        <v>GO:0042548</v>
      </c>
      <c r="B931" t="s">
        <v>1048</v>
      </c>
      <c r="C931">
        <v>22</v>
      </c>
      <c r="D931">
        <v>6</v>
      </c>
      <c r="E931" s="2">
        <v>3.3902946915453903E-4</v>
      </c>
      <c r="F931">
        <v>1.35611787661815E-3</v>
      </c>
      <c r="G931" t="s">
        <v>3264</v>
      </c>
    </row>
    <row r="932" spans="1:7" x14ac:dyDescent="0.25">
      <c r="A932" s="4" t="str">
        <f>HYPERLINK("http://amigo.geneontology.org/cgi-bin/amigo/term-details.cgi?term=GO:0045787","GO:0045787")</f>
        <v>GO:0045787</v>
      </c>
      <c r="B932" t="s">
        <v>3263</v>
      </c>
      <c r="C932">
        <v>22</v>
      </c>
      <c r="D932">
        <v>6</v>
      </c>
      <c r="E932" s="2">
        <v>3.3902946915453903E-4</v>
      </c>
      <c r="F932">
        <v>1.35611787661815E-3</v>
      </c>
      <c r="G932" t="s">
        <v>3262</v>
      </c>
    </row>
    <row r="933" spans="1:7" x14ac:dyDescent="0.25">
      <c r="A933" s="4" t="str">
        <f>HYPERLINK("http://amigo.geneontology.org/cgi-bin/amigo/term-details.cgi?term=GO:0003724","GO:0003724")</f>
        <v>GO:0003724</v>
      </c>
      <c r="B933" t="s">
        <v>3261</v>
      </c>
      <c r="C933">
        <v>22</v>
      </c>
      <c r="D933">
        <v>6</v>
      </c>
      <c r="E933" s="2">
        <v>3.3902946915453903E-4</v>
      </c>
      <c r="F933">
        <v>1.35611787661815E-3</v>
      </c>
      <c r="G933" t="s">
        <v>3260</v>
      </c>
    </row>
    <row r="934" spans="1:7" x14ac:dyDescent="0.25">
      <c r="A934" s="4" t="str">
        <f>HYPERLINK("http://amigo.geneontology.org/cgi-bin/amigo/term-details.cgi?term=GO:0045492","GO:0045492")</f>
        <v>GO:0045492</v>
      </c>
      <c r="B934" t="s">
        <v>3259</v>
      </c>
      <c r="C934">
        <v>107</v>
      </c>
      <c r="D934">
        <v>14</v>
      </c>
      <c r="E934" s="2">
        <v>3.3964614345677199E-4</v>
      </c>
      <c r="F934">
        <v>1.35858457382708E-3</v>
      </c>
      <c r="G934" t="s">
        <v>3161</v>
      </c>
    </row>
    <row r="935" spans="1:7" x14ac:dyDescent="0.25">
      <c r="A935" s="4" t="str">
        <f>HYPERLINK("http://amigo.geneontology.org/cgi-bin/amigo/term-details.cgi?term=GO:0010228","GO:0010228")</f>
        <v>GO:0010228</v>
      </c>
      <c r="B935" t="s">
        <v>3258</v>
      </c>
      <c r="C935">
        <v>275</v>
      </c>
      <c r="D935">
        <v>26</v>
      </c>
      <c r="E935" s="2">
        <v>3.5420938425707302E-4</v>
      </c>
      <c r="F935">
        <v>1.4168375370282899E-3</v>
      </c>
      <c r="G935" t="s">
        <v>3257</v>
      </c>
    </row>
    <row r="936" spans="1:7" x14ac:dyDescent="0.25">
      <c r="A936" s="4" t="str">
        <f>HYPERLINK("http://amigo.geneontology.org/cgi-bin/amigo/term-details.cgi?term=GO:0043100","GO:0043100")</f>
        <v>GO:0043100</v>
      </c>
      <c r="B936" t="s">
        <v>704</v>
      </c>
      <c r="C936">
        <v>4</v>
      </c>
      <c r="D936">
        <v>3</v>
      </c>
      <c r="E936" s="2">
        <v>3.5688902495361902E-4</v>
      </c>
      <c r="F936">
        <v>1.42755609981447E-3</v>
      </c>
      <c r="G936" t="s">
        <v>393</v>
      </c>
    </row>
    <row r="937" spans="1:7" x14ac:dyDescent="0.25">
      <c r="A937" s="4" t="str">
        <f>HYPERLINK("http://amigo.geneontology.org/cgi-bin/amigo/term-details.cgi?term=GO:0043073","GO:0043073")</f>
        <v>GO:0043073</v>
      </c>
      <c r="B937" t="s">
        <v>3256</v>
      </c>
      <c r="C937">
        <v>4</v>
      </c>
      <c r="D937">
        <v>3</v>
      </c>
      <c r="E937" s="2">
        <v>3.5688902495361902E-4</v>
      </c>
      <c r="F937">
        <v>1.42755609981447E-3</v>
      </c>
      <c r="G937" t="s">
        <v>2616</v>
      </c>
    </row>
    <row r="938" spans="1:7" x14ac:dyDescent="0.25">
      <c r="A938" s="4" t="str">
        <f>HYPERLINK("http://amigo.geneontology.org/cgi-bin/amigo/term-details.cgi?term=GO:0046422","GO:0046422")</f>
        <v>GO:0046422</v>
      </c>
      <c r="B938" t="s">
        <v>859</v>
      </c>
      <c r="C938">
        <v>4</v>
      </c>
      <c r="D938">
        <v>3</v>
      </c>
      <c r="E938" s="2">
        <v>3.5688902495361902E-4</v>
      </c>
      <c r="F938">
        <v>1.42755609981447E-3</v>
      </c>
      <c r="G938" t="s">
        <v>858</v>
      </c>
    </row>
    <row r="939" spans="1:7" x14ac:dyDescent="0.25">
      <c r="A939" s="4" t="str">
        <f>HYPERLINK("http://amigo.geneontology.org/cgi-bin/amigo/term-details.cgi?term=GO:0008187","GO:0008187")</f>
        <v>GO:0008187</v>
      </c>
      <c r="B939" t="s">
        <v>3255</v>
      </c>
      <c r="C939">
        <v>4</v>
      </c>
      <c r="D939">
        <v>3</v>
      </c>
      <c r="E939" s="2">
        <v>3.5688902495361902E-4</v>
      </c>
      <c r="F939">
        <v>1.42755609981447E-3</v>
      </c>
      <c r="G939" t="s">
        <v>2606</v>
      </c>
    </row>
    <row r="940" spans="1:7" x14ac:dyDescent="0.25">
      <c r="A940" s="4" t="str">
        <f>HYPERLINK("http://amigo.geneontology.org/cgi-bin/amigo/term-details.cgi?term=GO:0008266","GO:0008266")</f>
        <v>GO:0008266</v>
      </c>
      <c r="B940" t="s">
        <v>3254</v>
      </c>
      <c r="C940">
        <v>4</v>
      </c>
      <c r="D940">
        <v>3</v>
      </c>
      <c r="E940" s="2">
        <v>3.5688902495361902E-4</v>
      </c>
      <c r="F940">
        <v>1.42755609981447E-3</v>
      </c>
      <c r="G940" t="s">
        <v>2606</v>
      </c>
    </row>
    <row r="941" spans="1:7" x14ac:dyDescent="0.25">
      <c r="A941" s="4" t="str">
        <f>HYPERLINK("http://amigo.geneontology.org/cgi-bin/amigo/term-details.cgi?term=GO:0032410","GO:0032410")</f>
        <v>GO:0032410</v>
      </c>
      <c r="B941" t="s">
        <v>3253</v>
      </c>
      <c r="C941">
        <v>4</v>
      </c>
      <c r="D941">
        <v>3</v>
      </c>
      <c r="E941" s="2">
        <v>3.5688902495361902E-4</v>
      </c>
      <c r="F941">
        <v>1.42755609981447E-3</v>
      </c>
      <c r="G941" t="s">
        <v>2602</v>
      </c>
    </row>
    <row r="942" spans="1:7" x14ac:dyDescent="0.25">
      <c r="A942" s="4" t="str">
        <f>HYPERLINK("http://amigo.geneontology.org/cgi-bin/amigo/term-details.cgi?term=GO:0032413","GO:0032413")</f>
        <v>GO:0032413</v>
      </c>
      <c r="B942" t="s">
        <v>3252</v>
      </c>
      <c r="C942">
        <v>4</v>
      </c>
      <c r="D942">
        <v>3</v>
      </c>
      <c r="E942" s="2">
        <v>3.5688902495361902E-4</v>
      </c>
      <c r="F942">
        <v>1.42755609981447E-3</v>
      </c>
      <c r="G942" t="s">
        <v>2602</v>
      </c>
    </row>
    <row r="943" spans="1:7" x14ac:dyDescent="0.25">
      <c r="A943" s="4" t="str">
        <f>HYPERLINK("http://amigo.geneontology.org/cgi-bin/amigo/term-details.cgi?term=GO:0010360","GO:0010360")</f>
        <v>GO:0010360</v>
      </c>
      <c r="B943" t="s">
        <v>3251</v>
      </c>
      <c r="C943">
        <v>4</v>
      </c>
      <c r="D943">
        <v>3</v>
      </c>
      <c r="E943" s="2">
        <v>3.5688902495361902E-4</v>
      </c>
      <c r="F943">
        <v>1.42755609981447E-3</v>
      </c>
      <c r="G943" t="s">
        <v>2602</v>
      </c>
    </row>
    <row r="944" spans="1:7" x14ac:dyDescent="0.25">
      <c r="A944" s="4" t="str">
        <f>HYPERLINK("http://amigo.geneontology.org/cgi-bin/amigo/term-details.cgi?term=GO:0010361","GO:0010361")</f>
        <v>GO:0010361</v>
      </c>
      <c r="B944" t="s">
        <v>3250</v>
      </c>
      <c r="C944">
        <v>4</v>
      </c>
      <c r="D944">
        <v>3</v>
      </c>
      <c r="E944" s="2">
        <v>3.5688902495361902E-4</v>
      </c>
      <c r="F944">
        <v>1.42755609981447E-3</v>
      </c>
      <c r="G944" t="s">
        <v>2602</v>
      </c>
    </row>
    <row r="945" spans="1:7" x14ac:dyDescent="0.25">
      <c r="A945" s="4" t="str">
        <f>HYPERLINK("http://amigo.geneontology.org/cgi-bin/amigo/term-details.cgi?term=GO:0010362","GO:0010362")</f>
        <v>GO:0010362</v>
      </c>
      <c r="B945" t="s">
        <v>3249</v>
      </c>
      <c r="C945">
        <v>4</v>
      </c>
      <c r="D945">
        <v>3</v>
      </c>
      <c r="E945" s="2">
        <v>3.5688902495361902E-4</v>
      </c>
      <c r="F945">
        <v>1.42755609981447E-3</v>
      </c>
      <c r="G945" t="s">
        <v>2602</v>
      </c>
    </row>
    <row r="946" spans="1:7" x14ac:dyDescent="0.25">
      <c r="A946" s="4" t="str">
        <f>HYPERLINK("http://amigo.geneontology.org/cgi-bin/amigo/term-details.cgi?term=GO:0034330","GO:0034330")</f>
        <v>GO:0034330</v>
      </c>
      <c r="B946" t="s">
        <v>3248</v>
      </c>
      <c r="C946">
        <v>4</v>
      </c>
      <c r="D946">
        <v>3</v>
      </c>
      <c r="E946" s="2">
        <v>3.5688902495361902E-4</v>
      </c>
      <c r="F946">
        <v>1.42755609981447E-3</v>
      </c>
      <c r="G946" t="s">
        <v>3245</v>
      </c>
    </row>
    <row r="947" spans="1:7" x14ac:dyDescent="0.25">
      <c r="A947" s="4" t="str">
        <f>HYPERLINK("http://amigo.geneontology.org/cgi-bin/amigo/term-details.cgi?term=GO:0045216","GO:0045216")</f>
        <v>GO:0045216</v>
      </c>
      <c r="B947" t="s">
        <v>3247</v>
      </c>
      <c r="C947">
        <v>4</v>
      </c>
      <c r="D947">
        <v>3</v>
      </c>
      <c r="E947" s="2">
        <v>3.5688902495361902E-4</v>
      </c>
      <c r="F947">
        <v>1.42755609981447E-3</v>
      </c>
      <c r="G947" t="s">
        <v>3245</v>
      </c>
    </row>
    <row r="948" spans="1:7" x14ac:dyDescent="0.25">
      <c r="A948" s="4" t="str">
        <f>HYPERLINK("http://amigo.geneontology.org/cgi-bin/amigo/term-details.cgi?term=GO:0009663","GO:0009663")</f>
        <v>GO:0009663</v>
      </c>
      <c r="B948" t="s">
        <v>3246</v>
      </c>
      <c r="C948">
        <v>4</v>
      </c>
      <c r="D948">
        <v>3</v>
      </c>
      <c r="E948" s="2">
        <v>3.5688902495361902E-4</v>
      </c>
      <c r="F948">
        <v>1.42755609981447E-3</v>
      </c>
      <c r="G948" t="s">
        <v>3245</v>
      </c>
    </row>
    <row r="949" spans="1:7" x14ac:dyDescent="0.25">
      <c r="A949" s="4" t="str">
        <f>HYPERLINK("http://amigo.geneontology.org/cgi-bin/amigo/term-details.cgi?term=GO:0022622","GO:0022622")</f>
        <v>GO:0022622</v>
      </c>
      <c r="B949" t="s">
        <v>3244</v>
      </c>
      <c r="C949">
        <v>231</v>
      </c>
      <c r="D949">
        <v>23</v>
      </c>
      <c r="E949" s="2">
        <v>3.6441336477884798E-4</v>
      </c>
      <c r="F949">
        <v>1.45765345911539E-3</v>
      </c>
      <c r="G949" t="s">
        <v>3242</v>
      </c>
    </row>
    <row r="950" spans="1:7" x14ac:dyDescent="0.25">
      <c r="A950" s="4" t="str">
        <f>HYPERLINK("http://amigo.geneontology.org/cgi-bin/amigo/term-details.cgi?term=GO:0048364","GO:0048364")</f>
        <v>GO:0048364</v>
      </c>
      <c r="B950" t="s">
        <v>3243</v>
      </c>
      <c r="C950">
        <v>231</v>
      </c>
      <c r="D950">
        <v>23</v>
      </c>
      <c r="E950" s="2">
        <v>3.6441336477884798E-4</v>
      </c>
      <c r="F950">
        <v>1.45765345911539E-3</v>
      </c>
      <c r="G950" t="s">
        <v>3242</v>
      </c>
    </row>
    <row r="951" spans="1:7" x14ac:dyDescent="0.25">
      <c r="A951" s="4" t="str">
        <f>HYPERLINK("http://amigo.geneontology.org/cgi-bin/amigo/term-details.cgi?term=GO:0010267","GO:0010267")</f>
        <v>GO:0010267</v>
      </c>
      <c r="B951" t="s">
        <v>3241</v>
      </c>
      <c r="C951">
        <v>72</v>
      </c>
      <c r="D951">
        <v>11</v>
      </c>
      <c r="E951" s="2">
        <v>3.7581592855208699E-4</v>
      </c>
      <c r="F951">
        <v>1.5032637142083399E-3</v>
      </c>
      <c r="G951" t="s">
        <v>3240</v>
      </c>
    </row>
    <row r="952" spans="1:7" x14ac:dyDescent="0.25">
      <c r="A952" s="4" t="str">
        <f>HYPERLINK("http://amigo.geneontology.org/cgi-bin/amigo/term-details.cgi?term=GO:0042168","GO:0042168")</f>
        <v>GO:0042168</v>
      </c>
      <c r="B952" t="s">
        <v>3239</v>
      </c>
      <c r="C952">
        <v>72</v>
      </c>
      <c r="D952">
        <v>11</v>
      </c>
      <c r="E952" s="2">
        <v>3.7581592855208699E-4</v>
      </c>
      <c r="F952">
        <v>1.5032637142083399E-3</v>
      </c>
      <c r="G952" t="s">
        <v>3238</v>
      </c>
    </row>
    <row r="953" spans="1:7" x14ac:dyDescent="0.25">
      <c r="A953" s="4" t="str">
        <f>HYPERLINK("http://amigo.geneontology.org/cgi-bin/amigo/term-details.cgi?term=GO:0009814","GO:0009814")</f>
        <v>GO:0009814</v>
      </c>
      <c r="B953" t="s">
        <v>2219</v>
      </c>
      <c r="C953">
        <v>161</v>
      </c>
      <c r="D953">
        <v>18</v>
      </c>
      <c r="E953" s="2">
        <v>3.8636085359835799E-4</v>
      </c>
      <c r="F953">
        <v>1.54544341439343E-3</v>
      </c>
      <c r="G953" t="s">
        <v>3237</v>
      </c>
    </row>
    <row r="954" spans="1:7" x14ac:dyDescent="0.25">
      <c r="A954" s="4" t="str">
        <f>HYPERLINK("http://amigo.geneontology.org/cgi-bin/amigo/term-details.cgi?term=GO:0042132","GO:0042132")</f>
        <v>GO:0042132</v>
      </c>
      <c r="B954" t="s">
        <v>1053</v>
      </c>
      <c r="C954">
        <v>15</v>
      </c>
      <c r="D954">
        <v>5</v>
      </c>
      <c r="E954" s="2">
        <v>3.8636647885054902E-4</v>
      </c>
      <c r="F954">
        <v>1.54546591540219E-3</v>
      </c>
      <c r="G954" t="s">
        <v>3236</v>
      </c>
    </row>
    <row r="955" spans="1:7" x14ac:dyDescent="0.25">
      <c r="A955" s="4" t="str">
        <f>HYPERLINK("http://amigo.geneontology.org/cgi-bin/amigo/term-details.cgi?term=GO:0004345","GO:0004345")</f>
        <v>GO:0004345</v>
      </c>
      <c r="B955" t="s">
        <v>1101</v>
      </c>
      <c r="C955">
        <v>15</v>
      </c>
      <c r="D955">
        <v>5</v>
      </c>
      <c r="E955" s="2">
        <v>3.8636647885054902E-4</v>
      </c>
      <c r="F955">
        <v>1.54546591540219E-3</v>
      </c>
      <c r="G955" t="s">
        <v>1222</v>
      </c>
    </row>
    <row r="956" spans="1:7" x14ac:dyDescent="0.25">
      <c r="A956" s="4" t="str">
        <f>HYPERLINK("http://amigo.geneontology.org/cgi-bin/amigo/term-details.cgi?term=GO:0035195","GO:0035195")</f>
        <v>GO:0035195</v>
      </c>
      <c r="B956" t="s">
        <v>3235</v>
      </c>
      <c r="C956">
        <v>84</v>
      </c>
      <c r="D956">
        <v>12</v>
      </c>
      <c r="E956" s="2">
        <v>3.9213353720540599E-4</v>
      </c>
      <c r="F956">
        <v>1.5685341488216201E-3</v>
      </c>
      <c r="G956" t="s">
        <v>3234</v>
      </c>
    </row>
    <row r="957" spans="1:7" x14ac:dyDescent="0.25">
      <c r="A957" s="4" t="str">
        <f>HYPERLINK("http://amigo.geneontology.org/cgi-bin/amigo/term-details.cgi?term=GO:0009684","GO:0009684")</f>
        <v>GO:0009684</v>
      </c>
      <c r="B957" t="s">
        <v>3233</v>
      </c>
      <c r="C957">
        <v>41</v>
      </c>
      <c r="D957">
        <v>8</v>
      </c>
      <c r="E957" s="2">
        <v>4.3422149272122698E-4</v>
      </c>
      <c r="F957">
        <v>1.7368859708849101E-3</v>
      </c>
      <c r="G957" t="s">
        <v>2987</v>
      </c>
    </row>
    <row r="958" spans="1:7" x14ac:dyDescent="0.25">
      <c r="A958" s="4" t="str">
        <f>HYPERLINK("http://amigo.geneontology.org/cgi-bin/amigo/term-details.cgi?term=GO:0048487","GO:0048487")</f>
        <v>GO:0048487</v>
      </c>
      <c r="B958" t="s">
        <v>3232</v>
      </c>
      <c r="C958">
        <v>9</v>
      </c>
      <c r="D958">
        <v>4</v>
      </c>
      <c r="E958" s="2">
        <v>4.3759035740604401E-4</v>
      </c>
      <c r="F958">
        <v>1.75036142962417E-3</v>
      </c>
      <c r="G958" t="s">
        <v>3231</v>
      </c>
    </row>
    <row r="959" spans="1:7" x14ac:dyDescent="0.25">
      <c r="A959" s="4" t="str">
        <f>HYPERLINK("http://amigo.geneontology.org/cgi-bin/amigo/term-details.cgi?term=GO:0010258","GO:0010258")</f>
        <v>GO:0010258</v>
      </c>
      <c r="B959" t="s">
        <v>3230</v>
      </c>
      <c r="C959">
        <v>9</v>
      </c>
      <c r="D959">
        <v>4</v>
      </c>
      <c r="E959" s="2">
        <v>4.3759035740604401E-4</v>
      </c>
      <c r="F959">
        <v>1.75036142962417E-3</v>
      </c>
      <c r="G959" t="s">
        <v>3202</v>
      </c>
    </row>
    <row r="960" spans="1:7" x14ac:dyDescent="0.25">
      <c r="A960" s="4" t="str">
        <f>HYPERLINK("http://amigo.geneontology.org/cgi-bin/amigo/term-details.cgi?term=GO:0070006","GO:0070006")</f>
        <v>GO:0070006</v>
      </c>
      <c r="B960" t="s">
        <v>3229</v>
      </c>
      <c r="C960">
        <v>9</v>
      </c>
      <c r="D960">
        <v>4</v>
      </c>
      <c r="E960" s="2">
        <v>4.3759035740604401E-4</v>
      </c>
      <c r="F960">
        <v>1.75036142962417E-3</v>
      </c>
      <c r="G960" t="s">
        <v>3227</v>
      </c>
    </row>
    <row r="961" spans="1:7" x14ac:dyDescent="0.25">
      <c r="A961" s="4" t="str">
        <f>HYPERLINK("http://amigo.geneontology.org/cgi-bin/amigo/term-details.cgi?term=GO:0070084","GO:0070084")</f>
        <v>GO:0070084</v>
      </c>
      <c r="B961" t="s">
        <v>3228</v>
      </c>
      <c r="C961">
        <v>9</v>
      </c>
      <c r="D961">
        <v>4</v>
      </c>
      <c r="E961" s="2">
        <v>4.3759035740604401E-4</v>
      </c>
      <c r="F961">
        <v>1.75036142962417E-3</v>
      </c>
      <c r="G961" t="s">
        <v>3227</v>
      </c>
    </row>
    <row r="962" spans="1:7" x14ac:dyDescent="0.25">
      <c r="A962" s="4" t="str">
        <f>HYPERLINK("http://amigo.geneontology.org/cgi-bin/amigo/term-details.cgi?term=GO:0017056","GO:0017056")</f>
        <v>GO:0017056</v>
      </c>
      <c r="B962" t="s">
        <v>857</v>
      </c>
      <c r="C962">
        <v>9</v>
      </c>
      <c r="D962">
        <v>4</v>
      </c>
      <c r="E962" s="2">
        <v>4.3759035740604401E-4</v>
      </c>
      <c r="F962">
        <v>1.75036142962417E-3</v>
      </c>
      <c r="G962" t="s">
        <v>3226</v>
      </c>
    </row>
    <row r="963" spans="1:7" x14ac:dyDescent="0.25">
      <c r="A963" s="4" t="str">
        <f>HYPERLINK("http://amigo.geneontology.org/cgi-bin/amigo/term-details.cgi?term=GO:0043900","GO:0043900")</f>
        <v>GO:0043900</v>
      </c>
      <c r="B963" t="s">
        <v>1714</v>
      </c>
      <c r="C963">
        <v>62</v>
      </c>
      <c r="D963">
        <v>10</v>
      </c>
      <c r="E963" s="2">
        <v>4.3955102881261201E-4</v>
      </c>
      <c r="F963">
        <v>1.75820411525045E-3</v>
      </c>
      <c r="G963" t="s">
        <v>2937</v>
      </c>
    </row>
    <row r="964" spans="1:7" x14ac:dyDescent="0.25">
      <c r="A964" s="4" t="str">
        <f>HYPERLINK("http://amigo.geneontology.org/cgi-bin/amigo/term-details.cgi?term=GO:0006812","GO:0006812")</f>
        <v>GO:0006812</v>
      </c>
      <c r="B964" t="s">
        <v>140</v>
      </c>
      <c r="C964">
        <v>1370</v>
      </c>
      <c r="D964">
        <v>89</v>
      </c>
      <c r="E964" s="2">
        <v>4.7691216651930498E-4</v>
      </c>
      <c r="F964">
        <v>1.9076486660772199E-3</v>
      </c>
      <c r="G964" t="s">
        <v>3225</v>
      </c>
    </row>
    <row r="965" spans="1:7" x14ac:dyDescent="0.25">
      <c r="A965" s="4" t="str">
        <f>HYPERLINK("http://amigo.geneontology.org/cgi-bin/amigo/term-details.cgi?term=GO:0009862","GO:0009862")</f>
        <v>GO:0009862</v>
      </c>
      <c r="B965" t="s">
        <v>2222</v>
      </c>
      <c r="C965">
        <v>63</v>
      </c>
      <c r="D965">
        <v>10</v>
      </c>
      <c r="E965" s="2">
        <v>5.0151971278236001E-4</v>
      </c>
      <c r="F965">
        <v>2.00607885112944E-3</v>
      </c>
      <c r="G965" t="s">
        <v>2937</v>
      </c>
    </row>
    <row r="966" spans="1:7" x14ac:dyDescent="0.25">
      <c r="A966" s="4" t="str">
        <f>HYPERLINK("http://amigo.geneontology.org/cgi-bin/amigo/term-details.cgi?term=GO:0010200","GO:0010200")</f>
        <v>GO:0010200</v>
      </c>
      <c r="B966" t="s">
        <v>2251</v>
      </c>
      <c r="C966">
        <v>63</v>
      </c>
      <c r="D966">
        <v>10</v>
      </c>
      <c r="E966" s="2">
        <v>5.0151971278236001E-4</v>
      </c>
      <c r="F966">
        <v>2.00607885112944E-3</v>
      </c>
      <c r="G966" t="s">
        <v>2937</v>
      </c>
    </row>
    <row r="967" spans="1:7" x14ac:dyDescent="0.25">
      <c r="A967" s="4" t="str">
        <f>HYPERLINK("http://amigo.geneontology.org/cgi-bin/amigo/term-details.cgi?term=GO:0006643","GO:0006643")</f>
        <v>GO:0006643</v>
      </c>
      <c r="B967" t="s">
        <v>490</v>
      </c>
      <c r="C967">
        <v>179</v>
      </c>
      <c r="D967">
        <v>19</v>
      </c>
      <c r="E967" s="2">
        <v>5.2003692957191703E-4</v>
      </c>
      <c r="F967">
        <v>2.0801477182876699E-3</v>
      </c>
      <c r="G967" t="s">
        <v>3224</v>
      </c>
    </row>
    <row r="968" spans="1:7" x14ac:dyDescent="0.25">
      <c r="A968" s="4" t="str">
        <f>HYPERLINK("http://amigo.geneontology.org/cgi-bin/amigo/term-details.cgi?term=GO:0009630","GO:0009630")</f>
        <v>GO:0009630</v>
      </c>
      <c r="B968" t="s">
        <v>3223</v>
      </c>
      <c r="C968">
        <v>75</v>
      </c>
      <c r="D968">
        <v>11</v>
      </c>
      <c r="E968" s="2">
        <v>5.3816339931130205E-4</v>
      </c>
      <c r="F968">
        <v>2.1526535972451999E-3</v>
      </c>
      <c r="G968" t="s">
        <v>3216</v>
      </c>
    </row>
    <row r="969" spans="1:7" x14ac:dyDescent="0.25">
      <c r="A969" s="4" t="str">
        <f>HYPERLINK("http://amigo.geneontology.org/cgi-bin/amigo/term-details.cgi?term=GO:0016880","GO:0016880")</f>
        <v>GO:0016880</v>
      </c>
      <c r="B969" t="s">
        <v>666</v>
      </c>
      <c r="C969">
        <v>16</v>
      </c>
      <c r="D969">
        <v>5</v>
      </c>
      <c r="E969" s="2">
        <v>5.4108445770515204E-4</v>
      </c>
      <c r="F969">
        <v>2.1643378308205999E-3</v>
      </c>
      <c r="G969" t="s">
        <v>1352</v>
      </c>
    </row>
    <row r="970" spans="1:7" x14ac:dyDescent="0.25">
      <c r="A970" s="4" t="str">
        <f>HYPERLINK("http://amigo.geneontology.org/cgi-bin/amigo/term-details.cgi?term=GO:0016211","GO:0016211")</f>
        <v>GO:0016211</v>
      </c>
      <c r="B970" t="s">
        <v>665</v>
      </c>
      <c r="C970">
        <v>16</v>
      </c>
      <c r="D970">
        <v>5</v>
      </c>
      <c r="E970" s="2">
        <v>5.4108445770515204E-4</v>
      </c>
      <c r="F970">
        <v>2.1643378308205999E-3</v>
      </c>
      <c r="G970" t="s">
        <v>1352</v>
      </c>
    </row>
    <row r="971" spans="1:7" x14ac:dyDescent="0.25">
      <c r="A971" s="4" t="str">
        <f>HYPERLINK("http://amigo.geneontology.org/cgi-bin/amigo/term-details.cgi?term=GO:0004356","GO:0004356")</f>
        <v>GO:0004356</v>
      </c>
      <c r="B971" t="s">
        <v>664</v>
      </c>
      <c r="C971">
        <v>16</v>
      </c>
      <c r="D971">
        <v>5</v>
      </c>
      <c r="E971" s="2">
        <v>5.4108445770515204E-4</v>
      </c>
      <c r="F971">
        <v>2.1643378308205999E-3</v>
      </c>
      <c r="G971" t="s">
        <v>1352</v>
      </c>
    </row>
    <row r="972" spans="1:7" x14ac:dyDescent="0.25">
      <c r="A972" s="4" t="str">
        <f>HYPERLINK("http://amigo.geneontology.org/cgi-bin/amigo/term-details.cgi?term=GO:0006542","GO:0006542")</f>
        <v>GO:0006542</v>
      </c>
      <c r="B972" t="s">
        <v>663</v>
      </c>
      <c r="C972">
        <v>16</v>
      </c>
      <c r="D972">
        <v>5</v>
      </c>
      <c r="E972" s="2">
        <v>5.4108445770515204E-4</v>
      </c>
      <c r="F972">
        <v>2.1643378308205999E-3</v>
      </c>
      <c r="G972" t="s">
        <v>1352</v>
      </c>
    </row>
    <row r="973" spans="1:7" x14ac:dyDescent="0.25">
      <c r="A973" s="4" t="str">
        <f>HYPERLINK("http://amigo.geneontology.org/cgi-bin/amigo/term-details.cgi?term=GO:0032958","GO:0032958")</f>
        <v>GO:0032958</v>
      </c>
      <c r="B973" t="s">
        <v>3222</v>
      </c>
      <c r="C973">
        <v>53</v>
      </c>
      <c r="D973">
        <v>9</v>
      </c>
      <c r="E973" s="2">
        <v>5.6984533080172003E-4</v>
      </c>
      <c r="F973">
        <v>2.2793813232068801E-3</v>
      </c>
      <c r="G973" t="s">
        <v>2975</v>
      </c>
    </row>
    <row r="974" spans="1:7" x14ac:dyDescent="0.25">
      <c r="A974" s="4" t="str">
        <f>HYPERLINK("http://amigo.geneontology.org/cgi-bin/amigo/term-details.cgi?term=GO:0033517","GO:0033517")</f>
        <v>GO:0033517</v>
      </c>
      <c r="B974" t="s">
        <v>3221</v>
      </c>
      <c r="C974">
        <v>53</v>
      </c>
      <c r="D974">
        <v>9</v>
      </c>
      <c r="E974" s="2">
        <v>5.6984533080172003E-4</v>
      </c>
      <c r="F974">
        <v>2.2793813232068801E-3</v>
      </c>
      <c r="G974" t="s">
        <v>2975</v>
      </c>
    </row>
    <row r="975" spans="1:7" x14ac:dyDescent="0.25">
      <c r="A975" s="4" t="str">
        <f>HYPERLINK("http://amigo.geneontology.org/cgi-bin/amigo/term-details.cgi?term=GO:0010264","GO:0010264")</f>
        <v>GO:0010264</v>
      </c>
      <c r="B975" t="s">
        <v>3220</v>
      </c>
      <c r="C975">
        <v>53</v>
      </c>
      <c r="D975">
        <v>9</v>
      </c>
      <c r="E975" s="2">
        <v>5.6984533080172003E-4</v>
      </c>
      <c r="F975">
        <v>2.2793813232068801E-3</v>
      </c>
      <c r="G975" t="s">
        <v>2975</v>
      </c>
    </row>
    <row r="976" spans="1:7" x14ac:dyDescent="0.25">
      <c r="A976" s="4" t="str">
        <f>HYPERLINK("http://amigo.geneontology.org/cgi-bin/amigo/term-details.cgi?term=GO:0002252","GO:0002252")</f>
        <v>GO:0002252</v>
      </c>
      <c r="B976" t="s">
        <v>3219</v>
      </c>
      <c r="C976">
        <v>100</v>
      </c>
      <c r="D976">
        <v>13</v>
      </c>
      <c r="E976" s="2">
        <v>5.8085527051555995E-4</v>
      </c>
      <c r="F976">
        <v>2.3234210820622398E-3</v>
      </c>
      <c r="G976" t="s">
        <v>3218</v>
      </c>
    </row>
    <row r="977" spans="1:7" x14ac:dyDescent="0.25">
      <c r="A977" s="4" t="str">
        <f>HYPERLINK("http://amigo.geneontology.org/cgi-bin/amigo/term-details.cgi?term=GO:0009629","GO:0009629")</f>
        <v>GO:0009629</v>
      </c>
      <c r="B977" t="s">
        <v>3217</v>
      </c>
      <c r="C977">
        <v>76</v>
      </c>
      <c r="D977">
        <v>11</v>
      </c>
      <c r="E977" s="2">
        <v>6.0382151780679597E-4</v>
      </c>
      <c r="F977">
        <v>2.41528607122718E-3</v>
      </c>
      <c r="G977" t="s">
        <v>3216</v>
      </c>
    </row>
    <row r="978" spans="1:7" x14ac:dyDescent="0.25">
      <c r="A978" s="4" t="str">
        <f>HYPERLINK("http://amigo.geneontology.org/cgi-bin/amigo/term-details.cgi?term=GO:0097305","GO:0097305")</f>
        <v>GO:0097305</v>
      </c>
      <c r="B978" t="s">
        <v>2171</v>
      </c>
      <c r="C978">
        <v>210</v>
      </c>
      <c r="D978">
        <v>21</v>
      </c>
      <c r="E978" s="2">
        <v>6.05172464709675E-4</v>
      </c>
      <c r="F978">
        <v>2.4206898588387E-3</v>
      </c>
      <c r="G978" t="s">
        <v>3215</v>
      </c>
    </row>
    <row r="979" spans="1:7" x14ac:dyDescent="0.25">
      <c r="A979" s="4" t="str">
        <f>HYPERLINK("http://amigo.geneontology.org/cgi-bin/amigo/term-details.cgi?term=GO:0009737","GO:0009737")</f>
        <v>GO:0009737</v>
      </c>
      <c r="B979" t="s">
        <v>2170</v>
      </c>
      <c r="C979">
        <v>210</v>
      </c>
      <c r="D979">
        <v>21</v>
      </c>
      <c r="E979" s="2">
        <v>6.05172464709675E-4</v>
      </c>
      <c r="F979">
        <v>2.4206898588387E-3</v>
      </c>
      <c r="G979" t="s">
        <v>3215</v>
      </c>
    </row>
    <row r="980" spans="1:7" x14ac:dyDescent="0.25">
      <c r="A980" s="4" t="str">
        <f>HYPERLINK("http://amigo.geneontology.org/cgi-bin/amigo/term-details.cgi?term=GO:0016829","GO:0016829")</f>
        <v>GO:0016829</v>
      </c>
      <c r="B980" t="s">
        <v>922</v>
      </c>
      <c r="C980">
        <v>1016</v>
      </c>
      <c r="D980">
        <v>69</v>
      </c>
      <c r="E980" s="2">
        <v>6.1918636011303204E-4</v>
      </c>
      <c r="F980">
        <v>2.4767454404521299E-3</v>
      </c>
      <c r="G980" t="s">
        <v>3214</v>
      </c>
    </row>
    <row r="981" spans="1:7" x14ac:dyDescent="0.25">
      <c r="A981" s="4" t="str">
        <f>HYPERLINK("http://amigo.geneontology.org/cgi-bin/amigo/term-details.cgi?term=GO:0008380","GO:0008380")</f>
        <v>GO:0008380</v>
      </c>
      <c r="B981" t="s">
        <v>3213</v>
      </c>
      <c r="C981">
        <v>396</v>
      </c>
      <c r="D981">
        <v>33</v>
      </c>
      <c r="E981" s="2">
        <v>6.2870907604184098E-4</v>
      </c>
      <c r="F981">
        <v>2.51483630416736E-3</v>
      </c>
      <c r="G981" t="s">
        <v>3212</v>
      </c>
    </row>
    <row r="982" spans="1:7" x14ac:dyDescent="0.25">
      <c r="A982" s="4" t="str">
        <f>HYPERLINK("http://amigo.geneontology.org/cgi-bin/amigo/term-details.cgi?term=GO:0003779","GO:0003779")</f>
        <v>GO:0003779</v>
      </c>
      <c r="B982" t="s">
        <v>715</v>
      </c>
      <c r="C982">
        <v>182</v>
      </c>
      <c r="D982">
        <v>19</v>
      </c>
      <c r="E982" s="2">
        <v>6.3827485415181404E-4</v>
      </c>
      <c r="F982">
        <v>2.5530994166072501E-3</v>
      </c>
      <c r="G982" t="s">
        <v>3211</v>
      </c>
    </row>
    <row r="983" spans="1:7" x14ac:dyDescent="0.25">
      <c r="A983" s="4" t="str">
        <f>HYPERLINK("http://amigo.geneontology.org/cgi-bin/amigo/term-details.cgi?term=GO:0009860","GO:0009860")</f>
        <v>GO:0009860</v>
      </c>
      <c r="B983" t="s">
        <v>3210</v>
      </c>
      <c r="C983">
        <v>54</v>
      </c>
      <c r="D983">
        <v>9</v>
      </c>
      <c r="E983" s="2">
        <v>6.5664315540391201E-4</v>
      </c>
      <c r="F983">
        <v>2.6265726216156502E-3</v>
      </c>
      <c r="G983" t="s">
        <v>3209</v>
      </c>
    </row>
    <row r="984" spans="1:7" x14ac:dyDescent="0.25">
      <c r="A984" s="4" t="str">
        <f>HYPERLINK("http://amigo.geneontology.org/cgi-bin/amigo/term-details.cgi?term=GO:0006094","GO:0006094")</f>
        <v>GO:0006094</v>
      </c>
      <c r="B984" t="s">
        <v>104</v>
      </c>
      <c r="C984">
        <v>77</v>
      </c>
      <c r="D984">
        <v>11</v>
      </c>
      <c r="E984" s="2">
        <v>6.7601684758515797E-4</v>
      </c>
      <c r="F984">
        <v>2.7040673903406301E-3</v>
      </c>
      <c r="G984" t="s">
        <v>3043</v>
      </c>
    </row>
    <row r="985" spans="1:7" x14ac:dyDescent="0.25">
      <c r="A985" s="4" t="str">
        <f>HYPERLINK("http://amigo.geneontology.org/cgi-bin/amigo/term-details.cgi?term=GO:0009505","GO:0009505")</f>
        <v>GO:0009505</v>
      </c>
      <c r="B985" t="s">
        <v>3208</v>
      </c>
      <c r="C985">
        <v>77</v>
      </c>
      <c r="D985">
        <v>11</v>
      </c>
      <c r="E985" s="2">
        <v>6.7601684758515797E-4</v>
      </c>
      <c r="F985">
        <v>2.7040673903406301E-3</v>
      </c>
      <c r="G985" t="s">
        <v>3207</v>
      </c>
    </row>
    <row r="986" spans="1:7" x14ac:dyDescent="0.25">
      <c r="A986" s="4" t="str">
        <f>HYPERLINK("http://amigo.geneontology.org/cgi-bin/amigo/term-details.cgi?term=GO:0060589","GO:0060589")</f>
        <v>GO:0060589</v>
      </c>
      <c r="B986" t="s">
        <v>1391</v>
      </c>
      <c r="C986">
        <v>102</v>
      </c>
      <c r="D986">
        <v>13</v>
      </c>
      <c r="E986" s="2">
        <v>7.0290806407113005E-4</v>
      </c>
      <c r="F986">
        <v>2.8116322562845202E-3</v>
      </c>
      <c r="G986" t="s">
        <v>3206</v>
      </c>
    </row>
    <row r="987" spans="1:7" x14ac:dyDescent="0.25">
      <c r="A987" s="4" t="str">
        <f>HYPERLINK("http://amigo.geneontology.org/cgi-bin/amigo/term-details.cgi?term=GO:0006414","GO:0006414")</f>
        <v>GO:0006414</v>
      </c>
      <c r="B987" t="s">
        <v>681</v>
      </c>
      <c r="C987">
        <v>102</v>
      </c>
      <c r="D987">
        <v>13</v>
      </c>
      <c r="E987" s="2">
        <v>7.0290806407113005E-4</v>
      </c>
      <c r="F987">
        <v>2.8116322562845202E-3</v>
      </c>
      <c r="G987" t="s">
        <v>3205</v>
      </c>
    </row>
    <row r="988" spans="1:7" x14ac:dyDescent="0.25">
      <c r="A988" s="4" t="str">
        <f>HYPERLINK("http://amigo.geneontology.org/cgi-bin/amigo/term-details.cgi?term=GO:0010675","GO:0010675")</f>
        <v>GO:0010675</v>
      </c>
      <c r="B988" t="s">
        <v>3204</v>
      </c>
      <c r="C988">
        <v>10</v>
      </c>
      <c r="D988">
        <v>4</v>
      </c>
      <c r="E988" s="2">
        <v>7.0317394234196799E-4</v>
      </c>
      <c r="F988">
        <v>2.8126957693678698E-3</v>
      </c>
      <c r="G988" t="s">
        <v>3007</v>
      </c>
    </row>
    <row r="989" spans="1:7" x14ac:dyDescent="0.25">
      <c r="A989" s="4" t="str">
        <f>HYPERLINK("http://amigo.geneontology.org/cgi-bin/amigo/term-details.cgi?term=GO:0010257","GO:0010257")</f>
        <v>GO:0010257</v>
      </c>
      <c r="B989" t="s">
        <v>3203</v>
      </c>
      <c r="C989">
        <v>10</v>
      </c>
      <c r="D989">
        <v>4</v>
      </c>
      <c r="E989" s="2">
        <v>7.0317394234196799E-4</v>
      </c>
      <c r="F989">
        <v>2.8126957693678698E-3</v>
      </c>
      <c r="G989" t="s">
        <v>3202</v>
      </c>
    </row>
    <row r="990" spans="1:7" x14ac:dyDescent="0.25">
      <c r="A990" s="4" t="str">
        <f>HYPERLINK("http://amigo.geneontology.org/cgi-bin/amigo/term-details.cgi?term=GO:0005694","GO:0005694")</f>
        <v>GO:0005694</v>
      </c>
      <c r="B990" t="s">
        <v>3201</v>
      </c>
      <c r="C990">
        <v>967</v>
      </c>
      <c r="D990">
        <v>66</v>
      </c>
      <c r="E990" s="2">
        <v>7.0506200913299298E-4</v>
      </c>
      <c r="F990">
        <v>2.8202480365319702E-3</v>
      </c>
      <c r="G990" t="s">
        <v>3200</v>
      </c>
    </row>
    <row r="991" spans="1:7" x14ac:dyDescent="0.25">
      <c r="A991" s="4" t="str">
        <f>HYPERLINK("http://amigo.geneontology.org/cgi-bin/amigo/term-details.cgi?term=GO:0009683","GO:0009683")</f>
        <v>GO:0009683</v>
      </c>
      <c r="B991" t="s">
        <v>3199</v>
      </c>
      <c r="C991">
        <v>44</v>
      </c>
      <c r="D991">
        <v>8</v>
      </c>
      <c r="E991" s="2">
        <v>7.1411434950646496E-4</v>
      </c>
      <c r="F991">
        <v>2.8564573980258598E-3</v>
      </c>
      <c r="G991" t="s">
        <v>2987</v>
      </c>
    </row>
    <row r="992" spans="1:7" x14ac:dyDescent="0.25">
      <c r="A992" s="4" t="str">
        <f>HYPERLINK("http://amigo.geneontology.org/cgi-bin/amigo/term-details.cgi?term=GO:0009360","GO:0009360")</f>
        <v>GO:0009360</v>
      </c>
      <c r="B992" t="s">
        <v>1137</v>
      </c>
      <c r="C992">
        <v>17</v>
      </c>
      <c r="D992">
        <v>5</v>
      </c>
      <c r="E992" s="2">
        <v>7.3805945281692697E-4</v>
      </c>
      <c r="F992">
        <v>2.9522378112677001E-3</v>
      </c>
      <c r="G992" t="s">
        <v>1123</v>
      </c>
    </row>
    <row r="993" spans="1:7" x14ac:dyDescent="0.25">
      <c r="A993" s="4" t="str">
        <f>HYPERLINK("http://amigo.geneontology.org/cgi-bin/amigo/term-details.cgi?term=GO:0046890","GO:0046890")</f>
        <v>GO:0046890</v>
      </c>
      <c r="B993" t="s">
        <v>3198</v>
      </c>
      <c r="C993">
        <v>17</v>
      </c>
      <c r="D993">
        <v>5</v>
      </c>
      <c r="E993" s="2">
        <v>7.3805945281692697E-4</v>
      </c>
      <c r="F993">
        <v>2.9522378112677001E-3</v>
      </c>
      <c r="G993" t="s">
        <v>3197</v>
      </c>
    </row>
    <row r="994" spans="1:7" x14ac:dyDescent="0.25">
      <c r="A994" s="4" t="str">
        <f>HYPERLINK("http://amigo.geneontology.org/cgi-bin/amigo/term-details.cgi?term=GO:0009310","GO:0009310")</f>
        <v>GO:0009310</v>
      </c>
      <c r="B994" t="s">
        <v>3196</v>
      </c>
      <c r="C994">
        <v>55</v>
      </c>
      <c r="D994">
        <v>9</v>
      </c>
      <c r="E994" s="2">
        <v>7.5393800125440099E-4</v>
      </c>
      <c r="F994">
        <v>3.0157520050176001E-3</v>
      </c>
      <c r="G994" t="s">
        <v>3194</v>
      </c>
    </row>
    <row r="995" spans="1:7" x14ac:dyDescent="0.25">
      <c r="A995" s="4" t="str">
        <f>HYPERLINK("http://amigo.geneontology.org/cgi-bin/amigo/term-details.cgi?term=GO:0042402","GO:0042402")</f>
        <v>GO:0042402</v>
      </c>
      <c r="B995" t="s">
        <v>3195</v>
      </c>
      <c r="C995">
        <v>55</v>
      </c>
      <c r="D995">
        <v>9</v>
      </c>
      <c r="E995" s="2">
        <v>7.5393800125440099E-4</v>
      </c>
      <c r="F995">
        <v>3.0157520050176001E-3</v>
      </c>
      <c r="G995" t="s">
        <v>3194</v>
      </c>
    </row>
    <row r="996" spans="1:7" x14ac:dyDescent="0.25">
      <c r="A996" s="4" t="str">
        <f>HYPERLINK("http://amigo.geneontology.org/cgi-bin/amigo/term-details.cgi?term=GO:0006221","GO:0006221")</f>
        <v>GO:0006221</v>
      </c>
      <c r="B996" t="s">
        <v>3193</v>
      </c>
      <c r="C996">
        <v>185</v>
      </c>
      <c r="D996">
        <v>19</v>
      </c>
      <c r="E996" s="2">
        <v>7.7898493714857698E-4</v>
      </c>
      <c r="F996">
        <v>3.1159397485943101E-3</v>
      </c>
      <c r="G996" t="s">
        <v>3109</v>
      </c>
    </row>
    <row r="997" spans="1:7" x14ac:dyDescent="0.25">
      <c r="A997" s="4" t="str">
        <f>HYPERLINK("http://amigo.geneontology.org/cgi-bin/amigo/term-details.cgi?term=GO:0000725","GO:0000725")</f>
        <v>GO:0000725</v>
      </c>
      <c r="B997" t="s">
        <v>3192</v>
      </c>
      <c r="C997">
        <v>91</v>
      </c>
      <c r="D997">
        <v>12</v>
      </c>
      <c r="E997" s="2">
        <v>8.1894447673882805E-4</v>
      </c>
      <c r="F997">
        <v>3.27577790695531E-3</v>
      </c>
      <c r="G997" t="s">
        <v>3191</v>
      </c>
    </row>
    <row r="998" spans="1:7" x14ac:dyDescent="0.25">
      <c r="A998" s="4" t="str">
        <f>HYPERLINK("http://amigo.geneontology.org/cgi-bin/amigo/term-details.cgi?term=GO:0045454","GO:0045454")</f>
        <v>GO:0045454</v>
      </c>
      <c r="B998" t="s">
        <v>96</v>
      </c>
      <c r="C998">
        <v>435</v>
      </c>
      <c r="D998">
        <v>35</v>
      </c>
      <c r="E998" s="2">
        <v>8.2229001517232503E-4</v>
      </c>
      <c r="F998">
        <v>3.2891600606893001E-3</v>
      </c>
      <c r="G998" t="s">
        <v>3190</v>
      </c>
    </row>
    <row r="999" spans="1:7" x14ac:dyDescent="0.25">
      <c r="A999" s="4" t="str">
        <f>HYPERLINK("http://amigo.geneontology.org/cgi-bin/amigo/term-details.cgi?term=GO:0000775","GO:0000775")</f>
        <v>GO:0000775</v>
      </c>
      <c r="B999" t="s">
        <v>1078</v>
      </c>
      <c r="C999">
        <v>45</v>
      </c>
      <c r="D999">
        <v>8</v>
      </c>
      <c r="E999" s="2">
        <v>8.3441183367313396E-4</v>
      </c>
      <c r="F999">
        <v>3.3376473346925302E-3</v>
      </c>
      <c r="G999" t="s">
        <v>3189</v>
      </c>
    </row>
    <row r="1000" spans="1:7" x14ac:dyDescent="0.25">
      <c r="A1000" s="4" t="str">
        <f>HYPERLINK("http://amigo.geneontology.org/cgi-bin/amigo/term-details.cgi?term=GO:0009933","GO:0009933")</f>
        <v>GO:0009933</v>
      </c>
      <c r="B1000" t="s">
        <v>3188</v>
      </c>
      <c r="C1000">
        <v>104</v>
      </c>
      <c r="D1000">
        <v>13</v>
      </c>
      <c r="E1000" s="2">
        <v>8.45849570365067E-4</v>
      </c>
      <c r="F1000">
        <v>3.3833982814602702E-3</v>
      </c>
      <c r="G1000" t="s">
        <v>3159</v>
      </c>
    </row>
    <row r="1001" spans="1:7" x14ac:dyDescent="0.25">
      <c r="A1001" s="4" t="str">
        <f>HYPERLINK("http://amigo.geneontology.org/cgi-bin/amigo/term-details.cgi?term=GO:0009266","GO:0009266")</f>
        <v>GO:0009266</v>
      </c>
      <c r="B1001" t="s">
        <v>1061</v>
      </c>
      <c r="C1001">
        <v>436</v>
      </c>
      <c r="D1001">
        <v>35</v>
      </c>
      <c r="E1001" s="2">
        <v>8.5594002081475402E-4</v>
      </c>
      <c r="F1001">
        <v>3.42376008325901E-3</v>
      </c>
      <c r="G1001" t="s">
        <v>3187</v>
      </c>
    </row>
    <row r="1002" spans="1:7" x14ac:dyDescent="0.25">
      <c r="A1002" s="4" t="str">
        <f>HYPERLINK("http://amigo.geneontology.org/cgi-bin/amigo/term-details.cgi?term=GO:2000034","GO:2000034")</f>
        <v>GO:2000034</v>
      </c>
      <c r="B1002" t="s">
        <v>3186</v>
      </c>
      <c r="C1002">
        <v>5</v>
      </c>
      <c r="D1002">
        <v>3</v>
      </c>
      <c r="E1002" s="2">
        <v>8.6206252000985497E-4</v>
      </c>
      <c r="F1002">
        <v>3.4482500800394199E-3</v>
      </c>
      <c r="G1002" t="s">
        <v>3185</v>
      </c>
    </row>
    <row r="1003" spans="1:7" x14ac:dyDescent="0.25">
      <c r="A1003" s="4" t="str">
        <f>HYPERLINK("http://amigo.geneontology.org/cgi-bin/amigo/term-details.cgi?term=GO:0009903","GO:0009903")</f>
        <v>GO:0009903</v>
      </c>
      <c r="B1003" t="s">
        <v>3184</v>
      </c>
      <c r="C1003">
        <v>5</v>
      </c>
      <c r="D1003">
        <v>3</v>
      </c>
      <c r="E1003" s="2">
        <v>8.6206252000985497E-4</v>
      </c>
      <c r="F1003">
        <v>3.4482500800394199E-3</v>
      </c>
      <c r="G1003" t="s">
        <v>2602</v>
      </c>
    </row>
    <row r="1004" spans="1:7" x14ac:dyDescent="0.25">
      <c r="A1004" s="4" t="str">
        <f>HYPERLINK("http://amigo.geneontology.org/cgi-bin/amigo/term-details.cgi?term=GO:0031957","GO:0031957")</f>
        <v>GO:0031957</v>
      </c>
      <c r="B1004" t="s">
        <v>3183</v>
      </c>
      <c r="C1004">
        <v>5</v>
      </c>
      <c r="D1004">
        <v>3</v>
      </c>
      <c r="E1004" s="2">
        <v>8.6206252000985497E-4</v>
      </c>
      <c r="F1004">
        <v>3.4482500800394199E-3</v>
      </c>
      <c r="G1004" t="s">
        <v>2363</v>
      </c>
    </row>
    <row r="1005" spans="1:7" x14ac:dyDescent="0.25">
      <c r="A1005" s="4" t="str">
        <f>HYPERLINK("http://amigo.geneontology.org/cgi-bin/amigo/term-details.cgi?term=GO:0046554","GO:0046554")</f>
        <v>GO:0046554</v>
      </c>
      <c r="B1005" t="s">
        <v>633</v>
      </c>
      <c r="C1005">
        <v>5</v>
      </c>
      <c r="D1005">
        <v>3</v>
      </c>
      <c r="E1005" s="2">
        <v>8.6206252000985497E-4</v>
      </c>
      <c r="F1005">
        <v>3.4482500800394199E-3</v>
      </c>
      <c r="G1005" t="s">
        <v>632</v>
      </c>
    </row>
    <row r="1006" spans="1:7" x14ac:dyDescent="0.25">
      <c r="A1006" s="4" t="str">
        <f>HYPERLINK("http://amigo.geneontology.org/cgi-bin/amigo/term-details.cgi?term=GO:0009409","GO:0009409")</f>
        <v>GO:0009409</v>
      </c>
      <c r="B1006" t="s">
        <v>3182</v>
      </c>
      <c r="C1006">
        <v>202</v>
      </c>
      <c r="D1006">
        <v>20</v>
      </c>
      <c r="E1006" s="2">
        <v>9.1144963351820702E-4</v>
      </c>
      <c r="F1006">
        <v>3.6457985340728298E-3</v>
      </c>
      <c r="G1006" t="s">
        <v>3181</v>
      </c>
    </row>
    <row r="1007" spans="1:7" x14ac:dyDescent="0.25">
      <c r="A1007" s="4" t="str">
        <f>HYPERLINK("http://amigo.geneontology.org/cgi-bin/amigo/term-details.cgi?term=GO:0031048","GO:0031048")</f>
        <v>GO:0031048</v>
      </c>
      <c r="B1007" t="s">
        <v>3180</v>
      </c>
      <c r="C1007">
        <v>68</v>
      </c>
      <c r="D1007">
        <v>10</v>
      </c>
      <c r="E1007" s="2">
        <v>9.2996277384426503E-4</v>
      </c>
      <c r="F1007">
        <v>3.7198510953770601E-3</v>
      </c>
      <c r="G1007" t="s">
        <v>3179</v>
      </c>
    </row>
    <row r="1008" spans="1:7" x14ac:dyDescent="0.25">
      <c r="A1008" s="4" t="str">
        <f>HYPERLINK("http://amigo.geneontology.org/cgi-bin/amigo/term-details.cgi?term=GO:0072522","GO:0072522")</f>
        <v>GO:0072522</v>
      </c>
      <c r="B1008" t="s">
        <v>468</v>
      </c>
      <c r="C1008">
        <v>357</v>
      </c>
      <c r="D1008">
        <v>30</v>
      </c>
      <c r="E1008" s="2">
        <v>9.4407318813050296E-4</v>
      </c>
      <c r="F1008">
        <v>3.7762927525220101E-3</v>
      </c>
      <c r="G1008" t="s">
        <v>3178</v>
      </c>
    </row>
    <row r="1009" spans="1:7" x14ac:dyDescent="0.25">
      <c r="A1009" s="4" t="str">
        <f>HYPERLINK("http://amigo.geneontology.org/cgi-bin/amigo/term-details.cgi?term=GO:0004003","GO:0004003")</f>
        <v>GO:0004003</v>
      </c>
      <c r="B1009" t="s">
        <v>423</v>
      </c>
      <c r="C1009">
        <v>57</v>
      </c>
      <c r="D1009">
        <v>9</v>
      </c>
      <c r="E1009" s="2">
        <v>9.8376850992971509E-4</v>
      </c>
      <c r="F1009">
        <v>3.9350740397188604E-3</v>
      </c>
      <c r="G1009" t="s">
        <v>3177</v>
      </c>
    </row>
    <row r="1010" spans="1:7" x14ac:dyDescent="0.25">
      <c r="A1010" s="4" t="str">
        <f>HYPERLINK("http://amigo.geneontology.org/cgi-bin/amigo/term-details.cgi?term=GO:0070652","GO:0070652")</f>
        <v>GO:0070652</v>
      </c>
      <c r="B1010" t="s">
        <v>539</v>
      </c>
      <c r="C1010">
        <v>18</v>
      </c>
      <c r="D1010">
        <v>5</v>
      </c>
      <c r="E1010" s="2">
        <v>9.84010105439886E-4</v>
      </c>
      <c r="F1010">
        <v>3.9360404217595396E-3</v>
      </c>
      <c r="G1010" t="s">
        <v>3176</v>
      </c>
    </row>
    <row r="1011" spans="1:7" x14ac:dyDescent="0.25">
      <c r="A1011" s="4" t="str">
        <f>HYPERLINK("http://amigo.geneontology.org/cgi-bin/amigo/term-details.cgi?term=GO:0070507","GO:0070507")</f>
        <v>GO:0070507</v>
      </c>
      <c r="B1011" t="s">
        <v>3175</v>
      </c>
      <c r="C1011">
        <v>36</v>
      </c>
      <c r="D1011">
        <v>7</v>
      </c>
      <c r="E1011">
        <v>1.0080980546442E-3</v>
      </c>
      <c r="F1011">
        <v>4.0323922185768199E-3</v>
      </c>
      <c r="G1011" t="s">
        <v>3174</v>
      </c>
    </row>
    <row r="1012" spans="1:7" x14ac:dyDescent="0.25">
      <c r="A1012" s="4" t="str">
        <f>HYPERLINK("http://amigo.geneontology.org/cgi-bin/amigo/term-details.cgi?term=GO:0006112","GO:0006112")</f>
        <v>GO:0006112</v>
      </c>
      <c r="B1012" t="s">
        <v>1092</v>
      </c>
      <c r="C1012">
        <v>36</v>
      </c>
      <c r="D1012">
        <v>7</v>
      </c>
      <c r="E1012">
        <v>1.0080980546442E-3</v>
      </c>
      <c r="F1012">
        <v>4.0323922185768199E-3</v>
      </c>
      <c r="G1012" t="s">
        <v>3173</v>
      </c>
    </row>
    <row r="1013" spans="1:7" x14ac:dyDescent="0.25">
      <c r="A1013" s="4" t="str">
        <f>HYPERLINK("http://amigo.geneontology.org/cgi-bin/amigo/term-details.cgi?term=GO:0005977","GO:0005977")</f>
        <v>GO:0005977</v>
      </c>
      <c r="B1013" t="s">
        <v>1091</v>
      </c>
      <c r="C1013">
        <v>36</v>
      </c>
      <c r="D1013">
        <v>7</v>
      </c>
      <c r="E1013">
        <v>1.0080980546442E-3</v>
      </c>
      <c r="F1013">
        <v>4.0323922185768199E-3</v>
      </c>
      <c r="G1013" t="s">
        <v>3173</v>
      </c>
    </row>
    <row r="1014" spans="1:7" x14ac:dyDescent="0.25">
      <c r="A1014" s="4" t="str">
        <f>HYPERLINK("http://amigo.geneontology.org/cgi-bin/amigo/term-details.cgi?term=GO:0050661","GO:0050661")</f>
        <v>GO:0050661</v>
      </c>
      <c r="B1014" t="s">
        <v>465</v>
      </c>
      <c r="C1014">
        <v>264</v>
      </c>
      <c r="D1014">
        <v>24</v>
      </c>
      <c r="E1014">
        <v>1.0108069043834301E-3</v>
      </c>
      <c r="F1014">
        <v>4.0432276175337298E-3</v>
      </c>
      <c r="G1014" t="s">
        <v>3172</v>
      </c>
    </row>
    <row r="1015" spans="1:7" x14ac:dyDescent="0.25">
      <c r="A1015" s="4" t="str">
        <f>HYPERLINK("http://amigo.geneontology.org/cgi-bin/amigo/term-details.cgi?term=GO:0005783","GO:0005783")</f>
        <v>GO:0005783</v>
      </c>
      <c r="B1015" t="s">
        <v>1098</v>
      </c>
      <c r="C1015">
        <v>697</v>
      </c>
      <c r="D1015">
        <v>50</v>
      </c>
      <c r="E1015">
        <v>1.0427584574231E-3</v>
      </c>
      <c r="F1015">
        <v>4.1710338296924304E-3</v>
      </c>
      <c r="G1015" t="s">
        <v>3171</v>
      </c>
    </row>
    <row r="1016" spans="1:7" x14ac:dyDescent="0.25">
      <c r="A1016" s="4" t="str">
        <f>HYPERLINK("http://amigo.geneontology.org/cgi-bin/amigo/term-details.cgi?term=GO:0009642","GO:0009642")</f>
        <v>GO:0009642</v>
      </c>
      <c r="B1016" t="s">
        <v>1675</v>
      </c>
      <c r="C1016">
        <v>147</v>
      </c>
      <c r="D1016">
        <v>16</v>
      </c>
      <c r="E1016">
        <v>1.05866155546525E-3</v>
      </c>
      <c r="F1016">
        <v>4.2346462218610104E-3</v>
      </c>
      <c r="G1016" t="s">
        <v>3170</v>
      </c>
    </row>
    <row r="1017" spans="1:7" x14ac:dyDescent="0.25">
      <c r="A1017" s="4" t="str">
        <f>HYPERLINK("http://amigo.geneontology.org/cgi-bin/amigo/term-details.cgi?term=GO:0030337","GO:0030337")</f>
        <v>GO:0030337</v>
      </c>
      <c r="B1017" t="s">
        <v>1122</v>
      </c>
      <c r="C1017">
        <v>11</v>
      </c>
      <c r="D1017">
        <v>4</v>
      </c>
      <c r="E1017">
        <v>1.0654423520180499E-3</v>
      </c>
      <c r="F1017">
        <v>4.26176940807221E-3</v>
      </c>
      <c r="G1017" t="s">
        <v>1102</v>
      </c>
    </row>
    <row r="1018" spans="1:7" x14ac:dyDescent="0.25">
      <c r="A1018" s="4" t="str">
        <f>HYPERLINK("http://amigo.geneontology.org/cgi-bin/amigo/term-details.cgi?term=GO:0004551","GO:0004551")</f>
        <v>GO:0004551</v>
      </c>
      <c r="B1018" t="s">
        <v>3169</v>
      </c>
      <c r="C1018">
        <v>11</v>
      </c>
      <c r="D1018">
        <v>4</v>
      </c>
      <c r="E1018">
        <v>1.0654423520180499E-3</v>
      </c>
      <c r="F1018">
        <v>4.26176940807221E-3</v>
      </c>
      <c r="G1018" t="s">
        <v>3168</v>
      </c>
    </row>
    <row r="1019" spans="1:7" x14ac:dyDescent="0.25">
      <c r="A1019" s="4" t="str">
        <f>HYPERLINK("http://amigo.geneontology.org/cgi-bin/amigo/term-details.cgi?term=GO:0045292","GO:0045292")</f>
        <v>GO:0045292</v>
      </c>
      <c r="B1019" t="s">
        <v>3167</v>
      </c>
      <c r="C1019">
        <v>11</v>
      </c>
      <c r="D1019">
        <v>4</v>
      </c>
      <c r="E1019">
        <v>1.0654423520180499E-3</v>
      </c>
      <c r="F1019">
        <v>4.26176940807221E-3</v>
      </c>
      <c r="G1019" t="s">
        <v>3166</v>
      </c>
    </row>
    <row r="1020" spans="1:7" x14ac:dyDescent="0.25">
      <c r="A1020" s="4" t="str">
        <f>HYPERLINK("http://amigo.geneontology.org/cgi-bin/amigo/term-details.cgi?term=GO:0009719","GO:0009719")</f>
        <v>GO:0009719</v>
      </c>
      <c r="B1020" t="s">
        <v>2056</v>
      </c>
      <c r="C1020">
        <v>983</v>
      </c>
      <c r="D1020">
        <v>66</v>
      </c>
      <c r="E1020">
        <v>1.06592225631277E-3</v>
      </c>
      <c r="F1020">
        <v>4.2636890252510801E-3</v>
      </c>
      <c r="G1020" t="s">
        <v>3165</v>
      </c>
    </row>
    <row r="1021" spans="1:7" x14ac:dyDescent="0.25">
      <c r="A1021" s="4" t="str">
        <f>HYPERLINK("http://amigo.geneontology.org/cgi-bin/amigo/term-details.cgi?term=GO:0009725","GO:0009725")</f>
        <v>GO:0009725</v>
      </c>
      <c r="B1021" t="s">
        <v>2055</v>
      </c>
      <c r="C1021">
        <v>983</v>
      </c>
      <c r="D1021">
        <v>66</v>
      </c>
      <c r="E1021">
        <v>1.06592225631277E-3</v>
      </c>
      <c r="F1021">
        <v>4.2636890252510801E-3</v>
      </c>
      <c r="G1021" t="s">
        <v>3165</v>
      </c>
    </row>
    <row r="1022" spans="1:7" x14ac:dyDescent="0.25">
      <c r="A1022" s="4" t="str">
        <f>HYPERLINK("http://amigo.geneontology.org/cgi-bin/amigo/term-details.cgi?term=GO:0005634","GO:0005634")</f>
        <v>GO:0005634</v>
      </c>
      <c r="B1022" t="s">
        <v>3164</v>
      </c>
      <c r="C1022">
        <v>5199</v>
      </c>
      <c r="D1022">
        <v>281</v>
      </c>
      <c r="E1022">
        <v>1.0823102871985999E-3</v>
      </c>
      <c r="F1022">
        <v>4.3292411487944301E-3</v>
      </c>
      <c r="G1022" t="s">
        <v>3163</v>
      </c>
    </row>
    <row r="1023" spans="1:7" x14ac:dyDescent="0.25">
      <c r="A1023" s="4" t="str">
        <f>HYPERLINK("http://amigo.geneontology.org/cgi-bin/amigo/term-details.cgi?term=GO:0045491","GO:0045491")</f>
        <v>GO:0045491</v>
      </c>
      <c r="B1023" t="s">
        <v>3162</v>
      </c>
      <c r="C1023">
        <v>120</v>
      </c>
      <c r="D1023">
        <v>14</v>
      </c>
      <c r="E1023">
        <v>1.08430736344666E-3</v>
      </c>
      <c r="F1023">
        <v>4.3372294537866504E-3</v>
      </c>
      <c r="G1023" t="s">
        <v>3161</v>
      </c>
    </row>
    <row r="1024" spans="1:7" x14ac:dyDescent="0.25">
      <c r="A1024" s="4" t="str">
        <f>HYPERLINK("http://amigo.geneontology.org/cgi-bin/amigo/term-details.cgi?term=GO:0048532","GO:0048532")</f>
        <v>GO:0048532</v>
      </c>
      <c r="B1024" t="s">
        <v>3160</v>
      </c>
      <c r="C1024">
        <v>107</v>
      </c>
      <c r="D1024">
        <v>13</v>
      </c>
      <c r="E1024">
        <v>1.1054400383704399E-3</v>
      </c>
      <c r="F1024">
        <v>4.4217601534817901E-3</v>
      </c>
      <c r="G1024" t="s">
        <v>3159</v>
      </c>
    </row>
    <row r="1025" spans="1:7" x14ac:dyDescent="0.25">
      <c r="A1025" s="4" t="str">
        <f>HYPERLINK("http://amigo.geneontology.org/cgi-bin/amigo/term-details.cgi?term=GO:0042575","GO:0042575")</f>
        <v>GO:0042575</v>
      </c>
      <c r="B1025" t="s">
        <v>1124</v>
      </c>
      <c r="C1025">
        <v>27</v>
      </c>
      <c r="D1025">
        <v>6</v>
      </c>
      <c r="E1025">
        <v>1.1077289112314799E-3</v>
      </c>
      <c r="F1025">
        <v>4.43091564492595E-3</v>
      </c>
      <c r="G1025" t="s">
        <v>3158</v>
      </c>
    </row>
    <row r="1026" spans="1:7" x14ac:dyDescent="0.25">
      <c r="A1026" s="4" t="str">
        <f>HYPERLINK("http://amigo.geneontology.org/cgi-bin/amigo/term-details.cgi?term=GO:0009501","GO:0009501")</f>
        <v>GO:0009501</v>
      </c>
      <c r="B1026" t="s">
        <v>3157</v>
      </c>
      <c r="C1026">
        <v>27</v>
      </c>
      <c r="D1026">
        <v>6</v>
      </c>
      <c r="E1026">
        <v>1.1077289112314799E-3</v>
      </c>
      <c r="F1026">
        <v>4.43091564492595E-3</v>
      </c>
      <c r="G1026" t="s">
        <v>3156</v>
      </c>
    </row>
    <row r="1027" spans="1:7" x14ac:dyDescent="0.25">
      <c r="A1027" s="4" t="str">
        <f>HYPERLINK("http://amigo.geneontology.org/cgi-bin/amigo/term-details.cgi?term=GO:0004565","GO:0004565")</f>
        <v>GO:0004565</v>
      </c>
      <c r="B1027" t="s">
        <v>1395</v>
      </c>
      <c r="C1027">
        <v>27</v>
      </c>
      <c r="D1027">
        <v>6</v>
      </c>
      <c r="E1027">
        <v>1.1077289112314799E-3</v>
      </c>
      <c r="F1027">
        <v>4.43091564492595E-3</v>
      </c>
      <c r="G1027" t="s">
        <v>3155</v>
      </c>
    </row>
    <row r="1028" spans="1:7" x14ac:dyDescent="0.25">
      <c r="A1028" s="4" t="str">
        <f>HYPERLINK("http://amigo.geneontology.org/cgi-bin/amigo/term-details.cgi?term=GO:0030663","GO:0030663")</f>
        <v>GO:0030663</v>
      </c>
      <c r="B1028" t="s">
        <v>530</v>
      </c>
      <c r="C1028">
        <v>27</v>
      </c>
      <c r="D1028">
        <v>6</v>
      </c>
      <c r="E1028">
        <v>1.1077289112314799E-3</v>
      </c>
      <c r="F1028">
        <v>4.43091564492595E-3</v>
      </c>
      <c r="G1028" t="s">
        <v>3154</v>
      </c>
    </row>
    <row r="1029" spans="1:7" x14ac:dyDescent="0.25">
      <c r="A1029" s="4" t="str">
        <f>HYPERLINK("http://amigo.geneontology.org/cgi-bin/amigo/term-details.cgi?term=GO:0030126","GO:0030126")</f>
        <v>GO:0030126</v>
      </c>
      <c r="B1029" t="s">
        <v>529</v>
      </c>
      <c r="C1029">
        <v>27</v>
      </c>
      <c r="D1029">
        <v>6</v>
      </c>
      <c r="E1029">
        <v>1.1077289112314799E-3</v>
      </c>
      <c r="F1029">
        <v>4.43091564492595E-3</v>
      </c>
      <c r="G1029" t="s">
        <v>3154</v>
      </c>
    </row>
    <row r="1030" spans="1:7" x14ac:dyDescent="0.25">
      <c r="A1030" s="4" t="str">
        <f>HYPERLINK("http://amigo.geneontology.org/cgi-bin/amigo/term-details.cgi?term=GO:0043413","GO:0043413")</f>
        <v>GO:0043413</v>
      </c>
      <c r="B1030" t="s">
        <v>1160</v>
      </c>
      <c r="C1030">
        <v>298</v>
      </c>
      <c r="D1030">
        <v>26</v>
      </c>
      <c r="E1030">
        <v>1.1672734815938899E-3</v>
      </c>
      <c r="F1030">
        <v>4.6690939263755596E-3</v>
      </c>
      <c r="G1030" t="s">
        <v>2757</v>
      </c>
    </row>
    <row r="1031" spans="1:7" x14ac:dyDescent="0.25">
      <c r="A1031" s="4" t="str">
        <f>HYPERLINK("http://amigo.geneontology.org/cgi-bin/amigo/term-details.cgi?term=GO:0006486","GO:0006486")</f>
        <v>GO:0006486</v>
      </c>
      <c r="B1031" t="s">
        <v>1159</v>
      </c>
      <c r="C1031">
        <v>298</v>
      </c>
      <c r="D1031">
        <v>26</v>
      </c>
      <c r="E1031">
        <v>1.1672734815938899E-3</v>
      </c>
      <c r="F1031">
        <v>4.6690939263755596E-3</v>
      </c>
      <c r="G1031" t="s">
        <v>2757</v>
      </c>
    </row>
    <row r="1032" spans="1:7" x14ac:dyDescent="0.25">
      <c r="A1032" s="4" t="str">
        <f>HYPERLINK("http://amigo.geneontology.org/cgi-bin/amigo/term-details.cgi?term=GO:0006563","GO:0006563")</f>
        <v>GO:0006563</v>
      </c>
      <c r="B1032" t="s">
        <v>533</v>
      </c>
      <c r="C1032">
        <v>70</v>
      </c>
      <c r="D1032">
        <v>10</v>
      </c>
      <c r="E1032">
        <v>1.1693768144327901E-3</v>
      </c>
      <c r="F1032">
        <v>4.6775072577311802E-3</v>
      </c>
      <c r="G1032" t="s">
        <v>3153</v>
      </c>
    </row>
    <row r="1033" spans="1:7" x14ac:dyDescent="0.25">
      <c r="A1033" s="4" t="str">
        <f>HYPERLINK("http://amigo.geneontology.org/cgi-bin/amigo/term-details.cgi?term=GO:0042157","GO:0042157")</f>
        <v>GO:0042157</v>
      </c>
      <c r="B1033" t="s">
        <v>566</v>
      </c>
      <c r="C1033">
        <v>121</v>
      </c>
      <c r="D1033">
        <v>14</v>
      </c>
      <c r="E1033">
        <v>1.1759802777552399E-3</v>
      </c>
      <c r="F1033">
        <v>4.7039211110209596E-3</v>
      </c>
      <c r="G1033" t="s">
        <v>3152</v>
      </c>
    </row>
    <row r="1034" spans="1:7" x14ac:dyDescent="0.25">
      <c r="A1034" s="4" t="str">
        <f>HYPERLINK("http://amigo.geneontology.org/cgi-bin/amigo/term-details.cgi?term=GO:0016255","GO:0016255")</f>
        <v>GO:0016255</v>
      </c>
      <c r="B1034" t="s">
        <v>1118</v>
      </c>
      <c r="C1034">
        <v>19</v>
      </c>
      <c r="D1034">
        <v>5</v>
      </c>
      <c r="E1034">
        <v>1.28595208236917E-3</v>
      </c>
      <c r="F1034">
        <v>5.1438083294767104E-3</v>
      </c>
      <c r="G1034" t="s">
        <v>1117</v>
      </c>
    </row>
    <row r="1035" spans="1:7" x14ac:dyDescent="0.25">
      <c r="A1035" s="4" t="str">
        <f>HYPERLINK("http://amigo.geneontology.org/cgi-bin/amigo/term-details.cgi?term=GO:0015098","GO:0015098")</f>
        <v>GO:0015098</v>
      </c>
      <c r="B1035" t="s">
        <v>452</v>
      </c>
      <c r="C1035">
        <v>19</v>
      </c>
      <c r="D1035">
        <v>5</v>
      </c>
      <c r="E1035">
        <v>1.28595208236917E-3</v>
      </c>
      <c r="F1035">
        <v>5.1438083294767104E-3</v>
      </c>
      <c r="G1035" t="s">
        <v>1125</v>
      </c>
    </row>
    <row r="1036" spans="1:7" x14ac:dyDescent="0.25">
      <c r="A1036" s="4" t="str">
        <f>HYPERLINK("http://amigo.geneontology.org/cgi-bin/amigo/term-details.cgi?term=GO:0015689","GO:0015689")</f>
        <v>GO:0015689</v>
      </c>
      <c r="B1036" t="s">
        <v>451</v>
      </c>
      <c r="C1036">
        <v>19</v>
      </c>
      <c r="D1036">
        <v>5</v>
      </c>
      <c r="E1036">
        <v>1.28595208236917E-3</v>
      </c>
      <c r="F1036">
        <v>5.1438083294767104E-3</v>
      </c>
      <c r="G1036" t="s">
        <v>1125</v>
      </c>
    </row>
    <row r="1037" spans="1:7" x14ac:dyDescent="0.25">
      <c r="A1037" s="4" t="str">
        <f>HYPERLINK("http://amigo.geneontology.org/cgi-bin/amigo/term-details.cgi?term=GO:0051341","GO:0051341")</f>
        <v>GO:0051341</v>
      </c>
      <c r="B1037" t="s">
        <v>402</v>
      </c>
      <c r="C1037">
        <v>19</v>
      </c>
      <c r="D1037">
        <v>5</v>
      </c>
      <c r="E1037">
        <v>1.28595208236917E-3</v>
      </c>
      <c r="F1037">
        <v>5.1438083294767104E-3</v>
      </c>
      <c r="G1037" t="s">
        <v>3151</v>
      </c>
    </row>
    <row r="1038" spans="1:7" x14ac:dyDescent="0.25">
      <c r="A1038" s="4" t="str">
        <f>HYPERLINK("http://amigo.geneontology.org/cgi-bin/amigo/term-details.cgi?term=GO:0009100","GO:0009100")</f>
        <v>GO:0009100</v>
      </c>
      <c r="B1038" t="s">
        <v>1156</v>
      </c>
      <c r="C1038">
        <v>316</v>
      </c>
      <c r="D1038">
        <v>27</v>
      </c>
      <c r="E1038">
        <v>1.2928735195381401E-3</v>
      </c>
      <c r="F1038">
        <v>5.1714940781525899E-3</v>
      </c>
      <c r="G1038" t="s">
        <v>3150</v>
      </c>
    </row>
    <row r="1039" spans="1:7" x14ac:dyDescent="0.25">
      <c r="A1039" s="4" t="str">
        <f>HYPERLINK("http://amigo.geneontology.org/cgi-bin/amigo/term-details.cgi?term=GO:0009218","GO:0009218")</f>
        <v>GO:0009218</v>
      </c>
      <c r="B1039" t="s">
        <v>3149</v>
      </c>
      <c r="C1039">
        <v>150</v>
      </c>
      <c r="D1039">
        <v>16</v>
      </c>
      <c r="E1039">
        <v>1.3118427502847199E-3</v>
      </c>
      <c r="F1039">
        <v>5.2473710011389004E-3</v>
      </c>
      <c r="G1039" t="s">
        <v>3147</v>
      </c>
    </row>
    <row r="1040" spans="1:7" x14ac:dyDescent="0.25">
      <c r="A1040" s="4" t="str">
        <f>HYPERLINK("http://amigo.geneontology.org/cgi-bin/amigo/term-details.cgi?term=GO:0009220","GO:0009220")</f>
        <v>GO:0009220</v>
      </c>
      <c r="B1040" t="s">
        <v>3148</v>
      </c>
      <c r="C1040">
        <v>150</v>
      </c>
      <c r="D1040">
        <v>16</v>
      </c>
      <c r="E1040">
        <v>1.3118427502847199E-3</v>
      </c>
      <c r="F1040">
        <v>5.2473710011389004E-3</v>
      </c>
      <c r="G1040" t="s">
        <v>3147</v>
      </c>
    </row>
    <row r="1041" spans="1:7" x14ac:dyDescent="0.25">
      <c r="A1041" s="4" t="str">
        <f>HYPERLINK("http://amigo.geneontology.org/cgi-bin/amigo/term-details.cgi?term=GO:0006811","GO:0006811")</f>
        <v>GO:0006811</v>
      </c>
      <c r="B1041" t="s">
        <v>141</v>
      </c>
      <c r="C1041">
        <v>1892</v>
      </c>
      <c r="D1041">
        <v>114</v>
      </c>
      <c r="E1041">
        <v>1.31677258591937E-3</v>
      </c>
      <c r="F1041">
        <v>5.26709034367748E-3</v>
      </c>
      <c r="G1041" t="s">
        <v>3146</v>
      </c>
    </row>
    <row r="1042" spans="1:7" x14ac:dyDescent="0.25">
      <c r="A1042" s="4" t="str">
        <f>HYPERLINK("http://amigo.geneontology.org/cgi-bin/amigo/term-details.cgi?term=GO:0010941","GO:0010941")</f>
        <v>GO:0010941</v>
      </c>
      <c r="B1042" t="s">
        <v>2293</v>
      </c>
      <c r="C1042">
        <v>123</v>
      </c>
      <c r="D1042">
        <v>14</v>
      </c>
      <c r="E1042">
        <v>1.3788767420793099E-3</v>
      </c>
      <c r="F1042">
        <v>5.51550696831727E-3</v>
      </c>
      <c r="G1042" t="s">
        <v>3145</v>
      </c>
    </row>
    <row r="1043" spans="1:7" x14ac:dyDescent="0.25">
      <c r="A1043" s="4" t="str">
        <f>HYPERLINK("http://amigo.geneontology.org/cgi-bin/amigo/term-details.cgi?term=GO:0009851","GO:0009851")</f>
        <v>GO:0009851</v>
      </c>
      <c r="B1043" t="s">
        <v>3144</v>
      </c>
      <c r="C1043">
        <v>49</v>
      </c>
      <c r="D1043">
        <v>8</v>
      </c>
      <c r="E1043">
        <v>1.4876755744959601E-3</v>
      </c>
      <c r="F1043">
        <v>5.9507022979838498E-3</v>
      </c>
      <c r="G1043" t="s">
        <v>2987</v>
      </c>
    </row>
    <row r="1044" spans="1:7" x14ac:dyDescent="0.25">
      <c r="A1044" s="4" t="str">
        <f>HYPERLINK("http://amigo.geneontology.org/cgi-bin/amigo/term-details.cgi?term=GO:0046033","GO:0046033")</f>
        <v>GO:0046033</v>
      </c>
      <c r="B1044" t="s">
        <v>3143</v>
      </c>
      <c r="C1044">
        <v>12</v>
      </c>
      <c r="D1044">
        <v>4</v>
      </c>
      <c r="E1044">
        <v>1.54106242134436E-3</v>
      </c>
      <c r="F1044">
        <v>6.1642496853774702E-3</v>
      </c>
      <c r="G1044" t="s">
        <v>3141</v>
      </c>
    </row>
    <row r="1045" spans="1:7" x14ac:dyDescent="0.25">
      <c r="A1045" s="4" t="str">
        <f>HYPERLINK("http://amigo.geneontology.org/cgi-bin/amigo/term-details.cgi?term=GO:0006167","GO:0006167")</f>
        <v>GO:0006167</v>
      </c>
      <c r="B1045" t="s">
        <v>3142</v>
      </c>
      <c r="C1045">
        <v>12</v>
      </c>
      <c r="D1045">
        <v>4</v>
      </c>
      <c r="E1045">
        <v>1.54106242134436E-3</v>
      </c>
      <c r="F1045">
        <v>6.1642496853774702E-3</v>
      </c>
      <c r="G1045" t="s">
        <v>3141</v>
      </c>
    </row>
    <row r="1046" spans="1:7" x14ac:dyDescent="0.25">
      <c r="A1046" s="4" t="str">
        <f>HYPERLINK("http://amigo.geneontology.org/cgi-bin/amigo/term-details.cgi?term=GO:0004825","GO:0004825")</f>
        <v>GO:0004825</v>
      </c>
      <c r="B1046" t="s">
        <v>628</v>
      </c>
      <c r="C1046">
        <v>12</v>
      </c>
      <c r="D1046">
        <v>4</v>
      </c>
      <c r="E1046">
        <v>1.54106242134436E-3</v>
      </c>
      <c r="F1046">
        <v>6.1642496853774702E-3</v>
      </c>
      <c r="G1046" t="s">
        <v>626</v>
      </c>
    </row>
    <row r="1047" spans="1:7" x14ac:dyDescent="0.25">
      <c r="A1047" s="4" t="str">
        <f>HYPERLINK("http://amigo.geneontology.org/cgi-bin/amigo/term-details.cgi?term=GO:0006431","GO:0006431")</f>
        <v>GO:0006431</v>
      </c>
      <c r="B1047" t="s">
        <v>627</v>
      </c>
      <c r="C1047">
        <v>12</v>
      </c>
      <c r="D1047">
        <v>4</v>
      </c>
      <c r="E1047">
        <v>1.54106242134436E-3</v>
      </c>
      <c r="F1047">
        <v>6.1642496853774702E-3</v>
      </c>
      <c r="G1047" t="s">
        <v>626</v>
      </c>
    </row>
    <row r="1048" spans="1:7" x14ac:dyDescent="0.25">
      <c r="A1048" s="4" t="str">
        <f>HYPERLINK("http://amigo.geneontology.org/cgi-bin/amigo/term-details.cgi?term=GO:0019852","GO:0019852")</f>
        <v>GO:0019852</v>
      </c>
      <c r="B1048" t="s">
        <v>3140</v>
      </c>
      <c r="C1048">
        <v>12</v>
      </c>
      <c r="D1048">
        <v>4</v>
      </c>
      <c r="E1048">
        <v>1.54106242134436E-3</v>
      </c>
      <c r="F1048">
        <v>6.1642496853774702E-3</v>
      </c>
      <c r="G1048" t="s">
        <v>3138</v>
      </c>
    </row>
    <row r="1049" spans="1:7" x14ac:dyDescent="0.25">
      <c r="A1049" s="4" t="str">
        <f>HYPERLINK("http://amigo.geneontology.org/cgi-bin/amigo/term-details.cgi?term=GO:0019853","GO:0019853")</f>
        <v>GO:0019853</v>
      </c>
      <c r="B1049" t="s">
        <v>3139</v>
      </c>
      <c r="C1049">
        <v>12</v>
      </c>
      <c r="D1049">
        <v>4</v>
      </c>
      <c r="E1049">
        <v>1.54106242134436E-3</v>
      </c>
      <c r="F1049">
        <v>6.1642496853774702E-3</v>
      </c>
      <c r="G1049" t="s">
        <v>3138</v>
      </c>
    </row>
    <row r="1050" spans="1:7" x14ac:dyDescent="0.25">
      <c r="A1050" s="4" t="str">
        <f>HYPERLINK("http://amigo.geneontology.org/cgi-bin/amigo/term-details.cgi?term=GO:0009124","GO:0009124")</f>
        <v>GO:0009124</v>
      </c>
      <c r="B1050" t="s">
        <v>1382</v>
      </c>
      <c r="C1050">
        <v>304</v>
      </c>
      <c r="D1050">
        <v>26</v>
      </c>
      <c r="E1050">
        <v>1.54859958238019E-3</v>
      </c>
      <c r="F1050">
        <v>6.1943983295207703E-3</v>
      </c>
      <c r="G1050" t="s">
        <v>3137</v>
      </c>
    </row>
    <row r="1051" spans="1:7" x14ac:dyDescent="0.25">
      <c r="A1051" s="4" t="str">
        <f>HYPERLINK("http://amigo.geneontology.org/cgi-bin/amigo/term-details.cgi?term=GO:0009644","GO:0009644")</f>
        <v>GO:0009644</v>
      </c>
      <c r="B1051" t="s">
        <v>1420</v>
      </c>
      <c r="C1051">
        <v>111</v>
      </c>
      <c r="D1051">
        <v>13</v>
      </c>
      <c r="E1051">
        <v>1.5519774881617701E-3</v>
      </c>
      <c r="F1051">
        <v>6.2079099526471098E-3</v>
      </c>
      <c r="G1051" t="s">
        <v>3136</v>
      </c>
    </row>
    <row r="1052" spans="1:7" x14ac:dyDescent="0.25">
      <c r="A1052" s="4" t="str">
        <f>HYPERLINK("http://amigo.geneontology.org/cgi-bin/amigo/term-details.cgi?term=GO:0042044","GO:0042044")</f>
        <v>GO:0042044</v>
      </c>
      <c r="B1052" t="s">
        <v>3135</v>
      </c>
      <c r="C1052">
        <v>61</v>
      </c>
      <c r="D1052">
        <v>9</v>
      </c>
      <c r="E1052">
        <v>1.61326772694657E-3</v>
      </c>
      <c r="F1052">
        <v>6.4530709077863001E-3</v>
      </c>
      <c r="G1052" t="s">
        <v>3133</v>
      </c>
    </row>
    <row r="1053" spans="1:7" x14ac:dyDescent="0.25">
      <c r="A1053" s="4" t="str">
        <f>HYPERLINK("http://amigo.geneontology.org/cgi-bin/amigo/term-details.cgi?term=GO:0006833","GO:0006833")</f>
        <v>GO:0006833</v>
      </c>
      <c r="B1053" t="s">
        <v>3134</v>
      </c>
      <c r="C1053">
        <v>61</v>
      </c>
      <c r="D1053">
        <v>9</v>
      </c>
      <c r="E1053">
        <v>1.61326772694657E-3</v>
      </c>
      <c r="F1053">
        <v>6.4530709077863001E-3</v>
      </c>
      <c r="G1053" t="s">
        <v>3133</v>
      </c>
    </row>
    <row r="1054" spans="1:7" x14ac:dyDescent="0.25">
      <c r="A1054" s="4" t="str">
        <f>HYPERLINK("http://amigo.geneontology.org/cgi-bin/amigo/term-details.cgi?term=GO:0044270","GO:0044270")</f>
        <v>GO:0044270</v>
      </c>
      <c r="B1054" t="s">
        <v>3132</v>
      </c>
      <c r="C1054">
        <v>386</v>
      </c>
      <c r="D1054">
        <v>31</v>
      </c>
      <c r="E1054">
        <v>1.61699547270743E-3</v>
      </c>
      <c r="F1054">
        <v>6.4679818908297201E-3</v>
      </c>
      <c r="G1054" t="s">
        <v>3130</v>
      </c>
    </row>
    <row r="1055" spans="1:7" x14ac:dyDescent="0.25">
      <c r="A1055" s="4" t="str">
        <f>HYPERLINK("http://amigo.geneontology.org/cgi-bin/amigo/term-details.cgi?term=GO:0046700","GO:0046700")</f>
        <v>GO:0046700</v>
      </c>
      <c r="B1055" t="s">
        <v>3131</v>
      </c>
      <c r="C1055">
        <v>386</v>
      </c>
      <c r="D1055">
        <v>31</v>
      </c>
      <c r="E1055">
        <v>1.61699547270743E-3</v>
      </c>
      <c r="F1055">
        <v>6.4679818908297201E-3</v>
      </c>
      <c r="G1055" t="s">
        <v>3130</v>
      </c>
    </row>
    <row r="1056" spans="1:7" x14ac:dyDescent="0.25">
      <c r="A1056" s="4" t="str">
        <f>HYPERLINK("http://amigo.geneontology.org/cgi-bin/amigo/term-details.cgi?term=GO:0043647","GO:0043647")</f>
        <v>GO:0043647</v>
      </c>
      <c r="B1056" t="s">
        <v>1225</v>
      </c>
      <c r="C1056">
        <v>73</v>
      </c>
      <c r="D1056">
        <v>10</v>
      </c>
      <c r="E1056">
        <v>1.62066460952853E-3</v>
      </c>
      <c r="F1056">
        <v>6.4826584381141297E-3</v>
      </c>
      <c r="G1056" t="s">
        <v>3129</v>
      </c>
    </row>
    <row r="1057" spans="1:7" x14ac:dyDescent="0.25">
      <c r="A1057" s="4" t="str">
        <f>HYPERLINK("http://amigo.geneontology.org/cgi-bin/amigo/term-details.cgi?term=GO:0006487","GO:0006487")</f>
        <v>GO:0006487</v>
      </c>
      <c r="B1057" t="s">
        <v>1144</v>
      </c>
      <c r="C1057">
        <v>73</v>
      </c>
      <c r="D1057">
        <v>10</v>
      </c>
      <c r="E1057">
        <v>1.62066460952853E-3</v>
      </c>
      <c r="F1057">
        <v>6.4826584381141297E-3</v>
      </c>
      <c r="G1057" t="s">
        <v>3128</v>
      </c>
    </row>
    <row r="1058" spans="1:7" x14ac:dyDescent="0.25">
      <c r="A1058" s="4" t="str">
        <f>HYPERLINK("http://amigo.geneontology.org/cgi-bin/amigo/term-details.cgi?term=GO:0043289","GO:0043289")</f>
        <v>GO:0043289</v>
      </c>
      <c r="B1058" t="s">
        <v>3127</v>
      </c>
      <c r="C1058">
        <v>29</v>
      </c>
      <c r="D1058">
        <v>6</v>
      </c>
      <c r="E1058">
        <v>1.6452703125885201E-3</v>
      </c>
      <c r="F1058">
        <v>6.5810812503540803E-3</v>
      </c>
      <c r="G1058" t="s">
        <v>2833</v>
      </c>
    </row>
    <row r="1059" spans="1:7" x14ac:dyDescent="0.25">
      <c r="A1059" s="4" t="str">
        <f>HYPERLINK("http://amigo.geneontology.org/cgi-bin/amigo/term-details.cgi?term=GO:1902645","GO:1902645")</f>
        <v>GO:1902645</v>
      </c>
      <c r="B1059" t="s">
        <v>3126</v>
      </c>
      <c r="C1059">
        <v>29</v>
      </c>
      <c r="D1059">
        <v>6</v>
      </c>
      <c r="E1059">
        <v>1.6452703125885201E-3</v>
      </c>
      <c r="F1059">
        <v>6.5810812503540803E-3</v>
      </c>
      <c r="G1059" t="s">
        <v>2833</v>
      </c>
    </row>
    <row r="1060" spans="1:7" x14ac:dyDescent="0.25">
      <c r="A1060" s="4" t="str">
        <f>HYPERLINK("http://amigo.geneontology.org/cgi-bin/amigo/term-details.cgi?term=GO:0009688","GO:0009688")</f>
        <v>GO:0009688</v>
      </c>
      <c r="B1060" t="s">
        <v>3125</v>
      </c>
      <c r="C1060">
        <v>29</v>
      </c>
      <c r="D1060">
        <v>6</v>
      </c>
      <c r="E1060">
        <v>1.6452703125885201E-3</v>
      </c>
      <c r="F1060">
        <v>6.5810812503540803E-3</v>
      </c>
      <c r="G1060" t="s">
        <v>2833</v>
      </c>
    </row>
    <row r="1061" spans="1:7" x14ac:dyDescent="0.25">
      <c r="A1061" s="4" t="str">
        <f>HYPERLINK("http://amigo.geneontology.org/cgi-bin/amigo/term-details.cgi?term=GO:0019374","GO:0019374")</f>
        <v>GO:0019374</v>
      </c>
      <c r="B1061" t="s">
        <v>3124</v>
      </c>
      <c r="C1061">
        <v>39</v>
      </c>
      <c r="D1061">
        <v>7</v>
      </c>
      <c r="E1061">
        <v>1.6503485009275701E-3</v>
      </c>
      <c r="F1061">
        <v>6.6013940037103098E-3</v>
      </c>
      <c r="G1061" t="s">
        <v>3122</v>
      </c>
    </row>
    <row r="1062" spans="1:7" x14ac:dyDescent="0.25">
      <c r="A1062" s="4" t="str">
        <f>HYPERLINK("http://amigo.geneontology.org/cgi-bin/amigo/term-details.cgi?term=GO:0019375","GO:0019375")</f>
        <v>GO:0019375</v>
      </c>
      <c r="B1062" t="s">
        <v>3123</v>
      </c>
      <c r="C1062">
        <v>39</v>
      </c>
      <c r="D1062">
        <v>7</v>
      </c>
      <c r="E1062">
        <v>1.6503485009275701E-3</v>
      </c>
      <c r="F1062">
        <v>6.6013940037103098E-3</v>
      </c>
      <c r="G1062" t="s">
        <v>3122</v>
      </c>
    </row>
    <row r="1063" spans="1:7" x14ac:dyDescent="0.25">
      <c r="A1063" s="4" t="str">
        <f>HYPERLINK("http://amigo.geneontology.org/cgi-bin/amigo/term-details.cgi?term=GO:0006000","GO:0006000")</f>
        <v>GO:0006000</v>
      </c>
      <c r="B1063" t="s">
        <v>3121</v>
      </c>
      <c r="C1063">
        <v>20</v>
      </c>
      <c r="D1063">
        <v>5</v>
      </c>
      <c r="E1063">
        <v>1.65114018048985E-3</v>
      </c>
      <c r="F1063">
        <v>6.6045607219594E-3</v>
      </c>
      <c r="G1063" t="s">
        <v>3120</v>
      </c>
    </row>
    <row r="1064" spans="1:7" x14ac:dyDescent="0.25">
      <c r="A1064" s="4" t="str">
        <f>HYPERLINK("http://amigo.geneontology.org/cgi-bin/amigo/term-details.cgi?term=GO:0030522","GO:0030522")</f>
        <v>GO:0030522</v>
      </c>
      <c r="B1064" t="s">
        <v>3119</v>
      </c>
      <c r="C1064">
        <v>20</v>
      </c>
      <c r="D1064">
        <v>5</v>
      </c>
      <c r="E1064">
        <v>1.65114018048985E-3</v>
      </c>
      <c r="F1064">
        <v>6.6045607219594E-3</v>
      </c>
      <c r="G1064" t="s">
        <v>3025</v>
      </c>
    </row>
    <row r="1065" spans="1:7" x14ac:dyDescent="0.25">
      <c r="A1065" s="4" t="str">
        <f>HYPERLINK("http://amigo.geneontology.org/cgi-bin/amigo/term-details.cgi?term=GO:0009785","GO:0009785")</f>
        <v>GO:0009785</v>
      </c>
      <c r="B1065" t="s">
        <v>3118</v>
      </c>
      <c r="C1065">
        <v>20</v>
      </c>
      <c r="D1065">
        <v>5</v>
      </c>
      <c r="E1065">
        <v>1.65114018048985E-3</v>
      </c>
      <c r="F1065">
        <v>6.6045607219594E-3</v>
      </c>
      <c r="G1065" t="s">
        <v>3025</v>
      </c>
    </row>
    <row r="1066" spans="1:7" x14ac:dyDescent="0.25">
      <c r="A1066" s="4" t="str">
        <f>HYPERLINK("http://amigo.geneontology.org/cgi-bin/amigo/term-details.cgi?term=GO:0004134","GO:0004134")</f>
        <v>GO:0004134</v>
      </c>
      <c r="B1066" t="s">
        <v>618</v>
      </c>
      <c r="C1066">
        <v>6</v>
      </c>
      <c r="D1066">
        <v>3</v>
      </c>
      <c r="E1066">
        <v>1.66598100189475E-3</v>
      </c>
      <c r="F1066">
        <v>6.6639240075790102E-3</v>
      </c>
      <c r="G1066" t="s">
        <v>617</v>
      </c>
    </row>
    <row r="1067" spans="1:7" x14ac:dyDescent="0.25">
      <c r="A1067" s="4" t="str">
        <f>HYPERLINK("http://amigo.geneontology.org/cgi-bin/amigo/term-details.cgi?term=GO:0000025","GO:0000025")</f>
        <v>GO:0000025</v>
      </c>
      <c r="B1067" t="s">
        <v>3117</v>
      </c>
      <c r="C1067">
        <v>6</v>
      </c>
      <c r="D1067">
        <v>3</v>
      </c>
      <c r="E1067">
        <v>1.66598100189475E-3</v>
      </c>
      <c r="F1067">
        <v>6.6639240075790102E-3</v>
      </c>
      <c r="G1067" t="s">
        <v>617</v>
      </c>
    </row>
    <row r="1068" spans="1:7" x14ac:dyDescent="0.25">
      <c r="A1068" s="4" t="str">
        <f>HYPERLINK("http://amigo.geneontology.org/cgi-bin/amigo/term-details.cgi?term=GO:0004654","GO:0004654")</f>
        <v>GO:0004654</v>
      </c>
      <c r="B1068" t="s">
        <v>616</v>
      </c>
      <c r="C1068">
        <v>6</v>
      </c>
      <c r="D1068">
        <v>3</v>
      </c>
      <c r="E1068">
        <v>1.66598100189475E-3</v>
      </c>
      <c r="F1068">
        <v>6.6639240075790102E-3</v>
      </c>
      <c r="G1068" t="s">
        <v>449</v>
      </c>
    </row>
    <row r="1069" spans="1:7" x14ac:dyDescent="0.25">
      <c r="A1069" s="4" t="str">
        <f>HYPERLINK("http://amigo.geneontology.org/cgi-bin/amigo/term-details.cgi?term=GO:0003987","GO:0003987")</f>
        <v>GO:0003987</v>
      </c>
      <c r="B1069" t="s">
        <v>615</v>
      </c>
      <c r="C1069">
        <v>6</v>
      </c>
      <c r="D1069">
        <v>3</v>
      </c>
      <c r="E1069">
        <v>1.66598100189475E-3</v>
      </c>
      <c r="F1069">
        <v>6.6639240075790102E-3</v>
      </c>
      <c r="G1069" t="s">
        <v>435</v>
      </c>
    </row>
    <row r="1070" spans="1:7" x14ac:dyDescent="0.25">
      <c r="A1070" s="4" t="str">
        <f>HYPERLINK("http://amigo.geneontology.org/cgi-bin/amigo/term-details.cgi?term=GO:0016208","GO:0016208")</f>
        <v>GO:0016208</v>
      </c>
      <c r="B1070" t="s">
        <v>614</v>
      </c>
      <c r="C1070">
        <v>6</v>
      </c>
      <c r="D1070">
        <v>3</v>
      </c>
      <c r="E1070">
        <v>1.66598100189475E-3</v>
      </c>
      <c r="F1070">
        <v>6.6639240075790102E-3</v>
      </c>
      <c r="G1070" t="s">
        <v>435</v>
      </c>
    </row>
    <row r="1071" spans="1:7" x14ac:dyDescent="0.25">
      <c r="A1071" s="4" t="str">
        <f>HYPERLINK("http://amigo.geneontology.org/cgi-bin/amigo/term-details.cgi?term=GO:0006083","GO:0006083")</f>
        <v>GO:0006083</v>
      </c>
      <c r="B1071" t="s">
        <v>613</v>
      </c>
      <c r="C1071">
        <v>6</v>
      </c>
      <c r="D1071">
        <v>3</v>
      </c>
      <c r="E1071">
        <v>1.66598100189475E-3</v>
      </c>
      <c r="F1071">
        <v>6.6639240075790102E-3</v>
      </c>
      <c r="G1071" t="s">
        <v>435</v>
      </c>
    </row>
    <row r="1072" spans="1:7" x14ac:dyDescent="0.25">
      <c r="A1072" s="4" t="str">
        <f>HYPERLINK("http://amigo.geneontology.org/cgi-bin/amigo/term-details.cgi?term=GO:0019427","GO:0019427")</f>
        <v>GO:0019427</v>
      </c>
      <c r="B1072" t="s">
        <v>612</v>
      </c>
      <c r="C1072">
        <v>6</v>
      </c>
      <c r="D1072">
        <v>3</v>
      </c>
      <c r="E1072">
        <v>1.66598100189475E-3</v>
      </c>
      <c r="F1072">
        <v>6.6639240075790102E-3</v>
      </c>
      <c r="G1072" t="s">
        <v>435</v>
      </c>
    </row>
    <row r="1073" spans="1:7" x14ac:dyDescent="0.25">
      <c r="A1073" s="4" t="str">
        <f>HYPERLINK("http://amigo.geneontology.org/cgi-bin/amigo/term-details.cgi?term=GO:0030267","GO:0030267")</f>
        <v>GO:0030267</v>
      </c>
      <c r="B1073" t="s">
        <v>3116</v>
      </c>
      <c r="C1073">
        <v>6</v>
      </c>
      <c r="D1073">
        <v>3</v>
      </c>
      <c r="E1073">
        <v>1.66598100189475E-3</v>
      </c>
      <c r="F1073">
        <v>6.6639240075790102E-3</v>
      </c>
      <c r="G1073" t="s">
        <v>3115</v>
      </c>
    </row>
    <row r="1074" spans="1:7" x14ac:dyDescent="0.25">
      <c r="A1074" s="4" t="str">
        <f>HYPERLINK("http://amigo.geneontology.org/cgi-bin/amigo/term-details.cgi?term=GO:0004516","GO:0004516")</f>
        <v>GO:0004516</v>
      </c>
      <c r="B1074" t="s">
        <v>608</v>
      </c>
      <c r="C1074">
        <v>6</v>
      </c>
      <c r="D1074">
        <v>3</v>
      </c>
      <c r="E1074">
        <v>1.66598100189475E-3</v>
      </c>
      <c r="F1074">
        <v>6.6639240075790102E-3</v>
      </c>
      <c r="G1074" t="s">
        <v>433</v>
      </c>
    </row>
    <row r="1075" spans="1:7" x14ac:dyDescent="0.25">
      <c r="A1075" s="4" t="str">
        <f>HYPERLINK("http://amigo.geneontology.org/cgi-bin/amigo/term-details.cgi?term=GO:0046497","GO:0046497")</f>
        <v>GO:0046497</v>
      </c>
      <c r="B1075" t="s">
        <v>607</v>
      </c>
      <c r="C1075">
        <v>6</v>
      </c>
      <c r="D1075">
        <v>3</v>
      </c>
      <c r="E1075">
        <v>1.66598100189475E-3</v>
      </c>
      <c r="F1075">
        <v>6.6639240075790102E-3</v>
      </c>
      <c r="G1075" t="s">
        <v>433</v>
      </c>
    </row>
    <row r="1076" spans="1:7" x14ac:dyDescent="0.25">
      <c r="A1076" s="4" t="str">
        <f>HYPERLINK("http://amigo.geneontology.org/cgi-bin/amigo/term-details.cgi?term=GO:0019357","GO:0019357")</f>
        <v>GO:0019357</v>
      </c>
      <c r="B1076" t="s">
        <v>606</v>
      </c>
      <c r="C1076">
        <v>6</v>
      </c>
      <c r="D1076">
        <v>3</v>
      </c>
      <c r="E1076">
        <v>1.66598100189475E-3</v>
      </c>
      <c r="F1076">
        <v>6.6639240075790102E-3</v>
      </c>
      <c r="G1076" t="s">
        <v>433</v>
      </c>
    </row>
    <row r="1077" spans="1:7" x14ac:dyDescent="0.25">
      <c r="A1077" s="4" t="str">
        <f>HYPERLINK("http://amigo.geneontology.org/cgi-bin/amigo/term-details.cgi?term=GO:0019358","GO:0019358")</f>
        <v>GO:0019358</v>
      </c>
      <c r="B1077" t="s">
        <v>604</v>
      </c>
      <c r="C1077">
        <v>6</v>
      </c>
      <c r="D1077">
        <v>3</v>
      </c>
      <c r="E1077">
        <v>1.66598100189475E-3</v>
      </c>
      <c r="F1077">
        <v>6.6639240075790102E-3</v>
      </c>
      <c r="G1077" t="s">
        <v>433</v>
      </c>
    </row>
    <row r="1078" spans="1:7" x14ac:dyDescent="0.25">
      <c r="A1078" s="4" t="str">
        <f>HYPERLINK("http://amigo.geneontology.org/cgi-bin/amigo/term-details.cgi?term=GO:0030785","GO:0030785")</f>
        <v>GO:0030785</v>
      </c>
      <c r="B1078" t="s">
        <v>1306</v>
      </c>
      <c r="C1078">
        <v>6</v>
      </c>
      <c r="D1078">
        <v>3</v>
      </c>
      <c r="E1078">
        <v>1.66598100189475E-3</v>
      </c>
      <c r="F1078">
        <v>6.6639240075790102E-3</v>
      </c>
      <c r="G1078" t="s">
        <v>3114</v>
      </c>
    </row>
    <row r="1079" spans="1:7" x14ac:dyDescent="0.25">
      <c r="A1079" s="4" t="str">
        <f>HYPERLINK("http://amigo.geneontology.org/cgi-bin/amigo/term-details.cgi?term=GO:0003688","GO:0003688")</f>
        <v>GO:0003688</v>
      </c>
      <c r="B1079" t="s">
        <v>525</v>
      </c>
      <c r="C1079">
        <v>6</v>
      </c>
      <c r="D1079">
        <v>3</v>
      </c>
      <c r="E1079">
        <v>1.66598100189475E-3</v>
      </c>
      <c r="F1079">
        <v>6.6639240075790102E-3</v>
      </c>
      <c r="G1079" t="s">
        <v>1145</v>
      </c>
    </row>
    <row r="1080" spans="1:7" x14ac:dyDescent="0.25">
      <c r="A1080" s="4" t="str">
        <f>HYPERLINK("http://amigo.geneontology.org/cgi-bin/amigo/term-details.cgi?term=GO:0043067","GO:0043067")</f>
        <v>GO:0043067</v>
      </c>
      <c r="B1080" t="s">
        <v>2305</v>
      </c>
      <c r="C1080">
        <v>112</v>
      </c>
      <c r="D1080">
        <v>13</v>
      </c>
      <c r="E1080">
        <v>1.6843395429906899E-3</v>
      </c>
      <c r="F1080">
        <v>6.7373581719627901E-3</v>
      </c>
      <c r="G1080" t="s">
        <v>3113</v>
      </c>
    </row>
    <row r="1081" spans="1:7" x14ac:dyDescent="0.25">
      <c r="A1081" s="4" t="str">
        <f>HYPERLINK("http://amigo.geneontology.org/cgi-bin/amigo/term-details.cgi?term=GO:0071395","GO:0071395")</f>
        <v>GO:0071395</v>
      </c>
      <c r="B1081" t="s">
        <v>2244</v>
      </c>
      <c r="C1081">
        <v>86</v>
      </c>
      <c r="D1081">
        <v>11</v>
      </c>
      <c r="E1081">
        <v>1.7095846054908301E-3</v>
      </c>
      <c r="F1081">
        <v>6.8383384219633404E-3</v>
      </c>
      <c r="G1081" t="s">
        <v>3112</v>
      </c>
    </row>
    <row r="1082" spans="1:7" x14ac:dyDescent="0.25">
      <c r="A1082" s="4" t="str">
        <f>HYPERLINK("http://amigo.geneontology.org/cgi-bin/amigo/term-details.cgi?term=GO:0009867","GO:0009867")</f>
        <v>GO:0009867</v>
      </c>
      <c r="B1082" t="s">
        <v>2243</v>
      </c>
      <c r="C1082">
        <v>86</v>
      </c>
      <c r="D1082">
        <v>11</v>
      </c>
      <c r="E1082">
        <v>1.7095846054908301E-3</v>
      </c>
      <c r="F1082">
        <v>6.8383384219633404E-3</v>
      </c>
      <c r="G1082" t="s">
        <v>3112</v>
      </c>
    </row>
    <row r="1083" spans="1:7" x14ac:dyDescent="0.25">
      <c r="A1083" s="4" t="str">
        <f>HYPERLINK("http://amigo.geneontology.org/cgi-bin/amigo/term-details.cgi?term=GO:0098805","GO:0098805")</f>
        <v>GO:0098805</v>
      </c>
      <c r="B1083" t="s">
        <v>819</v>
      </c>
      <c r="C1083">
        <v>645</v>
      </c>
      <c r="D1083">
        <v>46</v>
      </c>
      <c r="E1083">
        <v>1.8019108705956599E-3</v>
      </c>
      <c r="F1083">
        <v>7.20764348238267E-3</v>
      </c>
      <c r="G1083" t="s">
        <v>3111</v>
      </c>
    </row>
    <row r="1084" spans="1:7" x14ac:dyDescent="0.25">
      <c r="A1084" s="4" t="str">
        <f>HYPERLINK("http://amigo.geneontology.org/cgi-bin/amigo/term-details.cgi?term=GO:0006220","GO:0006220")</f>
        <v>GO:0006220</v>
      </c>
      <c r="B1084" t="s">
        <v>3110</v>
      </c>
      <c r="C1084">
        <v>199</v>
      </c>
      <c r="D1084">
        <v>19</v>
      </c>
      <c r="E1084">
        <v>1.8418647946509101E-3</v>
      </c>
      <c r="F1084">
        <v>7.3674591786036603E-3</v>
      </c>
      <c r="G1084" t="s">
        <v>3109</v>
      </c>
    </row>
    <row r="1085" spans="1:7" x14ac:dyDescent="0.25">
      <c r="A1085" s="4" t="str">
        <f>HYPERLINK("http://amigo.geneontology.org/cgi-bin/amigo/term-details.cgi?term=GO:0045088","GO:0045088")</f>
        <v>GO:0045088</v>
      </c>
      <c r="B1085" t="s">
        <v>2256</v>
      </c>
      <c r="C1085">
        <v>141</v>
      </c>
      <c r="D1085">
        <v>15</v>
      </c>
      <c r="E1085">
        <v>1.8763237139004601E-3</v>
      </c>
      <c r="F1085">
        <v>7.5052948556018602E-3</v>
      </c>
      <c r="G1085" t="s">
        <v>2993</v>
      </c>
    </row>
    <row r="1086" spans="1:7" x14ac:dyDescent="0.25">
      <c r="A1086" s="4" t="str">
        <f>HYPERLINK("http://amigo.geneontology.org/cgi-bin/amigo/term-details.cgi?term=GO:0016144","GO:0016144")</f>
        <v>GO:0016144</v>
      </c>
      <c r="B1086" t="s">
        <v>3108</v>
      </c>
      <c r="C1086">
        <v>87</v>
      </c>
      <c r="D1086">
        <v>11</v>
      </c>
      <c r="E1086">
        <v>1.87836791378245E-3</v>
      </c>
      <c r="F1086">
        <v>7.5134716551298001E-3</v>
      </c>
      <c r="G1086" t="s">
        <v>3105</v>
      </c>
    </row>
    <row r="1087" spans="1:7" x14ac:dyDescent="0.25">
      <c r="A1087" s="4" t="str">
        <f>HYPERLINK("http://amigo.geneontology.org/cgi-bin/amigo/term-details.cgi?term=GO:0019758","GO:0019758")</f>
        <v>GO:0019758</v>
      </c>
      <c r="B1087" t="s">
        <v>3107</v>
      </c>
      <c r="C1087">
        <v>87</v>
      </c>
      <c r="D1087">
        <v>11</v>
      </c>
      <c r="E1087">
        <v>1.87836791378245E-3</v>
      </c>
      <c r="F1087">
        <v>7.5134716551298001E-3</v>
      </c>
      <c r="G1087" t="s">
        <v>3105</v>
      </c>
    </row>
    <row r="1088" spans="1:7" x14ac:dyDescent="0.25">
      <c r="A1088" s="4" t="str">
        <f>HYPERLINK("http://amigo.geneontology.org/cgi-bin/amigo/term-details.cgi?term=GO:0019761","GO:0019761")</f>
        <v>GO:0019761</v>
      </c>
      <c r="B1088" t="s">
        <v>3106</v>
      </c>
      <c r="C1088">
        <v>87</v>
      </c>
      <c r="D1088">
        <v>11</v>
      </c>
      <c r="E1088">
        <v>1.87836791378245E-3</v>
      </c>
      <c r="F1088">
        <v>7.5134716551298001E-3</v>
      </c>
      <c r="G1088" t="s">
        <v>3105</v>
      </c>
    </row>
    <row r="1089" spans="1:7" x14ac:dyDescent="0.25">
      <c r="A1089" s="4" t="str">
        <f>HYPERLINK("http://amigo.geneontology.org/cgi-bin/amigo/term-details.cgi?term=GO:0009826","GO:0009826")</f>
        <v>GO:0009826</v>
      </c>
      <c r="B1089" t="s">
        <v>3104</v>
      </c>
      <c r="C1089">
        <v>100</v>
      </c>
      <c r="D1089">
        <v>12</v>
      </c>
      <c r="E1089">
        <v>1.87920357741004E-3</v>
      </c>
      <c r="F1089">
        <v>7.5168143096401704E-3</v>
      </c>
      <c r="G1089" t="s">
        <v>2844</v>
      </c>
    </row>
    <row r="1090" spans="1:7" x14ac:dyDescent="0.25">
      <c r="A1090" s="4" t="str">
        <f>HYPERLINK("http://amigo.geneontology.org/cgi-bin/amigo/term-details.cgi?term=GO:0140101","GO:0140101")</f>
        <v>GO:0140101</v>
      </c>
      <c r="B1090" t="s">
        <v>3103</v>
      </c>
      <c r="C1090">
        <v>390</v>
      </c>
      <c r="D1090">
        <v>31</v>
      </c>
      <c r="E1090">
        <v>1.8964095799657099E-3</v>
      </c>
      <c r="F1090">
        <v>7.5856383198628701E-3</v>
      </c>
      <c r="G1090" t="s">
        <v>3102</v>
      </c>
    </row>
    <row r="1091" spans="1:7" x14ac:dyDescent="0.25">
      <c r="A1091" s="4" t="str">
        <f>HYPERLINK("http://amigo.geneontology.org/cgi-bin/amigo/term-details.cgi?term=GO:0016774","GO:0016774")</f>
        <v>GO:0016774</v>
      </c>
      <c r="B1091" t="s">
        <v>582</v>
      </c>
      <c r="C1091">
        <v>40</v>
      </c>
      <c r="D1091">
        <v>7</v>
      </c>
      <c r="E1091">
        <v>1.92324857819601E-3</v>
      </c>
      <c r="F1091">
        <v>7.6929943127840598E-3</v>
      </c>
      <c r="G1091" t="s">
        <v>1114</v>
      </c>
    </row>
    <row r="1092" spans="1:7" x14ac:dyDescent="0.25">
      <c r="A1092" s="4" t="str">
        <f>HYPERLINK("http://amigo.geneontology.org/cgi-bin/amigo/term-details.cgi?term=GO:0015925","GO:0015925")</f>
        <v>GO:0015925</v>
      </c>
      <c r="B1092" t="s">
        <v>1396</v>
      </c>
      <c r="C1092">
        <v>40</v>
      </c>
      <c r="D1092">
        <v>7</v>
      </c>
      <c r="E1092">
        <v>1.92324857819601E-3</v>
      </c>
      <c r="F1092">
        <v>7.6929943127840598E-3</v>
      </c>
      <c r="G1092" t="s">
        <v>3101</v>
      </c>
    </row>
    <row r="1093" spans="1:7" x14ac:dyDescent="0.25">
      <c r="A1093" s="4" t="str">
        <f>HYPERLINK("http://amigo.geneontology.org/cgi-bin/amigo/term-details.cgi?term=GO:0006631","GO:0006631")</f>
        <v>GO:0006631</v>
      </c>
      <c r="B1093" t="s">
        <v>1835</v>
      </c>
      <c r="C1093">
        <v>648</v>
      </c>
      <c r="D1093">
        <v>46</v>
      </c>
      <c r="E1093">
        <v>1.9712625883117501E-3</v>
      </c>
      <c r="F1093">
        <v>7.8850503532470004E-3</v>
      </c>
      <c r="G1093" t="s">
        <v>3100</v>
      </c>
    </row>
    <row r="1094" spans="1:7" x14ac:dyDescent="0.25">
      <c r="A1094" s="4" t="str">
        <f>HYPERLINK("http://amigo.geneontology.org/cgi-bin/amigo/term-details.cgi?term=GO:0019751","GO:0019751")</f>
        <v>GO:0019751</v>
      </c>
      <c r="B1094" t="s">
        <v>3099</v>
      </c>
      <c r="C1094">
        <v>142</v>
      </c>
      <c r="D1094">
        <v>15</v>
      </c>
      <c r="E1094">
        <v>2.0118959691479399E-3</v>
      </c>
      <c r="F1094">
        <v>8.0475838765917702E-3</v>
      </c>
      <c r="G1094" t="s">
        <v>3098</v>
      </c>
    </row>
    <row r="1095" spans="1:7" x14ac:dyDescent="0.25">
      <c r="A1095" s="4" t="str">
        <f>HYPERLINK("http://amigo.geneontology.org/cgi-bin/amigo/term-details.cgi?term=GO:0009101","GO:0009101")</f>
        <v>GO:0009101</v>
      </c>
      <c r="B1095" t="s">
        <v>1155</v>
      </c>
      <c r="C1095">
        <v>310</v>
      </c>
      <c r="D1095">
        <v>26</v>
      </c>
      <c r="E1095">
        <v>2.0324518382823799E-3</v>
      </c>
      <c r="F1095">
        <v>8.1298073531295301E-3</v>
      </c>
      <c r="G1095" t="s">
        <v>2757</v>
      </c>
    </row>
    <row r="1096" spans="1:7" x14ac:dyDescent="0.25">
      <c r="A1096" s="4" t="str">
        <f>HYPERLINK("http://amigo.geneontology.org/cgi-bin/amigo/term-details.cgi?term=GO:0000427","GO:0000427")</f>
        <v>GO:0000427</v>
      </c>
      <c r="B1096" t="s">
        <v>3097</v>
      </c>
      <c r="C1096">
        <v>2</v>
      </c>
      <c r="D1096">
        <v>2</v>
      </c>
      <c r="E1096">
        <v>2.04368717701211E-3</v>
      </c>
      <c r="F1096">
        <v>8.1747487080484696E-3</v>
      </c>
      <c r="G1096" t="s">
        <v>3096</v>
      </c>
    </row>
    <row r="1097" spans="1:7" x14ac:dyDescent="0.25">
      <c r="A1097" s="4" t="str">
        <f>HYPERLINK("http://amigo.geneontology.org/cgi-bin/amigo/term-details.cgi?term=GO:2000904","GO:2000904")</f>
        <v>GO:2000904</v>
      </c>
      <c r="B1097" t="s">
        <v>3095</v>
      </c>
      <c r="C1097">
        <v>2</v>
      </c>
      <c r="D1097">
        <v>2</v>
      </c>
      <c r="E1097">
        <v>2.04368717701211E-3</v>
      </c>
      <c r="F1097">
        <v>8.1747487080484696E-3</v>
      </c>
      <c r="G1097" t="s">
        <v>1368</v>
      </c>
    </row>
    <row r="1098" spans="1:7" x14ac:dyDescent="0.25">
      <c r="A1098" s="4" t="str">
        <f>HYPERLINK("http://amigo.geneontology.org/cgi-bin/amigo/term-details.cgi?term=GO:0010581","GO:0010581")</f>
        <v>GO:0010581</v>
      </c>
      <c r="B1098" t="s">
        <v>3094</v>
      </c>
      <c r="C1098">
        <v>2</v>
      </c>
      <c r="D1098">
        <v>2</v>
      </c>
      <c r="E1098">
        <v>2.04368717701211E-3</v>
      </c>
      <c r="F1098">
        <v>8.1747487080484696E-3</v>
      </c>
      <c r="G1098" t="s">
        <v>1368</v>
      </c>
    </row>
    <row r="1099" spans="1:7" x14ac:dyDescent="0.25">
      <c r="A1099" s="4" t="str">
        <f>HYPERLINK("http://amigo.geneontology.org/cgi-bin/amigo/term-details.cgi?term=GO:0043155","GO:0043155")</f>
        <v>GO:0043155</v>
      </c>
      <c r="B1099" t="s">
        <v>3093</v>
      </c>
      <c r="C1099">
        <v>2</v>
      </c>
      <c r="D1099">
        <v>2</v>
      </c>
      <c r="E1099">
        <v>2.04368717701211E-3</v>
      </c>
      <c r="F1099">
        <v>8.1747487080484696E-3</v>
      </c>
      <c r="G1099" t="s">
        <v>3091</v>
      </c>
    </row>
    <row r="1100" spans="1:7" x14ac:dyDescent="0.25">
      <c r="A1100" s="4" t="str">
        <f>HYPERLINK("http://amigo.geneontology.org/cgi-bin/amigo/term-details.cgi?term=GO:0010205","GO:0010205")</f>
        <v>GO:0010205</v>
      </c>
      <c r="B1100" t="s">
        <v>3092</v>
      </c>
      <c r="C1100">
        <v>2</v>
      </c>
      <c r="D1100">
        <v>2</v>
      </c>
      <c r="E1100">
        <v>2.04368717701211E-3</v>
      </c>
      <c r="F1100">
        <v>8.1747487080484696E-3</v>
      </c>
      <c r="G1100" t="s">
        <v>3091</v>
      </c>
    </row>
    <row r="1101" spans="1:7" x14ac:dyDescent="0.25">
      <c r="A1101" s="4" t="str">
        <f>HYPERLINK("http://amigo.geneontology.org/cgi-bin/amigo/term-details.cgi?term=GO:0045912","GO:0045912")</f>
        <v>GO:0045912</v>
      </c>
      <c r="B1101" t="s">
        <v>3090</v>
      </c>
      <c r="C1101">
        <v>2</v>
      </c>
      <c r="D1101">
        <v>2</v>
      </c>
      <c r="E1101">
        <v>2.04368717701211E-3</v>
      </c>
      <c r="F1101">
        <v>8.1747487080484696E-3</v>
      </c>
      <c r="G1101" t="s">
        <v>2504</v>
      </c>
    </row>
    <row r="1102" spans="1:7" x14ac:dyDescent="0.25">
      <c r="A1102" s="4" t="str">
        <f>HYPERLINK("http://amigo.geneontology.org/cgi-bin/amigo/term-details.cgi?term=GO:0010677","GO:0010677")</f>
        <v>GO:0010677</v>
      </c>
      <c r="B1102" t="s">
        <v>3089</v>
      </c>
      <c r="C1102">
        <v>2</v>
      </c>
      <c r="D1102">
        <v>2</v>
      </c>
      <c r="E1102">
        <v>2.04368717701211E-3</v>
      </c>
      <c r="F1102">
        <v>8.1747487080484696E-3</v>
      </c>
      <c r="G1102" t="s">
        <v>2504</v>
      </c>
    </row>
    <row r="1103" spans="1:7" x14ac:dyDescent="0.25">
      <c r="A1103" s="4" t="str">
        <f>HYPERLINK("http://amigo.geneontology.org/cgi-bin/amigo/term-details.cgi?term=GO:1903726","GO:1903726")</f>
        <v>GO:1903726</v>
      </c>
      <c r="B1103" t="s">
        <v>3088</v>
      </c>
      <c r="C1103">
        <v>2</v>
      </c>
      <c r="D1103">
        <v>2</v>
      </c>
      <c r="E1103">
        <v>2.04368717701211E-3</v>
      </c>
      <c r="F1103">
        <v>8.1747487080484696E-3</v>
      </c>
      <c r="G1103" t="s">
        <v>2504</v>
      </c>
    </row>
    <row r="1104" spans="1:7" x14ac:dyDescent="0.25">
      <c r="A1104" s="4" t="str">
        <f>HYPERLINK("http://amigo.geneontology.org/cgi-bin/amigo/term-details.cgi?term=GO:0071072","GO:0071072")</f>
        <v>GO:0071072</v>
      </c>
      <c r="B1104" t="s">
        <v>3087</v>
      </c>
      <c r="C1104">
        <v>2</v>
      </c>
      <c r="D1104">
        <v>2</v>
      </c>
      <c r="E1104">
        <v>2.04368717701211E-3</v>
      </c>
      <c r="F1104">
        <v>8.1747487080484696E-3</v>
      </c>
      <c r="G1104" t="s">
        <v>2504</v>
      </c>
    </row>
    <row r="1105" spans="1:7" x14ac:dyDescent="0.25">
      <c r="A1105" s="4" t="str">
        <f>HYPERLINK("http://amigo.geneontology.org/cgi-bin/amigo/term-details.cgi?term=GO:0010323","GO:0010323")</f>
        <v>GO:0010323</v>
      </c>
      <c r="B1105" t="s">
        <v>3086</v>
      </c>
      <c r="C1105">
        <v>2</v>
      </c>
      <c r="D1105">
        <v>2</v>
      </c>
      <c r="E1105">
        <v>2.04368717701211E-3</v>
      </c>
      <c r="F1105">
        <v>8.1747487080484696E-3</v>
      </c>
      <c r="G1105" t="s">
        <v>2504</v>
      </c>
    </row>
    <row r="1106" spans="1:7" x14ac:dyDescent="0.25">
      <c r="A1106" s="4" t="str">
        <f>HYPERLINK("http://amigo.geneontology.org/cgi-bin/amigo/term-details.cgi?term=GO:0008158","GO:0008158")</f>
        <v>GO:0008158</v>
      </c>
      <c r="B1106" t="s">
        <v>3085</v>
      </c>
      <c r="C1106">
        <v>2</v>
      </c>
      <c r="D1106">
        <v>2</v>
      </c>
      <c r="E1106">
        <v>2.04368717701211E-3</v>
      </c>
      <c r="F1106">
        <v>8.1747487080484696E-3</v>
      </c>
      <c r="G1106" t="s">
        <v>3084</v>
      </c>
    </row>
    <row r="1107" spans="1:7" x14ac:dyDescent="0.25">
      <c r="A1107" s="4" t="str">
        <f>HYPERLINK("http://amigo.geneontology.org/cgi-bin/amigo/term-details.cgi?term=GO:0015220","GO:0015220")</f>
        <v>GO:0015220</v>
      </c>
      <c r="B1107" t="s">
        <v>3083</v>
      </c>
      <c r="C1107">
        <v>2</v>
      </c>
      <c r="D1107">
        <v>2</v>
      </c>
      <c r="E1107">
        <v>2.04368717701211E-3</v>
      </c>
      <c r="F1107">
        <v>8.1747487080484696E-3</v>
      </c>
      <c r="G1107" t="s">
        <v>2688</v>
      </c>
    </row>
    <row r="1108" spans="1:7" x14ac:dyDescent="0.25">
      <c r="A1108" s="4" t="str">
        <f>HYPERLINK("http://amigo.geneontology.org/cgi-bin/amigo/term-details.cgi?term=GO:0015871","GO:0015871")</f>
        <v>GO:0015871</v>
      </c>
      <c r="B1108" t="s">
        <v>3082</v>
      </c>
      <c r="C1108">
        <v>2</v>
      </c>
      <c r="D1108">
        <v>2</v>
      </c>
      <c r="E1108">
        <v>2.04368717701211E-3</v>
      </c>
      <c r="F1108">
        <v>8.1747487080484696E-3</v>
      </c>
      <c r="G1108" t="s">
        <v>2688</v>
      </c>
    </row>
    <row r="1109" spans="1:7" x14ac:dyDescent="0.25">
      <c r="A1109" s="4" t="str">
        <f>HYPERLINK("http://amigo.geneontology.org/cgi-bin/amigo/term-details.cgi?term=GO:0090603","GO:0090603")</f>
        <v>GO:0090603</v>
      </c>
      <c r="B1109" t="s">
        <v>3081</v>
      </c>
      <c r="C1109">
        <v>2</v>
      </c>
      <c r="D1109">
        <v>2</v>
      </c>
      <c r="E1109">
        <v>2.04368717701211E-3</v>
      </c>
      <c r="F1109">
        <v>8.1747487080484696E-3</v>
      </c>
      <c r="G1109" t="s">
        <v>2688</v>
      </c>
    </row>
    <row r="1110" spans="1:7" x14ac:dyDescent="0.25">
      <c r="A1110" s="4" t="str">
        <f>HYPERLINK("http://amigo.geneontology.org/cgi-bin/amigo/term-details.cgi?term=GO:0097218","GO:0097218")</f>
        <v>GO:0097218</v>
      </c>
      <c r="B1110" t="s">
        <v>3080</v>
      </c>
      <c r="C1110">
        <v>2</v>
      </c>
      <c r="D1110">
        <v>2</v>
      </c>
      <c r="E1110">
        <v>2.04368717701211E-3</v>
      </c>
      <c r="F1110">
        <v>8.1747487080484696E-3</v>
      </c>
      <c r="G1110" t="s">
        <v>2688</v>
      </c>
    </row>
    <row r="1111" spans="1:7" x14ac:dyDescent="0.25">
      <c r="A1111" s="4" t="str">
        <f>HYPERLINK("http://amigo.geneontology.org/cgi-bin/amigo/term-details.cgi?term=GO:0052852","GO:0052852")</f>
        <v>GO:0052852</v>
      </c>
      <c r="B1111" t="s">
        <v>3079</v>
      </c>
      <c r="C1111">
        <v>2</v>
      </c>
      <c r="D1111">
        <v>2</v>
      </c>
      <c r="E1111">
        <v>2.04368717701211E-3</v>
      </c>
      <c r="F1111">
        <v>8.1747487080484696E-3</v>
      </c>
      <c r="G1111" t="s">
        <v>2681</v>
      </c>
    </row>
    <row r="1112" spans="1:7" x14ac:dyDescent="0.25">
      <c r="A1112" s="4" t="str">
        <f>HYPERLINK("http://amigo.geneontology.org/cgi-bin/amigo/term-details.cgi?term=GO:0052853","GO:0052853")</f>
        <v>GO:0052853</v>
      </c>
      <c r="B1112" t="s">
        <v>3078</v>
      </c>
      <c r="C1112">
        <v>2</v>
      </c>
      <c r="D1112">
        <v>2</v>
      </c>
      <c r="E1112">
        <v>2.04368717701211E-3</v>
      </c>
      <c r="F1112">
        <v>8.1747487080484696E-3</v>
      </c>
      <c r="G1112" t="s">
        <v>2681</v>
      </c>
    </row>
    <row r="1113" spans="1:7" x14ac:dyDescent="0.25">
      <c r="A1113" s="4" t="str">
        <f>HYPERLINK("http://amigo.geneontology.org/cgi-bin/amigo/term-details.cgi?term=GO:0052854","GO:0052854")</f>
        <v>GO:0052854</v>
      </c>
      <c r="B1113" t="s">
        <v>3077</v>
      </c>
      <c r="C1113">
        <v>2</v>
      </c>
      <c r="D1113">
        <v>2</v>
      </c>
      <c r="E1113">
        <v>2.04368717701211E-3</v>
      </c>
      <c r="F1113">
        <v>8.1747487080484696E-3</v>
      </c>
      <c r="G1113" t="s">
        <v>2681</v>
      </c>
    </row>
    <row r="1114" spans="1:7" x14ac:dyDescent="0.25">
      <c r="A1114" s="4" t="str">
        <f>HYPERLINK("http://amigo.geneontology.org/cgi-bin/amigo/term-details.cgi?term=GO:0000376","GO:0000376")</f>
        <v>GO:0000376</v>
      </c>
      <c r="B1114" t="s">
        <v>3076</v>
      </c>
      <c r="C1114">
        <v>2</v>
      </c>
      <c r="D1114">
        <v>2</v>
      </c>
      <c r="E1114">
        <v>2.04368717701211E-3</v>
      </c>
      <c r="F1114">
        <v>8.1747487080484696E-3</v>
      </c>
      <c r="G1114" t="s">
        <v>3074</v>
      </c>
    </row>
    <row r="1115" spans="1:7" x14ac:dyDescent="0.25">
      <c r="A1115" s="4" t="str">
        <f>HYPERLINK("http://amigo.geneontology.org/cgi-bin/amigo/term-details.cgi?term=GO:0000372","GO:0000372")</f>
        <v>GO:0000372</v>
      </c>
      <c r="B1115" t="s">
        <v>3075</v>
      </c>
      <c r="C1115">
        <v>2</v>
      </c>
      <c r="D1115">
        <v>2</v>
      </c>
      <c r="E1115">
        <v>2.04368717701211E-3</v>
      </c>
      <c r="F1115">
        <v>8.1747487080484696E-3</v>
      </c>
      <c r="G1115" t="s">
        <v>3074</v>
      </c>
    </row>
    <row r="1116" spans="1:7" x14ac:dyDescent="0.25">
      <c r="A1116" s="4" t="str">
        <f>HYPERLINK("http://amigo.geneontology.org/cgi-bin/amigo/term-details.cgi?term=GO:0030093","GO:0030093")</f>
        <v>GO:0030093</v>
      </c>
      <c r="B1116" t="s">
        <v>3073</v>
      </c>
      <c r="C1116">
        <v>2</v>
      </c>
      <c r="D1116">
        <v>2</v>
      </c>
      <c r="E1116">
        <v>2.04368717701211E-3</v>
      </c>
      <c r="F1116">
        <v>8.1747487080484696E-3</v>
      </c>
      <c r="G1116" t="s">
        <v>3072</v>
      </c>
    </row>
    <row r="1117" spans="1:7" x14ac:dyDescent="0.25">
      <c r="A1117" s="4" t="str">
        <f>HYPERLINK("http://amigo.geneontology.org/cgi-bin/amigo/term-details.cgi?term=GO:0006849","GO:0006849")</f>
        <v>GO:0006849</v>
      </c>
      <c r="B1117" t="s">
        <v>3071</v>
      </c>
      <c r="C1117">
        <v>2</v>
      </c>
      <c r="D1117">
        <v>2</v>
      </c>
      <c r="E1117">
        <v>2.04368717701211E-3</v>
      </c>
      <c r="F1117">
        <v>8.1747487080484696E-3</v>
      </c>
      <c r="G1117" t="s">
        <v>3069</v>
      </c>
    </row>
    <row r="1118" spans="1:7" x14ac:dyDescent="0.25">
      <c r="A1118" s="4" t="str">
        <f>HYPERLINK("http://amigo.geneontology.org/cgi-bin/amigo/term-details.cgi?term=GO:0050833","GO:0050833")</f>
        <v>GO:0050833</v>
      </c>
      <c r="B1118" t="s">
        <v>3070</v>
      </c>
      <c r="C1118">
        <v>2</v>
      </c>
      <c r="D1118">
        <v>2</v>
      </c>
      <c r="E1118">
        <v>2.04368717701211E-3</v>
      </c>
      <c r="F1118">
        <v>8.1747487080484696E-3</v>
      </c>
      <c r="G1118" t="s">
        <v>3069</v>
      </c>
    </row>
    <row r="1119" spans="1:7" x14ac:dyDescent="0.25">
      <c r="A1119" s="4" t="str">
        <f>HYPERLINK("http://amigo.geneontology.org/cgi-bin/amigo/term-details.cgi?term=GO:0050278","GO:0050278")</f>
        <v>GO:0050278</v>
      </c>
      <c r="B1119" t="s">
        <v>3068</v>
      </c>
      <c r="C1119">
        <v>2</v>
      </c>
      <c r="D1119">
        <v>2</v>
      </c>
      <c r="E1119">
        <v>2.04368717701211E-3</v>
      </c>
      <c r="F1119">
        <v>8.1747487080484696E-3</v>
      </c>
      <c r="G1119" t="s">
        <v>3067</v>
      </c>
    </row>
    <row r="1120" spans="1:7" x14ac:dyDescent="0.25">
      <c r="A1120" s="4" t="str">
        <f>HYPERLINK("http://amigo.geneontology.org/cgi-bin/amigo/term-details.cgi?term=GO:0006968","GO:0006968")</f>
        <v>GO:0006968</v>
      </c>
      <c r="B1120" t="s">
        <v>3066</v>
      </c>
      <c r="C1120">
        <v>2</v>
      </c>
      <c r="D1120">
        <v>2</v>
      </c>
      <c r="E1120">
        <v>2.04368717701211E-3</v>
      </c>
      <c r="F1120">
        <v>8.1747487080484696E-3</v>
      </c>
      <c r="G1120" t="s">
        <v>2334</v>
      </c>
    </row>
    <row r="1121" spans="1:7" x14ac:dyDescent="0.25">
      <c r="A1121" s="4" t="str">
        <f>HYPERLINK("http://amigo.geneontology.org/cgi-bin/amigo/term-details.cgi?term=GO:0035671","GO:0035671")</f>
        <v>GO:0035671</v>
      </c>
      <c r="B1121" t="s">
        <v>3065</v>
      </c>
      <c r="C1121">
        <v>2</v>
      </c>
      <c r="D1121">
        <v>2</v>
      </c>
      <c r="E1121">
        <v>2.04368717701211E-3</v>
      </c>
      <c r="F1121">
        <v>8.1747487080484696E-3</v>
      </c>
      <c r="G1121" t="s">
        <v>3063</v>
      </c>
    </row>
    <row r="1122" spans="1:7" x14ac:dyDescent="0.25">
      <c r="A1122" s="4" t="str">
        <f>HYPERLINK("http://amigo.geneontology.org/cgi-bin/amigo/term-details.cgi?term=GO:0035798","GO:0035798")</f>
        <v>GO:0035798</v>
      </c>
      <c r="B1122" t="s">
        <v>3064</v>
      </c>
      <c r="C1122">
        <v>2</v>
      </c>
      <c r="D1122">
        <v>2</v>
      </c>
      <c r="E1122">
        <v>2.04368717701211E-3</v>
      </c>
      <c r="F1122">
        <v>8.1747487080484696E-3</v>
      </c>
      <c r="G1122" t="s">
        <v>3063</v>
      </c>
    </row>
    <row r="1123" spans="1:7" x14ac:dyDescent="0.25">
      <c r="A1123" s="4" t="str">
        <f>HYPERLINK("http://amigo.geneontology.org/cgi-bin/amigo/term-details.cgi?term=GO:0009051","GO:0009051")</f>
        <v>GO:0009051</v>
      </c>
      <c r="B1123" t="s">
        <v>3062</v>
      </c>
      <c r="C1123">
        <v>2</v>
      </c>
      <c r="D1123">
        <v>2</v>
      </c>
      <c r="E1123">
        <v>2.04368717701211E-3</v>
      </c>
      <c r="F1123">
        <v>8.1747487080484696E-3</v>
      </c>
      <c r="G1123" t="s">
        <v>3061</v>
      </c>
    </row>
    <row r="1124" spans="1:7" x14ac:dyDescent="0.25">
      <c r="A1124" s="4" t="str">
        <f>HYPERLINK("http://amigo.geneontology.org/cgi-bin/amigo/term-details.cgi?term=GO:0009782","GO:0009782")</f>
        <v>GO:0009782</v>
      </c>
      <c r="B1124" t="s">
        <v>3060</v>
      </c>
      <c r="C1124">
        <v>2</v>
      </c>
      <c r="D1124">
        <v>2</v>
      </c>
      <c r="E1124">
        <v>2.04368717701211E-3</v>
      </c>
      <c r="F1124">
        <v>8.1747487080484696E-3</v>
      </c>
      <c r="G1124" t="s">
        <v>3059</v>
      </c>
    </row>
    <row r="1125" spans="1:7" x14ac:dyDescent="0.25">
      <c r="A1125" s="4" t="str">
        <f>HYPERLINK("http://amigo.geneontology.org/cgi-bin/amigo/term-details.cgi?term=GO:0009977","GO:0009977")</f>
        <v>GO:0009977</v>
      </c>
      <c r="B1125" t="s">
        <v>3058</v>
      </c>
      <c r="C1125">
        <v>2</v>
      </c>
      <c r="D1125">
        <v>2</v>
      </c>
      <c r="E1125">
        <v>2.04368717701211E-3</v>
      </c>
      <c r="F1125">
        <v>8.1747487080484696E-3</v>
      </c>
      <c r="G1125" t="s">
        <v>3057</v>
      </c>
    </row>
    <row r="1126" spans="1:7" x14ac:dyDescent="0.25">
      <c r="A1126" s="4" t="str">
        <f>HYPERLINK("http://amigo.geneontology.org/cgi-bin/amigo/term-details.cgi?term=GO:0016884","GO:0016884")</f>
        <v>GO:0016884</v>
      </c>
      <c r="B1126" t="s">
        <v>603</v>
      </c>
      <c r="C1126">
        <v>101</v>
      </c>
      <c r="D1126">
        <v>12</v>
      </c>
      <c r="E1126">
        <v>2.0463638153387699E-3</v>
      </c>
      <c r="F1126">
        <v>8.1854552613550794E-3</v>
      </c>
      <c r="G1126" t="s">
        <v>3056</v>
      </c>
    </row>
    <row r="1127" spans="1:7" x14ac:dyDescent="0.25">
      <c r="A1127" s="4" t="str">
        <f>HYPERLINK("http://amigo.geneontology.org/cgi-bin/amigo/term-details.cgi?term=GO:0000922","GO:0000922")</f>
        <v>GO:0000922</v>
      </c>
      <c r="B1127" t="s">
        <v>440</v>
      </c>
      <c r="C1127">
        <v>21</v>
      </c>
      <c r="D1127">
        <v>5</v>
      </c>
      <c r="E1127">
        <v>2.0870103426534302E-3</v>
      </c>
      <c r="F1127">
        <v>8.3480413706137398E-3</v>
      </c>
      <c r="G1127" t="s">
        <v>3055</v>
      </c>
    </row>
    <row r="1128" spans="1:7" x14ac:dyDescent="0.25">
      <c r="A1128" s="4" t="str">
        <f>HYPERLINK("http://amigo.geneontology.org/cgi-bin/amigo/term-details.cgi?term=GO:0004645","GO:0004645")</f>
        <v>GO:0004645</v>
      </c>
      <c r="B1128" t="s">
        <v>414</v>
      </c>
      <c r="C1128">
        <v>21</v>
      </c>
      <c r="D1128">
        <v>5</v>
      </c>
      <c r="E1128">
        <v>2.0870103426534302E-3</v>
      </c>
      <c r="F1128">
        <v>8.3480413706137398E-3</v>
      </c>
      <c r="G1128" t="s">
        <v>3054</v>
      </c>
    </row>
    <row r="1129" spans="1:7" x14ac:dyDescent="0.25">
      <c r="A1129" s="4" t="str">
        <f>HYPERLINK("http://amigo.geneontology.org/cgi-bin/amigo/term-details.cgi?term=GO:0042175","GO:0042175")</f>
        <v>GO:0042175</v>
      </c>
      <c r="B1129" t="s">
        <v>1134</v>
      </c>
      <c r="C1129">
        <v>360</v>
      </c>
      <c r="D1129">
        <v>29</v>
      </c>
      <c r="E1129">
        <v>2.1384283192026699E-3</v>
      </c>
      <c r="F1129">
        <v>8.5537132768107108E-3</v>
      </c>
      <c r="G1129" t="s">
        <v>3053</v>
      </c>
    </row>
    <row r="1130" spans="1:7" x14ac:dyDescent="0.25">
      <c r="A1130" s="4" t="str">
        <f>HYPERLINK("http://amigo.geneontology.org/cgi-bin/amigo/term-details.cgi?term=GO:1901401","GO:1901401")</f>
        <v>GO:1901401</v>
      </c>
      <c r="B1130" t="s">
        <v>3052</v>
      </c>
      <c r="C1130">
        <v>13</v>
      </c>
      <c r="D1130">
        <v>4</v>
      </c>
      <c r="E1130">
        <v>2.1465784602174298E-3</v>
      </c>
      <c r="F1130">
        <v>8.5863138408697193E-3</v>
      </c>
      <c r="G1130" t="s">
        <v>3051</v>
      </c>
    </row>
    <row r="1131" spans="1:7" x14ac:dyDescent="0.25">
      <c r="A1131" s="4" t="str">
        <f>HYPERLINK("http://amigo.geneontology.org/cgi-bin/amigo/term-details.cgi?term=GO:0070546","GO:0070546")</f>
        <v>GO:0070546</v>
      </c>
      <c r="B1131" t="s">
        <v>3050</v>
      </c>
      <c r="C1131">
        <v>13</v>
      </c>
      <c r="D1131">
        <v>4</v>
      </c>
      <c r="E1131">
        <v>2.1465784602174298E-3</v>
      </c>
      <c r="F1131">
        <v>8.5863138408697193E-3</v>
      </c>
      <c r="G1131" t="s">
        <v>3003</v>
      </c>
    </row>
    <row r="1132" spans="1:7" x14ac:dyDescent="0.25">
      <c r="A1132" s="4" t="str">
        <f>HYPERLINK("http://amigo.geneontology.org/cgi-bin/amigo/term-details.cgi?term=GO:0080130","GO:0080130")</f>
        <v>GO:0080130</v>
      </c>
      <c r="B1132" t="s">
        <v>3049</v>
      </c>
      <c r="C1132">
        <v>13</v>
      </c>
      <c r="D1132">
        <v>4</v>
      </c>
      <c r="E1132">
        <v>2.1465784602174298E-3</v>
      </c>
      <c r="F1132">
        <v>8.5863138408697193E-3</v>
      </c>
      <c r="G1132" t="s">
        <v>3003</v>
      </c>
    </row>
    <row r="1133" spans="1:7" x14ac:dyDescent="0.25">
      <c r="A1133" s="4" t="str">
        <f>HYPERLINK("http://amigo.geneontology.org/cgi-bin/amigo/term-details.cgi?term=GO:0006302","GO:0006302")</f>
        <v>GO:0006302</v>
      </c>
      <c r="B1133" t="s">
        <v>3048</v>
      </c>
      <c r="C1133">
        <v>143</v>
      </c>
      <c r="D1133">
        <v>15</v>
      </c>
      <c r="E1133">
        <v>2.1555131022564498E-3</v>
      </c>
      <c r="F1133">
        <v>8.6220524090258096E-3</v>
      </c>
      <c r="G1133" t="s">
        <v>3047</v>
      </c>
    </row>
    <row r="1134" spans="1:7" x14ac:dyDescent="0.25">
      <c r="A1134" s="4" t="str">
        <f>HYPERLINK("http://amigo.geneontology.org/cgi-bin/amigo/term-details.cgi?term=GO:0050776","GO:0050776")</f>
        <v>GO:0050776</v>
      </c>
      <c r="B1134" t="s">
        <v>2255</v>
      </c>
      <c r="C1134">
        <v>143</v>
      </c>
      <c r="D1134">
        <v>15</v>
      </c>
      <c r="E1134">
        <v>2.1555131022564498E-3</v>
      </c>
      <c r="F1134">
        <v>8.6220524090258096E-3</v>
      </c>
      <c r="G1134" t="s">
        <v>2993</v>
      </c>
    </row>
    <row r="1135" spans="1:7" x14ac:dyDescent="0.25">
      <c r="A1135" s="4" t="str">
        <f>HYPERLINK("http://amigo.geneontology.org/cgi-bin/amigo/term-details.cgi?term=GO:0050832","GO:0050832")</f>
        <v>GO:0050832</v>
      </c>
      <c r="B1135" t="s">
        <v>2128</v>
      </c>
      <c r="C1135">
        <v>202</v>
      </c>
      <c r="D1135">
        <v>19</v>
      </c>
      <c r="E1135">
        <v>2.1845953941564502E-3</v>
      </c>
      <c r="F1135">
        <v>8.7383815766258095E-3</v>
      </c>
      <c r="G1135" t="s">
        <v>3046</v>
      </c>
    </row>
    <row r="1136" spans="1:7" x14ac:dyDescent="0.25">
      <c r="A1136" s="4" t="str">
        <f>HYPERLINK("http://amigo.geneontology.org/cgi-bin/amigo/term-details.cgi?term=GO:0046112","GO:0046112")</f>
        <v>GO:0046112</v>
      </c>
      <c r="B1136" t="s">
        <v>453</v>
      </c>
      <c r="C1136">
        <v>52</v>
      </c>
      <c r="D1136">
        <v>8</v>
      </c>
      <c r="E1136">
        <v>2.20243911802278E-3</v>
      </c>
      <c r="F1136">
        <v>8.8097564720911493E-3</v>
      </c>
      <c r="G1136" t="s">
        <v>1108</v>
      </c>
    </row>
    <row r="1137" spans="1:7" x14ac:dyDescent="0.25">
      <c r="A1137" s="4" t="str">
        <f>HYPERLINK("http://amigo.geneontology.org/cgi-bin/amigo/term-details.cgi?term=GO:0048588","GO:0048588")</f>
        <v>GO:0048588</v>
      </c>
      <c r="B1137" t="s">
        <v>3045</v>
      </c>
      <c r="C1137">
        <v>89</v>
      </c>
      <c r="D1137">
        <v>11</v>
      </c>
      <c r="E1137">
        <v>2.25664054836875E-3</v>
      </c>
      <c r="F1137">
        <v>9.0265621934750209E-3</v>
      </c>
      <c r="G1137" t="s">
        <v>3044</v>
      </c>
    </row>
    <row r="1138" spans="1:7" x14ac:dyDescent="0.25">
      <c r="A1138" s="4" t="str">
        <f>HYPERLINK("http://amigo.geneontology.org/cgi-bin/amigo/term-details.cgi?term=GO:0019319","GO:0019319")</f>
        <v>GO:0019319</v>
      </c>
      <c r="B1138" t="s">
        <v>105</v>
      </c>
      <c r="C1138">
        <v>89</v>
      </c>
      <c r="D1138">
        <v>11</v>
      </c>
      <c r="E1138">
        <v>2.25664054836875E-3</v>
      </c>
      <c r="F1138">
        <v>9.0265621934750209E-3</v>
      </c>
      <c r="G1138" t="s">
        <v>3043</v>
      </c>
    </row>
    <row r="1139" spans="1:7" x14ac:dyDescent="0.25">
      <c r="A1139" s="4" t="str">
        <f>HYPERLINK("http://amigo.geneontology.org/cgi-bin/amigo/term-details.cgi?term=GO:0060255","GO:0060255")</f>
        <v>GO:0060255</v>
      </c>
      <c r="B1139" t="s">
        <v>937</v>
      </c>
      <c r="C1139">
        <v>5394</v>
      </c>
      <c r="D1139">
        <v>287</v>
      </c>
      <c r="E1139">
        <v>2.2878612675502402E-3</v>
      </c>
      <c r="F1139">
        <v>6.8635838026507197E-3</v>
      </c>
      <c r="G1139" t="s">
        <v>3042</v>
      </c>
    </row>
    <row r="1140" spans="1:7" x14ac:dyDescent="0.25">
      <c r="A1140" s="4" t="str">
        <f>HYPERLINK("http://amigo.geneontology.org/cgi-bin/amigo/term-details.cgi?term=GO:0044419","GO:0044419")</f>
        <v>GO:0044419</v>
      </c>
      <c r="B1140" t="s">
        <v>3041</v>
      </c>
      <c r="C1140">
        <v>130</v>
      </c>
      <c r="D1140">
        <v>14</v>
      </c>
      <c r="E1140">
        <v>2.33285954453706E-3</v>
      </c>
      <c r="F1140">
        <v>6.9985786336111801E-3</v>
      </c>
      <c r="G1140" t="s">
        <v>3040</v>
      </c>
    </row>
    <row r="1141" spans="1:7" x14ac:dyDescent="0.25">
      <c r="A1141" s="4" t="str">
        <f>HYPERLINK("http://amigo.geneontology.org/cgi-bin/amigo/term-details.cgi?term=GO:0043288","GO:0043288")</f>
        <v>GO:0043288</v>
      </c>
      <c r="B1141" t="s">
        <v>3039</v>
      </c>
      <c r="C1141">
        <v>31</v>
      </c>
      <c r="D1141">
        <v>6</v>
      </c>
      <c r="E1141">
        <v>2.36067026121147E-3</v>
      </c>
      <c r="F1141">
        <v>7.0820107836344296E-3</v>
      </c>
      <c r="G1141" t="s">
        <v>2833</v>
      </c>
    </row>
    <row r="1142" spans="1:7" x14ac:dyDescent="0.25">
      <c r="A1142" s="4" t="str">
        <f>HYPERLINK("http://amigo.geneontology.org/cgi-bin/amigo/term-details.cgi?term=GO:1902644","GO:1902644")</f>
        <v>GO:1902644</v>
      </c>
      <c r="B1142" t="s">
        <v>3038</v>
      </c>
      <c r="C1142">
        <v>31</v>
      </c>
      <c r="D1142">
        <v>6</v>
      </c>
      <c r="E1142">
        <v>2.36067026121147E-3</v>
      </c>
      <c r="F1142">
        <v>7.0820107836344296E-3</v>
      </c>
      <c r="G1142" t="s">
        <v>2833</v>
      </c>
    </row>
    <row r="1143" spans="1:7" x14ac:dyDescent="0.25">
      <c r="A1143" s="4" t="str">
        <f>HYPERLINK("http://amigo.geneontology.org/cgi-bin/amigo/term-details.cgi?term=GO:0009687","GO:0009687")</f>
        <v>GO:0009687</v>
      </c>
      <c r="B1143" t="s">
        <v>3037</v>
      </c>
      <c r="C1143">
        <v>31</v>
      </c>
      <c r="D1143">
        <v>6</v>
      </c>
      <c r="E1143">
        <v>2.36067026121147E-3</v>
      </c>
      <c r="F1143">
        <v>7.0820107836344296E-3</v>
      </c>
      <c r="G1143" t="s">
        <v>2833</v>
      </c>
    </row>
    <row r="1144" spans="1:7" x14ac:dyDescent="0.25">
      <c r="A1144" s="4" t="str">
        <f>HYPERLINK("http://amigo.geneontology.org/cgi-bin/amigo/term-details.cgi?term=GO:0016627","GO:0016627")</f>
        <v>GO:0016627</v>
      </c>
      <c r="B1144" t="s">
        <v>1075</v>
      </c>
      <c r="C1144">
        <v>159</v>
      </c>
      <c r="D1144">
        <v>16</v>
      </c>
      <c r="E1144">
        <v>2.3960969552572799E-3</v>
      </c>
      <c r="F1144">
        <v>7.1882908657718396E-3</v>
      </c>
      <c r="G1144" t="s">
        <v>3036</v>
      </c>
    </row>
    <row r="1145" spans="1:7" x14ac:dyDescent="0.25">
      <c r="A1145" s="4" t="str">
        <f>HYPERLINK("http://amigo.geneontology.org/cgi-bin/amigo/term-details.cgi?term=GO:0009156","GO:0009156")</f>
        <v>GO:0009156</v>
      </c>
      <c r="B1145" t="s">
        <v>1380</v>
      </c>
      <c r="C1145">
        <v>298</v>
      </c>
      <c r="D1145">
        <v>25</v>
      </c>
      <c r="E1145">
        <v>2.4377473154628001E-3</v>
      </c>
      <c r="F1145">
        <v>7.3132419463884197E-3</v>
      </c>
      <c r="G1145" t="s">
        <v>3035</v>
      </c>
    </row>
    <row r="1146" spans="1:7" x14ac:dyDescent="0.25">
      <c r="A1146" s="4" t="str">
        <f>HYPERLINK("http://amigo.geneontology.org/cgi-bin/amigo/term-details.cgi?term=GO:0000724","GO:0000724")</f>
        <v>GO:0000724</v>
      </c>
      <c r="B1146" t="s">
        <v>3034</v>
      </c>
      <c r="C1146">
        <v>90</v>
      </c>
      <c r="D1146">
        <v>11</v>
      </c>
      <c r="E1146">
        <v>2.4676745601533499E-3</v>
      </c>
      <c r="F1146">
        <v>7.4030236804600502E-3</v>
      </c>
      <c r="G1146" t="s">
        <v>3033</v>
      </c>
    </row>
    <row r="1147" spans="1:7" x14ac:dyDescent="0.25">
      <c r="A1147" s="4" t="str">
        <f>HYPERLINK("http://amigo.geneontology.org/cgi-bin/amigo/term-details.cgi?term=GO:0031072","GO:0031072")</f>
        <v>GO:0031072</v>
      </c>
      <c r="B1147" t="s">
        <v>846</v>
      </c>
      <c r="C1147">
        <v>90</v>
      </c>
      <c r="D1147">
        <v>11</v>
      </c>
      <c r="E1147">
        <v>2.4676745601533499E-3</v>
      </c>
      <c r="F1147">
        <v>7.4030236804600502E-3</v>
      </c>
      <c r="G1147" t="s">
        <v>3032</v>
      </c>
    </row>
    <row r="1148" spans="1:7" x14ac:dyDescent="0.25">
      <c r="A1148" s="4" t="str">
        <f>HYPERLINK("http://amigo.geneontology.org/cgi-bin/amigo/term-details.cgi?term=GO:0006613","GO:0006613")</f>
        <v>GO:0006613</v>
      </c>
      <c r="B1148" t="s">
        <v>644</v>
      </c>
      <c r="C1148">
        <v>53</v>
      </c>
      <c r="D1148">
        <v>8</v>
      </c>
      <c r="E1148">
        <v>2.49267801357891E-3</v>
      </c>
      <c r="F1148">
        <v>7.4780340407367496E-3</v>
      </c>
      <c r="G1148" t="s">
        <v>620</v>
      </c>
    </row>
    <row r="1149" spans="1:7" x14ac:dyDescent="0.25">
      <c r="A1149" s="4" t="str">
        <f>HYPERLINK("http://amigo.geneontology.org/cgi-bin/amigo/term-details.cgi?term=GO:0006614","GO:0006614")</f>
        <v>GO:0006614</v>
      </c>
      <c r="B1149" t="s">
        <v>641</v>
      </c>
      <c r="C1149">
        <v>53</v>
      </c>
      <c r="D1149">
        <v>8</v>
      </c>
      <c r="E1149">
        <v>2.49267801357891E-3</v>
      </c>
      <c r="F1149">
        <v>7.4780340407367496E-3</v>
      </c>
      <c r="G1149" t="s">
        <v>620</v>
      </c>
    </row>
    <row r="1150" spans="1:7" x14ac:dyDescent="0.25">
      <c r="A1150" s="4" t="str">
        <f>HYPERLINK("http://amigo.geneontology.org/cgi-bin/amigo/term-details.cgi?term=GO:0000904","GO:0000904")</f>
        <v>GO:0000904</v>
      </c>
      <c r="B1150" t="s">
        <v>3031</v>
      </c>
      <c r="C1150">
        <v>131</v>
      </c>
      <c r="D1150">
        <v>14</v>
      </c>
      <c r="E1150">
        <v>2.5054381207363198E-3</v>
      </c>
      <c r="F1150">
        <v>7.5163143622089604E-3</v>
      </c>
      <c r="G1150" t="s">
        <v>3030</v>
      </c>
    </row>
    <row r="1151" spans="1:7" x14ac:dyDescent="0.25">
      <c r="A1151" s="4" t="str">
        <f>HYPERLINK("http://amigo.geneontology.org/cgi-bin/amigo/term-details.cgi?term=GO:0008235","GO:0008235")</f>
        <v>GO:0008235</v>
      </c>
      <c r="B1151" t="s">
        <v>673</v>
      </c>
      <c r="C1151">
        <v>42</v>
      </c>
      <c r="D1151">
        <v>7</v>
      </c>
      <c r="E1151">
        <v>2.5727183226087499E-3</v>
      </c>
      <c r="F1151">
        <v>7.7181549678262597E-3</v>
      </c>
      <c r="G1151" t="s">
        <v>601</v>
      </c>
    </row>
    <row r="1152" spans="1:7" x14ac:dyDescent="0.25">
      <c r="A1152" s="4" t="str">
        <f>HYPERLINK("http://amigo.geneontology.org/cgi-bin/amigo/term-details.cgi?term=GO:0005983","GO:0005983")</f>
        <v>GO:0005983</v>
      </c>
      <c r="B1152" t="s">
        <v>3029</v>
      </c>
      <c r="C1152">
        <v>22</v>
      </c>
      <c r="D1152">
        <v>5</v>
      </c>
      <c r="E1152">
        <v>2.6011223642096399E-3</v>
      </c>
      <c r="F1152">
        <v>7.80336709262893E-3</v>
      </c>
      <c r="G1152" t="s">
        <v>3028</v>
      </c>
    </row>
    <row r="1153" spans="1:7" x14ac:dyDescent="0.25">
      <c r="A1153" s="4" t="str">
        <f>HYPERLINK("http://amigo.geneontology.org/cgi-bin/amigo/term-details.cgi?term=GO:0051275","GO:0051275")</f>
        <v>GO:0051275</v>
      </c>
      <c r="B1153" t="s">
        <v>692</v>
      </c>
      <c r="C1153">
        <v>22</v>
      </c>
      <c r="D1153">
        <v>5</v>
      </c>
      <c r="E1153">
        <v>2.6011223642096399E-3</v>
      </c>
      <c r="F1153">
        <v>7.80336709262893E-3</v>
      </c>
      <c r="G1153" t="s">
        <v>3027</v>
      </c>
    </row>
    <row r="1154" spans="1:7" x14ac:dyDescent="0.25">
      <c r="A1154" s="4" t="str">
        <f>HYPERLINK("http://amigo.geneontology.org/cgi-bin/amigo/term-details.cgi?term=GO:0030245","GO:0030245")</f>
        <v>GO:0030245</v>
      </c>
      <c r="B1154" t="s">
        <v>691</v>
      </c>
      <c r="C1154">
        <v>22</v>
      </c>
      <c r="D1154">
        <v>5</v>
      </c>
      <c r="E1154">
        <v>2.6011223642096399E-3</v>
      </c>
      <c r="F1154">
        <v>7.80336709262893E-3</v>
      </c>
      <c r="G1154" t="s">
        <v>3027</v>
      </c>
    </row>
    <row r="1155" spans="1:7" x14ac:dyDescent="0.25">
      <c r="A1155" s="4" t="str">
        <f>HYPERLINK("http://amigo.geneontology.org/cgi-bin/amigo/term-details.cgi?term=GO:0071483","GO:0071483")</f>
        <v>GO:0071483</v>
      </c>
      <c r="B1155" t="s">
        <v>3026</v>
      </c>
      <c r="C1155">
        <v>22</v>
      </c>
      <c r="D1155">
        <v>5</v>
      </c>
      <c r="E1155">
        <v>2.6011223642096399E-3</v>
      </c>
      <c r="F1155">
        <v>7.80336709262893E-3</v>
      </c>
      <c r="G1155" t="s">
        <v>3025</v>
      </c>
    </row>
    <row r="1156" spans="1:7" x14ac:dyDescent="0.25">
      <c r="A1156" s="4" t="str">
        <f>HYPERLINK("http://amigo.geneontology.org/cgi-bin/amigo/term-details.cgi?term=GO:0044432","GO:0044432")</f>
        <v>GO:0044432</v>
      </c>
      <c r="B1156" t="s">
        <v>1135</v>
      </c>
      <c r="C1156">
        <v>382</v>
      </c>
      <c r="D1156">
        <v>30</v>
      </c>
      <c r="E1156">
        <v>2.6523394158505099E-3</v>
      </c>
      <c r="F1156">
        <v>7.9570182475515398E-3</v>
      </c>
      <c r="G1156" t="s">
        <v>3024</v>
      </c>
    </row>
    <row r="1157" spans="1:7" x14ac:dyDescent="0.25">
      <c r="A1157" s="4" t="str">
        <f>HYPERLINK("http://amigo.geneontology.org/cgi-bin/amigo/term-details.cgi?term=GO:0090305","GO:0090305")</f>
        <v>GO:0090305</v>
      </c>
      <c r="B1157" t="s">
        <v>3023</v>
      </c>
      <c r="C1157">
        <v>349</v>
      </c>
      <c r="D1157">
        <v>28</v>
      </c>
      <c r="E1157">
        <v>2.6684574807688999E-3</v>
      </c>
      <c r="F1157">
        <v>8.0053724423067001E-3</v>
      </c>
      <c r="G1157" t="s">
        <v>3022</v>
      </c>
    </row>
    <row r="1158" spans="1:7" x14ac:dyDescent="0.25">
      <c r="A1158" s="4" t="str">
        <f>HYPERLINK("http://amigo.geneontology.org/cgi-bin/amigo/term-details.cgi?term=GO:0006997","GO:0006997")</f>
        <v>GO:0006997</v>
      </c>
      <c r="B1158" t="s">
        <v>3021</v>
      </c>
      <c r="C1158">
        <v>78</v>
      </c>
      <c r="D1158">
        <v>10</v>
      </c>
      <c r="E1158">
        <v>2.6781301587656802E-3</v>
      </c>
      <c r="F1158">
        <v>8.0343904762970406E-3</v>
      </c>
      <c r="G1158" t="s">
        <v>3020</v>
      </c>
    </row>
    <row r="1159" spans="1:7" x14ac:dyDescent="0.25">
      <c r="A1159" s="4" t="str">
        <f>HYPERLINK("http://amigo.geneontology.org/cgi-bin/amigo/term-details.cgi?term=GO:0006541","GO:0006541")</f>
        <v>GO:0006541</v>
      </c>
      <c r="B1159" t="s">
        <v>573</v>
      </c>
      <c r="C1159">
        <v>54</v>
      </c>
      <c r="D1159">
        <v>8</v>
      </c>
      <c r="E1159">
        <v>2.8119884237678E-3</v>
      </c>
      <c r="F1159">
        <v>8.4359652713034E-3</v>
      </c>
      <c r="G1159" t="s">
        <v>3019</v>
      </c>
    </row>
    <row r="1160" spans="1:7" x14ac:dyDescent="0.25">
      <c r="A1160" s="4" t="str">
        <f>HYPERLINK("http://amigo.geneontology.org/cgi-bin/amigo/term-details.cgi?term=GO:0098687","GO:0098687")</f>
        <v>GO:0098687</v>
      </c>
      <c r="B1160" t="s">
        <v>1077</v>
      </c>
      <c r="C1160">
        <v>66</v>
      </c>
      <c r="D1160">
        <v>9</v>
      </c>
      <c r="E1160">
        <v>2.814887193351E-3</v>
      </c>
      <c r="F1160">
        <v>8.44466158005301E-3</v>
      </c>
      <c r="G1160" t="s">
        <v>3018</v>
      </c>
    </row>
    <row r="1161" spans="1:7" x14ac:dyDescent="0.25">
      <c r="A1161" s="4" t="str">
        <f>HYPERLINK("http://amigo.geneontology.org/cgi-bin/amigo/term-details.cgi?term=GO:0016630","GO:0016630")</f>
        <v>GO:0016630</v>
      </c>
      <c r="B1161" t="s">
        <v>443</v>
      </c>
      <c r="C1161">
        <v>7</v>
      </c>
      <c r="D1161">
        <v>3</v>
      </c>
      <c r="E1161">
        <v>2.8173796435021501E-3</v>
      </c>
      <c r="F1161">
        <v>8.4521389305064597E-3</v>
      </c>
      <c r="G1161" t="s">
        <v>1105</v>
      </c>
    </row>
    <row r="1162" spans="1:7" x14ac:dyDescent="0.25">
      <c r="A1162" s="4" t="str">
        <f>HYPERLINK("http://amigo.geneontology.org/cgi-bin/amigo/term-details.cgi?term=GO:0017057","GO:0017057")</f>
        <v>GO:0017057</v>
      </c>
      <c r="B1162" t="s">
        <v>442</v>
      </c>
      <c r="C1162">
        <v>7</v>
      </c>
      <c r="D1162">
        <v>3</v>
      </c>
      <c r="E1162">
        <v>2.8173796435021501E-3</v>
      </c>
      <c r="F1162">
        <v>8.4521389305064597E-3</v>
      </c>
      <c r="G1162" t="s">
        <v>1104</v>
      </c>
    </row>
    <row r="1163" spans="1:7" x14ac:dyDescent="0.25">
      <c r="A1163" s="4" t="str">
        <f>HYPERLINK("http://amigo.geneontology.org/cgi-bin/amigo/term-details.cgi?term=GO:0045038","GO:0045038")</f>
        <v>GO:0045038</v>
      </c>
      <c r="B1163" t="s">
        <v>3017</v>
      </c>
      <c r="C1163">
        <v>7</v>
      </c>
      <c r="D1163">
        <v>3</v>
      </c>
      <c r="E1163">
        <v>2.8173796435021501E-3</v>
      </c>
      <c r="F1163">
        <v>8.4521389305064597E-3</v>
      </c>
      <c r="G1163" t="s">
        <v>3016</v>
      </c>
    </row>
    <row r="1164" spans="1:7" x14ac:dyDescent="0.25">
      <c r="A1164" s="4" t="str">
        <f>HYPERLINK("http://amigo.geneontology.org/cgi-bin/amigo/term-details.cgi?term=GO:0019048","GO:0019048")</f>
        <v>GO:0019048</v>
      </c>
      <c r="B1164" t="s">
        <v>3015</v>
      </c>
      <c r="C1164">
        <v>7</v>
      </c>
      <c r="D1164">
        <v>3</v>
      </c>
      <c r="E1164">
        <v>2.8173796435021501E-3</v>
      </c>
      <c r="F1164">
        <v>8.4521389305064597E-3</v>
      </c>
      <c r="G1164" t="s">
        <v>2608</v>
      </c>
    </row>
    <row r="1165" spans="1:7" x14ac:dyDescent="0.25">
      <c r="A1165" s="4" t="str">
        <f>HYPERLINK("http://amigo.geneontology.org/cgi-bin/amigo/term-details.cgi?term=GO:0048564","GO:0048564")</f>
        <v>GO:0048564</v>
      </c>
      <c r="B1165" t="s">
        <v>3014</v>
      </c>
      <c r="C1165">
        <v>7</v>
      </c>
      <c r="D1165">
        <v>3</v>
      </c>
      <c r="E1165">
        <v>2.8173796435021501E-3</v>
      </c>
      <c r="F1165">
        <v>8.4521389305064597E-3</v>
      </c>
      <c r="G1165" t="s">
        <v>3013</v>
      </c>
    </row>
    <row r="1166" spans="1:7" x14ac:dyDescent="0.25">
      <c r="A1166" s="4" t="str">
        <f>HYPERLINK("http://amigo.geneontology.org/cgi-bin/amigo/term-details.cgi?term=GO:0009904","GO:0009904")</f>
        <v>GO:0009904</v>
      </c>
      <c r="B1166" t="s">
        <v>3012</v>
      </c>
      <c r="C1166">
        <v>7</v>
      </c>
      <c r="D1166">
        <v>3</v>
      </c>
      <c r="E1166">
        <v>2.8173796435021501E-3</v>
      </c>
      <c r="F1166">
        <v>8.4521389305064597E-3</v>
      </c>
      <c r="G1166" t="s">
        <v>2602</v>
      </c>
    </row>
    <row r="1167" spans="1:7" x14ac:dyDescent="0.25">
      <c r="A1167" s="4" t="str">
        <f>HYPERLINK("http://amigo.geneontology.org/cgi-bin/amigo/term-details.cgi?term=GO:0051051","GO:0051051")</f>
        <v>GO:0051051</v>
      </c>
      <c r="B1167" t="s">
        <v>3011</v>
      </c>
      <c r="C1167">
        <v>7</v>
      </c>
      <c r="D1167">
        <v>3</v>
      </c>
      <c r="E1167">
        <v>2.8173796435021501E-3</v>
      </c>
      <c r="F1167">
        <v>8.4521389305064597E-3</v>
      </c>
      <c r="G1167" t="s">
        <v>2602</v>
      </c>
    </row>
    <row r="1168" spans="1:7" x14ac:dyDescent="0.25">
      <c r="A1168" s="4" t="str">
        <f>HYPERLINK("http://amigo.geneontology.org/cgi-bin/amigo/term-details.cgi?term=GO:0140013","GO:0140013")</f>
        <v>GO:0140013</v>
      </c>
      <c r="B1168" t="s">
        <v>1115</v>
      </c>
      <c r="C1168">
        <v>147</v>
      </c>
      <c r="D1168">
        <v>15</v>
      </c>
      <c r="E1168">
        <v>2.8177958398164799E-3</v>
      </c>
      <c r="F1168">
        <v>8.4533875194494398E-3</v>
      </c>
      <c r="G1168" t="s">
        <v>2806</v>
      </c>
    </row>
    <row r="1169" spans="1:7" x14ac:dyDescent="0.25">
      <c r="A1169" s="4" t="str">
        <f>HYPERLINK("http://amigo.geneontology.org/cgi-bin/amigo/term-details.cgi?term=GO:0042742","GO:0042742")</f>
        <v>GO:0042742</v>
      </c>
      <c r="B1169" t="s">
        <v>2097</v>
      </c>
      <c r="C1169">
        <v>162</v>
      </c>
      <c r="D1169">
        <v>16</v>
      </c>
      <c r="E1169">
        <v>2.89197398875591E-3</v>
      </c>
      <c r="F1169">
        <v>8.6759219662677304E-3</v>
      </c>
      <c r="G1169" t="s">
        <v>2763</v>
      </c>
    </row>
    <row r="1170" spans="1:7" x14ac:dyDescent="0.25">
      <c r="A1170" s="4" t="str">
        <f>HYPERLINK("http://amigo.geneontology.org/cgi-bin/amigo/term-details.cgi?term=GO:0010968","GO:0010968")</f>
        <v>GO:0010968</v>
      </c>
      <c r="B1170" t="s">
        <v>3010</v>
      </c>
      <c r="C1170">
        <v>14</v>
      </c>
      <c r="D1170">
        <v>4</v>
      </c>
      <c r="E1170">
        <v>2.8981935311312699E-3</v>
      </c>
      <c r="F1170">
        <v>8.6945805933938101E-3</v>
      </c>
      <c r="G1170" t="s">
        <v>1059</v>
      </c>
    </row>
    <row r="1171" spans="1:7" x14ac:dyDescent="0.25">
      <c r="A1171" s="4" t="str">
        <f>HYPERLINK("http://amigo.geneontology.org/cgi-bin/amigo/term-details.cgi?term=GO:0090063","GO:0090063")</f>
        <v>GO:0090063</v>
      </c>
      <c r="B1171" t="s">
        <v>3009</v>
      </c>
      <c r="C1171">
        <v>14</v>
      </c>
      <c r="D1171">
        <v>4</v>
      </c>
      <c r="E1171">
        <v>2.8981935311312699E-3</v>
      </c>
      <c r="F1171">
        <v>8.6945805933938101E-3</v>
      </c>
      <c r="G1171" t="s">
        <v>1059</v>
      </c>
    </row>
    <row r="1172" spans="1:7" x14ac:dyDescent="0.25">
      <c r="A1172" s="4" t="str">
        <f>HYPERLINK("http://amigo.geneontology.org/cgi-bin/amigo/term-details.cgi?term=GO:0006109","GO:0006109")</f>
        <v>GO:0006109</v>
      </c>
      <c r="B1172" t="s">
        <v>3008</v>
      </c>
      <c r="C1172">
        <v>14</v>
      </c>
      <c r="D1172">
        <v>4</v>
      </c>
      <c r="E1172">
        <v>2.8981935311312699E-3</v>
      </c>
      <c r="F1172">
        <v>8.6945805933938101E-3</v>
      </c>
      <c r="G1172" t="s">
        <v>3007</v>
      </c>
    </row>
    <row r="1173" spans="1:7" x14ac:dyDescent="0.25">
      <c r="A1173" s="4" t="str">
        <f>HYPERLINK("http://amigo.geneontology.org/cgi-bin/amigo/term-details.cgi?term=GO:0009882","GO:0009882")</f>
        <v>GO:0009882</v>
      </c>
      <c r="B1173" t="s">
        <v>3006</v>
      </c>
      <c r="C1173">
        <v>14</v>
      </c>
      <c r="D1173">
        <v>4</v>
      </c>
      <c r="E1173">
        <v>2.8981935311312699E-3</v>
      </c>
      <c r="F1173">
        <v>8.6945805933938101E-3</v>
      </c>
      <c r="G1173" t="s">
        <v>3005</v>
      </c>
    </row>
    <row r="1174" spans="1:7" x14ac:dyDescent="0.25">
      <c r="A1174" s="4" t="str">
        <f>HYPERLINK("http://amigo.geneontology.org/cgi-bin/amigo/term-details.cgi?term=GO:0004069","GO:0004069")</f>
        <v>GO:0004069</v>
      </c>
      <c r="B1174" t="s">
        <v>3004</v>
      </c>
      <c r="C1174">
        <v>14</v>
      </c>
      <c r="D1174">
        <v>4</v>
      </c>
      <c r="E1174">
        <v>2.8981935311312699E-3</v>
      </c>
      <c r="F1174">
        <v>8.6945805933938101E-3</v>
      </c>
      <c r="G1174" t="s">
        <v>3003</v>
      </c>
    </row>
    <row r="1175" spans="1:7" x14ac:dyDescent="0.25">
      <c r="A1175" s="4" t="str">
        <f>HYPERLINK("http://amigo.geneontology.org/cgi-bin/amigo/term-details.cgi?term=GO:0090351","GO:0090351")</f>
        <v>GO:0090351</v>
      </c>
      <c r="B1175" t="s">
        <v>3002</v>
      </c>
      <c r="C1175">
        <v>92</v>
      </c>
      <c r="D1175">
        <v>11</v>
      </c>
      <c r="E1175">
        <v>2.9375705114004099E-3</v>
      </c>
      <c r="F1175">
        <v>8.8127115342012396E-3</v>
      </c>
      <c r="G1175" t="s">
        <v>3001</v>
      </c>
    </row>
    <row r="1176" spans="1:7" x14ac:dyDescent="0.25">
      <c r="A1176" s="4" t="str">
        <f>HYPERLINK("http://amigo.geneontology.org/cgi-bin/amigo/term-details.cgi?term=GO:0010363","GO:0010363")</f>
        <v>GO:0010363</v>
      </c>
      <c r="B1176" t="s">
        <v>2284</v>
      </c>
      <c r="C1176">
        <v>92</v>
      </c>
      <c r="D1176">
        <v>11</v>
      </c>
      <c r="E1176">
        <v>2.9375705114004099E-3</v>
      </c>
      <c r="F1176">
        <v>8.8127115342012396E-3</v>
      </c>
      <c r="G1176" t="s">
        <v>2804</v>
      </c>
    </row>
    <row r="1177" spans="1:7" x14ac:dyDescent="0.25">
      <c r="A1177" s="4" t="str">
        <f>HYPERLINK("http://amigo.geneontology.org/cgi-bin/amigo/term-details.cgi?term=GO:0030695","GO:0030695")</f>
        <v>GO:0030695</v>
      </c>
      <c r="B1177" t="s">
        <v>3000</v>
      </c>
      <c r="C1177">
        <v>79</v>
      </c>
      <c r="D1177">
        <v>10</v>
      </c>
      <c r="E1177">
        <v>2.9442326779842601E-3</v>
      </c>
      <c r="F1177">
        <v>8.8326980339527902E-3</v>
      </c>
      <c r="G1177" t="s">
        <v>2999</v>
      </c>
    </row>
    <row r="1178" spans="1:7" x14ac:dyDescent="0.25">
      <c r="A1178" s="4" t="str">
        <f>HYPERLINK("http://amigo.geneontology.org/cgi-bin/amigo/term-details.cgi?term=GO:0051128","GO:0051128")</f>
        <v>GO:0051128</v>
      </c>
      <c r="B1178" t="s">
        <v>2998</v>
      </c>
      <c r="C1178">
        <v>287</v>
      </c>
      <c r="D1178">
        <v>24</v>
      </c>
      <c r="E1178">
        <v>3.0586750874870001E-3</v>
      </c>
      <c r="F1178">
        <v>9.1760252624610104E-3</v>
      </c>
      <c r="G1178" t="s">
        <v>2997</v>
      </c>
    </row>
    <row r="1179" spans="1:7" x14ac:dyDescent="0.25">
      <c r="A1179" s="4" t="str">
        <f>HYPERLINK("http://amigo.geneontology.org/cgi-bin/amigo/term-details.cgi?term=GO:0016798","GO:0016798")</f>
        <v>GO:0016798</v>
      </c>
      <c r="B1179" t="s">
        <v>830</v>
      </c>
      <c r="C1179">
        <v>1691</v>
      </c>
      <c r="D1179">
        <v>101</v>
      </c>
      <c r="E1179">
        <v>3.08365863332503E-3</v>
      </c>
      <c r="F1179">
        <v>9.2509758999750908E-3</v>
      </c>
      <c r="G1179" t="s">
        <v>2996</v>
      </c>
    </row>
    <row r="1180" spans="1:7" x14ac:dyDescent="0.25">
      <c r="A1180" s="4" t="str">
        <f>HYPERLINK("http://amigo.geneontology.org/cgi-bin/amigo/term-details.cgi?term=GO:0005985","GO:0005985")</f>
        <v>GO:0005985</v>
      </c>
      <c r="B1180" t="s">
        <v>1064</v>
      </c>
      <c r="C1180">
        <v>55</v>
      </c>
      <c r="D1180">
        <v>8</v>
      </c>
      <c r="E1180">
        <v>3.1622948788384798E-3</v>
      </c>
      <c r="F1180">
        <v>9.4868846365154594E-3</v>
      </c>
      <c r="G1180" t="s">
        <v>2995</v>
      </c>
    </row>
    <row r="1181" spans="1:7" x14ac:dyDescent="0.25">
      <c r="A1181" s="4" t="str">
        <f>HYPERLINK("http://amigo.geneontology.org/cgi-bin/amigo/term-details.cgi?term=GO:0071446","GO:0071446")</f>
        <v>GO:0071446</v>
      </c>
      <c r="B1181" t="s">
        <v>2276</v>
      </c>
      <c r="C1181">
        <v>93</v>
      </c>
      <c r="D1181">
        <v>11</v>
      </c>
      <c r="E1181">
        <v>3.1981116908480498E-3</v>
      </c>
      <c r="F1181">
        <v>9.5943350725441606E-3</v>
      </c>
      <c r="G1181" t="s">
        <v>2856</v>
      </c>
    </row>
    <row r="1182" spans="1:7" x14ac:dyDescent="0.25">
      <c r="A1182" s="4" t="str">
        <f>HYPERLINK("http://amigo.geneontology.org/cgi-bin/amigo/term-details.cgi?term=GO:0009863","GO:0009863")</f>
        <v>GO:0009863</v>
      </c>
      <c r="B1182" t="s">
        <v>2275</v>
      </c>
      <c r="C1182">
        <v>93</v>
      </c>
      <c r="D1182">
        <v>11</v>
      </c>
      <c r="E1182">
        <v>3.1981116908480498E-3</v>
      </c>
      <c r="F1182">
        <v>9.5943350725441606E-3</v>
      </c>
      <c r="G1182" t="s">
        <v>2856</v>
      </c>
    </row>
    <row r="1183" spans="1:7" x14ac:dyDescent="0.25">
      <c r="A1183" s="4" t="str">
        <f>HYPERLINK("http://amigo.geneontology.org/cgi-bin/amigo/term-details.cgi?term=GO:0043174","GO:0043174")</f>
        <v>GO:0043174</v>
      </c>
      <c r="B1183" t="s">
        <v>1297</v>
      </c>
      <c r="C1183">
        <v>23</v>
      </c>
      <c r="D1183">
        <v>5</v>
      </c>
      <c r="E1183">
        <v>3.2011039397730101E-3</v>
      </c>
      <c r="F1183">
        <v>9.6033118193190395E-3</v>
      </c>
      <c r="G1183" t="s">
        <v>2994</v>
      </c>
    </row>
    <row r="1184" spans="1:7" x14ac:dyDescent="0.25">
      <c r="A1184" s="4" t="str">
        <f>HYPERLINK("http://amigo.geneontology.org/cgi-bin/amigo/term-details.cgi?term=GO:0002682","GO:0002682")</f>
        <v>GO:0002682</v>
      </c>
      <c r="B1184" t="s">
        <v>2249</v>
      </c>
      <c r="C1184">
        <v>149</v>
      </c>
      <c r="D1184">
        <v>15</v>
      </c>
      <c r="E1184">
        <v>3.2070508858051401E-3</v>
      </c>
      <c r="F1184">
        <v>9.6211526574154198E-3</v>
      </c>
      <c r="G1184" t="s">
        <v>2993</v>
      </c>
    </row>
    <row r="1185" spans="1:7" x14ac:dyDescent="0.25">
      <c r="A1185" s="4" t="str">
        <f>HYPERLINK("http://amigo.geneontology.org/cgi-bin/amigo/term-details.cgi?term=GO:0030662","GO:0030662")</f>
        <v>GO:0030662</v>
      </c>
      <c r="B1185" t="s">
        <v>474</v>
      </c>
      <c r="C1185">
        <v>80</v>
      </c>
      <c r="D1185">
        <v>10</v>
      </c>
      <c r="E1185">
        <v>3.2309951696298002E-3</v>
      </c>
      <c r="F1185">
        <v>9.6929855088894196E-3</v>
      </c>
      <c r="G1185" t="s">
        <v>2840</v>
      </c>
    </row>
    <row r="1186" spans="1:7" x14ac:dyDescent="0.25">
      <c r="A1186" s="4" t="str">
        <f>HYPERLINK("http://amigo.geneontology.org/cgi-bin/amigo/term-details.cgi?term=GO:0044036","GO:0044036")</f>
        <v>GO:0044036</v>
      </c>
      <c r="B1186" t="s">
        <v>189</v>
      </c>
      <c r="C1186">
        <v>388</v>
      </c>
      <c r="D1186">
        <v>30</v>
      </c>
      <c r="E1186">
        <v>3.3283430962691798E-3</v>
      </c>
      <c r="F1186">
        <v>9.9850292888075398E-3</v>
      </c>
      <c r="G1186" t="s">
        <v>2992</v>
      </c>
    </row>
    <row r="1187" spans="1:7" x14ac:dyDescent="0.25">
      <c r="A1187" s="4" t="str">
        <f>HYPERLINK("http://amigo.geneontology.org/cgi-bin/amigo/term-details.cgi?term=GO:0007623","GO:0007623")</f>
        <v>GO:0007623</v>
      </c>
      <c r="B1187" t="s">
        <v>2991</v>
      </c>
      <c r="C1187">
        <v>44</v>
      </c>
      <c r="D1187">
        <v>7</v>
      </c>
      <c r="E1187">
        <v>3.37861023692627E-3</v>
      </c>
      <c r="F1187">
        <v>1.0135830710778801E-2</v>
      </c>
      <c r="G1187" t="s">
        <v>2990</v>
      </c>
    </row>
    <row r="1188" spans="1:7" x14ac:dyDescent="0.25">
      <c r="A1188" s="4" t="str">
        <f>HYPERLINK("http://amigo.geneontology.org/cgi-bin/amigo/term-details.cgi?term=GO:0032270","GO:0032270")</f>
        <v>GO:0032270</v>
      </c>
      <c r="B1188" t="s">
        <v>2989</v>
      </c>
      <c r="C1188">
        <v>81</v>
      </c>
      <c r="D1188">
        <v>10</v>
      </c>
      <c r="E1188">
        <v>3.53952561401476E-3</v>
      </c>
      <c r="F1188">
        <v>1.0618576842044199E-2</v>
      </c>
      <c r="G1188" t="s">
        <v>2972</v>
      </c>
    </row>
    <row r="1189" spans="1:7" x14ac:dyDescent="0.25">
      <c r="A1189" s="4" t="str">
        <f>HYPERLINK("http://amigo.geneontology.org/cgi-bin/amigo/term-details.cgi?term=GO:0009850","GO:0009850")</f>
        <v>GO:0009850</v>
      </c>
      <c r="B1189" t="s">
        <v>2988</v>
      </c>
      <c r="C1189">
        <v>56</v>
      </c>
      <c r="D1189">
        <v>8</v>
      </c>
      <c r="E1189">
        <v>3.5455681080640801E-3</v>
      </c>
      <c r="F1189">
        <v>1.0636704324192199E-2</v>
      </c>
      <c r="G1189" t="s">
        <v>2987</v>
      </c>
    </row>
    <row r="1190" spans="1:7" x14ac:dyDescent="0.25">
      <c r="A1190" s="4" t="str">
        <f>HYPERLINK("http://amigo.geneontology.org/cgi-bin/amigo/term-details.cgi?term=GO:0017171","GO:0017171")</f>
        <v>GO:0017171</v>
      </c>
      <c r="B1190" t="s">
        <v>809</v>
      </c>
      <c r="C1190">
        <v>759</v>
      </c>
      <c r="D1190">
        <v>51</v>
      </c>
      <c r="E1190">
        <v>3.59080103720849E-3</v>
      </c>
      <c r="F1190">
        <v>1.07724031116254E-2</v>
      </c>
      <c r="G1190" t="s">
        <v>2986</v>
      </c>
    </row>
    <row r="1191" spans="1:7" x14ac:dyDescent="0.25">
      <c r="A1191" s="4" t="str">
        <f>HYPERLINK("http://amigo.geneontology.org/cgi-bin/amigo/term-details.cgi?term=GO:0008236","GO:0008236")</f>
        <v>GO:0008236</v>
      </c>
      <c r="B1191" t="s">
        <v>394</v>
      </c>
      <c r="C1191">
        <v>759</v>
      </c>
      <c r="D1191">
        <v>51</v>
      </c>
      <c r="E1191">
        <v>3.59080103720849E-3</v>
      </c>
      <c r="F1191">
        <v>1.07724031116254E-2</v>
      </c>
      <c r="G1191" t="s">
        <v>2986</v>
      </c>
    </row>
    <row r="1192" spans="1:7" x14ac:dyDescent="0.25">
      <c r="A1192" s="4" t="str">
        <f>HYPERLINK("http://amigo.geneontology.org/cgi-bin/amigo/term-details.cgi?term=GO:0009640","GO:0009640")</f>
        <v>GO:0009640</v>
      </c>
      <c r="B1192" t="s">
        <v>2985</v>
      </c>
      <c r="C1192">
        <v>122</v>
      </c>
      <c r="D1192">
        <v>13</v>
      </c>
      <c r="E1192">
        <v>3.5974214876882799E-3</v>
      </c>
      <c r="F1192">
        <v>1.0792264463064799E-2</v>
      </c>
      <c r="G1192" t="s">
        <v>2984</v>
      </c>
    </row>
    <row r="1193" spans="1:7" x14ac:dyDescent="0.25">
      <c r="A1193" s="4" t="str">
        <f>HYPERLINK("http://amigo.geneontology.org/cgi-bin/amigo/term-details.cgi?term=GO:0051287","GO:0051287")</f>
        <v>GO:0051287</v>
      </c>
      <c r="B1193" t="s">
        <v>1093</v>
      </c>
      <c r="C1193">
        <v>243</v>
      </c>
      <c r="D1193">
        <v>21</v>
      </c>
      <c r="E1193">
        <v>3.6681388787803602E-3</v>
      </c>
      <c r="F1193">
        <v>1.1004416636341E-2</v>
      </c>
      <c r="G1193" t="s">
        <v>2983</v>
      </c>
    </row>
    <row r="1194" spans="1:7" x14ac:dyDescent="0.25">
      <c r="A1194" s="4" t="str">
        <f>HYPERLINK("http://amigo.geneontology.org/cgi-bin/amigo/term-details.cgi?term=GO:0022853","GO:0022853")</f>
        <v>GO:0022853</v>
      </c>
      <c r="B1194" t="s">
        <v>121</v>
      </c>
      <c r="C1194">
        <v>212</v>
      </c>
      <c r="D1194">
        <v>19</v>
      </c>
      <c r="E1194">
        <v>3.73778964193994E-3</v>
      </c>
      <c r="F1194">
        <v>1.1213368925819801E-2</v>
      </c>
      <c r="G1194" t="s">
        <v>2982</v>
      </c>
    </row>
    <row r="1195" spans="1:7" x14ac:dyDescent="0.25">
      <c r="A1195" s="4" t="str">
        <f>HYPERLINK("http://amigo.geneontology.org/cgi-bin/amigo/term-details.cgi?term=GO:0005789","GO:0005789")</f>
        <v>GO:0005789</v>
      </c>
      <c r="B1195" t="s">
        <v>1133</v>
      </c>
      <c r="C1195">
        <v>358</v>
      </c>
      <c r="D1195">
        <v>28</v>
      </c>
      <c r="E1195">
        <v>3.8023926475848702E-3</v>
      </c>
      <c r="F1195">
        <v>1.1407177942754599E-2</v>
      </c>
      <c r="G1195" t="s">
        <v>2981</v>
      </c>
    </row>
    <row r="1196" spans="1:7" x14ac:dyDescent="0.25">
      <c r="A1196" s="4" t="str">
        <f>HYPERLINK("http://amigo.geneontology.org/cgi-bin/amigo/term-details.cgi?term=GO:0010082","GO:0010082")</f>
        <v>GO:0010082</v>
      </c>
      <c r="B1196" t="s">
        <v>2980</v>
      </c>
      <c r="C1196">
        <v>15</v>
      </c>
      <c r="D1196">
        <v>4</v>
      </c>
      <c r="E1196">
        <v>3.8115851863019098E-3</v>
      </c>
      <c r="F1196">
        <v>1.1434755558905701E-2</v>
      </c>
      <c r="G1196" t="s">
        <v>2979</v>
      </c>
    </row>
    <row r="1197" spans="1:7" x14ac:dyDescent="0.25">
      <c r="A1197" s="4" t="str">
        <f>HYPERLINK("http://amigo.geneontology.org/cgi-bin/amigo/term-details.cgi?term=GO:0046524","GO:0046524")</f>
        <v>GO:0046524</v>
      </c>
      <c r="B1197" t="s">
        <v>489</v>
      </c>
      <c r="C1197">
        <v>15</v>
      </c>
      <c r="D1197">
        <v>4</v>
      </c>
      <c r="E1197">
        <v>3.8115851863019098E-3</v>
      </c>
      <c r="F1197">
        <v>1.1434755558905701E-2</v>
      </c>
      <c r="G1197" t="s">
        <v>1100</v>
      </c>
    </row>
    <row r="1198" spans="1:7" x14ac:dyDescent="0.25">
      <c r="A1198" s="4" t="str">
        <f>HYPERLINK("http://amigo.geneontology.org/cgi-bin/amigo/term-details.cgi?term=GO:0007006","GO:0007006")</f>
        <v>GO:0007006</v>
      </c>
      <c r="B1198" t="s">
        <v>2978</v>
      </c>
      <c r="C1198">
        <v>15</v>
      </c>
      <c r="D1198">
        <v>4</v>
      </c>
      <c r="E1198">
        <v>3.8115851863019098E-3</v>
      </c>
      <c r="F1198">
        <v>1.1434755558905701E-2</v>
      </c>
      <c r="G1198" t="s">
        <v>2977</v>
      </c>
    </row>
    <row r="1199" spans="1:7" x14ac:dyDescent="0.25">
      <c r="A1199" s="4" t="str">
        <f>HYPERLINK("http://amigo.geneontology.org/cgi-bin/amigo/term-details.cgi?term=GO:0046173","GO:0046173")</f>
        <v>GO:0046173</v>
      </c>
      <c r="B1199" t="s">
        <v>2976</v>
      </c>
      <c r="C1199">
        <v>69</v>
      </c>
      <c r="D1199">
        <v>9</v>
      </c>
      <c r="E1199">
        <v>3.8201656942441898E-3</v>
      </c>
      <c r="F1199">
        <v>1.14604970827325E-2</v>
      </c>
      <c r="G1199" t="s">
        <v>2975</v>
      </c>
    </row>
    <row r="1200" spans="1:7" x14ac:dyDescent="0.25">
      <c r="A1200" s="4" t="str">
        <f>HYPERLINK("http://amigo.geneontology.org/cgi-bin/amigo/term-details.cgi?term=GO:0043173","GO:0043173")</f>
        <v>GO:0043173</v>
      </c>
      <c r="B1200" t="s">
        <v>508</v>
      </c>
      <c r="C1200">
        <v>34</v>
      </c>
      <c r="D1200">
        <v>6</v>
      </c>
      <c r="E1200">
        <v>3.8416030789044302E-3</v>
      </c>
      <c r="F1200">
        <v>1.15248092367133E-2</v>
      </c>
      <c r="G1200" t="s">
        <v>2974</v>
      </c>
    </row>
    <row r="1201" spans="1:7" x14ac:dyDescent="0.25">
      <c r="A1201" s="4" t="str">
        <f>HYPERLINK("http://amigo.geneontology.org/cgi-bin/amigo/term-details.cgi?term=GO:0051247","GO:0051247")</f>
        <v>GO:0051247</v>
      </c>
      <c r="B1201" t="s">
        <v>2973</v>
      </c>
      <c r="C1201">
        <v>82</v>
      </c>
      <c r="D1201">
        <v>10</v>
      </c>
      <c r="E1201">
        <v>3.87095752603851E-3</v>
      </c>
      <c r="F1201">
        <v>1.16128725781155E-2</v>
      </c>
      <c r="G1201" t="s">
        <v>2972</v>
      </c>
    </row>
    <row r="1202" spans="1:7" x14ac:dyDescent="0.25">
      <c r="A1202" s="4" t="str">
        <f>HYPERLINK("http://amigo.geneontology.org/cgi-bin/amigo/term-details.cgi?term=GO:0009934","GO:0009934")</f>
        <v>GO:0009934</v>
      </c>
      <c r="B1202" t="s">
        <v>2971</v>
      </c>
      <c r="C1202">
        <v>24</v>
      </c>
      <c r="D1202">
        <v>5</v>
      </c>
      <c r="E1202">
        <v>3.8945965882976399E-3</v>
      </c>
      <c r="F1202">
        <v>1.1683789764892901E-2</v>
      </c>
      <c r="G1202" t="s">
        <v>2970</v>
      </c>
    </row>
    <row r="1203" spans="1:7" x14ac:dyDescent="0.25">
      <c r="A1203" s="4" t="str">
        <f>HYPERLINK("http://amigo.geneontology.org/cgi-bin/amigo/term-details.cgi?term=GO:0043101","GO:0043101")</f>
        <v>GO:0043101</v>
      </c>
      <c r="B1203" t="s">
        <v>1111</v>
      </c>
      <c r="C1203">
        <v>24</v>
      </c>
      <c r="D1203">
        <v>5</v>
      </c>
      <c r="E1203">
        <v>3.8945965882976399E-3</v>
      </c>
      <c r="F1203">
        <v>1.1683789764892901E-2</v>
      </c>
      <c r="G1203" t="s">
        <v>1110</v>
      </c>
    </row>
    <row r="1204" spans="1:7" x14ac:dyDescent="0.25">
      <c r="A1204" s="4" t="str">
        <f>HYPERLINK("http://amigo.geneontology.org/cgi-bin/amigo/term-details.cgi?term=GO:0048475","GO:0048475")</f>
        <v>GO:0048475</v>
      </c>
      <c r="B1204" t="s">
        <v>855</v>
      </c>
      <c r="C1204">
        <v>167</v>
      </c>
      <c r="D1204">
        <v>16</v>
      </c>
      <c r="E1204">
        <v>3.9054319213234902E-3</v>
      </c>
      <c r="F1204">
        <v>1.1716295763970401E-2</v>
      </c>
      <c r="G1204" t="s">
        <v>2969</v>
      </c>
    </row>
    <row r="1205" spans="1:7" x14ac:dyDescent="0.25">
      <c r="A1205" s="4" t="str">
        <f>HYPERLINK("http://amigo.geneontology.org/cgi-bin/amigo/term-details.cgi?term=GO:0030117","GO:0030117")</f>
        <v>GO:0030117</v>
      </c>
      <c r="B1205" t="s">
        <v>669</v>
      </c>
      <c r="C1205">
        <v>167</v>
      </c>
      <c r="D1205">
        <v>16</v>
      </c>
      <c r="E1205">
        <v>3.9054319213234902E-3</v>
      </c>
      <c r="F1205">
        <v>1.1716295763970401E-2</v>
      </c>
      <c r="G1205" t="s">
        <v>2969</v>
      </c>
    </row>
    <row r="1206" spans="1:7" x14ac:dyDescent="0.25">
      <c r="A1206" s="4" t="str">
        <f>HYPERLINK("http://amigo.geneontology.org/cgi-bin/amigo/term-details.cgi?term=GO:0000902","GO:0000902")</f>
        <v>GO:0000902</v>
      </c>
      <c r="B1206" t="s">
        <v>2968</v>
      </c>
      <c r="C1206">
        <v>198</v>
      </c>
      <c r="D1206">
        <v>18</v>
      </c>
      <c r="E1206">
        <v>4.0363446086433604E-3</v>
      </c>
      <c r="F1206">
        <v>1.210903382593E-2</v>
      </c>
      <c r="G1206" t="s">
        <v>2967</v>
      </c>
    </row>
    <row r="1207" spans="1:7" x14ac:dyDescent="0.25">
      <c r="A1207" s="4" t="str">
        <f>HYPERLINK("http://amigo.geneontology.org/cgi-bin/amigo/term-details.cgi?term=GO:0004488","GO:0004488")</f>
        <v>GO:0004488</v>
      </c>
      <c r="B1207" t="s">
        <v>1141</v>
      </c>
      <c r="C1207">
        <v>8</v>
      </c>
      <c r="D1207">
        <v>3</v>
      </c>
      <c r="E1207">
        <v>4.3565118371596996E-3</v>
      </c>
      <c r="F1207">
        <v>1.3069535511479101E-2</v>
      </c>
      <c r="G1207" t="s">
        <v>1415</v>
      </c>
    </row>
    <row r="1208" spans="1:7" x14ac:dyDescent="0.25">
      <c r="A1208" s="4" t="str">
        <f>HYPERLINK("http://amigo.geneontology.org/cgi-bin/amigo/term-details.cgi?term=GO:0007021","GO:0007021")</f>
        <v>GO:0007021</v>
      </c>
      <c r="B1208" t="s">
        <v>2966</v>
      </c>
      <c r="C1208">
        <v>8</v>
      </c>
      <c r="D1208">
        <v>3</v>
      </c>
      <c r="E1208">
        <v>4.3565118371596996E-3</v>
      </c>
      <c r="F1208">
        <v>1.3069535511479101E-2</v>
      </c>
      <c r="G1208" t="s">
        <v>2831</v>
      </c>
    </row>
    <row r="1209" spans="1:7" x14ac:dyDescent="0.25">
      <c r="A1209" s="4" t="str">
        <f>HYPERLINK("http://amigo.geneontology.org/cgi-bin/amigo/term-details.cgi?term=GO:0098599","GO:0098599")</f>
        <v>GO:0098599</v>
      </c>
      <c r="B1209" t="s">
        <v>835</v>
      </c>
      <c r="C1209">
        <v>8</v>
      </c>
      <c r="D1209">
        <v>3</v>
      </c>
      <c r="E1209">
        <v>4.3565118371596996E-3</v>
      </c>
      <c r="F1209">
        <v>1.3069535511479101E-2</v>
      </c>
      <c r="G1209" t="s">
        <v>834</v>
      </c>
    </row>
    <row r="1210" spans="1:7" x14ac:dyDescent="0.25">
      <c r="A1210" s="4" t="str">
        <f>HYPERLINK("http://amigo.geneontology.org/cgi-bin/amigo/term-details.cgi?term=GO:0007349","GO:0007349")</f>
        <v>GO:0007349</v>
      </c>
      <c r="B1210" t="s">
        <v>2965</v>
      </c>
      <c r="C1210">
        <v>8</v>
      </c>
      <c r="D1210">
        <v>3</v>
      </c>
      <c r="E1210">
        <v>4.3565118371596996E-3</v>
      </c>
      <c r="F1210">
        <v>1.3069535511479101E-2</v>
      </c>
      <c r="G1210" t="s">
        <v>2964</v>
      </c>
    </row>
    <row r="1211" spans="1:7" x14ac:dyDescent="0.25">
      <c r="A1211" s="4" t="str">
        <f>HYPERLINK("http://amigo.geneontology.org/cgi-bin/amigo/term-details.cgi?term=GO:0016917","GO:0016917")</f>
        <v>GO:0016917</v>
      </c>
      <c r="B1211" t="s">
        <v>2963</v>
      </c>
      <c r="C1211">
        <v>8</v>
      </c>
      <c r="D1211">
        <v>3</v>
      </c>
      <c r="E1211">
        <v>4.3565118371596996E-3</v>
      </c>
      <c r="F1211">
        <v>1.3069535511479101E-2</v>
      </c>
      <c r="G1211" t="s">
        <v>2960</v>
      </c>
    </row>
    <row r="1212" spans="1:7" x14ac:dyDescent="0.25">
      <c r="A1212" s="4" t="str">
        <f>HYPERLINK("http://amigo.geneontology.org/cgi-bin/amigo/term-details.cgi?term=GO:0099528","GO:0099528")</f>
        <v>GO:0099528</v>
      </c>
      <c r="B1212" t="s">
        <v>2962</v>
      </c>
      <c r="C1212">
        <v>8</v>
      </c>
      <c r="D1212">
        <v>3</v>
      </c>
      <c r="E1212">
        <v>4.3565118371596996E-3</v>
      </c>
      <c r="F1212">
        <v>1.3069535511479101E-2</v>
      </c>
      <c r="G1212" t="s">
        <v>2960</v>
      </c>
    </row>
    <row r="1213" spans="1:7" x14ac:dyDescent="0.25">
      <c r="A1213" s="4" t="str">
        <f>HYPERLINK("http://amigo.geneontology.org/cgi-bin/amigo/term-details.cgi?term=GO:0004965","GO:0004965")</f>
        <v>GO:0004965</v>
      </c>
      <c r="B1213" t="s">
        <v>2961</v>
      </c>
      <c r="C1213">
        <v>8</v>
      </c>
      <c r="D1213">
        <v>3</v>
      </c>
      <c r="E1213">
        <v>4.3565118371596996E-3</v>
      </c>
      <c r="F1213">
        <v>1.3069535511479101E-2</v>
      </c>
      <c r="G1213" t="s">
        <v>2960</v>
      </c>
    </row>
    <row r="1214" spans="1:7" x14ac:dyDescent="0.25">
      <c r="A1214" s="4" t="str">
        <f>HYPERLINK("http://amigo.geneontology.org/cgi-bin/amigo/term-details.cgi?term=GO:0019747","GO:0019747")</f>
        <v>GO:0019747</v>
      </c>
      <c r="B1214" t="s">
        <v>2959</v>
      </c>
      <c r="C1214">
        <v>8</v>
      </c>
      <c r="D1214">
        <v>3</v>
      </c>
      <c r="E1214">
        <v>4.3565118371596996E-3</v>
      </c>
      <c r="F1214">
        <v>1.3069535511479101E-2</v>
      </c>
      <c r="G1214" t="s">
        <v>2958</v>
      </c>
    </row>
    <row r="1215" spans="1:7" x14ac:dyDescent="0.25">
      <c r="A1215" s="4" t="str">
        <f>HYPERLINK("http://amigo.geneontology.org/cgi-bin/amigo/term-details.cgi?term=GO:0015645","GO:0015645")</f>
        <v>GO:0015645</v>
      </c>
      <c r="B1215" t="s">
        <v>2957</v>
      </c>
      <c r="C1215">
        <v>8</v>
      </c>
      <c r="D1215">
        <v>3</v>
      </c>
      <c r="E1215">
        <v>4.3565118371596996E-3</v>
      </c>
      <c r="F1215">
        <v>1.3069535511479101E-2</v>
      </c>
      <c r="G1215" t="s">
        <v>2363</v>
      </c>
    </row>
    <row r="1216" spans="1:7" x14ac:dyDescent="0.25">
      <c r="A1216" s="4" t="str">
        <f>HYPERLINK("http://amigo.geneontology.org/cgi-bin/amigo/term-details.cgi?term=GO:0004467","GO:0004467")</f>
        <v>GO:0004467</v>
      </c>
      <c r="B1216" t="s">
        <v>2956</v>
      </c>
      <c r="C1216">
        <v>8</v>
      </c>
      <c r="D1216">
        <v>3</v>
      </c>
      <c r="E1216">
        <v>4.3565118371596996E-3</v>
      </c>
      <c r="F1216">
        <v>1.3069535511479101E-2</v>
      </c>
      <c r="G1216" t="s">
        <v>2363</v>
      </c>
    </row>
    <row r="1217" spans="1:7" x14ac:dyDescent="0.25">
      <c r="A1217" s="4" t="str">
        <f>HYPERLINK("http://amigo.geneontology.org/cgi-bin/amigo/term-details.cgi?term=GO:0048446","GO:0048446")</f>
        <v>GO:0048446</v>
      </c>
      <c r="B1217" t="s">
        <v>2955</v>
      </c>
      <c r="C1217">
        <v>46</v>
      </c>
      <c r="D1217">
        <v>7</v>
      </c>
      <c r="E1217">
        <v>4.3636340701325403E-3</v>
      </c>
      <c r="F1217">
        <v>1.30909022103976E-2</v>
      </c>
      <c r="G1217" t="s">
        <v>2641</v>
      </c>
    </row>
    <row r="1218" spans="1:7" x14ac:dyDescent="0.25">
      <c r="A1218" s="4" t="str">
        <f>HYPERLINK("http://amigo.geneontology.org/cgi-bin/amigo/term-details.cgi?term=GO:0044454","GO:0044454")</f>
        <v>GO:0044454</v>
      </c>
      <c r="B1218" t="s">
        <v>2954</v>
      </c>
      <c r="C1218">
        <v>97</v>
      </c>
      <c r="D1218">
        <v>11</v>
      </c>
      <c r="E1218">
        <v>4.43146186504684E-3</v>
      </c>
      <c r="F1218">
        <v>1.32943855951405E-2</v>
      </c>
      <c r="G1218" t="s">
        <v>2953</v>
      </c>
    </row>
    <row r="1219" spans="1:7" x14ac:dyDescent="0.25">
      <c r="A1219" s="4" t="str">
        <f>HYPERLINK("http://amigo.geneontology.org/cgi-bin/amigo/term-details.cgi?term=GO:0003735","GO:0003735")</f>
        <v>GO:0003735</v>
      </c>
      <c r="B1219" t="s">
        <v>864</v>
      </c>
      <c r="C1219">
        <v>1195</v>
      </c>
      <c r="D1219">
        <v>74</v>
      </c>
      <c r="E1219">
        <v>4.43191942002427E-3</v>
      </c>
      <c r="F1219">
        <v>1.32957582600728E-2</v>
      </c>
      <c r="G1219" t="s">
        <v>2952</v>
      </c>
    </row>
    <row r="1220" spans="1:7" x14ac:dyDescent="0.25">
      <c r="A1220" s="4" t="str">
        <f>HYPERLINK("http://amigo.geneontology.org/cgi-bin/amigo/term-details.cgi?term=GO:0016444","GO:0016444")</f>
        <v>GO:0016444</v>
      </c>
      <c r="B1220" t="s">
        <v>2951</v>
      </c>
      <c r="C1220">
        <v>35</v>
      </c>
      <c r="D1220">
        <v>6</v>
      </c>
      <c r="E1220">
        <v>4.4616364736729001E-3</v>
      </c>
      <c r="F1220">
        <v>1.3384909421018699E-2</v>
      </c>
      <c r="G1220" t="s">
        <v>2950</v>
      </c>
    </row>
    <row r="1221" spans="1:7" x14ac:dyDescent="0.25">
      <c r="A1221" s="4" t="str">
        <f>HYPERLINK("http://amigo.geneontology.org/cgi-bin/amigo/term-details.cgi?term=GO:0006164","GO:0006164")</f>
        <v>GO:0006164</v>
      </c>
      <c r="B1221" t="s">
        <v>399</v>
      </c>
      <c r="C1221">
        <v>329</v>
      </c>
      <c r="D1221">
        <v>26</v>
      </c>
      <c r="E1221">
        <v>4.4996490776908699E-3</v>
      </c>
      <c r="F1221">
        <v>1.34989472330726E-2</v>
      </c>
      <c r="G1221" t="s">
        <v>2949</v>
      </c>
    </row>
    <row r="1222" spans="1:7" x14ac:dyDescent="0.25">
      <c r="A1222" s="4" t="str">
        <f>HYPERLINK("http://amigo.geneontology.org/cgi-bin/amigo/term-details.cgi?term=GO:0010026","GO:0010026")</f>
        <v>GO:0010026</v>
      </c>
      <c r="B1222" t="s">
        <v>2948</v>
      </c>
      <c r="C1222">
        <v>84</v>
      </c>
      <c r="D1222">
        <v>10</v>
      </c>
      <c r="E1222">
        <v>4.6071798733826998E-3</v>
      </c>
      <c r="F1222">
        <v>1.38215396201481E-2</v>
      </c>
      <c r="G1222" t="s">
        <v>2947</v>
      </c>
    </row>
    <row r="1223" spans="1:7" x14ac:dyDescent="0.25">
      <c r="A1223" s="4" t="str">
        <f>HYPERLINK("http://amigo.geneontology.org/cgi-bin/amigo/term-details.cgi?term=GO:0016485","GO:0016485")</f>
        <v>GO:0016485</v>
      </c>
      <c r="B1223" t="s">
        <v>505</v>
      </c>
      <c r="C1223">
        <v>71</v>
      </c>
      <c r="D1223">
        <v>9</v>
      </c>
      <c r="E1223">
        <v>4.6328990528001603E-3</v>
      </c>
      <c r="F1223">
        <v>1.38986971584004E-2</v>
      </c>
      <c r="G1223" t="s">
        <v>2946</v>
      </c>
    </row>
    <row r="1224" spans="1:7" x14ac:dyDescent="0.25">
      <c r="A1224" s="4" t="str">
        <f>HYPERLINK("http://amigo.geneontology.org/cgi-bin/amigo/term-details.cgi?term=GO:0009152","GO:0009152")</f>
        <v>GO:0009152</v>
      </c>
      <c r="B1224" t="s">
        <v>1229</v>
      </c>
      <c r="C1224">
        <v>297</v>
      </c>
      <c r="D1224">
        <v>24</v>
      </c>
      <c r="E1224">
        <v>4.6957073452786697E-3</v>
      </c>
      <c r="F1224">
        <v>1.4087122035836E-2</v>
      </c>
      <c r="G1224" t="s">
        <v>2945</v>
      </c>
    </row>
    <row r="1225" spans="1:7" x14ac:dyDescent="0.25">
      <c r="A1225" s="4" t="str">
        <f>HYPERLINK("http://amigo.geneontology.org/cgi-bin/amigo/term-details.cgi?term=GO:0016725","GO:0016725")</f>
        <v>GO:0016725</v>
      </c>
      <c r="B1225" t="s">
        <v>2944</v>
      </c>
      <c r="C1225">
        <v>16</v>
      </c>
      <c r="D1225">
        <v>4</v>
      </c>
      <c r="E1225">
        <v>4.9017520961390001E-3</v>
      </c>
      <c r="F1225">
        <v>1.4705256288417E-2</v>
      </c>
      <c r="G1225" t="s">
        <v>2943</v>
      </c>
    </row>
    <row r="1226" spans="1:7" x14ac:dyDescent="0.25">
      <c r="A1226" s="4" t="str">
        <f>HYPERLINK("http://amigo.geneontology.org/cgi-bin/amigo/term-details.cgi?term=GO:0004030","GO:0004030")</f>
        <v>GO:0004030</v>
      </c>
      <c r="B1226" t="s">
        <v>1131</v>
      </c>
      <c r="C1226">
        <v>16</v>
      </c>
      <c r="D1226">
        <v>4</v>
      </c>
      <c r="E1226">
        <v>4.9017520961390001E-3</v>
      </c>
      <c r="F1226">
        <v>1.4705256288417E-2</v>
      </c>
      <c r="G1226" t="s">
        <v>1318</v>
      </c>
    </row>
    <row r="1227" spans="1:7" x14ac:dyDescent="0.25">
      <c r="A1227" s="4" t="str">
        <f>HYPERLINK("http://amigo.geneontology.org/cgi-bin/amigo/term-details.cgi?term=GO:0009127","GO:0009127")</f>
        <v>GO:0009127</v>
      </c>
      <c r="B1227" t="s">
        <v>1381</v>
      </c>
      <c r="C1227">
        <v>266</v>
      </c>
      <c r="D1227">
        <v>22</v>
      </c>
      <c r="E1227">
        <v>5.0390820096951998E-3</v>
      </c>
      <c r="F1227">
        <v>1.5117246029085599E-2</v>
      </c>
      <c r="G1227" t="s">
        <v>2942</v>
      </c>
    </row>
    <row r="1228" spans="1:7" x14ac:dyDescent="0.25">
      <c r="A1228" s="4" t="str">
        <f>HYPERLINK("http://amigo.geneontology.org/cgi-bin/amigo/term-details.cgi?term=GO:0009168","GO:0009168")</f>
        <v>GO:0009168</v>
      </c>
      <c r="B1228" t="s">
        <v>1379</v>
      </c>
      <c r="C1228">
        <v>266</v>
      </c>
      <c r="D1228">
        <v>22</v>
      </c>
      <c r="E1228">
        <v>5.0390820096951998E-3</v>
      </c>
      <c r="F1228">
        <v>1.5117246029085599E-2</v>
      </c>
      <c r="G1228" t="s">
        <v>2942</v>
      </c>
    </row>
    <row r="1229" spans="1:7" x14ac:dyDescent="0.25">
      <c r="A1229" s="4" t="str">
        <f>HYPERLINK("http://amigo.geneontology.org/cgi-bin/amigo/term-details.cgi?term=GO:0005819","GO:0005819")</f>
        <v>GO:0005819</v>
      </c>
      <c r="B1229" t="s">
        <v>421</v>
      </c>
      <c r="C1229">
        <v>72</v>
      </c>
      <c r="D1229">
        <v>9</v>
      </c>
      <c r="E1229">
        <v>5.0866246692083698E-3</v>
      </c>
      <c r="F1229">
        <v>1.52598740076251E-2</v>
      </c>
      <c r="G1229" t="s">
        <v>2941</v>
      </c>
    </row>
    <row r="1230" spans="1:7" x14ac:dyDescent="0.25">
      <c r="A1230" s="4" t="str">
        <f>HYPERLINK("http://amigo.geneontology.org/cgi-bin/amigo/term-details.cgi?term=GO:0004553","GO:0004553")</f>
        <v>GO:0004553</v>
      </c>
      <c r="B1230" t="s">
        <v>76</v>
      </c>
      <c r="C1230">
        <v>1509</v>
      </c>
      <c r="D1230">
        <v>90</v>
      </c>
      <c r="E1230">
        <v>5.1641917394537702E-3</v>
      </c>
      <c r="F1230">
        <v>1.5492575218361299E-2</v>
      </c>
      <c r="G1230" t="s">
        <v>2940</v>
      </c>
    </row>
    <row r="1231" spans="1:7" x14ac:dyDescent="0.25">
      <c r="A1231" s="4" t="str">
        <f>HYPERLINK("http://amigo.geneontology.org/cgi-bin/amigo/term-details.cgi?term=GO:0019203","GO:0019203")</f>
        <v>GO:0019203</v>
      </c>
      <c r="B1231" t="s">
        <v>1338</v>
      </c>
      <c r="C1231">
        <v>60</v>
      </c>
      <c r="D1231">
        <v>8</v>
      </c>
      <c r="E1231">
        <v>5.4491344008310797E-3</v>
      </c>
      <c r="F1231">
        <v>1.6347403202493199E-2</v>
      </c>
      <c r="G1231" t="s">
        <v>2939</v>
      </c>
    </row>
    <row r="1232" spans="1:7" x14ac:dyDescent="0.25">
      <c r="A1232" s="4" t="str">
        <f>HYPERLINK("http://amigo.geneontology.org/cgi-bin/amigo/term-details.cgi?term=GO:0072599","GO:0072599")</f>
        <v>GO:0072599</v>
      </c>
      <c r="B1232" t="s">
        <v>643</v>
      </c>
      <c r="C1232">
        <v>60</v>
      </c>
      <c r="D1232">
        <v>8</v>
      </c>
      <c r="E1232">
        <v>5.4491344008310797E-3</v>
      </c>
      <c r="F1232">
        <v>1.6347403202493199E-2</v>
      </c>
      <c r="G1232" t="s">
        <v>620</v>
      </c>
    </row>
    <row r="1233" spans="1:7" x14ac:dyDescent="0.25">
      <c r="A1233" s="4" t="str">
        <f>HYPERLINK("http://amigo.geneontology.org/cgi-bin/amigo/term-details.cgi?term=GO:0045047","GO:0045047")</f>
        <v>GO:0045047</v>
      </c>
      <c r="B1233" t="s">
        <v>642</v>
      </c>
      <c r="C1233">
        <v>60</v>
      </c>
      <c r="D1233">
        <v>8</v>
      </c>
      <c r="E1233">
        <v>5.4491344008310797E-3</v>
      </c>
      <c r="F1233">
        <v>1.6347403202493199E-2</v>
      </c>
      <c r="G1233" t="s">
        <v>620</v>
      </c>
    </row>
    <row r="1234" spans="1:7" x14ac:dyDescent="0.25">
      <c r="A1234" s="4" t="str">
        <f>HYPERLINK("http://amigo.geneontology.org/cgi-bin/amigo/term-details.cgi?term=GO:0007030","GO:0007030")</f>
        <v>GO:0007030</v>
      </c>
      <c r="B1234" t="s">
        <v>1339</v>
      </c>
      <c r="C1234">
        <v>86</v>
      </c>
      <c r="D1234">
        <v>10</v>
      </c>
      <c r="E1234">
        <v>5.4491912950482601E-3</v>
      </c>
      <c r="F1234">
        <v>1.6347573885144798E-2</v>
      </c>
      <c r="G1234" t="s">
        <v>2938</v>
      </c>
    </row>
    <row r="1235" spans="1:7" x14ac:dyDescent="0.25">
      <c r="A1235" s="4" t="str">
        <f>HYPERLINK("http://amigo.geneontology.org/cgi-bin/amigo/term-details.cgi?term=GO:0031348","GO:0031348")</f>
        <v>GO:0031348</v>
      </c>
      <c r="B1235" t="s">
        <v>2231</v>
      </c>
      <c r="C1235">
        <v>86</v>
      </c>
      <c r="D1235">
        <v>10</v>
      </c>
      <c r="E1235">
        <v>5.4491912950482601E-3</v>
      </c>
      <c r="F1235">
        <v>1.6347573885144798E-2</v>
      </c>
      <c r="G1235" t="s">
        <v>2937</v>
      </c>
    </row>
    <row r="1236" spans="1:7" x14ac:dyDescent="0.25">
      <c r="A1236" s="4" t="str">
        <f>HYPERLINK("http://amigo.geneontology.org/cgi-bin/amigo/term-details.cgi?term=GO:0042158","GO:0042158")</f>
        <v>GO:0042158</v>
      </c>
      <c r="B1236" t="s">
        <v>565</v>
      </c>
      <c r="C1236">
        <v>114</v>
      </c>
      <c r="D1236">
        <v>12</v>
      </c>
      <c r="E1236">
        <v>5.5538971930871898E-3</v>
      </c>
      <c r="F1236">
        <v>1.6661691579261499E-2</v>
      </c>
      <c r="G1236" t="s">
        <v>2936</v>
      </c>
    </row>
    <row r="1237" spans="1:7" x14ac:dyDescent="0.25">
      <c r="A1237" s="4" t="str">
        <f>HYPERLINK("http://amigo.geneontology.org/cgi-bin/amigo/term-details.cgi?term=GO:0006497","GO:0006497")</f>
        <v>GO:0006497</v>
      </c>
      <c r="B1237" t="s">
        <v>564</v>
      </c>
      <c r="C1237">
        <v>114</v>
      </c>
      <c r="D1237">
        <v>12</v>
      </c>
      <c r="E1237">
        <v>5.5538971930871898E-3</v>
      </c>
      <c r="F1237">
        <v>1.6661691579261499E-2</v>
      </c>
      <c r="G1237" t="s">
        <v>2936</v>
      </c>
    </row>
    <row r="1238" spans="1:7" x14ac:dyDescent="0.25">
      <c r="A1238" s="4" t="str">
        <f>HYPERLINK("http://amigo.geneontology.org/cgi-bin/amigo/term-details.cgi?term=GO:0035825","GO:0035825")</f>
        <v>GO:0035825</v>
      </c>
      <c r="B1238" t="s">
        <v>2935</v>
      </c>
      <c r="C1238">
        <v>114</v>
      </c>
      <c r="D1238">
        <v>12</v>
      </c>
      <c r="E1238">
        <v>5.5538971930871898E-3</v>
      </c>
      <c r="F1238">
        <v>1.6661691579261499E-2</v>
      </c>
      <c r="G1238" t="s">
        <v>2802</v>
      </c>
    </row>
    <row r="1239" spans="1:7" x14ac:dyDescent="0.25">
      <c r="A1239" s="4" t="str">
        <f>HYPERLINK("http://amigo.geneontology.org/cgi-bin/amigo/term-details.cgi?term=GO:0007131","GO:0007131")</f>
        <v>GO:0007131</v>
      </c>
      <c r="B1239" t="s">
        <v>2934</v>
      </c>
      <c r="C1239">
        <v>114</v>
      </c>
      <c r="D1239">
        <v>12</v>
      </c>
      <c r="E1239">
        <v>5.5538971930871898E-3</v>
      </c>
      <c r="F1239">
        <v>1.6661691579261499E-2</v>
      </c>
      <c r="G1239" t="s">
        <v>2802</v>
      </c>
    </row>
    <row r="1240" spans="1:7" x14ac:dyDescent="0.25">
      <c r="A1240" s="4" t="str">
        <f>HYPERLINK("http://amigo.geneontology.org/cgi-bin/amigo/term-details.cgi?term=GO:0009627","GO:0009627")</f>
        <v>GO:0009627</v>
      </c>
      <c r="B1240" t="s">
        <v>2211</v>
      </c>
      <c r="C1240">
        <v>114</v>
      </c>
      <c r="D1240">
        <v>12</v>
      </c>
      <c r="E1240">
        <v>5.5538971930871898E-3</v>
      </c>
      <c r="F1240">
        <v>1.6661691579261499E-2</v>
      </c>
      <c r="G1240" t="s">
        <v>2933</v>
      </c>
    </row>
    <row r="1241" spans="1:7" x14ac:dyDescent="0.25">
      <c r="A1241" s="4" t="str">
        <f>HYPERLINK("http://amigo.geneontology.org/cgi-bin/amigo/term-details.cgi?term=GO:0030659","GO:0030659")</f>
        <v>GO:0030659</v>
      </c>
      <c r="B1241" t="s">
        <v>475</v>
      </c>
      <c r="C1241">
        <v>87</v>
      </c>
      <c r="D1241">
        <v>10</v>
      </c>
      <c r="E1241">
        <v>5.9129345914415701E-3</v>
      </c>
      <c r="F1241">
        <v>1.7738803774324699E-2</v>
      </c>
      <c r="G1241" t="s">
        <v>2840</v>
      </c>
    </row>
    <row r="1242" spans="1:7" x14ac:dyDescent="0.25">
      <c r="A1242" s="4" t="str">
        <f>HYPERLINK("http://amigo.geneontology.org/cgi-bin/amigo/term-details.cgi?term=GO:0016106","GO:0016106")</f>
        <v>GO:0016106</v>
      </c>
      <c r="B1242" t="s">
        <v>2932</v>
      </c>
      <c r="C1242">
        <v>37</v>
      </c>
      <c r="D1242">
        <v>6</v>
      </c>
      <c r="E1242">
        <v>5.9182356479726703E-3</v>
      </c>
      <c r="F1242">
        <v>1.7754706943918001E-2</v>
      </c>
      <c r="G1242" t="s">
        <v>2833</v>
      </c>
    </row>
    <row r="1243" spans="1:7" x14ac:dyDescent="0.25">
      <c r="A1243" s="4" t="str">
        <f>HYPERLINK("http://amigo.geneontology.org/cgi-bin/amigo/term-details.cgi?term=GO:0000176","GO:0000176")</f>
        <v>GO:0000176</v>
      </c>
      <c r="B1243" t="s">
        <v>1406</v>
      </c>
      <c r="C1243">
        <v>3</v>
      </c>
      <c r="D1243">
        <v>2</v>
      </c>
      <c r="E1243">
        <v>5.9463588971118298E-3</v>
      </c>
      <c r="F1243">
        <v>1.7839076691335502E-2</v>
      </c>
      <c r="G1243" t="s">
        <v>1405</v>
      </c>
    </row>
    <row r="1244" spans="1:7" x14ac:dyDescent="0.25">
      <c r="A1244" s="4" t="str">
        <f>HYPERLINK("http://amigo.geneontology.org/cgi-bin/amigo/term-details.cgi?term=GO:0046408","GO:0046408")</f>
        <v>GO:0046408</v>
      </c>
      <c r="B1244" t="s">
        <v>1403</v>
      </c>
      <c r="C1244">
        <v>3</v>
      </c>
      <c r="D1244">
        <v>2</v>
      </c>
      <c r="E1244">
        <v>5.9463588971118298E-3</v>
      </c>
      <c r="F1244">
        <v>1.7839076691335502E-2</v>
      </c>
      <c r="G1244" t="s">
        <v>1402</v>
      </c>
    </row>
    <row r="1245" spans="1:7" x14ac:dyDescent="0.25">
      <c r="A1245" s="4" t="str">
        <f>HYPERLINK("http://amigo.geneontology.org/cgi-bin/amigo/term-details.cgi?term=GO:0033354","GO:0033354")</f>
        <v>GO:0033354</v>
      </c>
      <c r="B1245" t="s">
        <v>2931</v>
      </c>
      <c r="C1245">
        <v>3</v>
      </c>
      <c r="D1245">
        <v>2</v>
      </c>
      <c r="E1245">
        <v>5.9463588971118298E-3</v>
      </c>
      <c r="F1245">
        <v>1.7839076691335502E-2</v>
      </c>
      <c r="G1245" t="s">
        <v>2929</v>
      </c>
    </row>
    <row r="1246" spans="1:7" x14ac:dyDescent="0.25">
      <c r="A1246" s="4" t="str">
        <f>HYPERLINK("http://amigo.geneontology.org/cgi-bin/amigo/term-details.cgi?term=GO:0090415","GO:0090415")</f>
        <v>GO:0090415</v>
      </c>
      <c r="B1246" t="s">
        <v>2930</v>
      </c>
      <c r="C1246">
        <v>3</v>
      </c>
      <c r="D1246">
        <v>2</v>
      </c>
      <c r="E1246">
        <v>5.9463588971118298E-3</v>
      </c>
      <c r="F1246">
        <v>1.7839076691335502E-2</v>
      </c>
      <c r="G1246" t="s">
        <v>2929</v>
      </c>
    </row>
    <row r="1247" spans="1:7" x14ac:dyDescent="0.25">
      <c r="A1247" s="4" t="str">
        <f>HYPERLINK("http://amigo.geneontology.org/cgi-bin/amigo/term-details.cgi?term=GO:0050613","GO:0050613")</f>
        <v>GO:0050613</v>
      </c>
      <c r="B1247" t="s">
        <v>2928</v>
      </c>
      <c r="C1247">
        <v>3</v>
      </c>
      <c r="D1247">
        <v>2</v>
      </c>
      <c r="E1247">
        <v>5.9463588971118298E-3</v>
      </c>
      <c r="F1247">
        <v>1.7839076691335502E-2</v>
      </c>
      <c r="G1247" t="s">
        <v>2927</v>
      </c>
    </row>
    <row r="1248" spans="1:7" x14ac:dyDescent="0.25">
      <c r="A1248" s="4" t="str">
        <f>HYPERLINK("http://amigo.geneontology.org/cgi-bin/amigo/term-details.cgi?term=GO:0006858","GO:0006858")</f>
        <v>GO:0006858</v>
      </c>
      <c r="B1248" t="s">
        <v>2926</v>
      </c>
      <c r="C1248">
        <v>3</v>
      </c>
      <c r="D1248">
        <v>2</v>
      </c>
      <c r="E1248">
        <v>5.9463588971118298E-3</v>
      </c>
      <c r="F1248">
        <v>1.7839076691335502E-2</v>
      </c>
      <c r="G1248" t="s">
        <v>2925</v>
      </c>
    </row>
    <row r="1249" spans="1:7" x14ac:dyDescent="0.25">
      <c r="A1249" s="4" t="str">
        <f>HYPERLINK("http://amigo.geneontology.org/cgi-bin/amigo/term-details.cgi?term=GO:0046508","GO:0046508")</f>
        <v>GO:0046508</v>
      </c>
      <c r="B1249" t="s">
        <v>2924</v>
      </c>
      <c r="C1249">
        <v>3</v>
      </c>
      <c r="D1249">
        <v>2</v>
      </c>
      <c r="E1249">
        <v>5.9463588971118298E-3</v>
      </c>
      <c r="F1249">
        <v>1.7839076691335502E-2</v>
      </c>
      <c r="G1249" t="s">
        <v>2922</v>
      </c>
    </row>
    <row r="1250" spans="1:7" x14ac:dyDescent="0.25">
      <c r="A1250" s="4" t="str">
        <f>HYPERLINK("http://amigo.geneontology.org/cgi-bin/amigo/term-details.cgi?term=GO:0046507","GO:0046507")</f>
        <v>GO:0046507</v>
      </c>
      <c r="B1250" t="s">
        <v>2923</v>
      </c>
      <c r="C1250">
        <v>3</v>
      </c>
      <c r="D1250">
        <v>2</v>
      </c>
      <c r="E1250">
        <v>5.9463588971118298E-3</v>
      </c>
      <c r="F1250">
        <v>1.7839076691335502E-2</v>
      </c>
      <c r="G1250" t="s">
        <v>2922</v>
      </c>
    </row>
    <row r="1251" spans="1:7" x14ac:dyDescent="0.25">
      <c r="A1251" s="4" t="str">
        <f>HYPERLINK("http://amigo.geneontology.org/cgi-bin/amigo/term-details.cgi?term=GO:0033947","GO:0033947")</f>
        <v>GO:0033947</v>
      </c>
      <c r="B1251" t="s">
        <v>2921</v>
      </c>
      <c r="C1251">
        <v>3</v>
      </c>
      <c r="D1251">
        <v>2</v>
      </c>
      <c r="E1251">
        <v>5.9463588971118298E-3</v>
      </c>
      <c r="F1251">
        <v>1.7839076691335502E-2</v>
      </c>
      <c r="G1251" t="s">
        <v>2582</v>
      </c>
    </row>
    <row r="1252" spans="1:7" x14ac:dyDescent="0.25">
      <c r="A1252" s="4" t="str">
        <f>HYPERLINK("http://amigo.geneontology.org/cgi-bin/amigo/term-details.cgi?term=GO:0008690","GO:0008690")</f>
        <v>GO:0008690</v>
      </c>
      <c r="B1252" t="s">
        <v>1388</v>
      </c>
      <c r="C1252">
        <v>3</v>
      </c>
      <c r="D1252">
        <v>2</v>
      </c>
      <c r="E1252">
        <v>5.9463588971118298E-3</v>
      </c>
      <c r="F1252">
        <v>1.7839076691335502E-2</v>
      </c>
      <c r="G1252" t="s">
        <v>1387</v>
      </c>
    </row>
    <row r="1253" spans="1:7" x14ac:dyDescent="0.25">
      <c r="A1253" s="4" t="str">
        <f>HYPERLINK("http://amigo.geneontology.org/cgi-bin/amigo/term-details.cgi?term=GO:0033467","GO:0033467")</f>
        <v>GO:0033467</v>
      </c>
      <c r="B1253" t="s">
        <v>2920</v>
      </c>
      <c r="C1253">
        <v>3</v>
      </c>
      <c r="D1253">
        <v>2</v>
      </c>
      <c r="E1253">
        <v>5.9463588971118298E-3</v>
      </c>
      <c r="F1253">
        <v>1.7839076691335502E-2</v>
      </c>
      <c r="G1253" t="s">
        <v>1387</v>
      </c>
    </row>
    <row r="1254" spans="1:7" x14ac:dyDescent="0.25">
      <c r="A1254" s="4" t="str">
        <f>HYPERLINK("http://amigo.geneontology.org/cgi-bin/amigo/term-details.cgi?term=GO:0033468","GO:0033468")</f>
        <v>GO:0033468</v>
      </c>
      <c r="B1254" t="s">
        <v>2919</v>
      </c>
      <c r="C1254">
        <v>3</v>
      </c>
      <c r="D1254">
        <v>2</v>
      </c>
      <c r="E1254">
        <v>5.9463588971118298E-3</v>
      </c>
      <c r="F1254">
        <v>1.7839076691335502E-2</v>
      </c>
      <c r="G1254" t="s">
        <v>1387</v>
      </c>
    </row>
    <row r="1255" spans="1:7" x14ac:dyDescent="0.25">
      <c r="A1255" s="4" t="str">
        <f>HYPERLINK("http://amigo.geneontology.org/cgi-bin/amigo/term-details.cgi?term=GO:0030619","GO:0030619")</f>
        <v>GO:0030619</v>
      </c>
      <c r="B1255" t="s">
        <v>2918</v>
      </c>
      <c r="C1255">
        <v>3</v>
      </c>
      <c r="D1255">
        <v>2</v>
      </c>
      <c r="E1255">
        <v>5.9463588971118298E-3</v>
      </c>
      <c r="F1255">
        <v>1.7839076691335502E-2</v>
      </c>
      <c r="G1255" t="s">
        <v>2917</v>
      </c>
    </row>
    <row r="1256" spans="1:7" x14ac:dyDescent="0.25">
      <c r="A1256" s="4" t="str">
        <f>HYPERLINK("http://amigo.geneontology.org/cgi-bin/amigo/term-details.cgi?term=GO:0008716","GO:0008716")</f>
        <v>GO:0008716</v>
      </c>
      <c r="B1256" t="s">
        <v>1370</v>
      </c>
      <c r="C1256">
        <v>3</v>
      </c>
      <c r="D1256">
        <v>2</v>
      </c>
      <c r="E1256">
        <v>5.9463588971118298E-3</v>
      </c>
      <c r="F1256">
        <v>1.7839076691335502E-2</v>
      </c>
      <c r="G1256" t="s">
        <v>1369</v>
      </c>
    </row>
    <row r="1257" spans="1:7" x14ac:dyDescent="0.25">
      <c r="A1257" s="4" t="str">
        <f>HYPERLINK("http://amigo.geneontology.org/cgi-bin/amigo/term-details.cgi?term=GO:0032881","GO:0032881")</f>
        <v>GO:0032881</v>
      </c>
      <c r="B1257" t="s">
        <v>2916</v>
      </c>
      <c r="C1257">
        <v>3</v>
      </c>
      <c r="D1257">
        <v>2</v>
      </c>
      <c r="E1257">
        <v>5.9463588971118298E-3</v>
      </c>
      <c r="F1257">
        <v>1.7839076691335502E-2</v>
      </c>
      <c r="G1257" t="s">
        <v>1368</v>
      </c>
    </row>
    <row r="1258" spans="1:7" x14ac:dyDescent="0.25">
      <c r="A1258" s="4" t="str">
        <f>HYPERLINK("http://amigo.geneontology.org/cgi-bin/amigo/term-details.cgi?term=GO:0032885","GO:0032885")</f>
        <v>GO:0032885</v>
      </c>
      <c r="B1258" t="s">
        <v>2915</v>
      </c>
      <c r="C1258">
        <v>3</v>
      </c>
      <c r="D1258">
        <v>2</v>
      </c>
      <c r="E1258">
        <v>5.9463588971118298E-3</v>
      </c>
      <c r="F1258">
        <v>1.7839076691335502E-2</v>
      </c>
      <c r="G1258" t="s">
        <v>1368</v>
      </c>
    </row>
    <row r="1259" spans="1:7" x14ac:dyDescent="0.25">
      <c r="A1259" s="4" t="str">
        <f>HYPERLINK("http://amigo.geneontology.org/cgi-bin/amigo/term-details.cgi?term=GO:0010962","GO:0010962")</f>
        <v>GO:0010962</v>
      </c>
      <c r="B1259" t="s">
        <v>2914</v>
      </c>
      <c r="C1259">
        <v>3</v>
      </c>
      <c r="D1259">
        <v>2</v>
      </c>
      <c r="E1259">
        <v>5.9463588971118298E-3</v>
      </c>
      <c r="F1259">
        <v>1.7839076691335502E-2</v>
      </c>
      <c r="G1259" t="s">
        <v>1368</v>
      </c>
    </row>
    <row r="1260" spans="1:7" x14ac:dyDescent="0.25">
      <c r="A1260" s="4" t="str">
        <f>HYPERLINK("http://amigo.geneontology.org/cgi-bin/amigo/term-details.cgi?term=GO:0035184","GO:0035184")</f>
        <v>GO:0035184</v>
      </c>
      <c r="B1260" t="s">
        <v>2913</v>
      </c>
      <c r="C1260">
        <v>3</v>
      </c>
      <c r="D1260">
        <v>2</v>
      </c>
      <c r="E1260">
        <v>5.9463588971118298E-3</v>
      </c>
      <c r="F1260">
        <v>1.7839076691335502E-2</v>
      </c>
      <c r="G1260" t="s">
        <v>2782</v>
      </c>
    </row>
    <row r="1261" spans="1:7" x14ac:dyDescent="0.25">
      <c r="A1261" s="4" t="str">
        <f>HYPERLINK("http://amigo.geneontology.org/cgi-bin/amigo/term-details.cgi?term=GO:0035402","GO:0035402")</f>
        <v>GO:0035402</v>
      </c>
      <c r="B1261" t="s">
        <v>2912</v>
      </c>
      <c r="C1261">
        <v>3</v>
      </c>
      <c r="D1261">
        <v>2</v>
      </c>
      <c r="E1261">
        <v>5.9463588971118298E-3</v>
      </c>
      <c r="F1261">
        <v>1.7839076691335502E-2</v>
      </c>
      <c r="G1261" t="s">
        <v>2782</v>
      </c>
    </row>
    <row r="1262" spans="1:7" x14ac:dyDescent="0.25">
      <c r="A1262" s="4" t="str">
        <f>HYPERLINK("http://amigo.geneontology.org/cgi-bin/amigo/term-details.cgi?term=GO:0018210","GO:0018210")</f>
        <v>GO:0018210</v>
      </c>
      <c r="B1262" t="s">
        <v>2911</v>
      </c>
      <c r="C1262">
        <v>3</v>
      </c>
      <c r="D1262">
        <v>2</v>
      </c>
      <c r="E1262">
        <v>5.9463588971118298E-3</v>
      </c>
      <c r="F1262">
        <v>1.7839076691335502E-2</v>
      </c>
      <c r="G1262" t="s">
        <v>2782</v>
      </c>
    </row>
    <row r="1263" spans="1:7" x14ac:dyDescent="0.25">
      <c r="A1263" s="4" t="str">
        <f>HYPERLINK("http://amigo.geneontology.org/cgi-bin/amigo/term-details.cgi?term=GO:0018107","GO:0018107")</f>
        <v>GO:0018107</v>
      </c>
      <c r="B1263" t="s">
        <v>2910</v>
      </c>
      <c r="C1263">
        <v>3</v>
      </c>
      <c r="D1263">
        <v>2</v>
      </c>
      <c r="E1263">
        <v>5.9463588971118298E-3</v>
      </c>
      <c r="F1263">
        <v>1.7839076691335502E-2</v>
      </c>
      <c r="G1263" t="s">
        <v>2782</v>
      </c>
    </row>
    <row r="1264" spans="1:7" x14ac:dyDescent="0.25">
      <c r="A1264" s="4" t="str">
        <f>HYPERLINK("http://amigo.geneontology.org/cgi-bin/amigo/term-details.cgi?term=GO:0035405","GO:0035405")</f>
        <v>GO:0035405</v>
      </c>
      <c r="B1264" t="s">
        <v>2909</v>
      </c>
      <c r="C1264">
        <v>3</v>
      </c>
      <c r="D1264">
        <v>2</v>
      </c>
      <c r="E1264">
        <v>5.9463588971118298E-3</v>
      </c>
      <c r="F1264">
        <v>1.7839076691335502E-2</v>
      </c>
      <c r="G1264" t="s">
        <v>2782</v>
      </c>
    </row>
    <row r="1265" spans="1:7" x14ac:dyDescent="0.25">
      <c r="A1265" s="4" t="str">
        <f>HYPERLINK("http://amigo.geneontology.org/cgi-bin/amigo/term-details.cgi?term=GO:0035407","GO:0035407")</f>
        <v>GO:0035407</v>
      </c>
      <c r="B1265" t="s">
        <v>2908</v>
      </c>
      <c r="C1265">
        <v>3</v>
      </c>
      <c r="D1265">
        <v>2</v>
      </c>
      <c r="E1265">
        <v>5.9463588971118298E-3</v>
      </c>
      <c r="F1265">
        <v>1.7839076691335502E-2</v>
      </c>
      <c r="G1265" t="s">
        <v>2782</v>
      </c>
    </row>
    <row r="1266" spans="1:7" x14ac:dyDescent="0.25">
      <c r="A1266" s="4" t="str">
        <f>HYPERLINK("http://amigo.geneontology.org/cgi-bin/amigo/term-details.cgi?term=GO:0072354","GO:0072354")</f>
        <v>GO:0072354</v>
      </c>
      <c r="B1266" t="s">
        <v>2907</v>
      </c>
      <c r="C1266">
        <v>3</v>
      </c>
      <c r="D1266">
        <v>2</v>
      </c>
      <c r="E1266">
        <v>5.9463588971118298E-3</v>
      </c>
      <c r="F1266">
        <v>1.7839076691335502E-2</v>
      </c>
      <c r="G1266" t="s">
        <v>2782</v>
      </c>
    </row>
    <row r="1267" spans="1:7" x14ac:dyDescent="0.25">
      <c r="A1267" s="4" t="str">
        <f>HYPERLINK("http://amigo.geneontology.org/cgi-bin/amigo/term-details.cgi?term=GO:0072355","GO:0072355")</f>
        <v>GO:0072355</v>
      </c>
      <c r="B1267" t="s">
        <v>2906</v>
      </c>
      <c r="C1267">
        <v>3</v>
      </c>
      <c r="D1267">
        <v>2</v>
      </c>
      <c r="E1267">
        <v>5.9463588971118298E-3</v>
      </c>
      <c r="F1267">
        <v>1.7839076691335502E-2</v>
      </c>
      <c r="G1267" t="s">
        <v>2782</v>
      </c>
    </row>
    <row r="1268" spans="1:7" x14ac:dyDescent="0.25">
      <c r="A1268" s="4" t="str">
        <f>HYPERLINK("http://amigo.geneontology.org/cgi-bin/amigo/term-details.cgi?term=GO:0009279","GO:0009279")</f>
        <v>GO:0009279</v>
      </c>
      <c r="B1268" t="s">
        <v>2905</v>
      </c>
      <c r="C1268">
        <v>3</v>
      </c>
      <c r="D1268">
        <v>2</v>
      </c>
      <c r="E1268">
        <v>5.9463588971118298E-3</v>
      </c>
      <c r="F1268">
        <v>1.7839076691335502E-2</v>
      </c>
      <c r="G1268" t="s">
        <v>2574</v>
      </c>
    </row>
    <row r="1269" spans="1:7" x14ac:dyDescent="0.25">
      <c r="A1269" s="4" t="str">
        <f>HYPERLINK("http://amigo.geneontology.org/cgi-bin/amigo/term-details.cgi?term=GO:0006063","GO:0006063")</f>
        <v>GO:0006063</v>
      </c>
      <c r="B1269" t="s">
        <v>2904</v>
      </c>
      <c r="C1269">
        <v>3</v>
      </c>
      <c r="D1269">
        <v>2</v>
      </c>
      <c r="E1269">
        <v>5.9463588971118298E-3</v>
      </c>
      <c r="F1269">
        <v>1.7839076691335502E-2</v>
      </c>
      <c r="G1269" t="s">
        <v>1354</v>
      </c>
    </row>
    <row r="1270" spans="1:7" x14ac:dyDescent="0.25">
      <c r="A1270" s="4" t="str">
        <f>HYPERLINK("http://amigo.geneontology.org/cgi-bin/amigo/term-details.cgi?term=GO:0019586","GO:0019586")</f>
        <v>GO:0019586</v>
      </c>
      <c r="B1270" t="s">
        <v>2903</v>
      </c>
      <c r="C1270">
        <v>3</v>
      </c>
      <c r="D1270">
        <v>2</v>
      </c>
      <c r="E1270">
        <v>5.9463588971118298E-3</v>
      </c>
      <c r="F1270">
        <v>1.7839076691335502E-2</v>
      </c>
      <c r="G1270" t="s">
        <v>1354</v>
      </c>
    </row>
    <row r="1271" spans="1:7" x14ac:dyDescent="0.25">
      <c r="A1271" s="4" t="str">
        <f>HYPERLINK("http://amigo.geneontology.org/cgi-bin/amigo/term-details.cgi?term=GO:0046396","GO:0046396")</f>
        <v>GO:0046396</v>
      </c>
      <c r="B1271" t="s">
        <v>2902</v>
      </c>
      <c r="C1271">
        <v>3</v>
      </c>
      <c r="D1271">
        <v>2</v>
      </c>
      <c r="E1271">
        <v>5.9463588971118298E-3</v>
      </c>
      <c r="F1271">
        <v>1.7839076691335502E-2</v>
      </c>
      <c r="G1271" t="s">
        <v>1354</v>
      </c>
    </row>
    <row r="1272" spans="1:7" x14ac:dyDescent="0.25">
      <c r="A1272" s="4" t="str">
        <f>HYPERLINK("http://amigo.geneontology.org/cgi-bin/amigo/term-details.cgi?term=GO:0047912","GO:0047912")</f>
        <v>GO:0047912</v>
      </c>
      <c r="B1272" t="s">
        <v>2901</v>
      </c>
      <c r="C1272">
        <v>3</v>
      </c>
      <c r="D1272">
        <v>2</v>
      </c>
      <c r="E1272">
        <v>5.9463588971118298E-3</v>
      </c>
      <c r="F1272">
        <v>1.7839076691335502E-2</v>
      </c>
      <c r="G1272" t="s">
        <v>1354</v>
      </c>
    </row>
    <row r="1273" spans="1:7" x14ac:dyDescent="0.25">
      <c r="A1273" s="4" t="str">
        <f>HYPERLINK("http://amigo.geneontology.org/cgi-bin/amigo/term-details.cgi?term=GO:0044426","GO:0044426")</f>
        <v>GO:0044426</v>
      </c>
      <c r="B1273" t="s">
        <v>2900</v>
      </c>
      <c r="C1273">
        <v>3</v>
      </c>
      <c r="D1273">
        <v>2</v>
      </c>
      <c r="E1273">
        <v>5.9463588971118298E-3</v>
      </c>
      <c r="F1273">
        <v>1.7839076691335502E-2</v>
      </c>
      <c r="G1273" t="s">
        <v>2688</v>
      </c>
    </row>
    <row r="1274" spans="1:7" x14ac:dyDescent="0.25">
      <c r="A1274" s="4" t="str">
        <f>HYPERLINK("http://amigo.geneontology.org/cgi-bin/amigo/term-details.cgi?term=GO:0052880","GO:0052880")</f>
        <v>GO:0052880</v>
      </c>
      <c r="B1274" t="s">
        <v>1350</v>
      </c>
      <c r="C1274">
        <v>3</v>
      </c>
      <c r="D1274">
        <v>2</v>
      </c>
      <c r="E1274">
        <v>5.9463588971118298E-3</v>
      </c>
      <c r="F1274">
        <v>1.7839076691335502E-2</v>
      </c>
      <c r="G1274" t="s">
        <v>1347</v>
      </c>
    </row>
    <row r="1275" spans="1:7" x14ac:dyDescent="0.25">
      <c r="A1275" s="4" t="str">
        <f>HYPERLINK("http://amigo.geneontology.org/cgi-bin/amigo/term-details.cgi?term=GO:0009496","GO:0009496")</f>
        <v>GO:0009496</v>
      </c>
      <c r="B1275" t="s">
        <v>1349</v>
      </c>
      <c r="C1275">
        <v>3</v>
      </c>
      <c r="D1275">
        <v>2</v>
      </c>
      <c r="E1275">
        <v>5.9463588971118298E-3</v>
      </c>
      <c r="F1275">
        <v>1.7839076691335502E-2</v>
      </c>
      <c r="G1275" t="s">
        <v>1347</v>
      </c>
    </row>
    <row r="1276" spans="1:7" x14ac:dyDescent="0.25">
      <c r="A1276" s="4" t="str">
        <f>HYPERLINK("http://amigo.geneontology.org/cgi-bin/amigo/term-details.cgi?term=GO:0003973","GO:0003973")</f>
        <v>GO:0003973</v>
      </c>
      <c r="B1276" t="s">
        <v>2899</v>
      </c>
      <c r="C1276">
        <v>3</v>
      </c>
      <c r="D1276">
        <v>2</v>
      </c>
      <c r="E1276">
        <v>5.9463588971118298E-3</v>
      </c>
      <c r="F1276">
        <v>1.7839076691335502E-2</v>
      </c>
      <c r="G1276" t="s">
        <v>2681</v>
      </c>
    </row>
    <row r="1277" spans="1:7" x14ac:dyDescent="0.25">
      <c r="A1277" s="4" t="str">
        <f>HYPERLINK("http://amigo.geneontology.org/cgi-bin/amigo/term-details.cgi?term=GO:0030076","GO:0030076")</f>
        <v>GO:0030076</v>
      </c>
      <c r="B1277" t="s">
        <v>2898</v>
      </c>
      <c r="C1277">
        <v>3</v>
      </c>
      <c r="D1277">
        <v>2</v>
      </c>
      <c r="E1277">
        <v>5.9463588971118298E-3</v>
      </c>
      <c r="F1277">
        <v>1.7839076691335502E-2</v>
      </c>
      <c r="G1277" t="s">
        <v>2895</v>
      </c>
    </row>
    <row r="1278" spans="1:7" x14ac:dyDescent="0.25">
      <c r="A1278" s="4" t="str">
        <f>HYPERLINK("http://amigo.geneontology.org/cgi-bin/amigo/term-details.cgi?term=GO:0009503","GO:0009503")</f>
        <v>GO:0009503</v>
      </c>
      <c r="B1278" t="s">
        <v>2897</v>
      </c>
      <c r="C1278">
        <v>3</v>
      </c>
      <c r="D1278">
        <v>2</v>
      </c>
      <c r="E1278">
        <v>5.9463588971118298E-3</v>
      </c>
      <c r="F1278">
        <v>1.7839076691335502E-2</v>
      </c>
      <c r="G1278" t="s">
        <v>2895</v>
      </c>
    </row>
    <row r="1279" spans="1:7" x14ac:dyDescent="0.25">
      <c r="A1279" s="4" t="str">
        <f>HYPERLINK("http://amigo.geneontology.org/cgi-bin/amigo/term-details.cgi?term=GO:0009517","GO:0009517")</f>
        <v>GO:0009517</v>
      </c>
      <c r="B1279" t="s">
        <v>2896</v>
      </c>
      <c r="C1279">
        <v>3</v>
      </c>
      <c r="D1279">
        <v>2</v>
      </c>
      <c r="E1279">
        <v>5.9463588971118298E-3</v>
      </c>
      <c r="F1279">
        <v>1.7839076691335502E-2</v>
      </c>
      <c r="G1279" t="s">
        <v>2895</v>
      </c>
    </row>
    <row r="1280" spans="1:7" x14ac:dyDescent="0.25">
      <c r="A1280" s="4" t="str">
        <f>HYPERLINK("http://amigo.geneontology.org/cgi-bin/amigo/term-details.cgi?term=GO:0033699","GO:0033699")</f>
        <v>GO:0033699</v>
      </c>
      <c r="B1280" t="s">
        <v>2894</v>
      </c>
      <c r="C1280">
        <v>3</v>
      </c>
      <c r="D1280">
        <v>2</v>
      </c>
      <c r="E1280">
        <v>5.9463588971118298E-3</v>
      </c>
      <c r="F1280">
        <v>1.7839076691335502E-2</v>
      </c>
      <c r="G1280" t="s">
        <v>2339</v>
      </c>
    </row>
    <row r="1281" spans="1:7" x14ac:dyDescent="0.25">
      <c r="A1281" s="4" t="str">
        <f>HYPERLINK("http://amigo.geneontology.org/cgi-bin/amigo/term-details.cgi?term=GO:0019144","GO:0019144")</f>
        <v>GO:0019144</v>
      </c>
      <c r="B1281" t="s">
        <v>2893</v>
      </c>
      <c r="C1281">
        <v>3</v>
      </c>
      <c r="D1281">
        <v>2</v>
      </c>
      <c r="E1281">
        <v>5.9463588971118298E-3</v>
      </c>
      <c r="F1281">
        <v>1.7839076691335502E-2</v>
      </c>
      <c r="G1281" t="s">
        <v>2891</v>
      </c>
    </row>
    <row r="1282" spans="1:7" x14ac:dyDescent="0.25">
      <c r="A1282" s="4" t="str">
        <f>HYPERLINK("http://amigo.geneontology.org/cgi-bin/amigo/term-details.cgi?term=GO:0080041","GO:0080041")</f>
        <v>GO:0080041</v>
      </c>
      <c r="B1282" t="s">
        <v>2892</v>
      </c>
      <c r="C1282">
        <v>3</v>
      </c>
      <c r="D1282">
        <v>2</v>
      </c>
      <c r="E1282">
        <v>5.9463588971118298E-3</v>
      </c>
      <c r="F1282">
        <v>1.7839076691335502E-2</v>
      </c>
      <c r="G1282" t="s">
        <v>2891</v>
      </c>
    </row>
    <row r="1283" spans="1:7" x14ac:dyDescent="0.25">
      <c r="A1283" s="4" t="str">
        <f>HYPERLINK("http://amigo.geneontology.org/cgi-bin/amigo/term-details.cgi?term=GO:0010349","GO:0010349")</f>
        <v>GO:0010349</v>
      </c>
      <c r="B1283" t="s">
        <v>2890</v>
      </c>
      <c r="C1283">
        <v>3</v>
      </c>
      <c r="D1283">
        <v>2</v>
      </c>
      <c r="E1283">
        <v>5.9463588971118298E-3</v>
      </c>
      <c r="F1283">
        <v>1.7839076691335502E-2</v>
      </c>
      <c r="G1283" t="s">
        <v>2889</v>
      </c>
    </row>
    <row r="1284" spans="1:7" x14ac:dyDescent="0.25">
      <c r="A1284" s="4" t="str">
        <f>HYPERLINK("http://amigo.geneontology.org/cgi-bin/amigo/term-details.cgi?term=GO:0016632","GO:0016632")</f>
        <v>GO:0016632</v>
      </c>
      <c r="B1284" t="s">
        <v>1317</v>
      </c>
      <c r="C1284">
        <v>3</v>
      </c>
      <c r="D1284">
        <v>2</v>
      </c>
      <c r="E1284">
        <v>5.9463588971118298E-3</v>
      </c>
      <c r="F1284">
        <v>1.7839076691335502E-2</v>
      </c>
      <c r="G1284" t="s">
        <v>1315</v>
      </c>
    </row>
    <row r="1285" spans="1:7" x14ac:dyDescent="0.25">
      <c r="A1285" s="4" t="str">
        <f>HYPERLINK("http://amigo.geneontology.org/cgi-bin/amigo/term-details.cgi?term=GO:0016633","GO:0016633")</f>
        <v>GO:0016633</v>
      </c>
      <c r="B1285" t="s">
        <v>1316</v>
      </c>
      <c r="C1285">
        <v>3</v>
      </c>
      <c r="D1285">
        <v>2</v>
      </c>
      <c r="E1285">
        <v>5.9463588971118298E-3</v>
      </c>
      <c r="F1285">
        <v>1.7839076691335502E-2</v>
      </c>
      <c r="G1285" t="s">
        <v>1315</v>
      </c>
    </row>
    <row r="1286" spans="1:7" x14ac:dyDescent="0.25">
      <c r="A1286" s="4" t="str">
        <f>HYPERLINK("http://amigo.geneontology.org/cgi-bin/amigo/term-details.cgi?term=GO:0080049","GO:0080049")</f>
        <v>GO:0080049</v>
      </c>
      <c r="B1286" t="s">
        <v>2888</v>
      </c>
      <c r="C1286">
        <v>3</v>
      </c>
      <c r="D1286">
        <v>2</v>
      </c>
      <c r="E1286">
        <v>5.9463588971118298E-3</v>
      </c>
      <c r="F1286">
        <v>1.7839076691335502E-2</v>
      </c>
      <c r="G1286" t="s">
        <v>1315</v>
      </c>
    </row>
    <row r="1287" spans="1:7" x14ac:dyDescent="0.25">
      <c r="A1287" s="4" t="str">
        <f>HYPERLINK("http://amigo.geneontology.org/cgi-bin/amigo/term-details.cgi?term=GO:0010395","GO:0010395")</f>
        <v>GO:0010395</v>
      </c>
      <c r="B1287" t="s">
        <v>2887</v>
      </c>
      <c r="C1287">
        <v>3</v>
      </c>
      <c r="D1287">
        <v>2</v>
      </c>
      <c r="E1287">
        <v>5.9463588971118298E-3</v>
      </c>
      <c r="F1287">
        <v>1.7839076691335502E-2</v>
      </c>
      <c r="G1287" t="s">
        <v>2885</v>
      </c>
    </row>
    <row r="1288" spans="1:7" x14ac:dyDescent="0.25">
      <c r="A1288" s="4" t="str">
        <f>HYPERLINK("http://amigo.geneontology.org/cgi-bin/amigo/term-details.cgi?term=GO:0010400","GO:0010400")</f>
        <v>GO:0010400</v>
      </c>
      <c r="B1288" t="s">
        <v>2886</v>
      </c>
      <c r="C1288">
        <v>3</v>
      </c>
      <c r="D1288">
        <v>2</v>
      </c>
      <c r="E1288">
        <v>5.9463588971118298E-3</v>
      </c>
      <c r="F1288">
        <v>1.7839076691335502E-2</v>
      </c>
      <c r="G1288" t="s">
        <v>2885</v>
      </c>
    </row>
    <row r="1289" spans="1:7" x14ac:dyDescent="0.25">
      <c r="A1289" s="4" t="str">
        <f>HYPERLINK("http://amigo.geneontology.org/cgi-bin/amigo/term-details.cgi?term=GO:0006642","GO:0006642")</f>
        <v>GO:0006642</v>
      </c>
      <c r="B1289" t="s">
        <v>2884</v>
      </c>
      <c r="C1289">
        <v>3</v>
      </c>
      <c r="D1289">
        <v>2</v>
      </c>
      <c r="E1289">
        <v>5.9463588971118298E-3</v>
      </c>
      <c r="F1289">
        <v>1.7839076691335502E-2</v>
      </c>
      <c r="G1289" t="s">
        <v>1304</v>
      </c>
    </row>
    <row r="1290" spans="1:7" x14ac:dyDescent="0.25">
      <c r="A1290" s="4" t="str">
        <f>HYPERLINK("http://amigo.geneontology.org/cgi-bin/amigo/term-details.cgi?term=GO:0046166","GO:0046166")</f>
        <v>GO:0046166</v>
      </c>
      <c r="B1290" t="s">
        <v>2883</v>
      </c>
      <c r="C1290">
        <v>3</v>
      </c>
      <c r="D1290">
        <v>2</v>
      </c>
      <c r="E1290">
        <v>5.9463588971118298E-3</v>
      </c>
      <c r="F1290">
        <v>1.7839076691335502E-2</v>
      </c>
      <c r="G1290" t="s">
        <v>1304</v>
      </c>
    </row>
    <row r="1291" spans="1:7" x14ac:dyDescent="0.25">
      <c r="A1291" s="4" t="str">
        <f>HYPERLINK("http://amigo.geneontology.org/cgi-bin/amigo/term-details.cgi?term=GO:2000653","GO:2000653")</f>
        <v>GO:2000653</v>
      </c>
      <c r="B1291" t="s">
        <v>2882</v>
      </c>
      <c r="C1291">
        <v>3</v>
      </c>
      <c r="D1291">
        <v>2</v>
      </c>
      <c r="E1291">
        <v>5.9463588971118298E-3</v>
      </c>
      <c r="F1291">
        <v>1.7839076691335502E-2</v>
      </c>
      <c r="G1291" t="s">
        <v>2665</v>
      </c>
    </row>
    <row r="1292" spans="1:7" x14ac:dyDescent="0.25">
      <c r="A1292" s="4" t="str">
        <f>HYPERLINK("http://amigo.geneontology.org/cgi-bin/amigo/term-details.cgi?term=GO:0004001","GO:0004001")</f>
        <v>GO:0004001</v>
      </c>
      <c r="B1292" t="s">
        <v>1298</v>
      </c>
      <c r="C1292">
        <v>3</v>
      </c>
      <c r="D1292">
        <v>2</v>
      </c>
      <c r="E1292">
        <v>5.9463588971118298E-3</v>
      </c>
      <c r="F1292">
        <v>1.7839076691335502E-2</v>
      </c>
      <c r="G1292" t="s">
        <v>1296</v>
      </c>
    </row>
    <row r="1293" spans="1:7" x14ac:dyDescent="0.25">
      <c r="A1293" s="4" t="str">
        <f>HYPERLINK("http://amigo.geneontology.org/cgi-bin/amigo/term-details.cgi?term=GO:0045298","GO:0045298")</f>
        <v>GO:0045298</v>
      </c>
      <c r="B1293" t="s">
        <v>2881</v>
      </c>
      <c r="C1293">
        <v>3</v>
      </c>
      <c r="D1293">
        <v>2</v>
      </c>
      <c r="E1293">
        <v>5.9463588971118298E-3</v>
      </c>
      <c r="F1293">
        <v>1.7839076691335502E-2</v>
      </c>
      <c r="G1293" t="s">
        <v>2880</v>
      </c>
    </row>
    <row r="1294" spans="1:7" x14ac:dyDescent="0.25">
      <c r="A1294" s="4" t="str">
        <f>HYPERLINK("http://amigo.geneontology.org/cgi-bin/amigo/term-details.cgi?term=GO:0005968","GO:0005968")</f>
        <v>GO:0005968</v>
      </c>
      <c r="B1294" t="s">
        <v>2879</v>
      </c>
      <c r="C1294">
        <v>3</v>
      </c>
      <c r="D1294">
        <v>2</v>
      </c>
      <c r="E1294">
        <v>5.9463588971118298E-3</v>
      </c>
      <c r="F1294">
        <v>1.7839076691335502E-2</v>
      </c>
      <c r="G1294" t="s">
        <v>2878</v>
      </c>
    </row>
    <row r="1295" spans="1:7" x14ac:dyDescent="0.25">
      <c r="A1295" s="4" t="str">
        <f>HYPERLINK("http://amigo.geneontology.org/cgi-bin/amigo/term-details.cgi?term=GO:0051493","GO:0051493")</f>
        <v>GO:0051493</v>
      </c>
      <c r="B1295" t="s">
        <v>2877</v>
      </c>
      <c r="C1295">
        <v>115</v>
      </c>
      <c r="D1295">
        <v>12</v>
      </c>
      <c r="E1295">
        <v>5.9518041046421697E-3</v>
      </c>
      <c r="F1295">
        <v>1.78554123139265E-2</v>
      </c>
      <c r="G1295" t="s">
        <v>2876</v>
      </c>
    </row>
    <row r="1296" spans="1:7" x14ac:dyDescent="0.25">
      <c r="A1296" s="4" t="str">
        <f>HYPERLINK("http://amigo.geneontology.org/cgi-bin/amigo/term-details.cgi?term=GO:0045132","GO:0045132")</f>
        <v>GO:0045132</v>
      </c>
      <c r="B1296" t="s">
        <v>1112</v>
      </c>
      <c r="C1296">
        <v>115</v>
      </c>
      <c r="D1296">
        <v>12</v>
      </c>
      <c r="E1296">
        <v>5.9518041046421697E-3</v>
      </c>
      <c r="F1296">
        <v>1.78554123139265E-2</v>
      </c>
      <c r="G1296" t="s">
        <v>2875</v>
      </c>
    </row>
    <row r="1297" spans="1:7" x14ac:dyDescent="0.25">
      <c r="A1297" s="4" t="str">
        <f>HYPERLINK("http://amigo.geneontology.org/cgi-bin/amigo/term-details.cgi?term=GO:0035690","GO:0035690")</f>
        <v>GO:0035690</v>
      </c>
      <c r="B1297" t="s">
        <v>2268</v>
      </c>
      <c r="C1297">
        <v>101</v>
      </c>
      <c r="D1297">
        <v>11</v>
      </c>
      <c r="E1297">
        <v>6.0155266180288098E-3</v>
      </c>
      <c r="F1297">
        <v>1.8046579854086399E-2</v>
      </c>
      <c r="G1297" t="s">
        <v>2856</v>
      </c>
    </row>
    <row r="1298" spans="1:7" x14ac:dyDescent="0.25">
      <c r="A1298" s="4" t="str">
        <f>HYPERLINK("http://amigo.geneontology.org/cgi-bin/amigo/term-details.cgi?term=GO:0004618","GO:0004618")</f>
        <v>GO:0004618</v>
      </c>
      <c r="B1298" t="s">
        <v>560</v>
      </c>
      <c r="C1298">
        <v>17</v>
      </c>
      <c r="D1298">
        <v>4</v>
      </c>
      <c r="E1298">
        <v>6.1828882938674296E-3</v>
      </c>
      <c r="F1298">
        <v>1.8548664881602301E-2</v>
      </c>
      <c r="G1298" t="s">
        <v>559</v>
      </c>
    </row>
    <row r="1299" spans="1:7" x14ac:dyDescent="0.25">
      <c r="A1299" s="4" t="str">
        <f>HYPERLINK("http://amigo.geneontology.org/cgi-bin/amigo/term-details.cgi?term=GO:0008028","GO:0008028")</f>
        <v>GO:0008028</v>
      </c>
      <c r="B1299" t="s">
        <v>2874</v>
      </c>
      <c r="C1299">
        <v>17</v>
      </c>
      <c r="D1299">
        <v>4</v>
      </c>
      <c r="E1299">
        <v>6.1828882938674296E-3</v>
      </c>
      <c r="F1299">
        <v>1.8548664881602301E-2</v>
      </c>
      <c r="G1299" t="s">
        <v>2873</v>
      </c>
    </row>
    <row r="1300" spans="1:7" x14ac:dyDescent="0.25">
      <c r="A1300" s="4" t="str">
        <f>HYPERLINK("http://amigo.geneontology.org/cgi-bin/amigo/term-details.cgi?term=GO:0043087","GO:0043087")</f>
        <v>GO:0043087</v>
      </c>
      <c r="B1300" t="s">
        <v>2872</v>
      </c>
      <c r="C1300">
        <v>49</v>
      </c>
      <c r="D1300">
        <v>7</v>
      </c>
      <c r="E1300">
        <v>6.22852513854401E-3</v>
      </c>
      <c r="F1300">
        <v>1.8685575415632E-2</v>
      </c>
      <c r="G1300" t="s">
        <v>2871</v>
      </c>
    </row>
    <row r="1301" spans="1:7" x14ac:dyDescent="0.25">
      <c r="A1301" s="4" t="str">
        <f>HYPERLINK("http://amigo.geneontology.org/cgi-bin/amigo/term-details.cgi?term=GO:0004148","GO:0004148")</f>
        <v>GO:0004148</v>
      </c>
      <c r="B1301" t="s">
        <v>1088</v>
      </c>
      <c r="C1301">
        <v>9</v>
      </c>
      <c r="D1301">
        <v>3</v>
      </c>
      <c r="E1301">
        <v>6.3159725770549598E-3</v>
      </c>
      <c r="F1301">
        <v>1.8947917731164901E-2</v>
      </c>
      <c r="G1301" t="s">
        <v>1087</v>
      </c>
    </row>
    <row r="1302" spans="1:7" x14ac:dyDescent="0.25">
      <c r="A1302" s="4" t="str">
        <f>HYPERLINK("http://amigo.geneontology.org/cgi-bin/amigo/term-details.cgi?term=GO:0004642","GO:0004642")</f>
        <v>GO:0004642</v>
      </c>
      <c r="B1302" t="s">
        <v>1384</v>
      </c>
      <c r="C1302">
        <v>9</v>
      </c>
      <c r="D1302">
        <v>3</v>
      </c>
      <c r="E1302">
        <v>6.3159725770549598E-3</v>
      </c>
      <c r="F1302">
        <v>1.8947917731164901E-2</v>
      </c>
      <c r="G1302" t="s">
        <v>1383</v>
      </c>
    </row>
    <row r="1303" spans="1:7" x14ac:dyDescent="0.25">
      <c r="A1303" s="4" t="str">
        <f>HYPERLINK("http://amigo.geneontology.org/cgi-bin/amigo/term-details.cgi?term=GO:0004647","GO:0004647")</f>
        <v>GO:0004647</v>
      </c>
      <c r="B1303" t="s">
        <v>1344</v>
      </c>
      <c r="C1303">
        <v>9</v>
      </c>
      <c r="D1303">
        <v>3</v>
      </c>
      <c r="E1303">
        <v>6.3159725770549598E-3</v>
      </c>
      <c r="F1303">
        <v>1.8947917731164901E-2</v>
      </c>
      <c r="G1303" t="s">
        <v>2370</v>
      </c>
    </row>
    <row r="1304" spans="1:7" x14ac:dyDescent="0.25">
      <c r="A1304" s="4" t="str">
        <f>HYPERLINK("http://amigo.geneontology.org/cgi-bin/amigo/term-details.cgi?term=GO:0008184","GO:0008184")</f>
        <v>GO:0008184</v>
      </c>
      <c r="B1304" t="s">
        <v>413</v>
      </c>
      <c r="C1304">
        <v>9</v>
      </c>
      <c r="D1304">
        <v>3</v>
      </c>
      <c r="E1304">
        <v>6.3159725770549598E-3</v>
      </c>
      <c r="F1304">
        <v>1.8947917731164901E-2</v>
      </c>
      <c r="G1304" t="s">
        <v>1085</v>
      </c>
    </row>
    <row r="1305" spans="1:7" x14ac:dyDescent="0.25">
      <c r="A1305" s="4" t="str">
        <f>HYPERLINK("http://amigo.geneontology.org/cgi-bin/amigo/term-details.cgi?term=GO:1900865","GO:1900865")</f>
        <v>GO:1900865</v>
      </c>
      <c r="B1305" t="s">
        <v>2870</v>
      </c>
      <c r="C1305">
        <v>9</v>
      </c>
      <c r="D1305">
        <v>3</v>
      </c>
      <c r="E1305">
        <v>6.3159725770549598E-3</v>
      </c>
      <c r="F1305">
        <v>1.8947917731164901E-2</v>
      </c>
      <c r="G1305" t="s">
        <v>2869</v>
      </c>
    </row>
    <row r="1306" spans="1:7" x14ac:dyDescent="0.25">
      <c r="A1306" s="4" t="str">
        <f>HYPERLINK("http://amigo.geneontology.org/cgi-bin/amigo/term-details.cgi?term=GO:0004514","GO:0004514")</f>
        <v>GO:0004514</v>
      </c>
      <c r="B1306" t="s">
        <v>540</v>
      </c>
      <c r="C1306">
        <v>9</v>
      </c>
      <c r="D1306">
        <v>3</v>
      </c>
      <c r="E1306">
        <v>6.3159725770549598E-3</v>
      </c>
      <c r="F1306">
        <v>1.8947917731164901E-2</v>
      </c>
      <c r="G1306" t="s">
        <v>433</v>
      </c>
    </row>
    <row r="1307" spans="1:7" x14ac:dyDescent="0.25">
      <c r="A1307" s="4" t="str">
        <f>HYPERLINK("http://amigo.geneontology.org/cgi-bin/amigo/term-details.cgi?term=GO:0019365","GO:0019365")</f>
        <v>GO:0019365</v>
      </c>
      <c r="B1307" t="s">
        <v>605</v>
      </c>
      <c r="C1307">
        <v>9</v>
      </c>
      <c r="D1307">
        <v>3</v>
      </c>
      <c r="E1307">
        <v>6.3159725770549598E-3</v>
      </c>
      <c r="F1307">
        <v>1.8947917731164901E-2</v>
      </c>
      <c r="G1307" t="s">
        <v>433</v>
      </c>
    </row>
    <row r="1308" spans="1:7" x14ac:dyDescent="0.25">
      <c r="A1308" s="4" t="str">
        <f>HYPERLINK("http://amigo.geneontology.org/cgi-bin/amigo/term-details.cgi?term=GO:0042364","GO:0042364")</f>
        <v>GO:0042364</v>
      </c>
      <c r="B1308" t="s">
        <v>2868</v>
      </c>
      <c r="C1308">
        <v>116</v>
      </c>
      <c r="D1308">
        <v>12</v>
      </c>
      <c r="E1308">
        <v>6.3719426326228701E-3</v>
      </c>
      <c r="F1308">
        <v>1.9115827897868601E-2</v>
      </c>
      <c r="G1308" t="s">
        <v>2791</v>
      </c>
    </row>
    <row r="1309" spans="1:7" x14ac:dyDescent="0.25">
      <c r="A1309" s="4" t="str">
        <f>HYPERLINK("http://amigo.geneontology.org/cgi-bin/amigo/term-details.cgi?term=GO:0032774","GO:0032774")</f>
        <v>GO:0032774</v>
      </c>
      <c r="B1309" t="s">
        <v>1409</v>
      </c>
      <c r="C1309">
        <v>2051</v>
      </c>
      <c r="D1309">
        <v>117</v>
      </c>
      <c r="E1309">
        <v>6.5086919812606201E-3</v>
      </c>
      <c r="F1309">
        <v>1.95260759437818E-2</v>
      </c>
      <c r="G1309" t="s">
        <v>2867</v>
      </c>
    </row>
    <row r="1310" spans="1:7" x14ac:dyDescent="0.25">
      <c r="A1310" s="4" t="str">
        <f>HYPERLINK("http://amigo.geneontology.org/cgi-bin/amigo/term-details.cgi?term=GO:0017069","GO:0017069")</f>
        <v>GO:0017069</v>
      </c>
      <c r="B1310" t="s">
        <v>1310</v>
      </c>
      <c r="C1310">
        <v>27</v>
      </c>
      <c r="D1310">
        <v>5</v>
      </c>
      <c r="E1310">
        <v>6.6116954735457503E-3</v>
      </c>
      <c r="F1310">
        <v>1.98350864206372E-2</v>
      </c>
      <c r="G1310" t="s">
        <v>2866</v>
      </c>
    </row>
    <row r="1311" spans="1:7" x14ac:dyDescent="0.25">
      <c r="A1311" s="4" t="str">
        <f>HYPERLINK("http://amigo.geneontology.org/cgi-bin/amigo/term-details.cgi?term=GO:0098552","GO:0098552")</f>
        <v>GO:0098552</v>
      </c>
      <c r="B1311" t="s">
        <v>2865</v>
      </c>
      <c r="C1311">
        <v>27</v>
      </c>
      <c r="D1311">
        <v>5</v>
      </c>
      <c r="E1311">
        <v>6.6116954735457503E-3</v>
      </c>
      <c r="F1311">
        <v>1.98350864206372E-2</v>
      </c>
      <c r="G1311" t="s">
        <v>2864</v>
      </c>
    </row>
    <row r="1312" spans="1:7" x14ac:dyDescent="0.25">
      <c r="A1312" s="4" t="str">
        <f>HYPERLINK("http://amigo.geneontology.org/cgi-bin/amigo/term-details.cgi?term=GO:0009553","GO:0009553")</f>
        <v>GO:0009553</v>
      </c>
      <c r="B1312" t="s">
        <v>2863</v>
      </c>
      <c r="C1312">
        <v>208</v>
      </c>
      <c r="D1312">
        <v>18</v>
      </c>
      <c r="E1312">
        <v>6.6904560870040004E-3</v>
      </c>
      <c r="F1312">
        <v>2.0071368261011999E-2</v>
      </c>
      <c r="G1312" t="s">
        <v>2862</v>
      </c>
    </row>
    <row r="1313" spans="1:7" x14ac:dyDescent="0.25">
      <c r="A1313" s="4" t="str">
        <f>HYPERLINK("http://amigo.geneontology.org/cgi-bin/amigo/term-details.cgi?term=GO:0034248","GO:0034248")</f>
        <v>GO:0034248</v>
      </c>
      <c r="B1313" t="s">
        <v>2861</v>
      </c>
      <c r="C1313">
        <v>257</v>
      </c>
      <c r="D1313">
        <v>21</v>
      </c>
      <c r="E1313">
        <v>6.9012797790599101E-3</v>
      </c>
      <c r="F1313">
        <v>2.0703839337179699E-2</v>
      </c>
      <c r="G1313" t="s">
        <v>2859</v>
      </c>
    </row>
    <row r="1314" spans="1:7" x14ac:dyDescent="0.25">
      <c r="A1314" s="4" t="str">
        <f>HYPERLINK("http://amigo.geneontology.org/cgi-bin/amigo/term-details.cgi?term=GO:0006417","GO:0006417")</f>
        <v>GO:0006417</v>
      </c>
      <c r="B1314" t="s">
        <v>2860</v>
      </c>
      <c r="C1314">
        <v>257</v>
      </c>
      <c r="D1314">
        <v>21</v>
      </c>
      <c r="E1314">
        <v>6.9012797790599101E-3</v>
      </c>
      <c r="F1314">
        <v>2.0703839337179699E-2</v>
      </c>
      <c r="G1314" t="s">
        <v>2859</v>
      </c>
    </row>
    <row r="1315" spans="1:7" x14ac:dyDescent="0.25">
      <c r="A1315" s="4" t="str">
        <f>HYPERLINK("http://amigo.geneontology.org/cgi-bin/amigo/term-details.cgi?term=GO:0016757","GO:0016757")</f>
        <v>GO:0016757</v>
      </c>
      <c r="B1315" t="s">
        <v>954</v>
      </c>
      <c r="C1315">
        <v>2155</v>
      </c>
      <c r="D1315">
        <v>122</v>
      </c>
      <c r="E1315">
        <v>6.9931570373334001E-3</v>
      </c>
      <c r="F1315">
        <v>2.09794711120002E-2</v>
      </c>
      <c r="G1315" t="s">
        <v>2858</v>
      </c>
    </row>
    <row r="1316" spans="1:7" x14ac:dyDescent="0.25">
      <c r="A1316" s="4" t="str">
        <f>HYPERLINK("http://amigo.geneontology.org/cgi-bin/amigo/term-details.cgi?term=GO:0030660","GO:0030660")</f>
        <v>GO:0030660</v>
      </c>
      <c r="B1316" t="s">
        <v>461</v>
      </c>
      <c r="C1316">
        <v>76</v>
      </c>
      <c r="D1316">
        <v>9</v>
      </c>
      <c r="E1316">
        <v>7.2544071360098102E-3</v>
      </c>
      <c r="F1316">
        <v>2.1763221408029401E-2</v>
      </c>
      <c r="G1316" t="s">
        <v>2841</v>
      </c>
    </row>
    <row r="1317" spans="1:7" x14ac:dyDescent="0.25">
      <c r="A1317" s="4" t="str">
        <f>HYPERLINK("http://amigo.geneontology.org/cgi-bin/amigo/term-details.cgi?term=GO:1903046","GO:1903046")</f>
        <v>GO:1903046</v>
      </c>
      <c r="B1317" t="s">
        <v>1116</v>
      </c>
      <c r="C1317">
        <v>163</v>
      </c>
      <c r="D1317">
        <v>15</v>
      </c>
      <c r="E1317">
        <v>7.3419040047860099E-3</v>
      </c>
      <c r="F1317">
        <v>2.2025712014358E-2</v>
      </c>
      <c r="G1317" t="s">
        <v>2806</v>
      </c>
    </row>
    <row r="1318" spans="1:7" x14ac:dyDescent="0.25">
      <c r="A1318" s="4" t="str">
        <f>HYPERLINK("http://amigo.geneontology.org/cgi-bin/amigo/term-details.cgi?term=GO:0005773","GO:0005773")</f>
        <v>GO:0005773</v>
      </c>
      <c r="B1318" t="s">
        <v>1526</v>
      </c>
      <c r="C1318">
        <v>552</v>
      </c>
      <c r="D1318">
        <v>38</v>
      </c>
      <c r="E1318">
        <v>7.4069078121853701E-3</v>
      </c>
      <c r="F1318">
        <v>2.2220723436556102E-2</v>
      </c>
      <c r="G1318" t="s">
        <v>2857</v>
      </c>
    </row>
    <row r="1319" spans="1:7" x14ac:dyDescent="0.25">
      <c r="A1319" s="4" t="str">
        <f>HYPERLINK("http://amigo.geneontology.org/cgi-bin/amigo/term-details.cgi?term=GO:0009751","GO:0009751")</f>
        <v>GO:0009751</v>
      </c>
      <c r="B1319" t="s">
        <v>2265</v>
      </c>
      <c r="C1319">
        <v>104</v>
      </c>
      <c r="D1319">
        <v>11</v>
      </c>
      <c r="E1319">
        <v>7.47159242832979E-3</v>
      </c>
      <c r="F1319">
        <v>2.24147772849893E-2</v>
      </c>
      <c r="G1319" t="s">
        <v>2856</v>
      </c>
    </row>
    <row r="1320" spans="1:7" x14ac:dyDescent="0.25">
      <c r="A1320" s="4" t="str">
        <f>HYPERLINK("http://amigo.geneontology.org/cgi-bin/amigo/term-details.cgi?term=GO:0051338","GO:0051338")</f>
        <v>GO:0051338</v>
      </c>
      <c r="B1320" t="s">
        <v>2855</v>
      </c>
      <c r="C1320">
        <v>179</v>
      </c>
      <c r="D1320">
        <v>16</v>
      </c>
      <c r="E1320">
        <v>7.5551608653811903E-3</v>
      </c>
      <c r="F1320">
        <v>2.26654825961435E-2</v>
      </c>
      <c r="G1320" t="s">
        <v>2854</v>
      </c>
    </row>
    <row r="1321" spans="1:7" x14ac:dyDescent="0.25">
      <c r="A1321" s="4" t="str">
        <f>HYPERLINK("http://amigo.geneontology.org/cgi-bin/amigo/term-details.cgi?term=GO:1901565","GO:1901565")</f>
        <v>GO:1901565</v>
      </c>
      <c r="B1321" t="s">
        <v>156</v>
      </c>
      <c r="C1321">
        <v>1262</v>
      </c>
      <c r="D1321">
        <v>76</v>
      </c>
      <c r="E1321">
        <v>7.6378595144082498E-3</v>
      </c>
      <c r="F1321">
        <v>2.2913578543224698E-2</v>
      </c>
      <c r="G1321" t="s">
        <v>2853</v>
      </c>
    </row>
    <row r="1322" spans="1:7" x14ac:dyDescent="0.25">
      <c r="A1322" s="4" t="str">
        <f>HYPERLINK("http://amigo.geneontology.org/cgi-bin/amigo/term-details.cgi?term=GO:0009638","GO:0009638")</f>
        <v>GO:0009638</v>
      </c>
      <c r="B1322" t="s">
        <v>2852</v>
      </c>
      <c r="C1322">
        <v>18</v>
      </c>
      <c r="D1322">
        <v>4</v>
      </c>
      <c r="E1322">
        <v>7.6682820619198696E-3</v>
      </c>
      <c r="F1322">
        <v>2.3004846185759601E-2</v>
      </c>
      <c r="G1322" t="s">
        <v>2851</v>
      </c>
    </row>
    <row r="1323" spans="1:7" x14ac:dyDescent="0.25">
      <c r="A1323" s="4" t="str">
        <f>HYPERLINK("http://amigo.geneontology.org/cgi-bin/amigo/term-details.cgi?term=GO:0000159","GO:0000159")</f>
        <v>GO:0000159</v>
      </c>
      <c r="B1323" t="s">
        <v>437</v>
      </c>
      <c r="C1323">
        <v>39</v>
      </c>
      <c r="D1323">
        <v>6</v>
      </c>
      <c r="E1323">
        <v>7.6935281372748103E-3</v>
      </c>
      <c r="F1323">
        <v>2.3080584411824399E-2</v>
      </c>
      <c r="G1323" t="s">
        <v>1392</v>
      </c>
    </row>
    <row r="1324" spans="1:7" x14ac:dyDescent="0.25">
      <c r="A1324" s="4" t="str">
        <f>HYPERLINK("http://amigo.geneontology.org/cgi-bin/amigo/term-details.cgi?term=GO:0098797","GO:0098797")</f>
        <v>GO:0098797</v>
      </c>
      <c r="B1324" t="s">
        <v>482</v>
      </c>
      <c r="C1324">
        <v>39</v>
      </c>
      <c r="D1324">
        <v>6</v>
      </c>
      <c r="E1324">
        <v>7.6935281372748103E-3</v>
      </c>
      <c r="F1324">
        <v>2.3080584411824399E-2</v>
      </c>
      <c r="G1324" t="s">
        <v>2850</v>
      </c>
    </row>
    <row r="1325" spans="1:7" x14ac:dyDescent="0.25">
      <c r="A1325" s="4" t="str">
        <f>HYPERLINK("http://amigo.geneontology.org/cgi-bin/amigo/term-details.cgi?term=GO:0008276","GO:0008276")</f>
        <v>GO:0008276</v>
      </c>
      <c r="B1325" t="s">
        <v>1371</v>
      </c>
      <c r="C1325">
        <v>164</v>
      </c>
      <c r="D1325">
        <v>15</v>
      </c>
      <c r="E1325">
        <v>7.7520779824114998E-3</v>
      </c>
      <c r="F1325">
        <v>2.32562339472345E-2</v>
      </c>
      <c r="G1325" t="s">
        <v>2849</v>
      </c>
    </row>
    <row r="1326" spans="1:7" x14ac:dyDescent="0.25">
      <c r="A1326" s="4" t="str">
        <f>HYPERLINK("http://amigo.geneontology.org/cgi-bin/amigo/term-details.cgi?term=GO:0005096","GO:0005096")</f>
        <v>GO:0005096</v>
      </c>
      <c r="B1326" t="s">
        <v>2848</v>
      </c>
      <c r="C1326">
        <v>51</v>
      </c>
      <c r="D1326">
        <v>7</v>
      </c>
      <c r="E1326">
        <v>7.7650436941051303E-3</v>
      </c>
      <c r="F1326">
        <v>2.3295131082315401E-2</v>
      </c>
      <c r="G1326" t="s">
        <v>2847</v>
      </c>
    </row>
    <row r="1327" spans="1:7" x14ac:dyDescent="0.25">
      <c r="A1327" s="4" t="str">
        <f>HYPERLINK("http://amigo.geneontology.org/cgi-bin/amigo/term-details.cgi?term=GO:0022604","GO:0022604")</f>
        <v>GO:0022604</v>
      </c>
      <c r="B1327" t="s">
        <v>2846</v>
      </c>
      <c r="C1327">
        <v>51</v>
      </c>
      <c r="D1327">
        <v>7</v>
      </c>
      <c r="E1327">
        <v>7.7650436941051303E-3</v>
      </c>
      <c r="F1327">
        <v>2.3295131082315401E-2</v>
      </c>
      <c r="G1327" t="s">
        <v>2807</v>
      </c>
    </row>
    <row r="1328" spans="1:7" x14ac:dyDescent="0.25">
      <c r="A1328" s="4" t="str">
        <f>HYPERLINK("http://amigo.geneontology.org/cgi-bin/amigo/term-details.cgi?term=GO:0060560","GO:0060560")</f>
        <v>GO:0060560</v>
      </c>
      <c r="B1328" t="s">
        <v>2845</v>
      </c>
      <c r="C1328">
        <v>119</v>
      </c>
      <c r="D1328">
        <v>12</v>
      </c>
      <c r="E1328">
        <v>7.7741765200113203E-3</v>
      </c>
      <c r="F1328">
        <v>2.3322529560033899E-2</v>
      </c>
      <c r="G1328" t="s">
        <v>2844</v>
      </c>
    </row>
    <row r="1329" spans="1:7" x14ac:dyDescent="0.25">
      <c r="A1329" s="4" t="str">
        <f>HYPERLINK("http://amigo.geneontology.org/cgi-bin/amigo/term-details.cgi?term=GO:0045859","GO:0045859")</f>
        <v>GO:0045859</v>
      </c>
      <c r="B1329" t="s">
        <v>2843</v>
      </c>
      <c r="C1329">
        <v>149</v>
      </c>
      <c r="D1329">
        <v>14</v>
      </c>
      <c r="E1329">
        <v>7.87424131660182E-3</v>
      </c>
      <c r="F1329">
        <v>2.3622723949805399E-2</v>
      </c>
      <c r="G1329" t="s">
        <v>2795</v>
      </c>
    </row>
    <row r="1330" spans="1:7" x14ac:dyDescent="0.25">
      <c r="A1330" s="4" t="str">
        <f>HYPERLINK("http://amigo.geneontology.org/cgi-bin/amigo/term-details.cgi?term=GO:0042435","GO:0042435")</f>
        <v>GO:0042435</v>
      </c>
      <c r="B1330" t="s">
        <v>352</v>
      </c>
      <c r="C1330">
        <v>77</v>
      </c>
      <c r="D1330">
        <v>9</v>
      </c>
      <c r="E1330">
        <v>7.8927190070917797E-3</v>
      </c>
      <c r="F1330">
        <v>2.3678157021275299E-2</v>
      </c>
      <c r="G1330" t="s">
        <v>2842</v>
      </c>
    </row>
    <row r="1331" spans="1:7" x14ac:dyDescent="0.25">
      <c r="A1331" s="4" t="str">
        <f>HYPERLINK("http://amigo.geneontology.org/cgi-bin/amigo/term-details.cgi?term=GO:0030120","GO:0030120")</f>
        <v>GO:0030120</v>
      </c>
      <c r="B1331" t="s">
        <v>473</v>
      </c>
      <c r="C1331">
        <v>77</v>
      </c>
      <c r="D1331">
        <v>9</v>
      </c>
      <c r="E1331">
        <v>7.8927190070917797E-3</v>
      </c>
      <c r="F1331">
        <v>2.3678157021275299E-2</v>
      </c>
      <c r="G1331" t="s">
        <v>2841</v>
      </c>
    </row>
    <row r="1332" spans="1:7" x14ac:dyDescent="0.25">
      <c r="A1332" s="4" t="str">
        <f>HYPERLINK("http://amigo.geneontology.org/cgi-bin/amigo/term-details.cgi?term=GO:0012506","GO:0012506")</f>
        <v>GO:0012506</v>
      </c>
      <c r="B1332" t="s">
        <v>476</v>
      </c>
      <c r="C1332">
        <v>91</v>
      </c>
      <c r="D1332">
        <v>10</v>
      </c>
      <c r="E1332">
        <v>8.0823289436072095E-3</v>
      </c>
      <c r="F1332">
        <v>2.4246986830821601E-2</v>
      </c>
      <c r="G1332" t="s">
        <v>2840</v>
      </c>
    </row>
    <row r="1333" spans="1:7" x14ac:dyDescent="0.25">
      <c r="A1333" s="4" t="str">
        <f>HYPERLINK("http://amigo.geneontology.org/cgi-bin/amigo/term-details.cgi?term=GO:0019899","GO:0019899")</f>
        <v>GO:0019899</v>
      </c>
      <c r="B1333" t="s">
        <v>2839</v>
      </c>
      <c r="C1333">
        <v>294</v>
      </c>
      <c r="D1333">
        <v>23</v>
      </c>
      <c r="E1333">
        <v>8.0940219157826405E-3</v>
      </c>
      <c r="F1333">
        <v>2.4282065747347901E-2</v>
      </c>
      <c r="G1333" t="s">
        <v>2838</v>
      </c>
    </row>
    <row r="1334" spans="1:7" x14ac:dyDescent="0.25">
      <c r="A1334" s="4" t="str">
        <f>HYPERLINK("http://amigo.geneontology.org/cgi-bin/amigo/term-details.cgi?term=GO:0016278","GO:0016278")</f>
        <v>GO:0016278</v>
      </c>
      <c r="B1334" t="s">
        <v>1363</v>
      </c>
      <c r="C1334">
        <v>135</v>
      </c>
      <c r="D1334">
        <v>13</v>
      </c>
      <c r="E1334">
        <v>8.3825601523561406E-3</v>
      </c>
      <c r="F1334">
        <v>2.5147680457068399E-2</v>
      </c>
      <c r="G1334" t="s">
        <v>2837</v>
      </c>
    </row>
    <row r="1335" spans="1:7" x14ac:dyDescent="0.25">
      <c r="A1335" s="4" t="str">
        <f>HYPERLINK("http://amigo.geneontology.org/cgi-bin/amigo/term-details.cgi?term=GO:0016279","GO:0016279")</f>
        <v>GO:0016279</v>
      </c>
      <c r="B1335" t="s">
        <v>1362</v>
      </c>
      <c r="C1335">
        <v>135</v>
      </c>
      <c r="D1335">
        <v>13</v>
      </c>
      <c r="E1335">
        <v>8.3825601523561406E-3</v>
      </c>
      <c r="F1335">
        <v>2.5147680457068399E-2</v>
      </c>
      <c r="G1335" t="s">
        <v>2837</v>
      </c>
    </row>
    <row r="1336" spans="1:7" x14ac:dyDescent="0.25">
      <c r="A1336" s="4" t="str">
        <f>HYPERLINK("http://amigo.geneontology.org/cgi-bin/amigo/term-details.cgi?term=GO:0000790","GO:0000790")</f>
        <v>GO:0000790</v>
      </c>
      <c r="B1336" t="s">
        <v>2836</v>
      </c>
      <c r="C1336">
        <v>52</v>
      </c>
      <c r="D1336">
        <v>7</v>
      </c>
      <c r="E1336">
        <v>8.6303377391929101E-3</v>
      </c>
      <c r="F1336">
        <v>2.5891013217578699E-2</v>
      </c>
      <c r="G1336" t="s">
        <v>2835</v>
      </c>
    </row>
    <row r="1337" spans="1:7" x14ac:dyDescent="0.25">
      <c r="A1337" s="4" t="str">
        <f>HYPERLINK("http://amigo.geneontology.org/cgi-bin/amigo/term-details.cgi?term=GO:0006714","GO:0006714")</f>
        <v>GO:0006714</v>
      </c>
      <c r="B1337" t="s">
        <v>2834</v>
      </c>
      <c r="C1337">
        <v>40</v>
      </c>
      <c r="D1337">
        <v>6</v>
      </c>
      <c r="E1337">
        <v>8.71181276523641E-3</v>
      </c>
      <c r="F1337">
        <v>2.6135438295709201E-2</v>
      </c>
      <c r="G1337" t="s">
        <v>2833</v>
      </c>
    </row>
    <row r="1338" spans="1:7" x14ac:dyDescent="0.25">
      <c r="A1338" s="4" t="str">
        <f>HYPERLINK("http://amigo.geneontology.org/cgi-bin/amigo/term-details.cgi?term=GO:0007023","GO:0007023")</f>
        <v>GO:0007023</v>
      </c>
      <c r="B1338" t="s">
        <v>2832</v>
      </c>
      <c r="C1338">
        <v>10</v>
      </c>
      <c r="D1338">
        <v>3</v>
      </c>
      <c r="E1338">
        <v>8.7214577061085607E-3</v>
      </c>
      <c r="F1338">
        <v>2.6164373118325601E-2</v>
      </c>
      <c r="G1338" t="s">
        <v>2831</v>
      </c>
    </row>
    <row r="1339" spans="1:7" x14ac:dyDescent="0.25">
      <c r="A1339" s="4" t="str">
        <f>HYPERLINK("http://amigo.geneontology.org/cgi-bin/amigo/term-details.cgi?term=GO:0019860","GO:0019860")</f>
        <v>GO:0019860</v>
      </c>
      <c r="B1339" t="s">
        <v>703</v>
      </c>
      <c r="C1339">
        <v>10</v>
      </c>
      <c r="D1339">
        <v>3</v>
      </c>
      <c r="E1339">
        <v>8.7214577061085607E-3</v>
      </c>
      <c r="F1339">
        <v>2.6164373118325601E-2</v>
      </c>
      <c r="G1339" t="s">
        <v>393</v>
      </c>
    </row>
    <row r="1340" spans="1:7" x14ac:dyDescent="0.25">
      <c r="A1340" s="4" t="str">
        <f>HYPERLINK("http://amigo.geneontology.org/cgi-bin/amigo/term-details.cgi?term=GO:0034308","GO:0034308")</f>
        <v>GO:0034308</v>
      </c>
      <c r="B1340" t="s">
        <v>2830</v>
      </c>
      <c r="C1340">
        <v>10</v>
      </c>
      <c r="D1340">
        <v>3</v>
      </c>
      <c r="E1340">
        <v>8.7214577061085607E-3</v>
      </c>
      <c r="F1340">
        <v>2.6164373118325601E-2</v>
      </c>
      <c r="G1340" t="s">
        <v>2829</v>
      </c>
    </row>
    <row r="1341" spans="1:7" x14ac:dyDescent="0.25">
      <c r="A1341" s="4" t="str">
        <f>HYPERLINK("http://amigo.geneontology.org/cgi-bin/amigo/term-details.cgi?term=GO:0031491","GO:0031491")</f>
        <v>GO:0031491</v>
      </c>
      <c r="B1341" t="s">
        <v>611</v>
      </c>
      <c r="C1341">
        <v>10</v>
      </c>
      <c r="D1341">
        <v>3</v>
      </c>
      <c r="E1341">
        <v>8.7214577061085607E-3</v>
      </c>
      <c r="F1341">
        <v>2.6164373118325601E-2</v>
      </c>
      <c r="G1341" t="s">
        <v>541</v>
      </c>
    </row>
    <row r="1342" spans="1:7" x14ac:dyDescent="0.25">
      <c r="A1342" s="4" t="str">
        <f>HYPERLINK("http://amigo.geneontology.org/cgi-bin/amigo/term-details.cgi?term=GO:0015370","GO:0015370")</f>
        <v>GO:0015370</v>
      </c>
      <c r="B1342" t="s">
        <v>2828</v>
      </c>
      <c r="C1342">
        <v>10</v>
      </c>
      <c r="D1342">
        <v>3</v>
      </c>
      <c r="E1342">
        <v>8.7214577061085607E-3</v>
      </c>
      <c r="F1342">
        <v>2.6164373118325601E-2</v>
      </c>
      <c r="G1342" t="s">
        <v>2368</v>
      </c>
    </row>
    <row r="1343" spans="1:7" x14ac:dyDescent="0.25">
      <c r="A1343" s="4" t="str">
        <f>HYPERLINK("http://amigo.geneontology.org/cgi-bin/amigo/term-details.cgi?term=GO:0005343","GO:0005343")</f>
        <v>GO:0005343</v>
      </c>
      <c r="B1343" t="s">
        <v>2827</v>
      </c>
      <c r="C1343">
        <v>10</v>
      </c>
      <c r="D1343">
        <v>3</v>
      </c>
      <c r="E1343">
        <v>8.7214577061085607E-3</v>
      </c>
      <c r="F1343">
        <v>2.6164373118325601E-2</v>
      </c>
      <c r="G1343" t="s">
        <v>2368</v>
      </c>
    </row>
    <row r="1344" spans="1:7" x14ac:dyDescent="0.25">
      <c r="A1344" s="4" t="str">
        <f>HYPERLINK("http://amigo.geneontology.org/cgi-bin/amigo/term-details.cgi?term=GO:0015125","GO:0015125")</f>
        <v>GO:0015125</v>
      </c>
      <c r="B1344" t="s">
        <v>2826</v>
      </c>
      <c r="C1344">
        <v>10</v>
      </c>
      <c r="D1344">
        <v>3</v>
      </c>
      <c r="E1344">
        <v>8.7214577061085607E-3</v>
      </c>
      <c r="F1344">
        <v>2.6164373118325601E-2</v>
      </c>
      <c r="G1344" t="s">
        <v>2368</v>
      </c>
    </row>
    <row r="1345" spans="1:7" x14ac:dyDescent="0.25">
      <c r="A1345" s="4" t="str">
        <f>HYPERLINK("http://amigo.geneontology.org/cgi-bin/amigo/term-details.cgi?term=GO:0008508","GO:0008508")</f>
        <v>GO:0008508</v>
      </c>
      <c r="B1345" t="s">
        <v>2825</v>
      </c>
      <c r="C1345">
        <v>10</v>
      </c>
      <c r="D1345">
        <v>3</v>
      </c>
      <c r="E1345">
        <v>8.7214577061085607E-3</v>
      </c>
      <c r="F1345">
        <v>2.6164373118325601E-2</v>
      </c>
      <c r="G1345" t="s">
        <v>2368</v>
      </c>
    </row>
    <row r="1346" spans="1:7" x14ac:dyDescent="0.25">
      <c r="A1346" s="4" t="str">
        <f>HYPERLINK("http://amigo.geneontology.org/cgi-bin/amigo/term-details.cgi?term=GO:0015721","GO:0015721")</f>
        <v>GO:0015721</v>
      </c>
      <c r="B1346" t="s">
        <v>2824</v>
      </c>
      <c r="C1346">
        <v>10</v>
      </c>
      <c r="D1346">
        <v>3</v>
      </c>
      <c r="E1346">
        <v>8.7214577061085607E-3</v>
      </c>
      <c r="F1346">
        <v>2.6164373118325601E-2</v>
      </c>
      <c r="G1346" t="s">
        <v>2368</v>
      </c>
    </row>
    <row r="1347" spans="1:7" x14ac:dyDescent="0.25">
      <c r="A1347" s="4" t="str">
        <f>HYPERLINK("http://amigo.geneontology.org/cgi-bin/amigo/term-details.cgi?term=GO:0004830","GO:0004830")</f>
        <v>GO:0004830</v>
      </c>
      <c r="B1347" t="s">
        <v>407</v>
      </c>
      <c r="C1347">
        <v>10</v>
      </c>
      <c r="D1347">
        <v>3</v>
      </c>
      <c r="E1347">
        <v>8.7214577061085607E-3</v>
      </c>
      <c r="F1347">
        <v>2.6164373118325601E-2</v>
      </c>
      <c r="G1347" t="s">
        <v>1074</v>
      </c>
    </row>
    <row r="1348" spans="1:7" x14ac:dyDescent="0.25">
      <c r="A1348" s="4" t="str">
        <f>HYPERLINK("http://amigo.geneontology.org/cgi-bin/amigo/term-details.cgi?term=GO:0006436","GO:0006436")</f>
        <v>GO:0006436</v>
      </c>
      <c r="B1348" t="s">
        <v>406</v>
      </c>
      <c r="C1348">
        <v>10</v>
      </c>
      <c r="D1348">
        <v>3</v>
      </c>
      <c r="E1348">
        <v>8.7214577061085607E-3</v>
      </c>
      <c r="F1348">
        <v>2.6164373118325601E-2</v>
      </c>
      <c r="G1348" t="s">
        <v>1074</v>
      </c>
    </row>
    <row r="1349" spans="1:7" x14ac:dyDescent="0.25">
      <c r="A1349" s="4" t="str">
        <f>HYPERLINK("http://amigo.geneontology.org/cgi-bin/amigo/term-details.cgi?term=GO:0004072","GO:0004072")</f>
        <v>GO:0004072</v>
      </c>
      <c r="B1349" t="s">
        <v>405</v>
      </c>
      <c r="C1349">
        <v>10</v>
      </c>
      <c r="D1349">
        <v>3</v>
      </c>
      <c r="E1349">
        <v>8.7214577061085607E-3</v>
      </c>
      <c r="F1349">
        <v>2.6164373118325601E-2</v>
      </c>
      <c r="G1349" t="s">
        <v>1073</v>
      </c>
    </row>
    <row r="1350" spans="1:7" x14ac:dyDescent="0.25">
      <c r="A1350" s="4" t="str">
        <f>HYPERLINK("http://amigo.geneontology.org/cgi-bin/amigo/term-details.cgi?term=GO:0031177","GO:0031177")</f>
        <v>GO:0031177</v>
      </c>
      <c r="B1350" t="s">
        <v>527</v>
      </c>
      <c r="C1350">
        <v>10</v>
      </c>
      <c r="D1350">
        <v>3</v>
      </c>
      <c r="E1350">
        <v>8.7214577061085607E-3</v>
      </c>
      <c r="F1350">
        <v>2.6164373118325601E-2</v>
      </c>
      <c r="G1350" t="s">
        <v>526</v>
      </c>
    </row>
    <row r="1351" spans="1:7" x14ac:dyDescent="0.25">
      <c r="A1351" s="4" t="str">
        <f>HYPERLINK("http://amigo.geneontology.org/cgi-bin/amigo/term-details.cgi?term=GO:0010143","GO:0010143")</f>
        <v>GO:0010143</v>
      </c>
      <c r="B1351" t="s">
        <v>2823</v>
      </c>
      <c r="C1351">
        <v>10</v>
      </c>
      <c r="D1351">
        <v>3</v>
      </c>
      <c r="E1351">
        <v>8.7214577061085607E-3</v>
      </c>
      <c r="F1351">
        <v>2.6164373118325601E-2</v>
      </c>
      <c r="G1351" t="s">
        <v>2363</v>
      </c>
    </row>
    <row r="1352" spans="1:7" x14ac:dyDescent="0.25">
      <c r="A1352" s="4" t="str">
        <f>HYPERLINK("http://amigo.geneontology.org/cgi-bin/amigo/term-details.cgi?term=GO:0018065","GO:0018065")</f>
        <v>GO:0018065</v>
      </c>
      <c r="B1352" t="s">
        <v>689</v>
      </c>
      <c r="C1352">
        <v>10</v>
      </c>
      <c r="D1352">
        <v>3</v>
      </c>
      <c r="E1352">
        <v>8.7214577061085607E-3</v>
      </c>
      <c r="F1352">
        <v>2.6164373118325601E-2</v>
      </c>
      <c r="G1352" t="s">
        <v>686</v>
      </c>
    </row>
    <row r="1353" spans="1:7" x14ac:dyDescent="0.25">
      <c r="A1353" s="4" t="str">
        <f>HYPERLINK("http://amigo.geneontology.org/cgi-bin/amigo/term-details.cgi?term=GO:0003999","GO:0003999")</f>
        <v>GO:0003999</v>
      </c>
      <c r="B1353" t="s">
        <v>1084</v>
      </c>
      <c r="C1353">
        <v>10</v>
      </c>
      <c r="D1353">
        <v>3</v>
      </c>
      <c r="E1353">
        <v>8.7214577061085607E-3</v>
      </c>
      <c r="F1353">
        <v>2.6164373118325601E-2</v>
      </c>
      <c r="G1353" t="s">
        <v>1079</v>
      </c>
    </row>
    <row r="1354" spans="1:7" x14ac:dyDescent="0.25">
      <c r="A1354" s="4" t="str">
        <f>HYPERLINK("http://amigo.geneontology.org/cgi-bin/amigo/term-details.cgi?term=GO:0043096","GO:0043096")</f>
        <v>GO:0043096</v>
      </c>
      <c r="B1354" t="s">
        <v>1083</v>
      </c>
      <c r="C1354">
        <v>10</v>
      </c>
      <c r="D1354">
        <v>3</v>
      </c>
      <c r="E1354">
        <v>8.7214577061085607E-3</v>
      </c>
      <c r="F1354">
        <v>2.6164373118325601E-2</v>
      </c>
      <c r="G1354" t="s">
        <v>1079</v>
      </c>
    </row>
    <row r="1355" spans="1:7" x14ac:dyDescent="0.25">
      <c r="A1355" s="4" t="str">
        <f>HYPERLINK("http://amigo.geneontology.org/cgi-bin/amigo/term-details.cgi?term=GO:0046083","GO:0046083")</f>
        <v>GO:0046083</v>
      </c>
      <c r="B1355" t="s">
        <v>1082</v>
      </c>
      <c r="C1355">
        <v>10</v>
      </c>
      <c r="D1355">
        <v>3</v>
      </c>
      <c r="E1355">
        <v>8.7214577061085607E-3</v>
      </c>
      <c r="F1355">
        <v>2.6164373118325601E-2</v>
      </c>
      <c r="G1355" t="s">
        <v>1079</v>
      </c>
    </row>
    <row r="1356" spans="1:7" x14ac:dyDescent="0.25">
      <c r="A1356" s="4" t="str">
        <f>HYPERLINK("http://amigo.geneontology.org/cgi-bin/amigo/term-details.cgi?term=GO:0046084","GO:0046084")</f>
        <v>GO:0046084</v>
      </c>
      <c r="B1356" t="s">
        <v>1081</v>
      </c>
      <c r="C1356">
        <v>10</v>
      </c>
      <c r="D1356">
        <v>3</v>
      </c>
      <c r="E1356">
        <v>8.7214577061085607E-3</v>
      </c>
      <c r="F1356">
        <v>2.6164373118325601E-2</v>
      </c>
      <c r="G1356" t="s">
        <v>1079</v>
      </c>
    </row>
    <row r="1357" spans="1:7" x14ac:dyDescent="0.25">
      <c r="A1357" s="4" t="str">
        <f>HYPERLINK("http://amigo.geneontology.org/cgi-bin/amigo/term-details.cgi?term=GO:0006168","GO:0006168")</f>
        <v>GO:0006168</v>
      </c>
      <c r="B1357" t="s">
        <v>1080</v>
      </c>
      <c r="C1357">
        <v>10</v>
      </c>
      <c r="D1357">
        <v>3</v>
      </c>
      <c r="E1357">
        <v>8.7214577061085607E-3</v>
      </c>
      <c r="F1357">
        <v>2.6164373118325601E-2</v>
      </c>
      <c r="G1357" t="s">
        <v>1079</v>
      </c>
    </row>
    <row r="1358" spans="1:7" x14ac:dyDescent="0.25">
      <c r="A1358" s="4" t="str">
        <f>HYPERLINK("http://amigo.geneontology.org/cgi-bin/amigo/term-details.cgi?term=GO:0032989","GO:0032989")</f>
        <v>GO:0032989</v>
      </c>
      <c r="B1358" t="s">
        <v>2822</v>
      </c>
      <c r="C1358">
        <v>230</v>
      </c>
      <c r="D1358">
        <v>19</v>
      </c>
      <c r="E1358">
        <v>8.7961317409023295E-3</v>
      </c>
      <c r="F1358">
        <v>2.6388395222707001E-2</v>
      </c>
      <c r="G1358" t="s">
        <v>2821</v>
      </c>
    </row>
    <row r="1359" spans="1:7" x14ac:dyDescent="0.25">
      <c r="A1359" s="4" t="str">
        <f>HYPERLINK("http://amigo.geneontology.org/cgi-bin/amigo/term-details.cgi?term=GO:0048193","GO:0048193")</f>
        <v>GO:0048193</v>
      </c>
      <c r="B1359" t="s">
        <v>483</v>
      </c>
      <c r="C1359">
        <v>280</v>
      </c>
      <c r="D1359">
        <v>22</v>
      </c>
      <c r="E1359">
        <v>8.9983160881432992E-3</v>
      </c>
      <c r="F1359">
        <v>2.6994948264429899E-2</v>
      </c>
      <c r="G1359" t="s">
        <v>2820</v>
      </c>
    </row>
    <row r="1360" spans="1:7" x14ac:dyDescent="0.25">
      <c r="A1360" s="4" t="str">
        <f>HYPERLINK("http://amigo.geneontology.org/cgi-bin/amigo/term-details.cgi?term=GO:0033202","GO:0033202")</f>
        <v>GO:0033202</v>
      </c>
      <c r="B1360" t="s">
        <v>2819</v>
      </c>
      <c r="C1360">
        <v>29</v>
      </c>
      <c r="D1360">
        <v>5</v>
      </c>
      <c r="E1360">
        <v>9.0268576760602799E-3</v>
      </c>
      <c r="F1360">
        <v>2.7080573028180802E-2</v>
      </c>
      <c r="G1360" t="s">
        <v>2761</v>
      </c>
    </row>
    <row r="1361" spans="1:7" x14ac:dyDescent="0.25">
      <c r="A1361" s="4" t="str">
        <f>HYPERLINK("http://amigo.geneontology.org/cgi-bin/amigo/term-details.cgi?term=GO:0031011","GO:0031011")</f>
        <v>GO:0031011</v>
      </c>
      <c r="B1361" t="s">
        <v>2818</v>
      </c>
      <c r="C1361">
        <v>29</v>
      </c>
      <c r="D1361">
        <v>5</v>
      </c>
      <c r="E1361">
        <v>9.0268576760602799E-3</v>
      </c>
      <c r="F1361">
        <v>2.7080573028180802E-2</v>
      </c>
      <c r="G1361" t="s">
        <v>2761</v>
      </c>
    </row>
    <row r="1362" spans="1:7" x14ac:dyDescent="0.25">
      <c r="A1362" s="4" t="str">
        <f>HYPERLINK("http://amigo.geneontology.org/cgi-bin/amigo/term-details.cgi?term=GO:0009749","GO:0009749")</f>
        <v>GO:0009749</v>
      </c>
      <c r="B1362" t="s">
        <v>2817</v>
      </c>
      <c r="C1362">
        <v>29</v>
      </c>
      <c r="D1362">
        <v>5</v>
      </c>
      <c r="E1362">
        <v>9.0268576760602799E-3</v>
      </c>
      <c r="F1362">
        <v>2.7080573028180802E-2</v>
      </c>
      <c r="G1362" t="s">
        <v>2816</v>
      </c>
    </row>
    <row r="1363" spans="1:7" x14ac:dyDescent="0.25">
      <c r="A1363" s="4" t="str">
        <f>HYPERLINK("http://amigo.geneontology.org/cgi-bin/amigo/term-details.cgi?term=GO:0004527","GO:0004527")</f>
        <v>GO:0004527</v>
      </c>
      <c r="B1363" t="s">
        <v>2815</v>
      </c>
      <c r="C1363">
        <v>247</v>
      </c>
      <c r="D1363">
        <v>20</v>
      </c>
      <c r="E1363">
        <v>9.0470871245258606E-3</v>
      </c>
      <c r="F1363">
        <v>2.7141261373577499E-2</v>
      </c>
      <c r="G1363" t="s">
        <v>2814</v>
      </c>
    </row>
    <row r="1364" spans="1:7" x14ac:dyDescent="0.25">
      <c r="A1364" s="4" t="str">
        <f>HYPERLINK("http://amigo.geneontology.org/cgi-bin/amigo/term-details.cgi?term=GO:0004518","GO:0004518")</f>
        <v>GO:0004518</v>
      </c>
      <c r="B1364" t="s">
        <v>596</v>
      </c>
      <c r="C1364">
        <v>578</v>
      </c>
      <c r="D1364">
        <v>39</v>
      </c>
      <c r="E1364">
        <v>9.2072645432394306E-3</v>
      </c>
      <c r="F1364">
        <v>2.76217936297182E-2</v>
      </c>
      <c r="G1364" t="s">
        <v>2813</v>
      </c>
    </row>
    <row r="1365" spans="1:7" x14ac:dyDescent="0.25">
      <c r="A1365" s="4" t="str">
        <f>HYPERLINK("http://amigo.geneontology.org/cgi-bin/amigo/term-details.cgi?term=GO:0016620","GO:0016620")</f>
        <v>GO:0016620</v>
      </c>
      <c r="B1365" t="s">
        <v>441</v>
      </c>
      <c r="C1365">
        <v>152</v>
      </c>
      <c r="D1365">
        <v>14</v>
      </c>
      <c r="E1365">
        <v>9.3137895790832495E-3</v>
      </c>
      <c r="F1365">
        <v>2.79413687372497E-2</v>
      </c>
      <c r="G1365" t="s">
        <v>2491</v>
      </c>
    </row>
    <row r="1366" spans="1:7" x14ac:dyDescent="0.25">
      <c r="A1366" s="4" t="str">
        <f>HYPERLINK("http://amigo.geneontology.org/cgi-bin/amigo/term-details.cgi?term=GO:0006890","GO:0006890")</f>
        <v>GO:0006890</v>
      </c>
      <c r="B1366" t="s">
        <v>1054</v>
      </c>
      <c r="C1366">
        <v>19</v>
      </c>
      <c r="D1366">
        <v>4</v>
      </c>
      <c r="E1366">
        <v>9.3702367235951999E-3</v>
      </c>
      <c r="F1366">
        <v>2.8110710170785601E-2</v>
      </c>
      <c r="G1366" t="s">
        <v>1355</v>
      </c>
    </row>
    <row r="1367" spans="1:7" x14ac:dyDescent="0.25">
      <c r="A1367" s="4" t="str">
        <f>HYPERLINK("http://amigo.geneontology.org/cgi-bin/amigo/term-details.cgi?term=GO:0010015","GO:0010015")</f>
        <v>GO:0010015</v>
      </c>
      <c r="B1367" t="s">
        <v>2812</v>
      </c>
      <c r="C1367">
        <v>137</v>
      </c>
      <c r="D1367">
        <v>13</v>
      </c>
      <c r="E1367">
        <v>9.4318437946033194E-3</v>
      </c>
      <c r="F1367">
        <v>2.8295531383809899E-2</v>
      </c>
      <c r="G1367" t="s">
        <v>2811</v>
      </c>
    </row>
    <row r="1368" spans="1:7" x14ac:dyDescent="0.25">
      <c r="A1368" s="4" t="str">
        <f>HYPERLINK("http://amigo.geneontology.org/cgi-bin/amigo/term-details.cgi?term=GO:0010014","GO:0010014")</f>
        <v>GO:0010014</v>
      </c>
      <c r="B1368" t="s">
        <v>2810</v>
      </c>
      <c r="C1368">
        <v>53</v>
      </c>
      <c r="D1368">
        <v>7</v>
      </c>
      <c r="E1368">
        <v>9.5643294370470894E-3</v>
      </c>
      <c r="F1368">
        <v>2.8692988311141199E-2</v>
      </c>
      <c r="G1368" t="s">
        <v>2809</v>
      </c>
    </row>
    <row r="1369" spans="1:7" x14ac:dyDescent="0.25">
      <c r="A1369" s="4" t="str">
        <f>HYPERLINK("http://amigo.geneontology.org/cgi-bin/amigo/term-details.cgi?term=GO:0022603","GO:0022603")</f>
        <v>GO:0022603</v>
      </c>
      <c r="B1369" t="s">
        <v>2808</v>
      </c>
      <c r="C1369">
        <v>53</v>
      </c>
      <c r="D1369">
        <v>7</v>
      </c>
      <c r="E1369">
        <v>9.5643294370470894E-3</v>
      </c>
      <c r="F1369">
        <v>2.8692988311141199E-2</v>
      </c>
      <c r="G1369" t="s">
        <v>2807</v>
      </c>
    </row>
    <row r="1370" spans="1:7" x14ac:dyDescent="0.25">
      <c r="A1370" s="4" t="str">
        <f>HYPERLINK("http://amigo.geneontology.org/cgi-bin/amigo/term-details.cgi?term=GO:0051321","GO:0051321")</f>
        <v>GO:0051321</v>
      </c>
      <c r="B1370" t="s">
        <v>1094</v>
      </c>
      <c r="C1370">
        <v>168</v>
      </c>
      <c r="D1370">
        <v>15</v>
      </c>
      <c r="E1370">
        <v>9.5787226715394191E-3</v>
      </c>
      <c r="F1370">
        <v>2.8736168014618198E-2</v>
      </c>
      <c r="G1370" t="s">
        <v>2806</v>
      </c>
    </row>
    <row r="1371" spans="1:7" x14ac:dyDescent="0.25">
      <c r="A1371" s="4" t="str">
        <f>HYPERLINK("http://amigo.geneontology.org/cgi-bin/amigo/term-details.cgi?term=GO:0046933","GO:0046933")</f>
        <v>GO:0046933</v>
      </c>
      <c r="B1371" t="s">
        <v>492</v>
      </c>
      <c r="C1371">
        <v>66</v>
      </c>
      <c r="D1371">
        <v>8</v>
      </c>
      <c r="E1371">
        <v>9.6496501077228108E-3</v>
      </c>
      <c r="F1371">
        <v>2.8948950323168399E-2</v>
      </c>
      <c r="G1371" t="s">
        <v>1089</v>
      </c>
    </row>
    <row r="1372" spans="1:7" x14ac:dyDescent="0.25">
      <c r="A1372" s="4" t="str">
        <f>HYPERLINK("http://amigo.geneontology.org/cgi-bin/amigo/term-details.cgi?term=GO:0009855","GO:0009855")</f>
        <v>GO:0009855</v>
      </c>
      <c r="B1372" t="s">
        <v>2805</v>
      </c>
      <c r="C1372">
        <v>41</v>
      </c>
      <c r="D1372">
        <v>6</v>
      </c>
      <c r="E1372">
        <v>9.8230127288158695E-3</v>
      </c>
      <c r="F1372">
        <v>2.94690381864476E-2</v>
      </c>
      <c r="G1372" t="s">
        <v>2755</v>
      </c>
    </row>
    <row r="1373" spans="1:7" x14ac:dyDescent="0.25">
      <c r="A1373" s="4" t="str">
        <f>HYPERLINK("http://amigo.geneontology.org/cgi-bin/amigo/term-details.cgi?term=GO:0046040","GO:0046040")</f>
        <v>GO:0046040</v>
      </c>
      <c r="B1373" t="s">
        <v>522</v>
      </c>
      <c r="C1373">
        <v>41</v>
      </c>
      <c r="D1373">
        <v>6</v>
      </c>
      <c r="E1373">
        <v>9.8230127288158695E-3</v>
      </c>
      <c r="F1373">
        <v>2.94690381864476E-2</v>
      </c>
      <c r="G1373" t="s">
        <v>1378</v>
      </c>
    </row>
    <row r="1374" spans="1:7" x14ac:dyDescent="0.25">
      <c r="A1374" s="4" t="str">
        <f>HYPERLINK("http://amigo.geneontology.org/cgi-bin/amigo/term-details.cgi?term=GO:0006188","GO:0006188")</f>
        <v>GO:0006188</v>
      </c>
      <c r="B1374" t="s">
        <v>521</v>
      </c>
      <c r="C1374">
        <v>41</v>
      </c>
      <c r="D1374">
        <v>6</v>
      </c>
      <c r="E1374">
        <v>9.8230127288158695E-3</v>
      </c>
      <c r="F1374">
        <v>2.94690381864476E-2</v>
      </c>
      <c r="G1374" t="s">
        <v>1378</v>
      </c>
    </row>
    <row r="1375" spans="1:7" x14ac:dyDescent="0.25">
      <c r="A1375" s="4" t="str">
        <f>HYPERLINK("http://amigo.geneontology.org/cgi-bin/amigo/term-details.cgi?term=GO:0080135","GO:0080135")</f>
        <v>GO:0080135</v>
      </c>
      <c r="B1375" t="s">
        <v>401</v>
      </c>
      <c r="C1375">
        <v>108</v>
      </c>
      <c r="D1375">
        <v>11</v>
      </c>
      <c r="E1375">
        <v>9.8234000550587106E-3</v>
      </c>
      <c r="F1375">
        <v>2.94702001651761E-2</v>
      </c>
      <c r="G1375" t="s">
        <v>2804</v>
      </c>
    </row>
    <row r="1376" spans="1:7" x14ac:dyDescent="0.25">
      <c r="A1376" s="4" t="str">
        <f>HYPERLINK("http://amigo.geneontology.org/cgi-bin/amigo/term-details.cgi?term=GO:0007127","GO:0007127")</f>
        <v>GO:0007127</v>
      </c>
      <c r="B1376" t="s">
        <v>2803</v>
      </c>
      <c r="C1376">
        <v>123</v>
      </c>
      <c r="D1376">
        <v>12</v>
      </c>
      <c r="E1376">
        <v>1.00069780999622E-2</v>
      </c>
      <c r="F1376">
        <v>3.0020934299886799E-2</v>
      </c>
      <c r="G1376" t="s">
        <v>2802</v>
      </c>
    </row>
    <row r="1377" spans="1:7" x14ac:dyDescent="0.25">
      <c r="A1377" s="4" t="str">
        <f>HYPERLINK("http://amigo.geneontology.org/cgi-bin/amigo/term-details.cgi?term=GO:0097659","GO:0097659")</f>
        <v>GO:0097659</v>
      </c>
      <c r="B1377" t="s">
        <v>1700</v>
      </c>
      <c r="C1377">
        <v>2043</v>
      </c>
      <c r="D1377">
        <v>115</v>
      </c>
      <c r="E1377">
        <v>1.0098463307259701E-2</v>
      </c>
      <c r="F1377">
        <v>3.02953899217791E-2</v>
      </c>
      <c r="G1377" t="s">
        <v>2801</v>
      </c>
    </row>
    <row r="1378" spans="1:7" x14ac:dyDescent="0.25">
      <c r="A1378" s="4" t="str">
        <f>HYPERLINK("http://amigo.geneontology.org/cgi-bin/amigo/term-details.cgi?term=GO:0016765","GO:0016765")</f>
        <v>GO:0016765</v>
      </c>
      <c r="B1378" t="s">
        <v>817</v>
      </c>
      <c r="C1378">
        <v>185</v>
      </c>
      <c r="D1378">
        <v>16</v>
      </c>
      <c r="E1378">
        <v>1.0203635766361701E-2</v>
      </c>
      <c r="F1378">
        <v>3.0610907299085201E-2</v>
      </c>
      <c r="G1378" t="s">
        <v>2800</v>
      </c>
    </row>
    <row r="1379" spans="1:7" x14ac:dyDescent="0.25">
      <c r="A1379" s="4" t="str">
        <f>HYPERLINK("http://amigo.geneontology.org/cgi-bin/amigo/term-details.cgi?term=GO:0010051","GO:0010051")</f>
        <v>GO:0010051</v>
      </c>
      <c r="B1379" t="s">
        <v>2799</v>
      </c>
      <c r="C1379">
        <v>54</v>
      </c>
      <c r="D1379">
        <v>7</v>
      </c>
      <c r="E1379">
        <v>1.0569997247679401E-2</v>
      </c>
      <c r="F1379">
        <v>3.17099917430382E-2</v>
      </c>
      <c r="G1379" t="s">
        <v>2798</v>
      </c>
    </row>
    <row r="1380" spans="1:7" x14ac:dyDescent="0.25">
      <c r="A1380" s="4" t="str">
        <f>HYPERLINK("http://amigo.geneontology.org/cgi-bin/amigo/term-details.cgi?term=GO:0016846","GO:0016846")</f>
        <v>GO:0016846</v>
      </c>
      <c r="B1380" t="s">
        <v>826</v>
      </c>
      <c r="C1380">
        <v>54</v>
      </c>
      <c r="D1380">
        <v>7</v>
      </c>
      <c r="E1380">
        <v>1.0569997247679401E-2</v>
      </c>
      <c r="F1380">
        <v>3.17099917430382E-2</v>
      </c>
      <c r="G1380" t="s">
        <v>1107</v>
      </c>
    </row>
    <row r="1381" spans="1:7" x14ac:dyDescent="0.25">
      <c r="A1381" s="4" t="str">
        <f>HYPERLINK("http://amigo.geneontology.org/cgi-bin/amigo/term-details.cgi?term=GO:0006586","GO:0006586")</f>
        <v>GO:0006586</v>
      </c>
      <c r="B1381" t="s">
        <v>354</v>
      </c>
      <c r="C1381">
        <v>95</v>
      </c>
      <c r="D1381">
        <v>10</v>
      </c>
      <c r="E1381">
        <v>1.0817106242393199E-2</v>
      </c>
      <c r="F1381">
        <v>3.2451318727179802E-2</v>
      </c>
      <c r="G1381" t="s">
        <v>2490</v>
      </c>
    </row>
    <row r="1382" spans="1:7" x14ac:dyDescent="0.25">
      <c r="A1382" s="4" t="str">
        <f>HYPERLINK("http://amigo.geneontology.org/cgi-bin/amigo/term-details.cgi?term=GO:0006568","GO:0006568")</f>
        <v>GO:0006568</v>
      </c>
      <c r="B1382" t="s">
        <v>353</v>
      </c>
      <c r="C1382">
        <v>95</v>
      </c>
      <c r="D1382">
        <v>10</v>
      </c>
      <c r="E1382">
        <v>1.0817106242393199E-2</v>
      </c>
      <c r="F1382">
        <v>3.2451318727179802E-2</v>
      </c>
      <c r="G1382" t="s">
        <v>2490</v>
      </c>
    </row>
    <row r="1383" spans="1:7" x14ac:dyDescent="0.25">
      <c r="A1383" s="4" t="str">
        <f>HYPERLINK("http://amigo.geneontology.org/cgi-bin/amigo/term-details.cgi?term=GO:0033993","GO:0033993")</f>
        <v>GO:0033993</v>
      </c>
      <c r="B1383" t="s">
        <v>2133</v>
      </c>
      <c r="C1383">
        <v>285</v>
      </c>
      <c r="D1383">
        <v>22</v>
      </c>
      <c r="E1383">
        <v>1.09117943779564E-2</v>
      </c>
      <c r="F1383">
        <v>3.2735383133869402E-2</v>
      </c>
      <c r="G1383" t="s">
        <v>2797</v>
      </c>
    </row>
    <row r="1384" spans="1:7" x14ac:dyDescent="0.25">
      <c r="A1384" s="4" t="str">
        <f>HYPERLINK("http://amigo.geneontology.org/cgi-bin/amigo/term-details.cgi?term=GO:0043549","GO:0043549")</f>
        <v>GO:0043549</v>
      </c>
      <c r="B1384" t="s">
        <v>2796</v>
      </c>
      <c r="C1384">
        <v>155</v>
      </c>
      <c r="D1384">
        <v>14</v>
      </c>
      <c r="E1384">
        <v>1.09526511197234E-2</v>
      </c>
      <c r="F1384">
        <v>3.2857953359170397E-2</v>
      </c>
      <c r="G1384" t="s">
        <v>2795</v>
      </c>
    </row>
    <row r="1385" spans="1:7" x14ac:dyDescent="0.25">
      <c r="A1385" s="4" t="str">
        <f>HYPERLINK("http://amigo.geneontology.org/cgi-bin/amigo/term-details.cgi?term=GO:0048447","GO:0048447")</f>
        <v>GO:0048447</v>
      </c>
      <c r="B1385" t="s">
        <v>2794</v>
      </c>
      <c r="C1385">
        <v>42</v>
      </c>
      <c r="D1385">
        <v>6</v>
      </c>
      <c r="E1385">
        <v>1.1031395129637699E-2</v>
      </c>
      <c r="F1385">
        <v>3.3094185388913101E-2</v>
      </c>
      <c r="G1385" t="s">
        <v>2716</v>
      </c>
    </row>
    <row r="1386" spans="1:7" x14ac:dyDescent="0.25">
      <c r="A1386" s="4" t="str">
        <f>HYPERLINK("http://amigo.geneontology.org/cgi-bin/amigo/term-details.cgi?term=GO:0048453","GO:0048453")</f>
        <v>GO:0048453</v>
      </c>
      <c r="B1386" t="s">
        <v>2793</v>
      </c>
      <c r="C1386">
        <v>42</v>
      </c>
      <c r="D1386">
        <v>6</v>
      </c>
      <c r="E1386">
        <v>1.1031395129637699E-2</v>
      </c>
      <c r="F1386">
        <v>3.3094185388913101E-2</v>
      </c>
      <c r="G1386" t="s">
        <v>2716</v>
      </c>
    </row>
    <row r="1387" spans="1:7" x14ac:dyDescent="0.25">
      <c r="A1387" s="4" t="str">
        <f>HYPERLINK("http://amigo.geneontology.org/cgi-bin/amigo/term-details.cgi?term=GO:0008312","GO:0008312")</f>
        <v>GO:0008312</v>
      </c>
      <c r="B1387" t="s">
        <v>570</v>
      </c>
      <c r="C1387">
        <v>42</v>
      </c>
      <c r="D1387">
        <v>6</v>
      </c>
      <c r="E1387">
        <v>1.1031395129637699E-2</v>
      </c>
      <c r="F1387">
        <v>3.3094185388913101E-2</v>
      </c>
      <c r="G1387" t="s">
        <v>568</v>
      </c>
    </row>
    <row r="1388" spans="1:7" x14ac:dyDescent="0.25">
      <c r="A1388" s="4" t="str">
        <f>HYPERLINK("http://amigo.geneontology.org/cgi-bin/amigo/term-details.cgi?term=GO:0016763","GO:0016763")</f>
        <v>GO:0016763</v>
      </c>
      <c r="B1388" t="s">
        <v>128</v>
      </c>
      <c r="C1388">
        <v>110</v>
      </c>
      <c r="D1388">
        <v>11</v>
      </c>
      <c r="E1388">
        <v>1.1194320930706899E-2</v>
      </c>
      <c r="F1388">
        <v>3.3582962792120898E-2</v>
      </c>
      <c r="G1388" t="s">
        <v>1127</v>
      </c>
    </row>
    <row r="1389" spans="1:7" x14ac:dyDescent="0.25">
      <c r="A1389" s="4" t="str">
        <f>HYPERLINK("http://amigo.geneontology.org/cgi-bin/amigo/term-details.cgi?term=GO:0006767","GO:0006767")</f>
        <v>GO:0006767</v>
      </c>
      <c r="B1389" t="s">
        <v>2792</v>
      </c>
      <c r="C1389">
        <v>125</v>
      </c>
      <c r="D1389">
        <v>12</v>
      </c>
      <c r="E1389">
        <v>1.12948976718526E-2</v>
      </c>
      <c r="F1389">
        <v>3.3884693015557903E-2</v>
      </c>
      <c r="G1389" t="s">
        <v>2791</v>
      </c>
    </row>
    <row r="1390" spans="1:7" x14ac:dyDescent="0.25">
      <c r="A1390" s="4" t="str">
        <f>HYPERLINK("http://amigo.geneontology.org/cgi-bin/amigo/term-details.cgi?term=GO:0002253","GO:0002253")</f>
        <v>GO:0002253</v>
      </c>
      <c r="B1390" t="s">
        <v>2790</v>
      </c>
      <c r="C1390">
        <v>20</v>
      </c>
      <c r="D1390">
        <v>4</v>
      </c>
      <c r="E1390">
        <v>1.1300010859459E-2</v>
      </c>
      <c r="F1390">
        <v>3.3900032578377197E-2</v>
      </c>
      <c r="G1390" t="s">
        <v>2465</v>
      </c>
    </row>
    <row r="1391" spans="1:7" x14ac:dyDescent="0.25">
      <c r="A1391" s="4" t="str">
        <f>HYPERLINK("http://amigo.geneontology.org/cgi-bin/amigo/term-details.cgi?term=GO:0002218","GO:0002218")</f>
        <v>GO:0002218</v>
      </c>
      <c r="B1391" t="s">
        <v>2789</v>
      </c>
      <c r="C1391">
        <v>20</v>
      </c>
      <c r="D1391">
        <v>4</v>
      </c>
      <c r="E1391">
        <v>1.1300010859459E-2</v>
      </c>
      <c r="F1391">
        <v>3.3900032578377197E-2</v>
      </c>
      <c r="G1391" t="s">
        <v>2465</v>
      </c>
    </row>
    <row r="1392" spans="1:7" x14ac:dyDescent="0.25">
      <c r="A1392" s="4" t="str">
        <f>HYPERLINK("http://amigo.geneontology.org/cgi-bin/amigo/term-details.cgi?term=GO:0009113","GO:0009113")</f>
        <v>GO:0009113</v>
      </c>
      <c r="B1392" t="s">
        <v>1069</v>
      </c>
      <c r="C1392">
        <v>20</v>
      </c>
      <c r="D1392">
        <v>4</v>
      </c>
      <c r="E1392">
        <v>1.1300010859459E-2</v>
      </c>
      <c r="F1392">
        <v>3.3900032578377197E-2</v>
      </c>
      <c r="G1392" t="s">
        <v>1057</v>
      </c>
    </row>
    <row r="1393" spans="1:7" x14ac:dyDescent="0.25">
      <c r="A1393" s="4" t="str">
        <f>HYPERLINK("http://amigo.geneontology.org/cgi-bin/amigo/term-details.cgi?term=GO:0009898","GO:0009898")</f>
        <v>GO:0009898</v>
      </c>
      <c r="B1393" t="s">
        <v>2788</v>
      </c>
      <c r="C1393">
        <v>20</v>
      </c>
      <c r="D1393">
        <v>4</v>
      </c>
      <c r="E1393">
        <v>1.1300010859459E-2</v>
      </c>
      <c r="F1393">
        <v>3.3900032578377197E-2</v>
      </c>
      <c r="G1393" t="s">
        <v>2745</v>
      </c>
    </row>
    <row r="1394" spans="1:7" x14ac:dyDescent="0.25">
      <c r="A1394" s="4" t="str">
        <f>HYPERLINK("http://amigo.geneontology.org/cgi-bin/amigo/term-details.cgi?term=GO:0055083","GO:0055083")</f>
        <v>GO:0055083</v>
      </c>
      <c r="B1394" t="s">
        <v>2787</v>
      </c>
      <c r="C1394">
        <v>4</v>
      </c>
      <c r="D1394">
        <v>2</v>
      </c>
      <c r="E1394">
        <v>1.15358287689233E-2</v>
      </c>
      <c r="F1394">
        <v>3.4607486306770102E-2</v>
      </c>
      <c r="G1394" t="s">
        <v>2695</v>
      </c>
    </row>
    <row r="1395" spans="1:7" x14ac:dyDescent="0.25">
      <c r="A1395" s="4" t="str">
        <f>HYPERLINK("http://amigo.geneontology.org/cgi-bin/amigo/term-details.cgi?term=GO:0072505","GO:0072505")</f>
        <v>GO:0072505</v>
      </c>
      <c r="B1395" t="s">
        <v>2786</v>
      </c>
      <c r="C1395">
        <v>4</v>
      </c>
      <c r="D1395">
        <v>2</v>
      </c>
      <c r="E1395">
        <v>1.15358287689233E-2</v>
      </c>
      <c r="F1395">
        <v>3.4607486306770102E-2</v>
      </c>
      <c r="G1395" t="s">
        <v>2695</v>
      </c>
    </row>
    <row r="1396" spans="1:7" x14ac:dyDescent="0.25">
      <c r="A1396" s="4" t="str">
        <f>HYPERLINK("http://amigo.geneontology.org/cgi-bin/amigo/term-details.cgi?term=GO:0072506","GO:0072506")</f>
        <v>GO:0072506</v>
      </c>
      <c r="B1396" t="s">
        <v>2785</v>
      </c>
      <c r="C1396">
        <v>4</v>
      </c>
      <c r="D1396">
        <v>2</v>
      </c>
      <c r="E1396">
        <v>1.15358287689233E-2</v>
      </c>
      <c r="F1396">
        <v>3.4607486306770102E-2</v>
      </c>
      <c r="G1396" t="s">
        <v>2695</v>
      </c>
    </row>
    <row r="1397" spans="1:7" x14ac:dyDescent="0.25">
      <c r="A1397" s="4" t="str">
        <f>HYPERLINK("http://amigo.geneontology.org/cgi-bin/amigo/term-details.cgi?term=GO:0055062","GO:0055062")</f>
        <v>GO:0055062</v>
      </c>
      <c r="B1397" t="s">
        <v>2784</v>
      </c>
      <c r="C1397">
        <v>4</v>
      </c>
      <c r="D1397">
        <v>2</v>
      </c>
      <c r="E1397">
        <v>1.15358287689233E-2</v>
      </c>
      <c r="F1397">
        <v>3.4607486306770102E-2</v>
      </c>
      <c r="G1397" t="s">
        <v>2695</v>
      </c>
    </row>
    <row r="1398" spans="1:7" x14ac:dyDescent="0.25">
      <c r="A1398" s="4" t="str">
        <f>HYPERLINK("http://amigo.geneontology.org/cgi-bin/amigo/term-details.cgi?term=GO:0035173","GO:0035173")</f>
        <v>GO:0035173</v>
      </c>
      <c r="B1398" t="s">
        <v>2783</v>
      </c>
      <c r="C1398">
        <v>4</v>
      </c>
      <c r="D1398">
        <v>2</v>
      </c>
      <c r="E1398">
        <v>1.15358287689233E-2</v>
      </c>
      <c r="F1398">
        <v>3.4607486306770102E-2</v>
      </c>
      <c r="G1398" t="s">
        <v>2782</v>
      </c>
    </row>
    <row r="1399" spans="1:7" x14ac:dyDescent="0.25">
      <c r="A1399" s="4" t="str">
        <f>HYPERLINK("http://amigo.geneontology.org/cgi-bin/amigo/term-details.cgi?term=GO:1903725","GO:1903725")</f>
        <v>GO:1903725</v>
      </c>
      <c r="B1399" t="s">
        <v>2781</v>
      </c>
      <c r="C1399">
        <v>4</v>
      </c>
      <c r="D1399">
        <v>2</v>
      </c>
      <c r="E1399">
        <v>1.15358287689233E-2</v>
      </c>
      <c r="F1399">
        <v>3.4607486306770102E-2</v>
      </c>
      <c r="G1399" t="s">
        <v>2504</v>
      </c>
    </row>
    <row r="1400" spans="1:7" x14ac:dyDescent="0.25">
      <c r="A1400" s="4" t="str">
        <f>HYPERLINK("http://amigo.geneontology.org/cgi-bin/amigo/term-details.cgi?term=GO:0071071","GO:0071071")</f>
        <v>GO:0071071</v>
      </c>
      <c r="B1400" t="s">
        <v>2780</v>
      </c>
      <c r="C1400">
        <v>4</v>
      </c>
      <c r="D1400">
        <v>2</v>
      </c>
      <c r="E1400">
        <v>1.15358287689233E-2</v>
      </c>
      <c r="F1400">
        <v>3.4607486306770102E-2</v>
      </c>
      <c r="G1400" t="s">
        <v>2504</v>
      </c>
    </row>
    <row r="1401" spans="1:7" x14ac:dyDescent="0.25">
      <c r="A1401" s="4" t="str">
        <f>HYPERLINK("http://amigo.geneontology.org/cgi-bin/amigo/term-details.cgi?term=GO:0010322","GO:0010322")</f>
        <v>GO:0010322</v>
      </c>
      <c r="B1401" t="s">
        <v>2779</v>
      </c>
      <c r="C1401">
        <v>4</v>
      </c>
      <c r="D1401">
        <v>2</v>
      </c>
      <c r="E1401">
        <v>1.15358287689233E-2</v>
      </c>
      <c r="F1401">
        <v>3.4607486306770102E-2</v>
      </c>
      <c r="G1401" t="s">
        <v>2504</v>
      </c>
    </row>
    <row r="1402" spans="1:7" x14ac:dyDescent="0.25">
      <c r="A1402" s="4" t="str">
        <f>HYPERLINK("http://amigo.geneontology.org/cgi-bin/amigo/term-details.cgi?term=GO:0016120","GO:0016120")</f>
        <v>GO:0016120</v>
      </c>
      <c r="B1402" t="s">
        <v>2778</v>
      </c>
      <c r="C1402">
        <v>4</v>
      </c>
      <c r="D1402">
        <v>2</v>
      </c>
      <c r="E1402">
        <v>1.15358287689233E-2</v>
      </c>
      <c r="F1402">
        <v>3.4607486306770102E-2</v>
      </c>
      <c r="G1402" t="s">
        <v>2504</v>
      </c>
    </row>
    <row r="1403" spans="1:7" x14ac:dyDescent="0.25">
      <c r="A1403" s="4" t="str">
        <f>HYPERLINK("http://amigo.geneontology.org/cgi-bin/amigo/term-details.cgi?term=GO:0004047","GO:0004047")</f>
        <v>GO:0004047</v>
      </c>
      <c r="B1403" t="s">
        <v>1146</v>
      </c>
      <c r="C1403">
        <v>4</v>
      </c>
      <c r="D1403">
        <v>2</v>
      </c>
      <c r="E1403">
        <v>1.15358287689233E-2</v>
      </c>
      <c r="F1403">
        <v>3.4607486306770102E-2</v>
      </c>
      <c r="G1403" t="s">
        <v>1353</v>
      </c>
    </row>
    <row r="1404" spans="1:7" x14ac:dyDescent="0.25">
      <c r="A1404" s="4" t="str">
        <f>HYPERLINK("http://amigo.geneontology.org/cgi-bin/amigo/term-details.cgi?term=GO:0006836","GO:0006836")</f>
        <v>GO:0006836</v>
      </c>
      <c r="B1404" t="s">
        <v>2777</v>
      </c>
      <c r="C1404">
        <v>4</v>
      </c>
      <c r="D1404">
        <v>2</v>
      </c>
      <c r="E1404">
        <v>1.15358287689233E-2</v>
      </c>
      <c r="F1404">
        <v>3.4607486306770102E-2</v>
      </c>
      <c r="G1404" t="s">
        <v>2688</v>
      </c>
    </row>
    <row r="1405" spans="1:7" x14ac:dyDescent="0.25">
      <c r="A1405" s="4" t="str">
        <f>HYPERLINK("http://amigo.geneontology.org/cgi-bin/amigo/term-details.cgi?term=GO:1901160","GO:1901160")</f>
        <v>GO:1901160</v>
      </c>
      <c r="B1405" t="s">
        <v>2776</v>
      </c>
      <c r="C1405">
        <v>4</v>
      </c>
      <c r="D1405">
        <v>2</v>
      </c>
      <c r="E1405">
        <v>1.15358287689233E-2</v>
      </c>
      <c r="F1405">
        <v>3.4607486306770102E-2</v>
      </c>
      <c r="G1405" t="s">
        <v>2572</v>
      </c>
    </row>
    <row r="1406" spans="1:7" x14ac:dyDescent="0.25">
      <c r="A1406" s="4" t="str">
        <f>HYPERLINK("http://amigo.geneontology.org/cgi-bin/amigo/term-details.cgi?term=GO:0006580","GO:0006580")</f>
        <v>GO:0006580</v>
      </c>
      <c r="B1406" t="s">
        <v>2775</v>
      </c>
      <c r="C1406">
        <v>4</v>
      </c>
      <c r="D1406">
        <v>2</v>
      </c>
      <c r="E1406">
        <v>1.15358287689233E-2</v>
      </c>
      <c r="F1406">
        <v>3.4607486306770102E-2</v>
      </c>
      <c r="G1406" t="s">
        <v>2572</v>
      </c>
    </row>
    <row r="1407" spans="1:7" x14ac:dyDescent="0.25">
      <c r="A1407" s="4" t="str">
        <f>HYPERLINK("http://amigo.geneontology.org/cgi-bin/amigo/term-details.cgi?term=GO:0042407","GO:0042407")</f>
        <v>GO:0042407</v>
      </c>
      <c r="B1407" t="s">
        <v>2774</v>
      </c>
      <c r="C1407">
        <v>4</v>
      </c>
      <c r="D1407">
        <v>2</v>
      </c>
      <c r="E1407">
        <v>1.15358287689233E-2</v>
      </c>
      <c r="F1407">
        <v>3.4607486306770102E-2</v>
      </c>
      <c r="G1407" t="s">
        <v>2667</v>
      </c>
    </row>
    <row r="1408" spans="1:7" x14ac:dyDescent="0.25">
      <c r="A1408" s="4" t="str">
        <f>HYPERLINK("http://amigo.geneontology.org/cgi-bin/amigo/term-details.cgi?term=GO:0005677","GO:0005677")</f>
        <v>GO:0005677</v>
      </c>
      <c r="B1408" t="s">
        <v>2773</v>
      </c>
      <c r="C1408">
        <v>4</v>
      </c>
      <c r="D1408">
        <v>2</v>
      </c>
      <c r="E1408">
        <v>1.15358287689233E-2</v>
      </c>
      <c r="F1408">
        <v>3.4607486306770102E-2</v>
      </c>
      <c r="G1408" t="s">
        <v>2665</v>
      </c>
    </row>
    <row r="1409" spans="1:7" x14ac:dyDescent="0.25">
      <c r="A1409" s="4" t="str">
        <f>HYPERLINK("http://amigo.geneontology.org/cgi-bin/amigo/term-details.cgi?term=GO:0009561","GO:0009561")</f>
        <v>GO:0009561</v>
      </c>
      <c r="B1409" t="s">
        <v>2772</v>
      </c>
      <c r="C1409">
        <v>156</v>
      </c>
      <c r="D1409">
        <v>14</v>
      </c>
      <c r="E1409">
        <v>1.15462453911337E-2</v>
      </c>
      <c r="F1409">
        <v>3.4638736173401102E-2</v>
      </c>
      <c r="G1409" t="s">
        <v>2771</v>
      </c>
    </row>
    <row r="1410" spans="1:7" x14ac:dyDescent="0.25">
      <c r="A1410" s="4" t="str">
        <f>HYPERLINK("http://amigo.geneontology.org/cgi-bin/amigo/term-details.cgi?term=GO:0004751","GO:0004751")</f>
        <v>GO:0004751</v>
      </c>
      <c r="B1410" t="s">
        <v>416</v>
      </c>
      <c r="C1410">
        <v>11</v>
      </c>
      <c r="D1410">
        <v>3</v>
      </c>
      <c r="E1410">
        <v>1.15924634635879E-2</v>
      </c>
      <c r="F1410">
        <v>3.4777390390763697E-2</v>
      </c>
      <c r="G1410" t="s">
        <v>1086</v>
      </c>
    </row>
    <row r="1411" spans="1:7" x14ac:dyDescent="0.25">
      <c r="A1411" s="4" t="str">
        <f>HYPERLINK("http://amigo.geneontology.org/cgi-bin/amigo/term-details.cgi?term=GO:0009052","GO:0009052")</f>
        <v>GO:0009052</v>
      </c>
      <c r="B1411" t="s">
        <v>415</v>
      </c>
      <c r="C1411">
        <v>11</v>
      </c>
      <c r="D1411">
        <v>3</v>
      </c>
      <c r="E1411">
        <v>1.15924634635879E-2</v>
      </c>
      <c r="F1411">
        <v>3.4777390390763697E-2</v>
      </c>
      <c r="G1411" t="s">
        <v>1086</v>
      </c>
    </row>
    <row r="1412" spans="1:7" x14ac:dyDescent="0.25">
      <c r="A1412" s="4" t="str">
        <f>HYPERLINK("http://amigo.geneontology.org/cgi-bin/amigo/term-details.cgi?term=GO:0015355","GO:0015355")</f>
        <v>GO:0015355</v>
      </c>
      <c r="B1412" t="s">
        <v>2770</v>
      </c>
      <c r="C1412">
        <v>11</v>
      </c>
      <c r="D1412">
        <v>3</v>
      </c>
      <c r="E1412">
        <v>1.15924634635879E-2</v>
      </c>
      <c r="F1412">
        <v>3.4777390390763697E-2</v>
      </c>
      <c r="G1412" t="s">
        <v>2368</v>
      </c>
    </row>
    <row r="1413" spans="1:7" x14ac:dyDescent="0.25">
      <c r="A1413" s="4" t="str">
        <f>HYPERLINK("http://amigo.geneontology.org/cgi-bin/amigo/term-details.cgi?term=GO:0008250","GO:0008250")</f>
        <v>GO:0008250</v>
      </c>
      <c r="B1413" t="s">
        <v>2769</v>
      </c>
      <c r="C1413">
        <v>11</v>
      </c>
      <c r="D1413">
        <v>3</v>
      </c>
      <c r="E1413">
        <v>1.15924634635879E-2</v>
      </c>
      <c r="F1413">
        <v>3.4777390390763697E-2</v>
      </c>
      <c r="G1413" t="s">
        <v>2366</v>
      </c>
    </row>
    <row r="1414" spans="1:7" x14ac:dyDescent="0.25">
      <c r="A1414" s="4" t="str">
        <f>HYPERLINK("http://amigo.geneontology.org/cgi-bin/amigo/term-details.cgi?term=GO:0004372","GO:0004372")</f>
        <v>GO:0004372</v>
      </c>
      <c r="B1414" t="s">
        <v>1224</v>
      </c>
      <c r="C1414">
        <v>11</v>
      </c>
      <c r="D1414">
        <v>3</v>
      </c>
      <c r="E1414">
        <v>1.15924634635879E-2</v>
      </c>
      <c r="F1414">
        <v>3.4777390390763697E-2</v>
      </c>
      <c r="G1414" t="s">
        <v>1223</v>
      </c>
    </row>
    <row r="1415" spans="1:7" x14ac:dyDescent="0.25">
      <c r="A1415" s="4" t="str">
        <f>HYPERLINK("http://amigo.geneontology.org/cgi-bin/amigo/term-details.cgi?term=GO:0009986","GO:0009986")</f>
        <v>GO:0009986</v>
      </c>
      <c r="B1415" t="s">
        <v>2768</v>
      </c>
      <c r="C1415">
        <v>11</v>
      </c>
      <c r="D1415">
        <v>3</v>
      </c>
      <c r="E1415">
        <v>1.15924634635879E-2</v>
      </c>
      <c r="F1415">
        <v>3.4777390390763697E-2</v>
      </c>
      <c r="G1415" t="s">
        <v>2602</v>
      </c>
    </row>
    <row r="1416" spans="1:7" x14ac:dyDescent="0.25">
      <c r="A1416" s="4" t="str">
        <f>HYPERLINK("http://amigo.geneontology.org/cgi-bin/amigo/term-details.cgi?term=GO:0010359","GO:0010359")</f>
        <v>GO:0010359</v>
      </c>
      <c r="B1416" t="s">
        <v>2767</v>
      </c>
      <c r="C1416">
        <v>11</v>
      </c>
      <c r="D1416">
        <v>3</v>
      </c>
      <c r="E1416">
        <v>1.15924634635879E-2</v>
      </c>
      <c r="F1416">
        <v>3.4777390390763697E-2</v>
      </c>
      <c r="G1416" t="s">
        <v>2602</v>
      </c>
    </row>
    <row r="1417" spans="1:7" x14ac:dyDescent="0.25">
      <c r="A1417" s="4" t="str">
        <f>HYPERLINK("http://amigo.geneontology.org/cgi-bin/amigo/term-details.cgi?term=GO:0031300","GO:0031300")</f>
        <v>GO:0031300</v>
      </c>
      <c r="B1417" t="s">
        <v>2766</v>
      </c>
      <c r="C1417">
        <v>55</v>
      </c>
      <c r="D1417">
        <v>7</v>
      </c>
      <c r="E1417">
        <v>1.16502871764592E-2</v>
      </c>
      <c r="F1417">
        <v>3.4950861529377701E-2</v>
      </c>
      <c r="G1417" t="s">
        <v>2764</v>
      </c>
    </row>
    <row r="1418" spans="1:7" x14ac:dyDescent="0.25">
      <c r="A1418" s="4" t="str">
        <f>HYPERLINK("http://amigo.geneontology.org/cgi-bin/amigo/term-details.cgi?term=GO:0031301","GO:0031301")</f>
        <v>GO:0031301</v>
      </c>
      <c r="B1418" t="s">
        <v>2765</v>
      </c>
      <c r="C1418">
        <v>55</v>
      </c>
      <c r="D1418">
        <v>7</v>
      </c>
      <c r="E1418">
        <v>1.16502871764592E-2</v>
      </c>
      <c r="F1418">
        <v>3.4950861529377701E-2</v>
      </c>
      <c r="G1418" t="s">
        <v>2764</v>
      </c>
    </row>
    <row r="1419" spans="1:7" x14ac:dyDescent="0.25">
      <c r="A1419" s="4" t="str">
        <f>HYPERLINK("http://amigo.geneontology.org/cgi-bin/amigo/term-details.cgi?term=GO:0009617","GO:0009617")</f>
        <v>GO:0009617</v>
      </c>
      <c r="B1419" t="s">
        <v>2120</v>
      </c>
      <c r="C1419">
        <v>188</v>
      </c>
      <c r="D1419">
        <v>16</v>
      </c>
      <c r="E1419">
        <v>1.17781883833682E-2</v>
      </c>
      <c r="F1419">
        <v>3.5334565150104802E-2</v>
      </c>
      <c r="G1419" t="s">
        <v>2763</v>
      </c>
    </row>
    <row r="1420" spans="1:7" x14ac:dyDescent="0.25">
      <c r="A1420" s="4" t="str">
        <f>HYPERLINK("http://amigo.geneontology.org/cgi-bin/amigo/term-details.cgi?term=GO:0006189","GO:0006189")</f>
        <v>GO:0006189</v>
      </c>
      <c r="B1420" t="s">
        <v>497</v>
      </c>
      <c r="C1420">
        <v>31</v>
      </c>
      <c r="D1420">
        <v>5</v>
      </c>
      <c r="E1420">
        <v>1.1989540085428799E-2</v>
      </c>
      <c r="F1420">
        <v>3.5968620256286603E-2</v>
      </c>
      <c r="G1420" t="s">
        <v>1377</v>
      </c>
    </row>
    <row r="1421" spans="1:7" x14ac:dyDescent="0.25">
      <c r="A1421" s="4" t="str">
        <f>HYPERLINK("http://amigo.geneontology.org/cgi-bin/amigo/term-details.cgi?term=GO:0097346","GO:0097346")</f>
        <v>GO:0097346</v>
      </c>
      <c r="B1421" t="s">
        <v>2762</v>
      </c>
      <c r="C1421">
        <v>31</v>
      </c>
      <c r="D1421">
        <v>5</v>
      </c>
      <c r="E1421">
        <v>1.1989540085428799E-2</v>
      </c>
      <c r="F1421">
        <v>3.5968620256286603E-2</v>
      </c>
      <c r="G1421" t="s">
        <v>2761</v>
      </c>
    </row>
    <row r="1422" spans="1:7" x14ac:dyDescent="0.25">
      <c r="A1422" s="4" t="str">
        <f>HYPERLINK("http://amigo.geneontology.org/cgi-bin/amigo/term-details.cgi?term=GO:0010565","GO:0010565")</f>
        <v>GO:0010565</v>
      </c>
      <c r="B1422" t="s">
        <v>2760</v>
      </c>
      <c r="C1422">
        <v>31</v>
      </c>
      <c r="D1422">
        <v>5</v>
      </c>
      <c r="E1422">
        <v>1.1989540085428799E-2</v>
      </c>
      <c r="F1422">
        <v>3.5968620256286603E-2</v>
      </c>
      <c r="G1422" t="s">
        <v>2759</v>
      </c>
    </row>
    <row r="1423" spans="1:7" x14ac:dyDescent="0.25">
      <c r="A1423" s="4" t="str">
        <f>HYPERLINK("http://amigo.geneontology.org/cgi-bin/amigo/term-details.cgi?term=GO:0004616","GO:0004616")</f>
        <v>GO:0004616</v>
      </c>
      <c r="B1423" t="s">
        <v>1068</v>
      </c>
      <c r="C1423">
        <v>31</v>
      </c>
      <c r="D1423">
        <v>5</v>
      </c>
      <c r="E1423">
        <v>1.1989540085428799E-2</v>
      </c>
      <c r="F1423">
        <v>3.5968620256286603E-2</v>
      </c>
      <c r="G1423" t="s">
        <v>1067</v>
      </c>
    </row>
    <row r="1424" spans="1:7" x14ac:dyDescent="0.25">
      <c r="A1424" s="4" t="str">
        <f>HYPERLINK("http://amigo.geneontology.org/cgi-bin/amigo/term-details.cgi?term=GO:0006351","GO:0006351")</f>
        <v>GO:0006351</v>
      </c>
      <c r="B1424" t="s">
        <v>1741</v>
      </c>
      <c r="C1424">
        <v>2018</v>
      </c>
      <c r="D1424">
        <v>113</v>
      </c>
      <c r="E1424">
        <v>1.23094842029007E-2</v>
      </c>
      <c r="F1424">
        <v>3.6928452608702103E-2</v>
      </c>
      <c r="G1424" t="s">
        <v>2758</v>
      </c>
    </row>
    <row r="1425" spans="1:7" x14ac:dyDescent="0.25">
      <c r="A1425" s="4" t="str">
        <f>HYPERLINK("http://amigo.geneontology.org/cgi-bin/amigo/term-details.cgi?term=GO:0070085","GO:0070085")</f>
        <v>GO:0070085</v>
      </c>
      <c r="B1425" t="s">
        <v>1157</v>
      </c>
      <c r="C1425">
        <v>357</v>
      </c>
      <c r="D1425">
        <v>26</v>
      </c>
      <c r="E1425">
        <v>1.2330718216238301E-2</v>
      </c>
      <c r="F1425">
        <v>3.6992154648715102E-2</v>
      </c>
      <c r="G1425" t="s">
        <v>2757</v>
      </c>
    </row>
    <row r="1426" spans="1:7" x14ac:dyDescent="0.25">
      <c r="A1426" s="4" t="str">
        <f>HYPERLINK("http://amigo.geneontology.org/cgi-bin/amigo/term-details.cgi?term=GO:0019888","GO:0019888")</f>
        <v>GO:0019888</v>
      </c>
      <c r="B1426" t="s">
        <v>408</v>
      </c>
      <c r="C1426">
        <v>43</v>
      </c>
      <c r="D1426">
        <v>6</v>
      </c>
      <c r="E1426">
        <v>1.23411273393721E-2</v>
      </c>
      <c r="F1426">
        <v>3.7023382018116301E-2</v>
      </c>
      <c r="G1426" t="s">
        <v>1392</v>
      </c>
    </row>
    <row r="1427" spans="1:7" x14ac:dyDescent="0.25">
      <c r="A1427" s="4" t="str">
        <f>HYPERLINK("http://amigo.geneontology.org/cgi-bin/amigo/term-details.cgi?term=GO:0009799","GO:0009799")</f>
        <v>GO:0009799</v>
      </c>
      <c r="B1427" t="s">
        <v>2756</v>
      </c>
      <c r="C1427">
        <v>43</v>
      </c>
      <c r="D1427">
        <v>6</v>
      </c>
      <c r="E1427">
        <v>1.23411273393721E-2</v>
      </c>
      <c r="F1427">
        <v>3.7023382018116301E-2</v>
      </c>
      <c r="G1427" t="s">
        <v>2755</v>
      </c>
    </row>
    <row r="1428" spans="1:7" x14ac:dyDescent="0.25">
      <c r="A1428" s="4" t="str">
        <f>HYPERLINK("http://amigo.geneontology.org/cgi-bin/amigo/term-details.cgi?term=GO:0048451","GO:0048451")</f>
        <v>GO:0048451</v>
      </c>
      <c r="B1428" t="s">
        <v>2754</v>
      </c>
      <c r="C1428">
        <v>43</v>
      </c>
      <c r="D1428">
        <v>6</v>
      </c>
      <c r="E1428">
        <v>1.23411273393721E-2</v>
      </c>
      <c r="F1428">
        <v>3.7023382018116301E-2</v>
      </c>
      <c r="G1428" t="s">
        <v>2716</v>
      </c>
    </row>
    <row r="1429" spans="1:7" x14ac:dyDescent="0.25">
      <c r="A1429" s="4" t="str">
        <f>HYPERLINK("http://amigo.geneontology.org/cgi-bin/amigo/term-details.cgi?term=GO:0019321","GO:0019321")</f>
        <v>GO:0019321</v>
      </c>
      <c r="B1429" t="s">
        <v>589</v>
      </c>
      <c r="C1429">
        <v>56</v>
      </c>
      <c r="D1429">
        <v>7</v>
      </c>
      <c r="E1429">
        <v>1.2808104185825E-2</v>
      </c>
      <c r="F1429">
        <v>3.8424312557475103E-2</v>
      </c>
      <c r="G1429" t="s">
        <v>2753</v>
      </c>
    </row>
    <row r="1430" spans="1:7" x14ac:dyDescent="0.25">
      <c r="A1430" s="4" t="str">
        <f>HYPERLINK("http://amigo.geneontology.org/cgi-bin/amigo/term-details.cgi?term=GO:0016857","GO:0016857")</f>
        <v>GO:0016857</v>
      </c>
      <c r="B1430" t="s">
        <v>161</v>
      </c>
      <c r="C1430">
        <v>56</v>
      </c>
      <c r="D1430">
        <v>7</v>
      </c>
      <c r="E1430">
        <v>1.2808104185825E-2</v>
      </c>
      <c r="F1430">
        <v>3.8424312557475103E-2</v>
      </c>
      <c r="G1430" t="s">
        <v>2549</v>
      </c>
    </row>
    <row r="1431" spans="1:7" x14ac:dyDescent="0.25">
      <c r="A1431" s="4" t="str">
        <f>HYPERLINK("http://amigo.geneontology.org/cgi-bin/amigo/term-details.cgi?term=GO:0046873","GO:0046873")</f>
        <v>GO:0046873</v>
      </c>
      <c r="B1431" t="s">
        <v>1065</v>
      </c>
      <c r="C1431">
        <v>411</v>
      </c>
      <c r="D1431">
        <v>29</v>
      </c>
      <c r="E1431">
        <v>1.2887565577023001E-2</v>
      </c>
      <c r="F1431">
        <v>3.8662696731069E-2</v>
      </c>
      <c r="G1431" t="s">
        <v>2752</v>
      </c>
    </row>
    <row r="1432" spans="1:7" x14ac:dyDescent="0.25">
      <c r="A1432" s="4" t="str">
        <f>HYPERLINK("http://amigo.geneontology.org/cgi-bin/amigo/term-details.cgi?term=GO:0009555","GO:0009555")</f>
        <v>GO:0009555</v>
      </c>
      <c r="B1432" t="s">
        <v>2751</v>
      </c>
      <c r="C1432">
        <v>174</v>
      </c>
      <c r="D1432">
        <v>15</v>
      </c>
      <c r="E1432">
        <v>1.29375266844413E-2</v>
      </c>
      <c r="F1432">
        <v>3.8812580053323997E-2</v>
      </c>
      <c r="G1432" t="s">
        <v>2750</v>
      </c>
    </row>
    <row r="1433" spans="1:7" x14ac:dyDescent="0.25">
      <c r="A1433" s="4" t="str">
        <f>HYPERLINK("http://amigo.geneontology.org/cgi-bin/amigo/term-details.cgi?term=GO:0018024","GO:0018024")</f>
        <v>GO:0018024</v>
      </c>
      <c r="B1433" t="s">
        <v>1360</v>
      </c>
      <c r="C1433">
        <v>128</v>
      </c>
      <c r="D1433">
        <v>12</v>
      </c>
      <c r="E1433">
        <v>1.3461363447382701E-2</v>
      </c>
      <c r="F1433">
        <v>4.0384090342148099E-2</v>
      </c>
      <c r="G1433" t="s">
        <v>2719</v>
      </c>
    </row>
    <row r="1434" spans="1:7" x14ac:dyDescent="0.25">
      <c r="A1434" s="4" t="str">
        <f>HYPERLINK("http://amigo.geneontology.org/cgi-bin/amigo/term-details.cgi?term=GO:0043015","GO:0043015")</f>
        <v>GO:0043015</v>
      </c>
      <c r="B1434" t="s">
        <v>439</v>
      </c>
      <c r="C1434">
        <v>21</v>
      </c>
      <c r="D1434">
        <v>4</v>
      </c>
      <c r="E1434">
        <v>1.3467775686448301E-2</v>
      </c>
      <c r="F1434">
        <v>4.0403327059345101E-2</v>
      </c>
      <c r="G1434" t="s">
        <v>1059</v>
      </c>
    </row>
    <row r="1435" spans="1:7" x14ac:dyDescent="0.25">
      <c r="A1435" s="4" t="str">
        <f>HYPERLINK("http://amigo.geneontology.org/cgi-bin/amigo/term-details.cgi?term=GO:0044450","GO:0044450")</f>
        <v>GO:0044450</v>
      </c>
      <c r="B1435" t="s">
        <v>463</v>
      </c>
      <c r="C1435">
        <v>21</v>
      </c>
      <c r="D1435">
        <v>4</v>
      </c>
      <c r="E1435">
        <v>1.3467775686448301E-2</v>
      </c>
      <c r="F1435">
        <v>4.0403327059345101E-2</v>
      </c>
      <c r="G1435" t="s">
        <v>1413</v>
      </c>
    </row>
    <row r="1436" spans="1:7" x14ac:dyDescent="0.25">
      <c r="A1436" s="4" t="str">
        <f>HYPERLINK("http://amigo.geneontology.org/cgi-bin/amigo/term-details.cgi?term=GO:0010020","GO:0010020")</f>
        <v>GO:0010020</v>
      </c>
      <c r="B1436" t="s">
        <v>2749</v>
      </c>
      <c r="C1436">
        <v>21</v>
      </c>
      <c r="D1436">
        <v>4</v>
      </c>
      <c r="E1436">
        <v>1.3467775686448301E-2</v>
      </c>
      <c r="F1436">
        <v>4.0403327059345101E-2</v>
      </c>
      <c r="G1436" t="s">
        <v>2638</v>
      </c>
    </row>
    <row r="1437" spans="1:7" x14ac:dyDescent="0.25">
      <c r="A1437" s="4" t="str">
        <f>HYPERLINK("http://amigo.geneontology.org/cgi-bin/amigo/term-details.cgi?term=GO:0015850","GO:0015850")</f>
        <v>GO:0015850</v>
      </c>
      <c r="B1437" t="s">
        <v>2748</v>
      </c>
      <c r="C1437">
        <v>21</v>
      </c>
      <c r="D1437">
        <v>4</v>
      </c>
      <c r="E1437">
        <v>1.3467775686448301E-2</v>
      </c>
      <c r="F1437">
        <v>4.0403327059345101E-2</v>
      </c>
      <c r="G1437" t="s">
        <v>2747</v>
      </c>
    </row>
    <row r="1438" spans="1:7" x14ac:dyDescent="0.25">
      <c r="A1438" s="4" t="str">
        <f>HYPERLINK("http://amigo.geneontology.org/cgi-bin/amigo/term-details.cgi?term=GO:0015928","GO:0015928")</f>
        <v>GO:0015928</v>
      </c>
      <c r="B1438" t="s">
        <v>551</v>
      </c>
      <c r="C1438">
        <v>21</v>
      </c>
      <c r="D1438">
        <v>4</v>
      </c>
      <c r="E1438">
        <v>1.3467775686448301E-2</v>
      </c>
      <c r="F1438">
        <v>4.0403327059345101E-2</v>
      </c>
      <c r="G1438" t="s">
        <v>549</v>
      </c>
    </row>
    <row r="1439" spans="1:7" x14ac:dyDescent="0.25">
      <c r="A1439" s="4" t="str">
        <f>HYPERLINK("http://amigo.geneontology.org/cgi-bin/amigo/term-details.cgi?term=GO:0004560","GO:0004560")</f>
        <v>GO:0004560</v>
      </c>
      <c r="B1439" t="s">
        <v>550</v>
      </c>
      <c r="C1439">
        <v>21</v>
      </c>
      <c r="D1439">
        <v>4</v>
      </c>
      <c r="E1439">
        <v>1.3467775686448301E-2</v>
      </c>
      <c r="F1439">
        <v>4.0403327059345101E-2</v>
      </c>
      <c r="G1439" t="s">
        <v>549</v>
      </c>
    </row>
    <row r="1440" spans="1:7" x14ac:dyDescent="0.25">
      <c r="A1440" s="4" t="str">
        <f>HYPERLINK("http://amigo.geneontology.org/cgi-bin/amigo/term-details.cgi?term=GO:0004332","GO:0004332")</f>
        <v>GO:0004332</v>
      </c>
      <c r="B1440" t="s">
        <v>434</v>
      </c>
      <c r="C1440">
        <v>21</v>
      </c>
      <c r="D1440">
        <v>4</v>
      </c>
      <c r="E1440">
        <v>1.3467775686448301E-2</v>
      </c>
      <c r="F1440">
        <v>4.0403327059345101E-2</v>
      </c>
      <c r="G1440" t="s">
        <v>1066</v>
      </c>
    </row>
    <row r="1441" spans="1:7" x14ac:dyDescent="0.25">
      <c r="A1441" s="4" t="str">
        <f>HYPERLINK("http://amigo.geneontology.org/cgi-bin/amigo/term-details.cgi?term=GO:0098562","GO:0098562")</f>
        <v>GO:0098562</v>
      </c>
      <c r="B1441" t="s">
        <v>2746</v>
      </c>
      <c r="C1441">
        <v>21</v>
      </c>
      <c r="D1441">
        <v>4</v>
      </c>
      <c r="E1441">
        <v>1.3467775686448301E-2</v>
      </c>
      <c r="F1441">
        <v>4.0403327059345101E-2</v>
      </c>
      <c r="G1441" t="s">
        <v>2745</v>
      </c>
    </row>
    <row r="1442" spans="1:7" x14ac:dyDescent="0.25">
      <c r="A1442" s="4" t="str">
        <f>HYPERLINK("http://amigo.geneontology.org/cgi-bin/amigo/term-details.cgi?term=GO:0010256","GO:0010256")</f>
        <v>GO:0010256</v>
      </c>
      <c r="B1442" t="s">
        <v>1340</v>
      </c>
      <c r="C1442">
        <v>113</v>
      </c>
      <c r="D1442">
        <v>11</v>
      </c>
      <c r="E1442">
        <v>1.35187419579707E-2</v>
      </c>
      <c r="F1442">
        <v>4.0556225873912097E-2</v>
      </c>
      <c r="G1442" t="s">
        <v>2744</v>
      </c>
    </row>
    <row r="1443" spans="1:7" x14ac:dyDescent="0.25">
      <c r="A1443" s="4" t="str">
        <f>HYPERLINK("http://amigo.geneontology.org/cgi-bin/amigo/term-details.cgi?term=GO:0016668","GO:0016668")</f>
        <v>GO:0016668</v>
      </c>
      <c r="B1443" t="s">
        <v>275</v>
      </c>
      <c r="C1443">
        <v>32</v>
      </c>
      <c r="D1443">
        <v>5</v>
      </c>
      <c r="E1443">
        <v>1.3692126388908699E-2</v>
      </c>
      <c r="F1443">
        <v>4.1076379166726303E-2</v>
      </c>
      <c r="G1443" t="s">
        <v>1411</v>
      </c>
    </row>
    <row r="1444" spans="1:7" x14ac:dyDescent="0.25">
      <c r="A1444" s="4" t="str">
        <f>HYPERLINK("http://amigo.geneontology.org/cgi-bin/amigo/term-details.cgi?term=GO:0050665","GO:0050665")</f>
        <v>GO:0050665</v>
      </c>
      <c r="B1444" t="s">
        <v>2743</v>
      </c>
      <c r="C1444">
        <v>32</v>
      </c>
      <c r="D1444">
        <v>5</v>
      </c>
      <c r="E1444">
        <v>1.3692126388908699E-2</v>
      </c>
      <c r="F1444">
        <v>4.1076379166726303E-2</v>
      </c>
      <c r="G1444" t="s">
        <v>2523</v>
      </c>
    </row>
    <row r="1445" spans="1:7" x14ac:dyDescent="0.25">
      <c r="A1445" s="4" t="str">
        <f>HYPERLINK("http://amigo.geneontology.org/cgi-bin/amigo/term-details.cgi?term=GO:0034250","GO:0034250")</f>
        <v>GO:0034250</v>
      </c>
      <c r="B1445" t="s">
        <v>2742</v>
      </c>
      <c r="C1445">
        <v>32</v>
      </c>
      <c r="D1445">
        <v>5</v>
      </c>
      <c r="E1445">
        <v>1.3692126388908699E-2</v>
      </c>
      <c r="F1445">
        <v>4.1076379166726303E-2</v>
      </c>
      <c r="G1445" t="s">
        <v>2740</v>
      </c>
    </row>
    <row r="1446" spans="1:7" x14ac:dyDescent="0.25">
      <c r="A1446" s="4" t="str">
        <f>HYPERLINK("http://amigo.geneontology.org/cgi-bin/amigo/term-details.cgi?term=GO:0045727","GO:0045727")</f>
        <v>GO:0045727</v>
      </c>
      <c r="B1446" t="s">
        <v>2741</v>
      </c>
      <c r="C1446">
        <v>32</v>
      </c>
      <c r="D1446">
        <v>5</v>
      </c>
      <c r="E1446">
        <v>1.3692126388908699E-2</v>
      </c>
      <c r="F1446">
        <v>4.1076379166726303E-2</v>
      </c>
      <c r="G1446" t="s">
        <v>2740</v>
      </c>
    </row>
    <row r="1447" spans="1:7" x14ac:dyDescent="0.25">
      <c r="A1447" s="4" t="str">
        <f>HYPERLINK("http://amigo.geneontology.org/cgi-bin/amigo/term-details.cgi?term=GO:0016832","GO:0016832")</f>
        <v>GO:0016832</v>
      </c>
      <c r="B1447" t="s">
        <v>479</v>
      </c>
      <c r="C1447">
        <v>32</v>
      </c>
      <c r="D1447">
        <v>5</v>
      </c>
      <c r="E1447">
        <v>1.3692126388908699E-2</v>
      </c>
      <c r="F1447">
        <v>4.1076379166726303E-2</v>
      </c>
      <c r="G1447" t="s">
        <v>1070</v>
      </c>
    </row>
    <row r="1448" spans="1:7" x14ac:dyDescent="0.25">
      <c r="A1448" s="4" t="str">
        <f>HYPERLINK("http://amigo.geneontology.org/cgi-bin/amigo/term-details.cgi?term=GO:0016861","GO:0016861")</f>
        <v>GO:0016861</v>
      </c>
      <c r="B1448" t="s">
        <v>422</v>
      </c>
      <c r="C1448">
        <v>44</v>
      </c>
      <c r="D1448">
        <v>6</v>
      </c>
      <c r="E1448">
        <v>1.37562616186893E-2</v>
      </c>
      <c r="F1448">
        <v>4.1268784856068198E-2</v>
      </c>
      <c r="G1448" t="s">
        <v>1390</v>
      </c>
    </row>
    <row r="1449" spans="1:7" x14ac:dyDescent="0.25">
      <c r="A1449" s="4" t="str">
        <f>HYPERLINK("http://amigo.geneontology.org/cgi-bin/amigo/term-details.cgi?term=GO:0070603","GO:0070603")</f>
        <v>GO:0070603</v>
      </c>
      <c r="B1449" t="s">
        <v>2739</v>
      </c>
      <c r="C1449">
        <v>44</v>
      </c>
      <c r="D1449">
        <v>6</v>
      </c>
      <c r="E1449">
        <v>1.37562616186893E-2</v>
      </c>
      <c r="F1449">
        <v>4.1268784856068198E-2</v>
      </c>
      <c r="G1449" t="s">
        <v>2660</v>
      </c>
    </row>
    <row r="1450" spans="1:7" x14ac:dyDescent="0.25">
      <c r="A1450" s="4" t="str">
        <f>HYPERLINK("http://amigo.geneontology.org/cgi-bin/amigo/term-details.cgi?term=GO:0009110","GO:0009110")</f>
        <v>GO:0009110</v>
      </c>
      <c r="B1450" t="s">
        <v>478</v>
      </c>
      <c r="C1450">
        <v>144</v>
      </c>
      <c r="D1450">
        <v>13</v>
      </c>
      <c r="E1450">
        <v>1.39311336390686E-2</v>
      </c>
      <c r="F1450">
        <v>4.1793400917205903E-2</v>
      </c>
      <c r="G1450" t="s">
        <v>2738</v>
      </c>
    </row>
    <row r="1451" spans="1:7" x14ac:dyDescent="0.25">
      <c r="A1451" s="4" t="str">
        <f>HYPERLINK("http://amigo.geneontology.org/cgi-bin/amigo/term-details.cgi?term=GO:0017038","GO:0017038")</f>
        <v>GO:0017038</v>
      </c>
      <c r="B1451" t="s">
        <v>480</v>
      </c>
      <c r="C1451">
        <v>258</v>
      </c>
      <c r="D1451">
        <v>20</v>
      </c>
      <c r="E1451">
        <v>1.40842095823791E-2</v>
      </c>
      <c r="F1451">
        <v>4.2252628747137297E-2</v>
      </c>
      <c r="G1451" t="s">
        <v>2737</v>
      </c>
    </row>
    <row r="1452" spans="1:7" x14ac:dyDescent="0.25">
      <c r="A1452" s="4" t="str">
        <f>HYPERLINK("http://amigo.geneontology.org/cgi-bin/amigo/term-details.cgi?term=GO:0031323","GO:0031323")</f>
        <v>GO:0031323</v>
      </c>
      <c r="B1452" t="s">
        <v>940</v>
      </c>
      <c r="C1452">
        <v>5266</v>
      </c>
      <c r="D1452">
        <v>271</v>
      </c>
      <c r="E1452">
        <v>1.41413288731387E-2</v>
      </c>
      <c r="F1452">
        <v>4.2423986619416099E-2</v>
      </c>
      <c r="G1452" t="s">
        <v>2736</v>
      </c>
    </row>
    <row r="1453" spans="1:7" x14ac:dyDescent="0.25">
      <c r="A1453" s="4" t="str">
        <f>HYPERLINK("http://amigo.geneontology.org/cgi-bin/amigo/term-details.cgi?term=GO:0030029","GO:0030029")</f>
        <v>GO:0030029</v>
      </c>
      <c r="B1453" t="s">
        <v>2735</v>
      </c>
      <c r="C1453">
        <v>193</v>
      </c>
      <c r="D1453">
        <v>16</v>
      </c>
      <c r="E1453">
        <v>1.4819678122185201E-2</v>
      </c>
      <c r="F1453">
        <v>4.4459034366555697E-2</v>
      </c>
      <c r="G1453" t="s">
        <v>2734</v>
      </c>
    </row>
    <row r="1454" spans="1:7" x14ac:dyDescent="0.25">
      <c r="A1454" s="4" t="str">
        <f>HYPERLINK("http://amigo.geneontology.org/cgi-bin/amigo/term-details.cgi?term=GO:0008170","GO:0008170")</f>
        <v>GO:0008170</v>
      </c>
      <c r="B1454" t="s">
        <v>1394</v>
      </c>
      <c r="C1454">
        <v>177</v>
      </c>
      <c r="D1454">
        <v>15</v>
      </c>
      <c r="E1454">
        <v>1.4928600915253699E-2</v>
      </c>
      <c r="F1454">
        <v>4.4785802745761299E-2</v>
      </c>
      <c r="G1454" t="s">
        <v>2733</v>
      </c>
    </row>
    <row r="1455" spans="1:7" x14ac:dyDescent="0.25">
      <c r="A1455" s="4" t="str">
        <f>HYPERLINK("http://amigo.geneontology.org/cgi-bin/amigo/term-details.cgi?term=GO:0043455","GO:0043455")</f>
        <v>GO:0043455</v>
      </c>
      <c r="B1455" t="s">
        <v>2732</v>
      </c>
      <c r="C1455">
        <v>12</v>
      </c>
      <c r="D1455">
        <v>3</v>
      </c>
      <c r="E1455">
        <v>1.4942930477217399E-2</v>
      </c>
      <c r="F1455">
        <v>4.48287914316522E-2</v>
      </c>
      <c r="G1455" t="s">
        <v>2731</v>
      </c>
    </row>
    <row r="1456" spans="1:7" x14ac:dyDescent="0.25">
      <c r="A1456" s="4" t="str">
        <f>HYPERLINK("http://amigo.geneontology.org/cgi-bin/amigo/term-details.cgi?term=GO:0017053","GO:0017053")</f>
        <v>GO:0017053</v>
      </c>
      <c r="B1456" t="s">
        <v>2730</v>
      </c>
      <c r="C1456">
        <v>12</v>
      </c>
      <c r="D1456">
        <v>3</v>
      </c>
      <c r="E1456">
        <v>1.4942930477217399E-2</v>
      </c>
      <c r="F1456">
        <v>4.48287914316522E-2</v>
      </c>
      <c r="G1456" t="s">
        <v>2729</v>
      </c>
    </row>
    <row r="1457" spans="1:7" x14ac:dyDescent="0.25">
      <c r="A1457" s="4" t="str">
        <f>HYPERLINK("http://amigo.geneontology.org/cgi-bin/amigo/term-details.cgi?term=GO:0009620","GO:0009620")</f>
        <v>GO:0009620</v>
      </c>
      <c r="B1457" t="s">
        <v>2202</v>
      </c>
      <c r="C1457">
        <v>260</v>
      </c>
      <c r="D1457">
        <v>20</v>
      </c>
      <c r="E1457">
        <v>1.52009891078849E-2</v>
      </c>
      <c r="F1457">
        <v>4.5602967323654701E-2</v>
      </c>
      <c r="G1457" t="s">
        <v>2728</v>
      </c>
    </row>
    <row r="1458" spans="1:7" x14ac:dyDescent="0.25">
      <c r="A1458" s="4" t="str">
        <f>HYPERLINK("http://amigo.geneontology.org/cgi-bin/amigo/term-details.cgi?term=GO:1903293","GO:1903293")</f>
        <v>GO:1903293</v>
      </c>
      <c r="B1458" t="s">
        <v>425</v>
      </c>
      <c r="C1458">
        <v>45</v>
      </c>
      <c r="D1458">
        <v>6</v>
      </c>
      <c r="E1458">
        <v>1.52807205809069E-2</v>
      </c>
      <c r="F1458">
        <v>4.5842161742720801E-2</v>
      </c>
      <c r="G1458" t="s">
        <v>1392</v>
      </c>
    </row>
    <row r="1459" spans="1:7" x14ac:dyDescent="0.25">
      <c r="A1459" s="4" t="str">
        <f>HYPERLINK("http://amigo.geneontology.org/cgi-bin/amigo/term-details.cgi?term=GO:0008287","GO:0008287")</f>
        <v>GO:0008287</v>
      </c>
      <c r="B1459" t="s">
        <v>424</v>
      </c>
      <c r="C1459">
        <v>45</v>
      </c>
      <c r="D1459">
        <v>6</v>
      </c>
      <c r="E1459">
        <v>1.52807205809069E-2</v>
      </c>
      <c r="F1459">
        <v>4.5842161742720801E-2</v>
      </c>
      <c r="G1459" t="s">
        <v>1392</v>
      </c>
    </row>
    <row r="1460" spans="1:7" x14ac:dyDescent="0.25">
      <c r="A1460" s="4" t="str">
        <f>HYPERLINK("http://amigo.geneontology.org/cgi-bin/amigo/term-details.cgi?term=GO:0048500","GO:0048500")</f>
        <v>GO:0048500</v>
      </c>
      <c r="B1460" t="s">
        <v>569</v>
      </c>
      <c r="C1460">
        <v>45</v>
      </c>
      <c r="D1460">
        <v>6</v>
      </c>
      <c r="E1460">
        <v>1.52807205809069E-2</v>
      </c>
      <c r="F1460">
        <v>4.5842161742720801E-2</v>
      </c>
      <c r="G1460" t="s">
        <v>568</v>
      </c>
    </row>
    <row r="1461" spans="1:7" x14ac:dyDescent="0.25">
      <c r="A1461" s="4" t="str">
        <f>HYPERLINK("http://amigo.geneontology.org/cgi-bin/amigo/term-details.cgi?term=GO:0048589","GO:0048589")</f>
        <v>GO:0048589</v>
      </c>
      <c r="B1461" t="s">
        <v>2727</v>
      </c>
      <c r="C1461">
        <v>146</v>
      </c>
      <c r="D1461">
        <v>13</v>
      </c>
      <c r="E1461">
        <v>1.5478055002742699E-2</v>
      </c>
      <c r="F1461">
        <v>4.6434165008228098E-2</v>
      </c>
      <c r="G1461" t="s">
        <v>2726</v>
      </c>
    </row>
    <row r="1462" spans="1:7" x14ac:dyDescent="0.25">
      <c r="A1462" s="4" t="str">
        <f>HYPERLINK("http://amigo.geneontology.org/cgi-bin/amigo/term-details.cgi?term=GO:0042625","GO:0042625")</f>
        <v>GO:0042625</v>
      </c>
      <c r="B1462" t="s">
        <v>134</v>
      </c>
      <c r="C1462">
        <v>194</v>
      </c>
      <c r="D1462">
        <v>16</v>
      </c>
      <c r="E1462">
        <v>1.54951208254055E-2</v>
      </c>
      <c r="F1462">
        <v>4.6485362476216499E-2</v>
      </c>
      <c r="G1462" t="s">
        <v>2725</v>
      </c>
    </row>
    <row r="1463" spans="1:7" x14ac:dyDescent="0.25">
      <c r="A1463" s="4" t="str">
        <f>HYPERLINK("http://amigo.geneontology.org/cgi-bin/amigo/term-details.cgi?term=GO:0019829","GO:0019829")</f>
        <v>GO:0019829</v>
      </c>
      <c r="B1463" t="s">
        <v>133</v>
      </c>
      <c r="C1463">
        <v>194</v>
      </c>
      <c r="D1463">
        <v>16</v>
      </c>
      <c r="E1463">
        <v>1.54951208254055E-2</v>
      </c>
      <c r="F1463">
        <v>4.6485362476216499E-2</v>
      </c>
      <c r="G1463" t="s">
        <v>2725</v>
      </c>
    </row>
    <row r="1464" spans="1:7" x14ac:dyDescent="0.25">
      <c r="A1464" s="4" t="str">
        <f>HYPERLINK("http://amigo.geneontology.org/cgi-bin/amigo/term-details.cgi?term=GO:0031231","GO:0031231")</f>
        <v>GO:0031231</v>
      </c>
      <c r="B1464" t="s">
        <v>448</v>
      </c>
      <c r="C1464">
        <v>22</v>
      </c>
      <c r="D1464">
        <v>4</v>
      </c>
      <c r="E1464">
        <v>1.5882587535091201E-2</v>
      </c>
      <c r="F1464">
        <v>4.7647762605273598E-2</v>
      </c>
      <c r="G1464" t="s">
        <v>2724</v>
      </c>
    </row>
    <row r="1465" spans="1:7" x14ac:dyDescent="0.25">
      <c r="A1465" s="4" t="str">
        <f>HYPERLINK("http://amigo.geneontology.org/cgi-bin/amigo/term-details.cgi?term=GO:0005779","GO:0005779")</f>
        <v>GO:0005779</v>
      </c>
      <c r="B1465" t="s">
        <v>447</v>
      </c>
      <c r="C1465">
        <v>22</v>
      </c>
      <c r="D1465">
        <v>4</v>
      </c>
      <c r="E1465">
        <v>1.5882587535091201E-2</v>
      </c>
      <c r="F1465">
        <v>4.7647762605273598E-2</v>
      </c>
      <c r="G1465" t="s">
        <v>2724</v>
      </c>
    </row>
    <row r="1466" spans="1:7" x14ac:dyDescent="0.25">
      <c r="A1466" s="4" t="str">
        <f>HYPERLINK("http://amigo.geneontology.org/cgi-bin/amigo/term-details.cgi?term=GO:0008422","GO:0008422")</f>
        <v>GO:0008422</v>
      </c>
      <c r="B1466" t="s">
        <v>695</v>
      </c>
      <c r="C1466">
        <v>22</v>
      </c>
      <c r="D1466">
        <v>4</v>
      </c>
      <c r="E1466">
        <v>1.5882587535091201E-2</v>
      </c>
      <c r="F1466">
        <v>4.7647762605273598E-2</v>
      </c>
      <c r="G1466" t="s">
        <v>2723</v>
      </c>
    </row>
    <row r="1467" spans="1:7" x14ac:dyDescent="0.25">
      <c r="A1467" s="4" t="str">
        <f>HYPERLINK("http://amigo.geneontology.org/cgi-bin/amigo/term-details.cgi?term=GO:0036211","GO:0036211")</f>
        <v>GO:0036211</v>
      </c>
      <c r="B1467" t="s">
        <v>372</v>
      </c>
      <c r="C1467">
        <v>8034</v>
      </c>
      <c r="D1467">
        <v>402</v>
      </c>
      <c r="E1467">
        <v>1.5919525661100001E-2</v>
      </c>
      <c r="F1467">
        <v>4.7758576983300001E-2</v>
      </c>
      <c r="G1467" t="s">
        <v>2722</v>
      </c>
    </row>
    <row r="1468" spans="1:7" x14ac:dyDescent="0.25">
      <c r="A1468" s="4" t="str">
        <f>HYPERLINK("http://amigo.geneontology.org/cgi-bin/amigo/term-details.cgi?term=GO:0006464","GO:0006464")</f>
        <v>GO:0006464</v>
      </c>
      <c r="B1468" t="s">
        <v>371</v>
      </c>
      <c r="C1468">
        <v>8034</v>
      </c>
      <c r="D1468">
        <v>402</v>
      </c>
      <c r="E1468">
        <v>1.5919525661100001E-2</v>
      </c>
      <c r="F1468">
        <v>4.7758576983300001E-2</v>
      </c>
      <c r="G1468" t="s">
        <v>2722</v>
      </c>
    </row>
    <row r="1469" spans="1:7" x14ac:dyDescent="0.25">
      <c r="A1469" s="4" t="str">
        <f>HYPERLINK("http://amigo.geneontology.org/cgi-bin/amigo/term-details.cgi?term=GO:0048468","GO:0048468")</f>
        <v>GO:0048468</v>
      </c>
      <c r="B1469" t="s">
        <v>2721</v>
      </c>
      <c r="C1469">
        <v>195</v>
      </c>
      <c r="D1469">
        <v>16</v>
      </c>
      <c r="E1469">
        <v>1.6194135532858998E-2</v>
      </c>
      <c r="F1469">
        <v>4.8582406598577002E-2</v>
      </c>
      <c r="G1469" t="s">
        <v>2720</v>
      </c>
    </row>
    <row r="1470" spans="1:7" x14ac:dyDescent="0.25">
      <c r="A1470" s="4" t="str">
        <f>HYPERLINK("http://amigo.geneontology.org/cgi-bin/amigo/term-details.cgi?term=GO:0042054","GO:0042054")</f>
        <v>GO:0042054</v>
      </c>
      <c r="B1470" t="s">
        <v>1361</v>
      </c>
      <c r="C1470">
        <v>132</v>
      </c>
      <c r="D1470">
        <v>12</v>
      </c>
      <c r="E1470">
        <v>1.68258187513123E-2</v>
      </c>
      <c r="F1470">
        <v>5.0477456253936903E-2</v>
      </c>
      <c r="G1470" t="s">
        <v>2719</v>
      </c>
    </row>
    <row r="1471" spans="1:7" x14ac:dyDescent="0.25">
      <c r="A1471" s="4" t="str">
        <f>HYPERLINK("http://amigo.geneontology.org/cgi-bin/amigo/term-details.cgi?term=GO:0019208","GO:0019208")</f>
        <v>GO:0019208</v>
      </c>
      <c r="B1471" t="s">
        <v>811</v>
      </c>
      <c r="C1471">
        <v>46</v>
      </c>
      <c r="D1471">
        <v>6</v>
      </c>
      <c r="E1471">
        <v>1.6918283557780502E-2</v>
      </c>
      <c r="F1471">
        <v>5.0754850673341498E-2</v>
      </c>
      <c r="G1471" t="s">
        <v>1392</v>
      </c>
    </row>
    <row r="1472" spans="1:7" x14ac:dyDescent="0.25">
      <c r="A1472" s="4" t="str">
        <f>HYPERLINK("http://amigo.geneontology.org/cgi-bin/amigo/term-details.cgi?term=GO:0048464","GO:0048464")</f>
        <v>GO:0048464</v>
      </c>
      <c r="B1472" t="s">
        <v>2718</v>
      </c>
      <c r="C1472">
        <v>46</v>
      </c>
      <c r="D1472">
        <v>6</v>
      </c>
      <c r="E1472">
        <v>1.6918283557780502E-2</v>
      </c>
      <c r="F1472">
        <v>5.0754850673341498E-2</v>
      </c>
      <c r="G1472" t="s">
        <v>2716</v>
      </c>
    </row>
    <row r="1473" spans="1:7" x14ac:dyDescent="0.25">
      <c r="A1473" s="4" t="str">
        <f>HYPERLINK("http://amigo.geneontology.org/cgi-bin/amigo/term-details.cgi?term=GO:0048442","GO:0048442")</f>
        <v>GO:0048442</v>
      </c>
      <c r="B1473" t="s">
        <v>2717</v>
      </c>
      <c r="C1473">
        <v>46</v>
      </c>
      <c r="D1473">
        <v>6</v>
      </c>
      <c r="E1473">
        <v>1.6918283557780502E-2</v>
      </c>
      <c r="F1473">
        <v>5.0754850673341498E-2</v>
      </c>
      <c r="G1473" t="s">
        <v>2716</v>
      </c>
    </row>
    <row r="1474" spans="1:7" x14ac:dyDescent="0.25">
      <c r="A1474" s="4" t="str">
        <f>HYPERLINK("http://amigo.geneontology.org/cgi-bin/amigo/term-details.cgi?term=GO:0033043","GO:0033043")</f>
        <v>GO:0033043</v>
      </c>
      <c r="B1474" t="s">
        <v>2715</v>
      </c>
      <c r="C1474">
        <v>213</v>
      </c>
      <c r="D1474">
        <v>17</v>
      </c>
      <c r="E1474">
        <v>1.7286430647647E-2</v>
      </c>
      <c r="F1474">
        <v>5.1859291942941199E-2</v>
      </c>
      <c r="G1474" t="s">
        <v>2714</v>
      </c>
    </row>
    <row r="1475" spans="1:7" x14ac:dyDescent="0.25">
      <c r="A1475" s="4" t="str">
        <f>HYPERLINK("http://amigo.geneontology.org/cgi-bin/amigo/term-details.cgi?term=GO:0016796","GO:0016796")</f>
        <v>GO:0016796</v>
      </c>
      <c r="B1475" t="s">
        <v>450</v>
      </c>
      <c r="C1475">
        <v>34</v>
      </c>
      <c r="D1475">
        <v>5</v>
      </c>
      <c r="E1475">
        <v>1.7568750460917298E-2</v>
      </c>
      <c r="F1475">
        <v>5.2706251382751999E-2</v>
      </c>
      <c r="G1475" t="s">
        <v>2713</v>
      </c>
    </row>
    <row r="1476" spans="1:7" x14ac:dyDescent="0.25">
      <c r="A1476" s="4" t="str">
        <f>HYPERLINK("http://amigo.geneontology.org/cgi-bin/amigo/term-details.cgi?term=GO:0009755","GO:0009755")</f>
        <v>GO:0009755</v>
      </c>
      <c r="B1476" t="s">
        <v>1311</v>
      </c>
      <c r="C1476">
        <v>387</v>
      </c>
      <c r="D1476">
        <v>27</v>
      </c>
      <c r="E1476">
        <v>1.8164844413594301E-2</v>
      </c>
      <c r="F1476">
        <v>5.4494533240782898E-2</v>
      </c>
      <c r="G1476" t="s">
        <v>2494</v>
      </c>
    </row>
    <row r="1477" spans="1:7" x14ac:dyDescent="0.25">
      <c r="A1477" s="4" t="str">
        <f>HYPERLINK("http://amigo.geneontology.org/cgi-bin/amigo/term-details.cgi?term=GO:0009112","GO:0009112")</f>
        <v>GO:0009112</v>
      </c>
      <c r="B1477" t="s">
        <v>436</v>
      </c>
      <c r="C1477">
        <v>74</v>
      </c>
      <c r="D1477">
        <v>8</v>
      </c>
      <c r="E1477">
        <v>1.8489730551544601E-2</v>
      </c>
      <c r="F1477">
        <v>5.5469191654633897E-2</v>
      </c>
      <c r="G1477" t="s">
        <v>1108</v>
      </c>
    </row>
    <row r="1478" spans="1:7" x14ac:dyDescent="0.25">
      <c r="A1478" s="4" t="str">
        <f>HYPERLINK("http://amigo.geneontology.org/cgi-bin/amigo/term-details.cgi?term=GO:0009559","GO:0009559")</f>
        <v>GO:0009559</v>
      </c>
      <c r="B1478" t="s">
        <v>2712</v>
      </c>
      <c r="C1478">
        <v>23</v>
      </c>
      <c r="D1478">
        <v>4</v>
      </c>
      <c r="E1478">
        <v>1.8552373556302602E-2</v>
      </c>
      <c r="F1478">
        <v>5.5657120668907802E-2</v>
      </c>
      <c r="G1478" t="s">
        <v>2710</v>
      </c>
    </row>
    <row r="1479" spans="1:7" x14ac:dyDescent="0.25">
      <c r="A1479" s="4" t="str">
        <f>HYPERLINK("http://amigo.geneontology.org/cgi-bin/amigo/term-details.cgi?term=GO:0010197","GO:0010197")</f>
        <v>GO:0010197</v>
      </c>
      <c r="B1479" t="s">
        <v>2711</v>
      </c>
      <c r="C1479">
        <v>23</v>
      </c>
      <c r="D1479">
        <v>4</v>
      </c>
      <c r="E1479">
        <v>1.8552373556302602E-2</v>
      </c>
      <c r="F1479">
        <v>5.5657120668907802E-2</v>
      </c>
      <c r="G1479" t="s">
        <v>2710</v>
      </c>
    </row>
    <row r="1480" spans="1:7" x14ac:dyDescent="0.25">
      <c r="A1480" s="4" t="str">
        <f>HYPERLINK("http://amigo.geneontology.org/cgi-bin/amigo/term-details.cgi?term=GO:0004747","GO:0004747")</f>
        <v>GO:0004747</v>
      </c>
      <c r="B1480" t="s">
        <v>2709</v>
      </c>
      <c r="C1480">
        <v>23</v>
      </c>
      <c r="D1480">
        <v>4</v>
      </c>
      <c r="E1480">
        <v>1.8552373556302602E-2</v>
      </c>
      <c r="F1480">
        <v>5.5657120668907802E-2</v>
      </c>
      <c r="G1480" t="s">
        <v>2707</v>
      </c>
    </row>
    <row r="1481" spans="1:7" x14ac:dyDescent="0.25">
      <c r="A1481" s="4" t="str">
        <f>HYPERLINK("http://amigo.geneontology.org/cgi-bin/amigo/term-details.cgi?term=GO:0006014","GO:0006014")</f>
        <v>GO:0006014</v>
      </c>
      <c r="B1481" t="s">
        <v>2708</v>
      </c>
      <c r="C1481">
        <v>23</v>
      </c>
      <c r="D1481">
        <v>4</v>
      </c>
      <c r="E1481">
        <v>1.8552373556302602E-2</v>
      </c>
      <c r="F1481">
        <v>5.5657120668907802E-2</v>
      </c>
      <c r="G1481" t="s">
        <v>2707</v>
      </c>
    </row>
    <row r="1482" spans="1:7" x14ac:dyDescent="0.25">
      <c r="A1482" s="4" t="str">
        <f>HYPERLINK("http://amigo.geneontology.org/cgi-bin/amigo/term-details.cgi?term=GO:0010275","GO:0010275")</f>
        <v>GO:0010275</v>
      </c>
      <c r="B1482" t="s">
        <v>2706</v>
      </c>
      <c r="C1482">
        <v>5</v>
      </c>
      <c r="D1482">
        <v>2</v>
      </c>
      <c r="E1482">
        <v>1.8651672935757601E-2</v>
      </c>
      <c r="F1482">
        <v>5.5955018807272897E-2</v>
      </c>
      <c r="G1482" t="s">
        <v>2705</v>
      </c>
    </row>
    <row r="1483" spans="1:7" x14ac:dyDescent="0.25">
      <c r="A1483" s="4" t="str">
        <f>HYPERLINK("http://amigo.geneontology.org/cgi-bin/amigo/term-details.cgi?term=GO:0043487","GO:0043487")</f>
        <v>GO:0043487</v>
      </c>
      <c r="B1483" t="s">
        <v>2704</v>
      </c>
      <c r="C1483">
        <v>5</v>
      </c>
      <c r="D1483">
        <v>2</v>
      </c>
      <c r="E1483">
        <v>1.8651672935757601E-2</v>
      </c>
      <c r="F1483">
        <v>5.5955018807272897E-2</v>
      </c>
      <c r="G1483" t="s">
        <v>2584</v>
      </c>
    </row>
    <row r="1484" spans="1:7" x14ac:dyDescent="0.25">
      <c r="A1484" s="4" t="str">
        <f>HYPERLINK("http://amigo.geneontology.org/cgi-bin/amigo/term-details.cgi?term=GO:0061013","GO:0061013")</f>
        <v>GO:0061013</v>
      </c>
      <c r="B1484" t="s">
        <v>2703</v>
      </c>
      <c r="C1484">
        <v>5</v>
      </c>
      <c r="D1484">
        <v>2</v>
      </c>
      <c r="E1484">
        <v>1.8651672935757601E-2</v>
      </c>
      <c r="F1484">
        <v>5.5955018807272897E-2</v>
      </c>
      <c r="G1484" t="s">
        <v>2584</v>
      </c>
    </row>
    <row r="1485" spans="1:7" x14ac:dyDescent="0.25">
      <c r="A1485" s="4" t="str">
        <f>HYPERLINK("http://amigo.geneontology.org/cgi-bin/amigo/term-details.cgi?term=GO:0043488","GO:0043488")</f>
        <v>GO:0043488</v>
      </c>
      <c r="B1485" t="s">
        <v>2702</v>
      </c>
      <c r="C1485">
        <v>5</v>
      </c>
      <c r="D1485">
        <v>2</v>
      </c>
      <c r="E1485">
        <v>1.8651672935757601E-2</v>
      </c>
      <c r="F1485">
        <v>5.5955018807272897E-2</v>
      </c>
      <c r="G1485" t="s">
        <v>2584</v>
      </c>
    </row>
    <row r="1486" spans="1:7" x14ac:dyDescent="0.25">
      <c r="A1486" s="4" t="str">
        <f>HYPERLINK("http://amigo.geneontology.org/cgi-bin/amigo/term-details.cgi?term=GO:1902369","GO:1902369")</f>
        <v>GO:1902369</v>
      </c>
      <c r="B1486" t="s">
        <v>2701</v>
      </c>
      <c r="C1486">
        <v>5</v>
      </c>
      <c r="D1486">
        <v>2</v>
      </c>
      <c r="E1486">
        <v>1.8651672935757601E-2</v>
      </c>
      <c r="F1486">
        <v>5.5955018807272897E-2</v>
      </c>
      <c r="G1486" t="s">
        <v>2584</v>
      </c>
    </row>
    <row r="1487" spans="1:7" x14ac:dyDescent="0.25">
      <c r="A1487" s="4" t="str">
        <f>HYPERLINK("http://amigo.geneontology.org/cgi-bin/amigo/term-details.cgi?term=GO:0043489","GO:0043489")</f>
        <v>GO:0043489</v>
      </c>
      <c r="B1487" t="s">
        <v>2700</v>
      </c>
      <c r="C1487">
        <v>5</v>
      </c>
      <c r="D1487">
        <v>2</v>
      </c>
      <c r="E1487">
        <v>1.8651672935757601E-2</v>
      </c>
      <c r="F1487">
        <v>5.5955018807272897E-2</v>
      </c>
      <c r="G1487" t="s">
        <v>2584</v>
      </c>
    </row>
    <row r="1488" spans="1:7" x14ac:dyDescent="0.25">
      <c r="A1488" s="4" t="str">
        <f>HYPERLINK("http://amigo.geneontology.org/cgi-bin/amigo/term-details.cgi?term=GO:1903312","GO:1903312")</f>
        <v>GO:1903312</v>
      </c>
      <c r="B1488" t="s">
        <v>2699</v>
      </c>
      <c r="C1488">
        <v>5</v>
      </c>
      <c r="D1488">
        <v>2</v>
      </c>
      <c r="E1488">
        <v>1.8651672935757601E-2</v>
      </c>
      <c r="F1488">
        <v>5.5955018807272897E-2</v>
      </c>
      <c r="G1488" t="s">
        <v>2584</v>
      </c>
    </row>
    <row r="1489" spans="1:7" x14ac:dyDescent="0.25">
      <c r="A1489" s="4" t="str">
        <f>HYPERLINK("http://amigo.geneontology.org/cgi-bin/amigo/term-details.cgi?term=GO:1902373","GO:1902373")</f>
        <v>GO:1902373</v>
      </c>
      <c r="B1489" t="s">
        <v>2698</v>
      </c>
      <c r="C1489">
        <v>5</v>
      </c>
      <c r="D1489">
        <v>2</v>
      </c>
      <c r="E1489">
        <v>1.8651672935757601E-2</v>
      </c>
      <c r="F1489">
        <v>5.5955018807272897E-2</v>
      </c>
      <c r="G1489" t="s">
        <v>2584</v>
      </c>
    </row>
    <row r="1490" spans="1:7" x14ac:dyDescent="0.25">
      <c r="A1490" s="4" t="str">
        <f>HYPERLINK("http://amigo.geneontology.org/cgi-bin/amigo/term-details.cgi?term=GO:0048255","GO:0048255")</f>
        <v>GO:0048255</v>
      </c>
      <c r="B1490" t="s">
        <v>2697</v>
      </c>
      <c r="C1490">
        <v>5</v>
      </c>
      <c r="D1490">
        <v>2</v>
      </c>
      <c r="E1490">
        <v>1.8651672935757601E-2</v>
      </c>
      <c r="F1490">
        <v>5.5955018807272897E-2</v>
      </c>
      <c r="G1490" t="s">
        <v>2584</v>
      </c>
    </row>
    <row r="1491" spans="1:7" x14ac:dyDescent="0.25">
      <c r="A1491" s="4" t="str">
        <f>HYPERLINK("http://amigo.geneontology.org/cgi-bin/amigo/term-details.cgi?term=GO:0003825","GO:0003825")</f>
        <v>GO:0003825</v>
      </c>
      <c r="B1491" t="s">
        <v>1398</v>
      </c>
      <c r="C1491">
        <v>5</v>
      </c>
      <c r="D1491">
        <v>2</v>
      </c>
      <c r="E1491">
        <v>1.8651672935757601E-2</v>
      </c>
      <c r="F1491">
        <v>5.5955018807272897E-2</v>
      </c>
      <c r="G1491" t="s">
        <v>1397</v>
      </c>
    </row>
    <row r="1492" spans="1:7" x14ac:dyDescent="0.25">
      <c r="A1492" s="4" t="str">
        <f>HYPERLINK("http://amigo.geneontology.org/cgi-bin/amigo/term-details.cgi?term=GO:0055081","GO:0055081")</f>
        <v>GO:0055081</v>
      </c>
      <c r="B1492" t="s">
        <v>2696</v>
      </c>
      <c r="C1492">
        <v>5</v>
      </c>
      <c r="D1492">
        <v>2</v>
      </c>
      <c r="E1492">
        <v>1.8651672935757601E-2</v>
      </c>
      <c r="F1492">
        <v>5.5955018807272897E-2</v>
      </c>
      <c r="G1492" t="s">
        <v>2695</v>
      </c>
    </row>
    <row r="1493" spans="1:7" x14ac:dyDescent="0.25">
      <c r="A1493" s="4" t="str">
        <f>HYPERLINK("http://amigo.geneontology.org/cgi-bin/amigo/term-details.cgi?term=GO:0000270","GO:0000270")</f>
        <v>GO:0000270</v>
      </c>
      <c r="B1493" t="s">
        <v>2694</v>
      </c>
      <c r="C1493">
        <v>5</v>
      </c>
      <c r="D1493">
        <v>2</v>
      </c>
      <c r="E1493">
        <v>1.8651672935757601E-2</v>
      </c>
      <c r="F1493">
        <v>5.5955018807272897E-2</v>
      </c>
      <c r="G1493" t="s">
        <v>1369</v>
      </c>
    </row>
    <row r="1494" spans="1:7" x14ac:dyDescent="0.25">
      <c r="A1494" s="4" t="str">
        <f>HYPERLINK("http://amigo.geneontology.org/cgi-bin/amigo/term-details.cgi?term=GO:0009273","GO:0009273")</f>
        <v>GO:0009273</v>
      </c>
      <c r="B1494" t="s">
        <v>2693</v>
      </c>
      <c r="C1494">
        <v>5</v>
      </c>
      <c r="D1494">
        <v>2</v>
      </c>
      <c r="E1494">
        <v>1.8651672935757601E-2</v>
      </c>
      <c r="F1494">
        <v>5.5955018807272897E-2</v>
      </c>
      <c r="G1494" t="s">
        <v>1369</v>
      </c>
    </row>
    <row r="1495" spans="1:7" x14ac:dyDescent="0.25">
      <c r="A1495" s="4" t="str">
        <f>HYPERLINK("http://amigo.geneontology.org/cgi-bin/amigo/term-details.cgi?term=GO:0009252","GO:0009252")</f>
        <v>GO:0009252</v>
      </c>
      <c r="B1495" t="s">
        <v>2692</v>
      </c>
      <c r="C1495">
        <v>5</v>
      </c>
      <c r="D1495">
        <v>2</v>
      </c>
      <c r="E1495">
        <v>1.8651672935757601E-2</v>
      </c>
      <c r="F1495">
        <v>5.5955018807272897E-2</v>
      </c>
      <c r="G1495" t="s">
        <v>1369</v>
      </c>
    </row>
    <row r="1496" spans="1:7" x14ac:dyDescent="0.25">
      <c r="A1496" s="4" t="str">
        <f>HYPERLINK("http://amigo.geneontology.org/cgi-bin/amigo/term-details.cgi?term=GO:0046246","GO:0046246")</f>
        <v>GO:0046246</v>
      </c>
      <c r="B1496" t="s">
        <v>2691</v>
      </c>
      <c r="C1496">
        <v>5</v>
      </c>
      <c r="D1496">
        <v>2</v>
      </c>
      <c r="E1496">
        <v>1.8651672935757601E-2</v>
      </c>
      <c r="F1496">
        <v>5.5955018807272897E-2</v>
      </c>
      <c r="G1496" t="s">
        <v>2504</v>
      </c>
    </row>
    <row r="1497" spans="1:7" x14ac:dyDescent="0.25">
      <c r="A1497" s="4" t="str">
        <f>HYPERLINK("http://amigo.geneontology.org/cgi-bin/amigo/term-details.cgi?term=GO:0010088","GO:0010088")</f>
        <v>GO:0010088</v>
      </c>
      <c r="B1497" t="s">
        <v>2690</v>
      </c>
      <c r="C1497">
        <v>5</v>
      </c>
      <c r="D1497">
        <v>2</v>
      </c>
      <c r="E1497">
        <v>1.8651672935757601E-2</v>
      </c>
      <c r="F1497">
        <v>5.5955018807272897E-2</v>
      </c>
      <c r="G1497" t="s">
        <v>2688</v>
      </c>
    </row>
    <row r="1498" spans="1:7" x14ac:dyDescent="0.25">
      <c r="A1498" s="4" t="str">
        <f>HYPERLINK("http://amigo.geneontology.org/cgi-bin/amigo/term-details.cgi?term=GO:0005326","GO:0005326")</f>
        <v>GO:0005326</v>
      </c>
      <c r="B1498" t="s">
        <v>2689</v>
      </c>
      <c r="C1498">
        <v>5</v>
      </c>
      <c r="D1498">
        <v>2</v>
      </c>
      <c r="E1498">
        <v>1.8651672935757601E-2</v>
      </c>
      <c r="F1498">
        <v>5.5955018807272897E-2</v>
      </c>
      <c r="G1498" t="s">
        <v>2688</v>
      </c>
    </row>
    <row r="1499" spans="1:7" x14ac:dyDescent="0.25">
      <c r="A1499" s="4" t="str">
        <f>HYPERLINK("http://amigo.geneontology.org/cgi-bin/amigo/term-details.cgi?term=GO:0009662","GO:0009662")</f>
        <v>GO:0009662</v>
      </c>
      <c r="B1499" t="s">
        <v>2687</v>
      </c>
      <c r="C1499">
        <v>5</v>
      </c>
      <c r="D1499">
        <v>2</v>
      </c>
      <c r="E1499">
        <v>1.8651672935757601E-2</v>
      </c>
      <c r="F1499">
        <v>5.5955018807272897E-2</v>
      </c>
      <c r="G1499" t="s">
        <v>2686</v>
      </c>
    </row>
    <row r="1500" spans="1:7" x14ac:dyDescent="0.25">
      <c r="A1500" s="4" t="str">
        <f>HYPERLINK("http://amigo.geneontology.org/cgi-bin/amigo/term-details.cgi?term=GO:0015136","GO:0015136")</f>
        <v>GO:0015136</v>
      </c>
      <c r="B1500" t="s">
        <v>2685</v>
      </c>
      <c r="C1500">
        <v>5</v>
      </c>
      <c r="D1500">
        <v>2</v>
      </c>
      <c r="E1500">
        <v>1.8651672935757601E-2</v>
      </c>
      <c r="F1500">
        <v>5.5955018807272897E-2</v>
      </c>
      <c r="G1500" t="s">
        <v>2683</v>
      </c>
    </row>
    <row r="1501" spans="1:7" x14ac:dyDescent="0.25">
      <c r="A1501" s="4" t="str">
        <f>HYPERLINK("http://amigo.geneontology.org/cgi-bin/amigo/term-details.cgi?term=GO:0015739","GO:0015739")</f>
        <v>GO:0015739</v>
      </c>
      <c r="B1501" t="s">
        <v>2684</v>
      </c>
      <c r="C1501">
        <v>5</v>
      </c>
      <c r="D1501">
        <v>2</v>
      </c>
      <c r="E1501">
        <v>1.8651672935757601E-2</v>
      </c>
      <c r="F1501">
        <v>5.5955018807272897E-2</v>
      </c>
      <c r="G1501" t="s">
        <v>2683</v>
      </c>
    </row>
    <row r="1502" spans="1:7" x14ac:dyDescent="0.25">
      <c r="A1502" s="4" t="str">
        <f>HYPERLINK("http://amigo.geneontology.org/cgi-bin/amigo/term-details.cgi?term=GO:0009854","GO:0009854")</f>
        <v>GO:0009854</v>
      </c>
      <c r="B1502" t="s">
        <v>2682</v>
      </c>
      <c r="C1502">
        <v>5</v>
      </c>
      <c r="D1502">
        <v>2</v>
      </c>
      <c r="E1502">
        <v>1.8651672935757601E-2</v>
      </c>
      <c r="F1502">
        <v>5.5955018807272897E-2</v>
      </c>
      <c r="G1502" t="s">
        <v>2681</v>
      </c>
    </row>
    <row r="1503" spans="1:7" x14ac:dyDescent="0.25">
      <c r="A1503" s="4" t="str">
        <f>HYPERLINK("http://amigo.geneontology.org/cgi-bin/amigo/term-details.cgi?term=GO:0000026","GO:0000026")</f>
        <v>GO:0000026</v>
      </c>
      <c r="B1503" t="s">
        <v>2680</v>
      </c>
      <c r="C1503">
        <v>5</v>
      </c>
      <c r="D1503">
        <v>2</v>
      </c>
      <c r="E1503">
        <v>1.8651672935757601E-2</v>
      </c>
      <c r="F1503">
        <v>5.5955018807272897E-2</v>
      </c>
      <c r="G1503" t="s">
        <v>2679</v>
      </c>
    </row>
    <row r="1504" spans="1:7" x14ac:dyDescent="0.25">
      <c r="A1504" s="4" t="str">
        <f>HYPERLINK("http://amigo.geneontology.org/cgi-bin/amigo/term-details.cgi?term=GO:0030641","GO:0030641")</f>
        <v>GO:0030641</v>
      </c>
      <c r="B1504" t="s">
        <v>2678</v>
      </c>
      <c r="C1504">
        <v>5</v>
      </c>
      <c r="D1504">
        <v>2</v>
      </c>
      <c r="E1504">
        <v>1.8651672935757601E-2</v>
      </c>
      <c r="F1504">
        <v>5.5955018807272897E-2</v>
      </c>
      <c r="G1504" t="s">
        <v>2676</v>
      </c>
    </row>
    <row r="1505" spans="1:7" x14ac:dyDescent="0.25">
      <c r="A1505" s="4" t="str">
        <f>HYPERLINK("http://amigo.geneontology.org/cgi-bin/amigo/term-details.cgi?term=GO:0051453","GO:0051453")</f>
        <v>GO:0051453</v>
      </c>
      <c r="B1505" t="s">
        <v>2677</v>
      </c>
      <c r="C1505">
        <v>5</v>
      </c>
      <c r="D1505">
        <v>2</v>
      </c>
      <c r="E1505">
        <v>1.8651672935757601E-2</v>
      </c>
      <c r="F1505">
        <v>5.5955018807272897E-2</v>
      </c>
      <c r="G1505" t="s">
        <v>2676</v>
      </c>
    </row>
    <row r="1506" spans="1:7" x14ac:dyDescent="0.25">
      <c r="A1506" s="4" t="str">
        <f>HYPERLINK("http://amigo.geneontology.org/cgi-bin/amigo/term-details.cgi?term=GO:0010115","GO:0010115")</f>
        <v>GO:0010115</v>
      </c>
      <c r="B1506" t="s">
        <v>2675</v>
      </c>
      <c r="C1506">
        <v>5</v>
      </c>
      <c r="D1506">
        <v>2</v>
      </c>
      <c r="E1506">
        <v>1.8651672935757601E-2</v>
      </c>
      <c r="F1506">
        <v>5.5955018807272897E-2</v>
      </c>
      <c r="G1506" t="s">
        <v>2343</v>
      </c>
    </row>
    <row r="1507" spans="1:7" x14ac:dyDescent="0.25">
      <c r="A1507" s="4" t="str">
        <f>HYPERLINK("http://amigo.geneontology.org/cgi-bin/amigo/term-details.cgi?term=GO:0045834","GO:0045834")</f>
        <v>GO:0045834</v>
      </c>
      <c r="B1507" t="s">
        <v>2674</v>
      </c>
      <c r="C1507">
        <v>5</v>
      </c>
      <c r="D1507">
        <v>2</v>
      </c>
      <c r="E1507">
        <v>1.8651672935757601E-2</v>
      </c>
      <c r="F1507">
        <v>5.5955018807272897E-2</v>
      </c>
      <c r="G1507" t="s">
        <v>2671</v>
      </c>
    </row>
    <row r="1508" spans="1:7" x14ac:dyDescent="0.25">
      <c r="A1508" s="4" t="str">
        <f>HYPERLINK("http://amigo.geneontology.org/cgi-bin/amigo/term-details.cgi?term=GO:0045828","GO:0045828")</f>
        <v>GO:0045828</v>
      </c>
      <c r="B1508" t="s">
        <v>2673</v>
      </c>
      <c r="C1508">
        <v>5</v>
      </c>
      <c r="D1508">
        <v>2</v>
      </c>
      <c r="E1508">
        <v>1.8651672935757601E-2</v>
      </c>
      <c r="F1508">
        <v>5.5955018807272897E-2</v>
      </c>
      <c r="G1508" t="s">
        <v>2671</v>
      </c>
    </row>
    <row r="1509" spans="1:7" x14ac:dyDescent="0.25">
      <c r="A1509" s="4" t="str">
        <f>HYPERLINK("http://amigo.geneontology.org/cgi-bin/amigo/term-details.cgi?term=GO:0046889","GO:0046889")</f>
        <v>GO:0046889</v>
      </c>
      <c r="B1509" t="s">
        <v>2672</v>
      </c>
      <c r="C1509">
        <v>5</v>
      </c>
      <c r="D1509">
        <v>2</v>
      </c>
      <c r="E1509">
        <v>1.8651672935757601E-2</v>
      </c>
      <c r="F1509">
        <v>5.5955018807272897E-2</v>
      </c>
      <c r="G1509" t="s">
        <v>2671</v>
      </c>
    </row>
    <row r="1510" spans="1:7" x14ac:dyDescent="0.25">
      <c r="A1510" s="4" t="str">
        <f>HYPERLINK("http://amigo.geneontology.org/cgi-bin/amigo/term-details.cgi?term=GO:0009959","GO:0009959")</f>
        <v>GO:0009959</v>
      </c>
      <c r="B1510" t="s">
        <v>2670</v>
      </c>
      <c r="C1510">
        <v>5</v>
      </c>
      <c r="D1510">
        <v>2</v>
      </c>
      <c r="E1510">
        <v>1.8651672935757601E-2</v>
      </c>
      <c r="F1510">
        <v>5.5955018807272897E-2</v>
      </c>
      <c r="G1510" t="s">
        <v>2669</v>
      </c>
    </row>
    <row r="1511" spans="1:7" x14ac:dyDescent="0.25">
      <c r="A1511" s="4" t="str">
        <f>HYPERLINK("http://amigo.geneontology.org/cgi-bin/amigo/term-details.cgi?term=GO:0007007","GO:0007007")</f>
        <v>GO:0007007</v>
      </c>
      <c r="B1511" t="s">
        <v>2668</v>
      </c>
      <c r="C1511">
        <v>5</v>
      </c>
      <c r="D1511">
        <v>2</v>
      </c>
      <c r="E1511">
        <v>1.8651672935757601E-2</v>
      </c>
      <c r="F1511">
        <v>5.5955018807272897E-2</v>
      </c>
      <c r="G1511" t="s">
        <v>2667</v>
      </c>
    </row>
    <row r="1512" spans="1:7" x14ac:dyDescent="0.25">
      <c r="A1512" s="4" t="str">
        <f>HYPERLINK("http://amigo.geneontology.org/cgi-bin/amigo/term-details.cgi?term=GO:0090568","GO:0090568")</f>
        <v>GO:0090568</v>
      </c>
      <c r="B1512" t="s">
        <v>2666</v>
      </c>
      <c r="C1512">
        <v>5</v>
      </c>
      <c r="D1512">
        <v>2</v>
      </c>
      <c r="E1512">
        <v>1.8651672935757601E-2</v>
      </c>
      <c r="F1512">
        <v>5.5955018807272897E-2</v>
      </c>
      <c r="G1512" t="s">
        <v>2665</v>
      </c>
    </row>
    <row r="1513" spans="1:7" x14ac:dyDescent="0.25">
      <c r="A1513" s="4" t="str">
        <f>HYPERLINK("http://amigo.geneontology.org/cgi-bin/amigo/term-details.cgi?term=GO:0000210","GO:0000210")</f>
        <v>GO:0000210</v>
      </c>
      <c r="B1513" t="s">
        <v>2664</v>
      </c>
      <c r="C1513">
        <v>5</v>
      </c>
      <c r="D1513">
        <v>2</v>
      </c>
      <c r="E1513">
        <v>1.8651672935757601E-2</v>
      </c>
      <c r="F1513">
        <v>5.5955018807272897E-2</v>
      </c>
      <c r="G1513" t="s">
        <v>2662</v>
      </c>
    </row>
    <row r="1514" spans="1:7" x14ac:dyDescent="0.25">
      <c r="A1514" s="4" t="str">
        <f>HYPERLINK("http://amigo.geneontology.org/cgi-bin/amigo/term-details.cgi?term=GO:0047631","GO:0047631")</f>
        <v>GO:0047631</v>
      </c>
      <c r="B1514" t="s">
        <v>2663</v>
      </c>
      <c r="C1514">
        <v>5</v>
      </c>
      <c r="D1514">
        <v>2</v>
      </c>
      <c r="E1514">
        <v>1.8651672935757601E-2</v>
      </c>
      <c r="F1514">
        <v>5.5955018807272897E-2</v>
      </c>
      <c r="G1514" t="s">
        <v>2662</v>
      </c>
    </row>
    <row r="1515" spans="1:7" x14ac:dyDescent="0.25">
      <c r="A1515" s="4" t="str">
        <f>HYPERLINK("http://amigo.geneontology.org/cgi-bin/amigo/term-details.cgi?term=GO:1904949","GO:1904949")</f>
        <v>GO:1904949</v>
      </c>
      <c r="B1515" t="s">
        <v>2661</v>
      </c>
      <c r="C1515">
        <v>47</v>
      </c>
      <c r="D1515">
        <v>6</v>
      </c>
      <c r="E1515">
        <v>1.8672573889406099E-2</v>
      </c>
      <c r="F1515">
        <v>5.60177216682183E-2</v>
      </c>
      <c r="G1515" t="s">
        <v>2660</v>
      </c>
    </row>
    <row r="1516" spans="1:7" x14ac:dyDescent="0.25">
      <c r="A1516" s="4" t="str">
        <f>HYPERLINK("http://amigo.geneontology.org/cgi-bin/amigo/term-details.cgi?term=GO:0031425","GO:0031425")</f>
        <v>GO:0031425</v>
      </c>
      <c r="B1516" t="s">
        <v>2659</v>
      </c>
      <c r="C1516">
        <v>13</v>
      </c>
      <c r="D1516">
        <v>3</v>
      </c>
      <c r="E1516">
        <v>1.87818360822051E-2</v>
      </c>
      <c r="F1516">
        <v>3.75636721644102E-2</v>
      </c>
      <c r="G1516" t="s">
        <v>2658</v>
      </c>
    </row>
    <row r="1517" spans="1:7" x14ac:dyDescent="0.25">
      <c r="A1517" s="4" t="str">
        <f>HYPERLINK("http://amigo.geneontology.org/cgi-bin/amigo/term-details.cgi?term=GO:0009011","GO:0009011")</f>
        <v>GO:0009011</v>
      </c>
      <c r="B1517" t="s">
        <v>2657</v>
      </c>
      <c r="C1517">
        <v>13</v>
      </c>
      <c r="D1517">
        <v>3</v>
      </c>
      <c r="E1517">
        <v>1.87818360822051E-2</v>
      </c>
      <c r="F1517">
        <v>3.75636721644102E-2</v>
      </c>
      <c r="G1517" t="s">
        <v>2656</v>
      </c>
    </row>
    <row r="1518" spans="1:7" x14ac:dyDescent="0.25">
      <c r="A1518" s="4" t="str">
        <f>HYPERLINK("http://amigo.geneontology.org/cgi-bin/amigo/term-details.cgi?term=GO:0004133","GO:0004133")</f>
        <v>GO:0004133</v>
      </c>
      <c r="B1518" t="s">
        <v>844</v>
      </c>
      <c r="C1518">
        <v>13</v>
      </c>
      <c r="D1518">
        <v>3</v>
      </c>
      <c r="E1518">
        <v>1.87818360822051E-2</v>
      </c>
      <c r="F1518">
        <v>3.75636721644102E-2</v>
      </c>
      <c r="G1518" t="s">
        <v>617</v>
      </c>
    </row>
    <row r="1519" spans="1:7" x14ac:dyDescent="0.25">
      <c r="A1519" s="4" t="str">
        <f>HYPERLINK("http://amigo.geneontology.org/cgi-bin/amigo/term-details.cgi?term=GO:0046352","GO:0046352")</f>
        <v>GO:0046352</v>
      </c>
      <c r="B1519" t="s">
        <v>1642</v>
      </c>
      <c r="C1519">
        <v>13</v>
      </c>
      <c r="D1519">
        <v>3</v>
      </c>
      <c r="E1519">
        <v>1.87818360822051E-2</v>
      </c>
      <c r="F1519">
        <v>3.75636721644102E-2</v>
      </c>
      <c r="G1519" t="s">
        <v>617</v>
      </c>
    </row>
    <row r="1520" spans="1:7" x14ac:dyDescent="0.25">
      <c r="A1520" s="4" t="str">
        <f>HYPERLINK("http://amigo.geneontology.org/cgi-bin/amigo/term-details.cgi?term=GO:0008373","GO:0008373")</f>
        <v>GO:0008373</v>
      </c>
      <c r="B1520" t="s">
        <v>1056</v>
      </c>
      <c r="C1520">
        <v>13</v>
      </c>
      <c r="D1520">
        <v>3</v>
      </c>
      <c r="E1520">
        <v>1.87818360822051E-2</v>
      </c>
      <c r="F1520">
        <v>3.75636721644102E-2</v>
      </c>
      <c r="G1520" t="s">
        <v>1055</v>
      </c>
    </row>
    <row r="1521" spans="1:7" x14ac:dyDescent="0.25">
      <c r="A1521" s="4" t="str">
        <f>HYPERLINK("http://amigo.geneontology.org/cgi-bin/amigo/term-details.cgi?term=GO:0016882","GO:0016882")</f>
        <v>GO:0016882</v>
      </c>
      <c r="B1521" t="s">
        <v>2655</v>
      </c>
      <c r="C1521">
        <v>13</v>
      </c>
      <c r="D1521">
        <v>3</v>
      </c>
      <c r="E1521">
        <v>1.87818360822051E-2</v>
      </c>
      <c r="F1521">
        <v>3.75636721644102E-2</v>
      </c>
      <c r="G1521" t="s">
        <v>2654</v>
      </c>
    </row>
    <row r="1522" spans="1:7" x14ac:dyDescent="0.25">
      <c r="A1522" s="4" t="str">
        <f>HYPERLINK("http://amigo.geneontology.org/cgi-bin/amigo/term-details.cgi?term=GO:0042644","GO:0042644")</f>
        <v>GO:0042644</v>
      </c>
      <c r="B1522" t="s">
        <v>2653</v>
      </c>
      <c r="C1522">
        <v>13</v>
      </c>
      <c r="D1522">
        <v>3</v>
      </c>
      <c r="E1522">
        <v>1.87818360822051E-2</v>
      </c>
      <c r="F1522">
        <v>3.75636721644102E-2</v>
      </c>
      <c r="G1522" t="s">
        <v>2652</v>
      </c>
    </row>
    <row r="1523" spans="1:7" x14ac:dyDescent="0.25">
      <c r="A1523" s="4" t="str">
        <f>HYPERLINK("http://amigo.geneontology.org/cgi-bin/amigo/term-details.cgi?term=GO:0000275","GO:0000275")</f>
        <v>GO:0000275</v>
      </c>
      <c r="B1523" t="s">
        <v>2651</v>
      </c>
      <c r="C1523">
        <v>13</v>
      </c>
      <c r="D1523">
        <v>3</v>
      </c>
      <c r="E1523">
        <v>1.87818360822051E-2</v>
      </c>
      <c r="F1523">
        <v>3.75636721644102E-2</v>
      </c>
      <c r="G1523" t="s">
        <v>2650</v>
      </c>
    </row>
    <row r="1524" spans="1:7" x14ac:dyDescent="0.25">
      <c r="A1524" s="4" t="str">
        <f>HYPERLINK("http://amigo.geneontology.org/cgi-bin/amigo/term-details.cgi?term=GO:0006001","GO:0006001")</f>
        <v>GO:0006001</v>
      </c>
      <c r="B1524" t="s">
        <v>2649</v>
      </c>
      <c r="C1524">
        <v>13</v>
      </c>
      <c r="D1524">
        <v>3</v>
      </c>
      <c r="E1524">
        <v>1.87818360822051E-2</v>
      </c>
      <c r="F1524">
        <v>3.75636721644102E-2</v>
      </c>
      <c r="G1524" t="s">
        <v>1052</v>
      </c>
    </row>
    <row r="1525" spans="1:7" x14ac:dyDescent="0.25">
      <c r="A1525" s="4" t="str">
        <f>HYPERLINK("http://amigo.geneontology.org/cgi-bin/amigo/term-details.cgi?term=GO:0010166","GO:0010166")</f>
        <v>GO:0010166</v>
      </c>
      <c r="B1525" t="s">
        <v>2648</v>
      </c>
      <c r="C1525">
        <v>13</v>
      </c>
      <c r="D1525">
        <v>3</v>
      </c>
      <c r="E1525">
        <v>1.87818360822051E-2</v>
      </c>
      <c r="F1525">
        <v>3.75636721644102E-2</v>
      </c>
      <c r="G1525" t="s">
        <v>2363</v>
      </c>
    </row>
    <row r="1526" spans="1:7" x14ac:dyDescent="0.25">
      <c r="A1526" s="4" t="str">
        <f>HYPERLINK("http://amigo.geneontology.org/cgi-bin/amigo/term-details.cgi?term=GO:0010025","GO:0010025")</f>
        <v>GO:0010025</v>
      </c>
      <c r="B1526" t="s">
        <v>2647</v>
      </c>
      <c r="C1526">
        <v>13</v>
      </c>
      <c r="D1526">
        <v>3</v>
      </c>
      <c r="E1526">
        <v>1.87818360822051E-2</v>
      </c>
      <c r="F1526">
        <v>3.75636721644102E-2</v>
      </c>
      <c r="G1526" t="s">
        <v>2363</v>
      </c>
    </row>
    <row r="1527" spans="1:7" x14ac:dyDescent="0.25">
      <c r="A1527" s="4" t="str">
        <f>HYPERLINK("http://amigo.geneontology.org/cgi-bin/amigo/term-details.cgi?term=GO:0015698","GO:0015698")</f>
        <v>GO:0015698</v>
      </c>
      <c r="B1527" t="s">
        <v>467</v>
      </c>
      <c r="C1527">
        <v>199</v>
      </c>
      <c r="D1527">
        <v>16</v>
      </c>
      <c r="E1527">
        <v>1.92361403274946E-2</v>
      </c>
      <c r="F1527">
        <v>3.8472280654989303E-2</v>
      </c>
      <c r="G1527" t="s">
        <v>2646</v>
      </c>
    </row>
    <row r="1528" spans="1:7" x14ac:dyDescent="0.25">
      <c r="A1528" s="4" t="str">
        <f>HYPERLINK("http://amigo.geneontology.org/cgi-bin/amigo/term-details.cgi?term=GO:0051020","GO:0051020")</f>
        <v>GO:0051020</v>
      </c>
      <c r="B1528" t="s">
        <v>2645</v>
      </c>
      <c r="C1528">
        <v>135</v>
      </c>
      <c r="D1528">
        <v>12</v>
      </c>
      <c r="E1528">
        <v>1.9737504140843E-2</v>
      </c>
      <c r="F1528">
        <v>3.9475008281686E-2</v>
      </c>
      <c r="G1528" t="s">
        <v>2644</v>
      </c>
    </row>
    <row r="1529" spans="1:7" x14ac:dyDescent="0.25">
      <c r="A1529" s="4" t="str">
        <f>HYPERLINK("http://amigo.geneontology.org/cgi-bin/amigo/term-details.cgi?term=GO:0048465","GO:0048465")</f>
        <v>GO:0048465</v>
      </c>
      <c r="B1529" t="s">
        <v>2643</v>
      </c>
      <c r="C1529">
        <v>61</v>
      </c>
      <c r="D1529">
        <v>7</v>
      </c>
      <c r="E1529">
        <v>1.9857861495927099E-2</v>
      </c>
      <c r="F1529">
        <v>3.9715722991854198E-2</v>
      </c>
      <c r="G1529" t="s">
        <v>2641</v>
      </c>
    </row>
    <row r="1530" spans="1:7" x14ac:dyDescent="0.25">
      <c r="A1530" s="4" t="str">
        <f>HYPERLINK("http://amigo.geneontology.org/cgi-bin/amigo/term-details.cgi?term=GO:0048441","GO:0048441")</f>
        <v>GO:0048441</v>
      </c>
      <c r="B1530" t="s">
        <v>2642</v>
      </c>
      <c r="C1530">
        <v>61</v>
      </c>
      <c r="D1530">
        <v>7</v>
      </c>
      <c r="E1530">
        <v>1.9857861495927099E-2</v>
      </c>
      <c r="F1530">
        <v>3.9715722991854198E-2</v>
      </c>
      <c r="G1530" t="s">
        <v>2641</v>
      </c>
    </row>
    <row r="1531" spans="1:7" x14ac:dyDescent="0.25">
      <c r="A1531" s="4" t="str">
        <f>HYPERLINK("http://amigo.geneontology.org/cgi-bin/amigo/term-details.cgi?term=GO:0042023","GO:0042023")</f>
        <v>GO:0042023</v>
      </c>
      <c r="B1531" t="s">
        <v>2640</v>
      </c>
      <c r="C1531">
        <v>61</v>
      </c>
      <c r="D1531">
        <v>7</v>
      </c>
      <c r="E1531">
        <v>1.9857861495927099E-2</v>
      </c>
      <c r="F1531">
        <v>3.9715722991854198E-2</v>
      </c>
      <c r="G1531" t="s">
        <v>2543</v>
      </c>
    </row>
    <row r="1532" spans="1:7" x14ac:dyDescent="0.25">
      <c r="A1532" s="4" t="str">
        <f>HYPERLINK("http://amigo.geneontology.org/cgi-bin/amigo/term-details.cgi?term=GO:0070972","GO:0070972")</f>
        <v>GO:0070972</v>
      </c>
      <c r="B1532" t="s">
        <v>621</v>
      </c>
      <c r="C1532">
        <v>75</v>
      </c>
      <c r="D1532">
        <v>8</v>
      </c>
      <c r="E1532">
        <v>1.9902679135910799E-2</v>
      </c>
      <c r="F1532">
        <v>3.9805358271821599E-2</v>
      </c>
      <c r="G1532" t="s">
        <v>620</v>
      </c>
    </row>
    <row r="1533" spans="1:7" x14ac:dyDescent="0.25">
      <c r="A1533" s="4" t="str">
        <f>HYPERLINK("http://amigo.geneontology.org/cgi-bin/amigo/term-details.cgi?term=GO:0043572","GO:0043572")</f>
        <v>GO:0043572</v>
      </c>
      <c r="B1533" t="s">
        <v>2639</v>
      </c>
      <c r="C1533">
        <v>24</v>
      </c>
      <c r="D1533">
        <v>4</v>
      </c>
      <c r="E1533">
        <v>2.1483928949149099E-2</v>
      </c>
      <c r="F1533">
        <v>4.2967857898298198E-2</v>
      </c>
      <c r="G1533" t="s">
        <v>2638</v>
      </c>
    </row>
    <row r="1534" spans="1:7" x14ac:dyDescent="0.25">
      <c r="A1534" s="4" t="str">
        <f>HYPERLINK("http://amigo.geneontology.org/cgi-bin/amigo/term-details.cgi?term=GO:0008361","GO:0008361")</f>
        <v>GO:0008361</v>
      </c>
      <c r="B1534" t="s">
        <v>2637</v>
      </c>
      <c r="C1534">
        <v>24</v>
      </c>
      <c r="D1534">
        <v>4</v>
      </c>
      <c r="E1534">
        <v>2.1483928949149099E-2</v>
      </c>
      <c r="F1534">
        <v>4.2967857898298198E-2</v>
      </c>
      <c r="G1534" t="s">
        <v>2636</v>
      </c>
    </row>
    <row r="1535" spans="1:7" x14ac:dyDescent="0.25">
      <c r="A1535" s="4" t="str">
        <f>HYPERLINK("http://amigo.geneontology.org/cgi-bin/amigo/term-details.cgi?term=GO:0016192","GO:0016192")</f>
        <v>GO:0016192</v>
      </c>
      <c r="B1535" t="s">
        <v>75</v>
      </c>
      <c r="C1535">
        <v>802</v>
      </c>
      <c r="D1535">
        <v>49</v>
      </c>
      <c r="E1535">
        <v>2.1824515005141602E-2</v>
      </c>
      <c r="F1535">
        <v>4.3649030010283203E-2</v>
      </c>
      <c r="G1535" t="s">
        <v>2635</v>
      </c>
    </row>
    <row r="1536" spans="1:7" x14ac:dyDescent="0.25">
      <c r="A1536" s="4" t="str">
        <f>HYPERLINK("http://amigo.geneontology.org/cgi-bin/amigo/term-details.cgi?term=GO:0044877","GO:0044877")</f>
        <v>GO:0044877</v>
      </c>
      <c r="B1536" t="s">
        <v>824</v>
      </c>
      <c r="C1536">
        <v>137</v>
      </c>
      <c r="D1536">
        <v>12</v>
      </c>
      <c r="E1536">
        <v>2.1876843461568599E-2</v>
      </c>
      <c r="F1536">
        <v>4.3753686923137199E-2</v>
      </c>
      <c r="G1536" t="s">
        <v>2634</v>
      </c>
    </row>
    <row r="1537" spans="1:7" x14ac:dyDescent="0.25">
      <c r="A1537" s="4" t="str">
        <f>HYPERLINK("http://amigo.geneontology.org/cgi-bin/amigo/term-details.cgi?term=GO:0009057","GO:0009057")</f>
        <v>GO:0009057</v>
      </c>
      <c r="B1537" t="s">
        <v>2633</v>
      </c>
      <c r="C1537">
        <v>1228</v>
      </c>
      <c r="D1537">
        <v>71</v>
      </c>
      <c r="E1537">
        <v>2.1979360358522399E-2</v>
      </c>
      <c r="F1537">
        <v>4.3958720717044902E-2</v>
      </c>
      <c r="G1537" t="s">
        <v>2632</v>
      </c>
    </row>
    <row r="1538" spans="1:7" x14ac:dyDescent="0.25">
      <c r="A1538" s="4" t="str">
        <f>HYPERLINK("http://amigo.geneontology.org/cgi-bin/amigo/term-details.cgi?term=GO:0016758","GO:0016758")</f>
        <v>GO:0016758</v>
      </c>
      <c r="B1538" t="s">
        <v>357</v>
      </c>
      <c r="C1538">
        <v>1783</v>
      </c>
      <c r="D1538">
        <v>99</v>
      </c>
      <c r="E1538">
        <v>2.20262984358718E-2</v>
      </c>
      <c r="F1538">
        <v>4.40525968717436E-2</v>
      </c>
      <c r="G1538" t="s">
        <v>2631</v>
      </c>
    </row>
    <row r="1539" spans="1:7" x14ac:dyDescent="0.25">
      <c r="A1539" s="4" t="str">
        <f>HYPERLINK("http://amigo.geneontology.org/cgi-bin/amigo/term-details.cgi?term=GO:0000375","GO:0000375")</f>
        <v>GO:0000375</v>
      </c>
      <c r="B1539" t="s">
        <v>2630</v>
      </c>
      <c r="C1539">
        <v>236</v>
      </c>
      <c r="D1539">
        <v>18</v>
      </c>
      <c r="E1539">
        <v>2.2070266824792399E-2</v>
      </c>
      <c r="F1539">
        <v>4.4140533649584798E-2</v>
      </c>
      <c r="G1539" t="s">
        <v>2628</v>
      </c>
    </row>
    <row r="1540" spans="1:7" x14ac:dyDescent="0.25">
      <c r="A1540" s="4" t="str">
        <f>HYPERLINK("http://amigo.geneontology.org/cgi-bin/amigo/term-details.cgi?term=GO:0000377","GO:0000377")</f>
        <v>GO:0000377</v>
      </c>
      <c r="B1540" t="s">
        <v>2629</v>
      </c>
      <c r="C1540">
        <v>236</v>
      </c>
      <c r="D1540">
        <v>18</v>
      </c>
      <c r="E1540">
        <v>2.2070266824792399E-2</v>
      </c>
      <c r="F1540">
        <v>4.4140533649584798E-2</v>
      </c>
      <c r="G1540" t="s">
        <v>2628</v>
      </c>
    </row>
    <row r="1541" spans="1:7" x14ac:dyDescent="0.25">
      <c r="A1541" s="4" t="str">
        <f>HYPERLINK("http://amigo.geneontology.org/cgi-bin/amigo/term-details.cgi?term=GO:0007165","GO:0007165")</f>
        <v>GO:0007165</v>
      </c>
      <c r="B1541" t="s">
        <v>2185</v>
      </c>
      <c r="C1541">
        <v>1544</v>
      </c>
      <c r="D1541">
        <v>87</v>
      </c>
      <c r="E1541">
        <v>2.2081485494075601E-2</v>
      </c>
      <c r="F1541">
        <v>4.4162970988151203E-2</v>
      </c>
      <c r="G1541" t="s">
        <v>2627</v>
      </c>
    </row>
    <row r="1542" spans="1:7" x14ac:dyDescent="0.25">
      <c r="A1542" s="4" t="str">
        <f>HYPERLINK("http://amigo.geneontology.org/cgi-bin/amigo/term-details.cgi?term=GO:0009881","GO:0009881")</f>
        <v>GO:0009881</v>
      </c>
      <c r="B1542" t="s">
        <v>2626</v>
      </c>
      <c r="C1542">
        <v>36</v>
      </c>
      <c r="D1542">
        <v>5</v>
      </c>
      <c r="E1542">
        <v>2.21082574115362E-2</v>
      </c>
      <c r="F1542">
        <v>4.42165148230724E-2</v>
      </c>
      <c r="G1542" t="s">
        <v>2625</v>
      </c>
    </row>
    <row r="1543" spans="1:7" x14ac:dyDescent="0.25">
      <c r="A1543" s="4" t="str">
        <f>HYPERLINK("http://amigo.geneontology.org/cgi-bin/amigo/term-details.cgi?term=GO:0051539","GO:0051539")</f>
        <v>GO:0051539</v>
      </c>
      <c r="B1543" t="s">
        <v>598</v>
      </c>
      <c r="C1543">
        <v>122</v>
      </c>
      <c r="D1543">
        <v>11</v>
      </c>
      <c r="E1543">
        <v>2.26929047586895E-2</v>
      </c>
      <c r="F1543">
        <v>4.5385809517379097E-2</v>
      </c>
      <c r="G1543" t="s">
        <v>2624</v>
      </c>
    </row>
    <row r="1544" spans="1:7" x14ac:dyDescent="0.25">
      <c r="A1544" s="4" t="str">
        <f>HYPERLINK("http://amigo.geneontology.org/cgi-bin/amigo/term-details.cgi?term=GO:0042802","GO:0042802")</f>
        <v>GO:0042802</v>
      </c>
      <c r="B1544" t="s">
        <v>2623</v>
      </c>
      <c r="C1544">
        <v>154</v>
      </c>
      <c r="D1544">
        <v>13</v>
      </c>
      <c r="E1544">
        <v>2.3001026498403701E-2</v>
      </c>
      <c r="F1544">
        <v>4.6002052996807402E-2</v>
      </c>
      <c r="G1544" t="s">
        <v>2622</v>
      </c>
    </row>
    <row r="1545" spans="1:7" x14ac:dyDescent="0.25">
      <c r="A1545" s="4" t="str">
        <f>HYPERLINK("http://amigo.geneontology.org/cgi-bin/amigo/term-details.cgi?term=GO:0032262","GO:0032262")</f>
        <v>GO:0032262</v>
      </c>
      <c r="B1545" t="s">
        <v>2621</v>
      </c>
      <c r="C1545">
        <v>14</v>
      </c>
      <c r="D1545">
        <v>3</v>
      </c>
      <c r="E1545">
        <v>2.31137385970706E-2</v>
      </c>
      <c r="F1545">
        <v>4.6227477194141199E-2</v>
      </c>
      <c r="G1545" t="s">
        <v>393</v>
      </c>
    </row>
    <row r="1546" spans="1:7" x14ac:dyDescent="0.25">
      <c r="A1546" s="4" t="str">
        <f>HYPERLINK("http://amigo.geneontology.org/cgi-bin/amigo/term-details.cgi?term=GO:0010138","GO:0010138")</f>
        <v>GO:0010138</v>
      </c>
      <c r="B1546" t="s">
        <v>2620</v>
      </c>
      <c r="C1546">
        <v>14</v>
      </c>
      <c r="D1546">
        <v>3</v>
      </c>
      <c r="E1546">
        <v>2.31137385970706E-2</v>
      </c>
      <c r="F1546">
        <v>4.6227477194141199E-2</v>
      </c>
      <c r="G1546" t="s">
        <v>393</v>
      </c>
    </row>
    <row r="1547" spans="1:7" x14ac:dyDescent="0.25">
      <c r="A1547" s="4" t="str">
        <f>HYPERLINK("http://amigo.geneontology.org/cgi-bin/amigo/term-details.cgi?term=GO:0043097","GO:0043097")</f>
        <v>GO:0043097</v>
      </c>
      <c r="B1547" t="s">
        <v>2619</v>
      </c>
      <c r="C1547">
        <v>14</v>
      </c>
      <c r="D1547">
        <v>3</v>
      </c>
      <c r="E1547">
        <v>2.31137385970706E-2</v>
      </c>
      <c r="F1547">
        <v>4.6227477194141199E-2</v>
      </c>
      <c r="G1547" t="s">
        <v>393</v>
      </c>
    </row>
    <row r="1548" spans="1:7" x14ac:dyDescent="0.25">
      <c r="A1548" s="4" t="str">
        <f>HYPERLINK("http://amigo.geneontology.org/cgi-bin/amigo/term-details.cgi?term=GO:0044206","GO:0044206")</f>
        <v>GO:0044206</v>
      </c>
      <c r="B1548" t="s">
        <v>2618</v>
      </c>
      <c r="C1548">
        <v>14</v>
      </c>
      <c r="D1548">
        <v>3</v>
      </c>
      <c r="E1548">
        <v>2.31137385970706E-2</v>
      </c>
      <c r="F1548">
        <v>4.6227477194141199E-2</v>
      </c>
      <c r="G1548" t="s">
        <v>393</v>
      </c>
    </row>
    <row r="1549" spans="1:7" x14ac:dyDescent="0.25">
      <c r="A1549" s="4" t="str">
        <f>HYPERLINK("http://amigo.geneontology.org/cgi-bin/amigo/term-details.cgi?term=GO:0000794","GO:0000794")</f>
        <v>GO:0000794</v>
      </c>
      <c r="B1549" t="s">
        <v>2617</v>
      </c>
      <c r="C1549">
        <v>14</v>
      </c>
      <c r="D1549">
        <v>3</v>
      </c>
      <c r="E1549">
        <v>2.31137385970706E-2</v>
      </c>
      <c r="F1549">
        <v>4.6227477194141199E-2</v>
      </c>
      <c r="G1549" t="s">
        <v>2616</v>
      </c>
    </row>
    <row r="1550" spans="1:7" x14ac:dyDescent="0.25">
      <c r="A1550" s="4" t="str">
        <f>HYPERLINK("http://amigo.geneontology.org/cgi-bin/amigo/term-details.cgi?term=GO:0006722","GO:0006722")</f>
        <v>GO:0006722</v>
      </c>
      <c r="B1550" t="s">
        <v>2615</v>
      </c>
      <c r="C1550">
        <v>14</v>
      </c>
      <c r="D1550">
        <v>3</v>
      </c>
      <c r="E1550">
        <v>2.31137385970706E-2</v>
      </c>
      <c r="F1550">
        <v>4.6227477194141199E-2</v>
      </c>
      <c r="G1550" t="s">
        <v>2611</v>
      </c>
    </row>
    <row r="1551" spans="1:7" x14ac:dyDescent="0.25">
      <c r="A1551" s="4" t="str">
        <f>HYPERLINK("http://amigo.geneontology.org/cgi-bin/amigo/term-details.cgi?term=GO:0016104","GO:0016104")</f>
        <v>GO:0016104</v>
      </c>
      <c r="B1551" t="s">
        <v>2614</v>
      </c>
      <c r="C1551">
        <v>14</v>
      </c>
      <c r="D1551">
        <v>3</v>
      </c>
      <c r="E1551">
        <v>2.31137385970706E-2</v>
      </c>
      <c r="F1551">
        <v>4.6227477194141199E-2</v>
      </c>
      <c r="G1551" t="s">
        <v>2611</v>
      </c>
    </row>
    <row r="1552" spans="1:7" x14ac:dyDescent="0.25">
      <c r="A1552" s="4" t="str">
        <f>HYPERLINK("http://amigo.geneontology.org/cgi-bin/amigo/term-details.cgi?term=GO:0019742","GO:0019742")</f>
        <v>GO:0019742</v>
      </c>
      <c r="B1552" t="s">
        <v>2613</v>
      </c>
      <c r="C1552">
        <v>14</v>
      </c>
      <c r="D1552">
        <v>3</v>
      </c>
      <c r="E1552">
        <v>2.31137385970706E-2</v>
      </c>
      <c r="F1552">
        <v>4.6227477194141199E-2</v>
      </c>
      <c r="G1552" t="s">
        <v>2611</v>
      </c>
    </row>
    <row r="1553" spans="1:7" x14ac:dyDescent="0.25">
      <c r="A1553" s="4" t="str">
        <f>HYPERLINK("http://amigo.geneontology.org/cgi-bin/amigo/term-details.cgi?term=GO:0019745","GO:0019745")</f>
        <v>GO:0019745</v>
      </c>
      <c r="B1553" t="s">
        <v>2612</v>
      </c>
      <c r="C1553">
        <v>14</v>
      </c>
      <c r="D1553">
        <v>3</v>
      </c>
      <c r="E1553">
        <v>2.31137385970706E-2</v>
      </c>
      <c r="F1553">
        <v>4.6227477194141199E-2</v>
      </c>
      <c r="G1553" t="s">
        <v>2611</v>
      </c>
    </row>
    <row r="1554" spans="1:7" x14ac:dyDescent="0.25">
      <c r="A1554" s="4" t="str">
        <f>HYPERLINK("http://amigo.geneontology.org/cgi-bin/amigo/term-details.cgi?term=GO:0000018","GO:0000018")</f>
        <v>GO:0000018</v>
      </c>
      <c r="B1554" t="s">
        <v>1376</v>
      </c>
      <c r="C1554">
        <v>14</v>
      </c>
      <c r="D1554">
        <v>3</v>
      </c>
      <c r="E1554">
        <v>2.31137385970706E-2</v>
      </c>
      <c r="F1554">
        <v>4.6227477194141199E-2</v>
      </c>
      <c r="G1554" t="s">
        <v>2610</v>
      </c>
    </row>
    <row r="1555" spans="1:7" x14ac:dyDescent="0.25">
      <c r="A1555" s="4" t="str">
        <f>HYPERLINK("http://amigo.geneontology.org/cgi-bin/amigo/term-details.cgi?term=GO:0045910","GO:0045910")</f>
        <v>GO:0045910</v>
      </c>
      <c r="B1555" t="s">
        <v>1375</v>
      </c>
      <c r="C1555">
        <v>14</v>
      </c>
      <c r="D1555">
        <v>3</v>
      </c>
      <c r="E1555">
        <v>2.31137385970706E-2</v>
      </c>
      <c r="F1555">
        <v>4.6227477194141199E-2</v>
      </c>
      <c r="G1555" t="s">
        <v>2610</v>
      </c>
    </row>
    <row r="1556" spans="1:7" x14ac:dyDescent="0.25">
      <c r="A1556" s="4" t="str">
        <f>HYPERLINK("http://amigo.geneontology.org/cgi-bin/amigo/term-details.cgi?term=GO:0009313","GO:0009313")</f>
        <v>GO:0009313</v>
      </c>
      <c r="B1556" t="s">
        <v>1854</v>
      </c>
      <c r="C1556">
        <v>14</v>
      </c>
      <c r="D1556">
        <v>3</v>
      </c>
      <c r="E1556">
        <v>2.31137385970706E-2</v>
      </c>
      <c r="F1556">
        <v>4.6227477194141199E-2</v>
      </c>
      <c r="G1556" t="s">
        <v>617</v>
      </c>
    </row>
    <row r="1557" spans="1:7" x14ac:dyDescent="0.25">
      <c r="A1557" s="4" t="str">
        <f>HYPERLINK("http://amigo.geneontology.org/cgi-bin/amigo/term-details.cgi?term=GO:0051013","GO:0051013")</f>
        <v>GO:0051013</v>
      </c>
      <c r="B1557" t="s">
        <v>629</v>
      </c>
      <c r="C1557">
        <v>14</v>
      </c>
      <c r="D1557">
        <v>3</v>
      </c>
      <c r="E1557">
        <v>2.31137385970706E-2</v>
      </c>
      <c r="F1557">
        <v>4.6227477194141199E-2</v>
      </c>
      <c r="G1557" t="s">
        <v>1351</v>
      </c>
    </row>
    <row r="1558" spans="1:7" x14ac:dyDescent="0.25">
      <c r="A1558" s="4" t="str">
        <f>HYPERLINK("http://amigo.geneontology.org/cgi-bin/amigo/term-details.cgi?term=GO:0016032","GO:0016032")</f>
        <v>GO:0016032</v>
      </c>
      <c r="B1558" t="s">
        <v>2609</v>
      </c>
      <c r="C1558">
        <v>14</v>
      </c>
      <c r="D1558">
        <v>3</v>
      </c>
      <c r="E1558">
        <v>2.31137385970706E-2</v>
      </c>
      <c r="F1558">
        <v>4.6227477194141199E-2</v>
      </c>
      <c r="G1558" t="s">
        <v>2608</v>
      </c>
    </row>
    <row r="1559" spans="1:7" x14ac:dyDescent="0.25">
      <c r="A1559" s="4" t="str">
        <f>HYPERLINK("http://amigo.geneontology.org/cgi-bin/amigo/term-details.cgi?term=GO:0003727","GO:0003727")</f>
        <v>GO:0003727</v>
      </c>
      <c r="B1559" t="s">
        <v>2607</v>
      </c>
      <c r="C1559">
        <v>14</v>
      </c>
      <c r="D1559">
        <v>3</v>
      </c>
      <c r="E1559">
        <v>2.31137385970706E-2</v>
      </c>
      <c r="F1559">
        <v>4.6227477194141199E-2</v>
      </c>
      <c r="G1559" t="s">
        <v>2606</v>
      </c>
    </row>
    <row r="1560" spans="1:7" x14ac:dyDescent="0.25">
      <c r="A1560" s="4" t="str">
        <f>HYPERLINK("http://amigo.geneontology.org/cgi-bin/amigo/term-details.cgi?term=GO:0032409","GO:0032409")</f>
        <v>GO:0032409</v>
      </c>
      <c r="B1560" t="s">
        <v>2605</v>
      </c>
      <c r="C1560">
        <v>14</v>
      </c>
      <c r="D1560">
        <v>3</v>
      </c>
      <c r="E1560">
        <v>2.31137385970706E-2</v>
      </c>
      <c r="F1560">
        <v>4.6227477194141199E-2</v>
      </c>
      <c r="G1560" t="s">
        <v>2602</v>
      </c>
    </row>
    <row r="1561" spans="1:7" x14ac:dyDescent="0.25">
      <c r="A1561" s="4" t="str">
        <f>HYPERLINK("http://amigo.geneontology.org/cgi-bin/amigo/term-details.cgi?term=GO:0022898","GO:0022898")</f>
        <v>GO:0022898</v>
      </c>
      <c r="B1561" t="s">
        <v>2604</v>
      </c>
      <c r="C1561">
        <v>14</v>
      </c>
      <c r="D1561">
        <v>3</v>
      </c>
      <c r="E1561">
        <v>2.31137385970706E-2</v>
      </c>
      <c r="F1561">
        <v>4.6227477194141199E-2</v>
      </c>
      <c r="G1561" t="s">
        <v>2602</v>
      </c>
    </row>
    <row r="1562" spans="1:7" x14ac:dyDescent="0.25">
      <c r="A1562" s="4" t="str">
        <f>HYPERLINK("http://amigo.geneontology.org/cgi-bin/amigo/term-details.cgi?term=GO:0032412","GO:0032412")</f>
        <v>GO:0032412</v>
      </c>
      <c r="B1562" t="s">
        <v>2603</v>
      </c>
      <c r="C1562">
        <v>14</v>
      </c>
      <c r="D1562">
        <v>3</v>
      </c>
      <c r="E1562">
        <v>2.31137385970706E-2</v>
      </c>
      <c r="F1562">
        <v>4.6227477194141199E-2</v>
      </c>
      <c r="G1562" t="s">
        <v>2602</v>
      </c>
    </row>
    <row r="1563" spans="1:7" x14ac:dyDescent="0.25">
      <c r="A1563" s="4" t="str">
        <f>HYPERLINK("http://amigo.geneontology.org/cgi-bin/amigo/term-details.cgi?term=GO:0070279","GO:0070279")</f>
        <v>GO:0070279</v>
      </c>
      <c r="B1563" t="s">
        <v>2217</v>
      </c>
      <c r="C1563">
        <v>342</v>
      </c>
      <c r="D1563">
        <v>24</v>
      </c>
      <c r="E1563">
        <v>2.3299078508816799E-2</v>
      </c>
      <c r="F1563">
        <v>4.6598157017633597E-2</v>
      </c>
      <c r="G1563" t="s">
        <v>2601</v>
      </c>
    </row>
    <row r="1564" spans="1:7" x14ac:dyDescent="0.25">
      <c r="A1564" s="4" t="str">
        <f>HYPERLINK("http://amigo.geneontology.org/cgi-bin/amigo/term-details.cgi?term=GO:0030170","GO:0030170")</f>
        <v>GO:0030170</v>
      </c>
      <c r="B1564" t="s">
        <v>333</v>
      </c>
      <c r="C1564">
        <v>342</v>
      </c>
      <c r="D1564">
        <v>24</v>
      </c>
      <c r="E1564">
        <v>2.3299078508816799E-2</v>
      </c>
      <c r="F1564">
        <v>4.6598157017633597E-2</v>
      </c>
      <c r="G1564" t="s">
        <v>2601</v>
      </c>
    </row>
    <row r="1565" spans="1:7" x14ac:dyDescent="0.25">
      <c r="A1565" s="4" t="str">
        <f>HYPERLINK("http://amigo.geneontology.org/cgi-bin/amigo/term-details.cgi?term=GO:0051537","GO:0051537")</f>
        <v>GO:0051537</v>
      </c>
      <c r="B1565" t="s">
        <v>1106</v>
      </c>
      <c r="C1565">
        <v>123</v>
      </c>
      <c r="D1565">
        <v>11</v>
      </c>
      <c r="E1565">
        <v>2.3938843982874301E-2</v>
      </c>
      <c r="F1565">
        <v>4.7877687965748698E-2</v>
      </c>
      <c r="G1565" t="s">
        <v>1346</v>
      </c>
    </row>
    <row r="1566" spans="1:7" x14ac:dyDescent="0.25">
      <c r="A1566" s="4" t="str">
        <f>HYPERLINK("http://amigo.geneontology.org/cgi-bin/amigo/term-details.cgi?term=GO:0009085","GO:0009085")</f>
        <v>GO:0009085</v>
      </c>
      <c r="B1566" t="s">
        <v>2600</v>
      </c>
      <c r="C1566">
        <v>37</v>
      </c>
      <c r="D1566">
        <v>5</v>
      </c>
      <c r="E1566">
        <v>2.4637948311074898E-2</v>
      </c>
      <c r="F1566">
        <v>4.9275896622149797E-2</v>
      </c>
      <c r="G1566" t="s">
        <v>2561</v>
      </c>
    </row>
    <row r="1567" spans="1:7" x14ac:dyDescent="0.25">
      <c r="A1567" s="4" t="str">
        <f>HYPERLINK("http://amigo.geneontology.org/cgi-bin/amigo/term-details.cgi?term=GO:0046451","GO:0046451")</f>
        <v>GO:0046451</v>
      </c>
      <c r="B1567" t="s">
        <v>2599</v>
      </c>
      <c r="C1567">
        <v>37</v>
      </c>
      <c r="D1567">
        <v>5</v>
      </c>
      <c r="E1567">
        <v>2.4637948311074898E-2</v>
      </c>
      <c r="F1567">
        <v>4.9275896622149797E-2</v>
      </c>
      <c r="G1567" t="s">
        <v>2561</v>
      </c>
    </row>
    <row r="1568" spans="1:7" x14ac:dyDescent="0.25">
      <c r="A1568" s="4" t="str">
        <f>HYPERLINK("http://amigo.geneontology.org/cgi-bin/amigo/term-details.cgi?term=GO:0009089","GO:0009089")</f>
        <v>GO:0009089</v>
      </c>
      <c r="B1568" t="s">
        <v>2598</v>
      </c>
      <c r="C1568">
        <v>37</v>
      </c>
      <c r="D1568">
        <v>5</v>
      </c>
      <c r="E1568">
        <v>2.4637948311074898E-2</v>
      </c>
      <c r="F1568">
        <v>4.9275896622149797E-2</v>
      </c>
      <c r="G1568" t="s">
        <v>2561</v>
      </c>
    </row>
    <row r="1569" spans="1:7" x14ac:dyDescent="0.25">
      <c r="A1569" s="4" t="str">
        <f>HYPERLINK("http://amigo.geneontology.org/cgi-bin/amigo/term-details.cgi?term=GO:0016572","GO:0016572")</f>
        <v>GO:0016572</v>
      </c>
      <c r="B1569" t="s">
        <v>2597</v>
      </c>
      <c r="C1569">
        <v>37</v>
      </c>
      <c r="D1569">
        <v>5</v>
      </c>
      <c r="E1569">
        <v>2.4637948311074898E-2</v>
      </c>
      <c r="F1569">
        <v>4.9275896622149797E-2</v>
      </c>
      <c r="G1569" t="s">
        <v>2596</v>
      </c>
    </row>
    <row r="1570" spans="1:7" x14ac:dyDescent="0.25">
      <c r="A1570" s="4" t="str">
        <f>HYPERLINK("http://amigo.geneontology.org/cgi-bin/amigo/term-details.cgi?term=GO:0007129","GO:0007129")</f>
        <v>GO:0007129</v>
      </c>
      <c r="B1570" t="s">
        <v>2595</v>
      </c>
      <c r="C1570">
        <v>64</v>
      </c>
      <c r="D1570">
        <v>7</v>
      </c>
      <c r="E1570">
        <v>2.5190273030673799E-2</v>
      </c>
      <c r="F1570">
        <v>5.0380546061347599E-2</v>
      </c>
      <c r="G1570" t="s">
        <v>2483</v>
      </c>
    </row>
    <row r="1571" spans="1:7" x14ac:dyDescent="0.25">
      <c r="A1571" s="4" t="str">
        <f>HYPERLINK("http://amigo.geneontology.org/cgi-bin/amigo/term-details.cgi?term=GO:0005085","GO:0005085")</f>
        <v>GO:0005085</v>
      </c>
      <c r="B1571" t="s">
        <v>2594</v>
      </c>
      <c r="C1571">
        <v>64</v>
      </c>
      <c r="D1571">
        <v>7</v>
      </c>
      <c r="E1571">
        <v>2.5190273030673799E-2</v>
      </c>
      <c r="F1571">
        <v>5.0380546061347599E-2</v>
      </c>
      <c r="G1571" t="s">
        <v>2593</v>
      </c>
    </row>
    <row r="1572" spans="1:7" x14ac:dyDescent="0.25">
      <c r="A1572" s="4" t="str">
        <f>HYPERLINK("http://amigo.geneontology.org/cgi-bin/amigo/term-details.cgi?term=GO:0065002","GO:0065002")</f>
        <v>GO:0065002</v>
      </c>
      <c r="B1572" t="s">
        <v>2592</v>
      </c>
      <c r="C1572">
        <v>124</v>
      </c>
      <c r="D1572">
        <v>11</v>
      </c>
      <c r="E1572">
        <v>2.52338208447472E-2</v>
      </c>
      <c r="F1572">
        <v>5.04676416894944E-2</v>
      </c>
      <c r="G1572" t="s">
        <v>2492</v>
      </c>
    </row>
    <row r="1573" spans="1:7" x14ac:dyDescent="0.25">
      <c r="A1573" s="4" t="str">
        <f>HYPERLINK("http://amigo.geneontology.org/cgi-bin/amigo/term-details.cgi?term=GO:0003899","GO:0003899")</f>
        <v>GO:0003899</v>
      </c>
      <c r="B1573" t="s">
        <v>2591</v>
      </c>
      <c r="C1573">
        <v>206</v>
      </c>
      <c r="D1573">
        <v>16</v>
      </c>
      <c r="E1573">
        <v>2.5584793239638502E-2</v>
      </c>
      <c r="F1573">
        <v>5.11695864792771E-2</v>
      </c>
      <c r="G1573" t="s">
        <v>2590</v>
      </c>
    </row>
    <row r="1574" spans="1:7" x14ac:dyDescent="0.25">
      <c r="A1574" s="4" t="str">
        <f>HYPERLINK("http://amigo.geneontology.org/cgi-bin/amigo/term-details.cgi?term=GO:0030036","GO:0030036")</f>
        <v>GO:0030036</v>
      </c>
      <c r="B1574" t="s">
        <v>2589</v>
      </c>
      <c r="C1574">
        <v>173</v>
      </c>
      <c r="D1574">
        <v>14</v>
      </c>
      <c r="E1574">
        <v>2.59617041395536E-2</v>
      </c>
      <c r="F1574">
        <v>5.1923408279107297E-2</v>
      </c>
      <c r="G1574" t="s">
        <v>2588</v>
      </c>
    </row>
    <row r="1575" spans="1:7" x14ac:dyDescent="0.25">
      <c r="A1575" s="4" t="str">
        <f>HYPERLINK("http://amigo.geneontology.org/cgi-bin/amigo/term-details.cgi?term=GO:0080090","GO:0080090")</f>
        <v>GO:0080090</v>
      </c>
      <c r="B1575" t="s">
        <v>941</v>
      </c>
      <c r="C1575">
        <v>5204</v>
      </c>
      <c r="D1575">
        <v>264</v>
      </c>
      <c r="E1575">
        <v>2.7105555598992099E-2</v>
      </c>
      <c r="F1575">
        <v>5.4211111197984198E-2</v>
      </c>
      <c r="G1575" t="s">
        <v>2587</v>
      </c>
    </row>
    <row r="1576" spans="1:7" x14ac:dyDescent="0.25">
      <c r="A1576" s="4" t="str">
        <f>HYPERLINK("http://amigo.geneontology.org/cgi-bin/amigo/term-details.cgi?term=GO:0003923","GO:0003923")</f>
        <v>GO:0003923</v>
      </c>
      <c r="B1576" t="s">
        <v>1417</v>
      </c>
      <c r="C1576">
        <v>6</v>
      </c>
      <c r="D1576">
        <v>2</v>
      </c>
      <c r="E1576">
        <v>2.7144518900220301E-2</v>
      </c>
      <c r="F1576">
        <v>5.4289037800440601E-2</v>
      </c>
      <c r="G1576" t="s">
        <v>1416</v>
      </c>
    </row>
    <row r="1577" spans="1:7" x14ac:dyDescent="0.25">
      <c r="A1577" s="4" t="str">
        <f>HYPERLINK("http://amigo.geneontology.org/cgi-bin/amigo/term-details.cgi?term=GO:0009895","GO:0009895")</f>
        <v>GO:0009895</v>
      </c>
      <c r="B1577" t="s">
        <v>2586</v>
      </c>
      <c r="C1577">
        <v>6</v>
      </c>
      <c r="D1577">
        <v>2</v>
      </c>
      <c r="E1577">
        <v>2.7144518900220301E-2</v>
      </c>
      <c r="F1577">
        <v>5.4289037800440601E-2</v>
      </c>
      <c r="G1577" t="s">
        <v>2584</v>
      </c>
    </row>
    <row r="1578" spans="1:7" x14ac:dyDescent="0.25">
      <c r="A1578" s="4" t="str">
        <f>HYPERLINK("http://amigo.geneontology.org/cgi-bin/amigo/term-details.cgi?term=GO:0031330","GO:0031330")</f>
        <v>GO:0031330</v>
      </c>
      <c r="B1578" t="s">
        <v>2585</v>
      </c>
      <c r="C1578">
        <v>6</v>
      </c>
      <c r="D1578">
        <v>2</v>
      </c>
      <c r="E1578">
        <v>2.7144518900220301E-2</v>
      </c>
      <c r="F1578">
        <v>5.4289037800440601E-2</v>
      </c>
      <c r="G1578" t="s">
        <v>2584</v>
      </c>
    </row>
    <row r="1579" spans="1:7" x14ac:dyDescent="0.25">
      <c r="A1579" s="4" t="str">
        <f>HYPERLINK("http://amigo.geneontology.org/cgi-bin/amigo/term-details.cgi?term=GO:0004567","GO:0004567")</f>
        <v>GO:0004567</v>
      </c>
      <c r="B1579" t="s">
        <v>2583</v>
      </c>
      <c r="C1579">
        <v>6</v>
      </c>
      <c r="D1579">
        <v>2</v>
      </c>
      <c r="E1579">
        <v>2.7144518900220301E-2</v>
      </c>
      <c r="F1579">
        <v>5.4289037800440601E-2</v>
      </c>
      <c r="G1579" t="s">
        <v>2582</v>
      </c>
    </row>
    <row r="1580" spans="1:7" x14ac:dyDescent="0.25">
      <c r="A1580" s="4" t="str">
        <f>HYPERLINK("http://amigo.geneontology.org/cgi-bin/amigo/term-details.cgi?term=GO:0031209","GO:0031209")</f>
        <v>GO:0031209</v>
      </c>
      <c r="B1580" t="s">
        <v>2581</v>
      </c>
      <c r="C1580">
        <v>6</v>
      </c>
      <c r="D1580">
        <v>2</v>
      </c>
      <c r="E1580">
        <v>2.7144518900220301E-2</v>
      </c>
      <c r="F1580">
        <v>5.4289037800440601E-2</v>
      </c>
      <c r="G1580" t="s">
        <v>2580</v>
      </c>
    </row>
    <row r="1581" spans="1:7" x14ac:dyDescent="0.25">
      <c r="A1581" s="4" t="str">
        <f>HYPERLINK("http://amigo.geneontology.org/cgi-bin/amigo/term-details.cgi?term=GO:0010380","GO:0010380")</f>
        <v>GO:0010380</v>
      </c>
      <c r="B1581" t="s">
        <v>2579</v>
      </c>
      <c r="C1581">
        <v>6</v>
      </c>
      <c r="D1581">
        <v>2</v>
      </c>
      <c r="E1581">
        <v>2.7144518900220301E-2</v>
      </c>
      <c r="F1581">
        <v>5.4289037800440601E-2</v>
      </c>
      <c r="G1581" t="s">
        <v>1368</v>
      </c>
    </row>
    <row r="1582" spans="1:7" x14ac:dyDescent="0.25">
      <c r="A1582" s="4" t="str">
        <f>HYPERLINK("http://amigo.geneontology.org/cgi-bin/amigo/term-details.cgi?term=GO:0043255","GO:0043255")</f>
        <v>GO:0043255</v>
      </c>
      <c r="B1582" t="s">
        <v>2578</v>
      </c>
      <c r="C1582">
        <v>6</v>
      </c>
      <c r="D1582">
        <v>2</v>
      </c>
      <c r="E1582">
        <v>2.7144518900220301E-2</v>
      </c>
      <c r="F1582">
        <v>5.4289037800440601E-2</v>
      </c>
      <c r="G1582" t="s">
        <v>1368</v>
      </c>
    </row>
    <row r="1583" spans="1:7" x14ac:dyDescent="0.25">
      <c r="A1583" s="4" t="str">
        <f>HYPERLINK("http://amigo.geneontology.org/cgi-bin/amigo/term-details.cgi?term=GO:0045833","GO:0045833")</f>
        <v>GO:0045833</v>
      </c>
      <c r="B1583" t="s">
        <v>2577</v>
      </c>
      <c r="C1583">
        <v>6</v>
      </c>
      <c r="D1583">
        <v>2</v>
      </c>
      <c r="E1583">
        <v>2.7144518900220301E-2</v>
      </c>
      <c r="F1583">
        <v>5.4289037800440601E-2</v>
      </c>
      <c r="G1583" t="s">
        <v>2504</v>
      </c>
    </row>
    <row r="1584" spans="1:7" x14ac:dyDescent="0.25">
      <c r="A1584" s="4" t="str">
        <f>HYPERLINK("http://amigo.geneontology.org/cgi-bin/amigo/term-details.cgi?term=GO:0051055","GO:0051055")</f>
        <v>GO:0051055</v>
      </c>
      <c r="B1584" t="s">
        <v>2576</v>
      </c>
      <c r="C1584">
        <v>6</v>
      </c>
      <c r="D1584">
        <v>2</v>
      </c>
      <c r="E1584">
        <v>2.7144518900220301E-2</v>
      </c>
      <c r="F1584">
        <v>5.4289037800440601E-2</v>
      </c>
      <c r="G1584" t="s">
        <v>2504</v>
      </c>
    </row>
    <row r="1585" spans="1:7" x14ac:dyDescent="0.25">
      <c r="A1585" s="4" t="str">
        <f>HYPERLINK("http://amigo.geneontology.org/cgi-bin/amigo/term-details.cgi?term=GO:0030313","GO:0030313")</f>
        <v>GO:0030313</v>
      </c>
      <c r="B1585" t="s">
        <v>2575</v>
      </c>
      <c r="C1585">
        <v>6</v>
      </c>
      <c r="D1585">
        <v>2</v>
      </c>
      <c r="E1585">
        <v>2.7144518900220301E-2</v>
      </c>
      <c r="F1585">
        <v>5.4289037800440601E-2</v>
      </c>
      <c r="G1585" t="s">
        <v>2574</v>
      </c>
    </row>
    <row r="1586" spans="1:7" x14ac:dyDescent="0.25">
      <c r="A1586" s="4" t="str">
        <f>HYPERLINK("http://amigo.geneontology.org/cgi-bin/amigo/term-details.cgi?term=GO:0004335","GO:0004335")</f>
        <v>GO:0004335</v>
      </c>
      <c r="B1586" t="s">
        <v>1113</v>
      </c>
      <c r="C1586">
        <v>6</v>
      </c>
      <c r="D1586">
        <v>2</v>
      </c>
      <c r="E1586">
        <v>2.7144518900220301E-2</v>
      </c>
      <c r="F1586">
        <v>5.4289037800440601E-2</v>
      </c>
      <c r="G1586" t="s">
        <v>1354</v>
      </c>
    </row>
    <row r="1587" spans="1:7" x14ac:dyDescent="0.25">
      <c r="A1587" s="4" t="str">
        <f>HYPERLINK("http://amigo.geneontology.org/cgi-bin/amigo/term-details.cgi?term=GO:0045158","GO:0045158")</f>
        <v>GO:0045158</v>
      </c>
      <c r="B1587" t="s">
        <v>1348</v>
      </c>
      <c r="C1587">
        <v>6</v>
      </c>
      <c r="D1587">
        <v>2</v>
      </c>
      <c r="E1587">
        <v>2.7144518900220301E-2</v>
      </c>
      <c r="F1587">
        <v>5.4289037800440601E-2</v>
      </c>
      <c r="G1587" t="s">
        <v>1347</v>
      </c>
    </row>
    <row r="1588" spans="1:7" x14ac:dyDescent="0.25">
      <c r="A1588" s="4" t="str">
        <f>HYPERLINK("http://amigo.geneontology.org/cgi-bin/amigo/term-details.cgi?term=GO:0042439","GO:0042439")</f>
        <v>GO:0042439</v>
      </c>
      <c r="B1588" t="s">
        <v>2573</v>
      </c>
      <c r="C1588">
        <v>6</v>
      </c>
      <c r="D1588">
        <v>2</v>
      </c>
      <c r="E1588">
        <v>2.7144518900220301E-2</v>
      </c>
      <c r="F1588">
        <v>5.4289037800440601E-2</v>
      </c>
      <c r="G1588" t="s">
        <v>2572</v>
      </c>
    </row>
    <row r="1589" spans="1:7" x14ac:dyDescent="0.25">
      <c r="A1589" s="4" t="str">
        <f>HYPERLINK("http://amigo.geneontology.org/cgi-bin/amigo/term-details.cgi?term=GO:0043874","GO:0043874")</f>
        <v>GO:0043874</v>
      </c>
      <c r="B1589" t="s">
        <v>1343</v>
      </c>
      <c r="C1589">
        <v>6</v>
      </c>
      <c r="D1589">
        <v>2</v>
      </c>
      <c r="E1589">
        <v>2.7144518900220301E-2</v>
      </c>
      <c r="F1589">
        <v>5.4289037800440601E-2</v>
      </c>
      <c r="G1589" t="s">
        <v>1342</v>
      </c>
    </row>
    <row r="1590" spans="1:7" x14ac:dyDescent="0.25">
      <c r="A1590" s="4" t="str">
        <f>HYPERLINK("http://amigo.geneontology.org/cgi-bin/amigo/term-details.cgi?term=GO:0000738","GO:0000738")</f>
        <v>GO:0000738</v>
      </c>
      <c r="B1590" t="s">
        <v>2571</v>
      </c>
      <c r="C1590">
        <v>6</v>
      </c>
      <c r="D1590">
        <v>2</v>
      </c>
      <c r="E1590">
        <v>2.7144518900220301E-2</v>
      </c>
      <c r="F1590">
        <v>5.4289037800440601E-2</v>
      </c>
      <c r="G1590" t="s">
        <v>2339</v>
      </c>
    </row>
    <row r="1591" spans="1:7" x14ac:dyDescent="0.25">
      <c r="A1591" s="4" t="str">
        <f>HYPERLINK("http://amigo.geneontology.org/cgi-bin/amigo/term-details.cgi?term=GO:0048574","GO:0048574")</f>
        <v>GO:0048574</v>
      </c>
      <c r="B1591" t="s">
        <v>2570</v>
      </c>
      <c r="C1591">
        <v>6</v>
      </c>
      <c r="D1591">
        <v>2</v>
      </c>
      <c r="E1591">
        <v>2.7144518900220301E-2</v>
      </c>
      <c r="F1591">
        <v>5.4289037800440601E-2</v>
      </c>
      <c r="G1591" t="s">
        <v>2337</v>
      </c>
    </row>
    <row r="1592" spans="1:7" x14ac:dyDescent="0.25">
      <c r="A1592" s="4" t="str">
        <f>HYPERLINK("http://amigo.geneontology.org/cgi-bin/amigo/term-details.cgi?term=GO:0004641","GO:0004641")</f>
        <v>GO:0004641</v>
      </c>
      <c r="B1592" t="s">
        <v>1322</v>
      </c>
      <c r="C1592">
        <v>6</v>
      </c>
      <c r="D1592">
        <v>2</v>
      </c>
      <c r="E1592">
        <v>2.7144518900220301E-2</v>
      </c>
      <c r="F1592">
        <v>5.4289037800440601E-2</v>
      </c>
      <c r="G1592" t="s">
        <v>1321</v>
      </c>
    </row>
    <row r="1593" spans="1:7" x14ac:dyDescent="0.25">
      <c r="A1593" s="4" t="str">
        <f>HYPERLINK("http://amigo.geneontology.org/cgi-bin/amigo/term-details.cgi?term=GO:0090482","GO:0090482")</f>
        <v>GO:0090482</v>
      </c>
      <c r="B1593" t="s">
        <v>1705</v>
      </c>
      <c r="C1593">
        <v>6</v>
      </c>
      <c r="D1593">
        <v>2</v>
      </c>
      <c r="E1593">
        <v>2.7144518900220301E-2</v>
      </c>
      <c r="F1593">
        <v>5.4289037800440601E-2</v>
      </c>
      <c r="G1593" t="s">
        <v>2569</v>
      </c>
    </row>
    <row r="1594" spans="1:7" x14ac:dyDescent="0.25">
      <c r="A1594" s="4" t="str">
        <f>HYPERLINK("http://amigo.geneontology.org/cgi-bin/amigo/term-details.cgi?term=GO:0051180","GO:0051180")</f>
        <v>GO:0051180</v>
      </c>
      <c r="B1594" t="s">
        <v>1704</v>
      </c>
      <c r="C1594">
        <v>6</v>
      </c>
      <c r="D1594">
        <v>2</v>
      </c>
      <c r="E1594">
        <v>2.7144518900220301E-2</v>
      </c>
      <c r="F1594">
        <v>5.4289037800440601E-2</v>
      </c>
      <c r="G1594" t="s">
        <v>2569</v>
      </c>
    </row>
    <row r="1595" spans="1:7" x14ac:dyDescent="0.25">
      <c r="A1595" s="4" t="str">
        <f>HYPERLINK("http://amigo.geneontology.org/cgi-bin/amigo/term-details.cgi?term=GO:0017070","GO:0017070")</f>
        <v>GO:0017070</v>
      </c>
      <c r="B1595" t="s">
        <v>1309</v>
      </c>
      <c r="C1595">
        <v>6</v>
      </c>
      <c r="D1595">
        <v>2</v>
      </c>
      <c r="E1595">
        <v>2.7144518900220301E-2</v>
      </c>
      <c r="F1595">
        <v>5.4289037800440601E-2</v>
      </c>
      <c r="G1595" t="s">
        <v>1307</v>
      </c>
    </row>
    <row r="1596" spans="1:7" x14ac:dyDescent="0.25">
      <c r="A1596" s="4" t="str">
        <f>HYPERLINK("http://amigo.geneontology.org/cgi-bin/amigo/term-details.cgi?term=GO:0030623","GO:0030623")</f>
        <v>GO:0030623</v>
      </c>
      <c r="B1596" t="s">
        <v>1308</v>
      </c>
      <c r="C1596">
        <v>6</v>
      </c>
      <c r="D1596">
        <v>2</v>
      </c>
      <c r="E1596">
        <v>2.7144518900220301E-2</v>
      </c>
      <c r="F1596">
        <v>5.4289037800440601E-2</v>
      </c>
      <c r="G1596" t="s">
        <v>1307</v>
      </c>
    </row>
    <row r="1597" spans="1:7" x14ac:dyDescent="0.25">
      <c r="A1597" s="4" t="str">
        <f>HYPERLINK("http://amigo.geneontology.org/cgi-bin/amigo/term-details.cgi?term=GO:0009088","GO:0009088")</f>
        <v>GO:0009088</v>
      </c>
      <c r="B1597" t="s">
        <v>2568</v>
      </c>
      <c r="C1597">
        <v>6</v>
      </c>
      <c r="D1597">
        <v>2</v>
      </c>
      <c r="E1597">
        <v>2.7144518900220301E-2</v>
      </c>
      <c r="F1597">
        <v>5.4289037800440601E-2</v>
      </c>
      <c r="G1597" t="s">
        <v>2567</v>
      </c>
    </row>
    <row r="1598" spans="1:7" x14ac:dyDescent="0.25">
      <c r="A1598" s="4" t="str">
        <f>HYPERLINK("http://amigo.geneontology.org/cgi-bin/amigo/term-details.cgi?term=GO:0004655","GO:0004655")</f>
        <v>GO:0004655</v>
      </c>
      <c r="B1598" t="s">
        <v>1303</v>
      </c>
      <c r="C1598">
        <v>6</v>
      </c>
      <c r="D1598">
        <v>2</v>
      </c>
      <c r="E1598">
        <v>2.7144518900220301E-2</v>
      </c>
      <c r="F1598">
        <v>5.4289037800440601E-2</v>
      </c>
      <c r="G1598" t="s">
        <v>1302</v>
      </c>
    </row>
    <row r="1599" spans="1:7" x14ac:dyDescent="0.25">
      <c r="A1599" s="4" t="str">
        <f>HYPERLINK("http://amigo.geneontology.org/cgi-bin/amigo/term-details.cgi?term=GO:0045550","GO:0045550")</f>
        <v>GO:0045550</v>
      </c>
      <c r="B1599" t="s">
        <v>1300</v>
      </c>
      <c r="C1599">
        <v>6</v>
      </c>
      <c r="D1599">
        <v>2</v>
      </c>
      <c r="E1599">
        <v>2.7144518900220301E-2</v>
      </c>
      <c r="F1599">
        <v>5.4289037800440601E-2</v>
      </c>
      <c r="G1599" t="s">
        <v>1299</v>
      </c>
    </row>
    <row r="1600" spans="1:7" x14ac:dyDescent="0.25">
      <c r="A1600" s="4" t="str">
        <f>HYPERLINK("http://amigo.geneontology.org/cgi-bin/amigo/term-details.cgi?term=GO:0010494","GO:0010494")</f>
        <v>GO:0010494</v>
      </c>
      <c r="B1600" t="s">
        <v>2566</v>
      </c>
      <c r="C1600">
        <v>6</v>
      </c>
      <c r="D1600">
        <v>2</v>
      </c>
      <c r="E1600">
        <v>2.7144518900220301E-2</v>
      </c>
      <c r="F1600">
        <v>5.4289037800440601E-2</v>
      </c>
      <c r="G1600" t="s">
        <v>2565</v>
      </c>
    </row>
    <row r="1601" spans="1:7" x14ac:dyDescent="0.25">
      <c r="A1601" s="4" t="str">
        <f>HYPERLINK("http://amigo.geneontology.org/cgi-bin/amigo/term-details.cgi?term=GO:0005971","GO:0005971")</f>
        <v>GO:0005971</v>
      </c>
      <c r="B1601" t="s">
        <v>2564</v>
      </c>
      <c r="C1601">
        <v>6</v>
      </c>
      <c r="D1601">
        <v>2</v>
      </c>
      <c r="E1601">
        <v>2.7144518900220301E-2</v>
      </c>
      <c r="F1601">
        <v>5.4289037800440601E-2</v>
      </c>
      <c r="G1601" t="s">
        <v>1291</v>
      </c>
    </row>
    <row r="1602" spans="1:7" x14ac:dyDescent="0.25">
      <c r="A1602" s="4" t="str">
        <f>HYPERLINK("http://amigo.geneontology.org/cgi-bin/amigo/term-details.cgi?term=GO:0016160","GO:0016160")</f>
        <v>GO:0016160</v>
      </c>
      <c r="B1602" t="s">
        <v>403</v>
      </c>
      <c r="C1602">
        <v>65</v>
      </c>
      <c r="D1602">
        <v>7</v>
      </c>
      <c r="E1602">
        <v>2.7165851534415999E-2</v>
      </c>
      <c r="F1602">
        <v>5.4331703068831998E-2</v>
      </c>
      <c r="G1602" t="s">
        <v>1367</v>
      </c>
    </row>
    <row r="1603" spans="1:7" x14ac:dyDescent="0.25">
      <c r="A1603" s="4" t="str">
        <f>HYPERLINK("http://amigo.geneontology.org/cgi-bin/amigo/term-details.cgi?term=GO:0004177","GO:0004177")</f>
        <v>GO:0004177</v>
      </c>
      <c r="B1603" t="s">
        <v>602</v>
      </c>
      <c r="C1603">
        <v>65</v>
      </c>
      <c r="D1603">
        <v>7</v>
      </c>
      <c r="E1603">
        <v>2.7165851534415999E-2</v>
      </c>
      <c r="F1603">
        <v>5.4331703068831998E-2</v>
      </c>
      <c r="G1603" t="s">
        <v>601</v>
      </c>
    </row>
    <row r="1604" spans="1:7" x14ac:dyDescent="0.25">
      <c r="A1604" s="4" t="str">
        <f>HYPERLINK("http://amigo.geneontology.org/cgi-bin/amigo/term-details.cgi?term=GO:0008135","GO:0008135")</f>
        <v>GO:0008135</v>
      </c>
      <c r="B1604" t="s">
        <v>237</v>
      </c>
      <c r="C1604">
        <v>294</v>
      </c>
      <c r="D1604">
        <v>21</v>
      </c>
      <c r="E1604">
        <v>2.7239469447068201E-2</v>
      </c>
      <c r="F1604">
        <v>5.4478938894136401E-2</v>
      </c>
      <c r="G1604" t="s">
        <v>2563</v>
      </c>
    </row>
    <row r="1605" spans="1:7" x14ac:dyDescent="0.25">
      <c r="A1605" s="4" t="str">
        <f>HYPERLINK("http://amigo.geneontology.org/cgi-bin/amigo/term-details.cgi?term=GO:0006553","GO:0006553")</f>
        <v>GO:0006553</v>
      </c>
      <c r="B1605" t="s">
        <v>2562</v>
      </c>
      <c r="C1605">
        <v>38</v>
      </c>
      <c r="D1605">
        <v>5</v>
      </c>
      <c r="E1605">
        <v>2.73461513568811E-2</v>
      </c>
      <c r="F1605">
        <v>5.4692302713762297E-2</v>
      </c>
      <c r="G1605" t="s">
        <v>2561</v>
      </c>
    </row>
    <row r="1606" spans="1:7" x14ac:dyDescent="0.25">
      <c r="A1606" s="4" t="str">
        <f>HYPERLINK("http://amigo.geneontology.org/cgi-bin/amigo/term-details.cgi?term=GO:0097747","GO:0097747")</f>
        <v>GO:0097747</v>
      </c>
      <c r="B1606" t="s">
        <v>446</v>
      </c>
      <c r="C1606">
        <v>242</v>
      </c>
      <c r="D1606">
        <v>18</v>
      </c>
      <c r="E1606">
        <v>2.7476422898142099E-2</v>
      </c>
      <c r="F1606">
        <v>5.4952845796284198E-2</v>
      </c>
      <c r="G1606" t="s">
        <v>2559</v>
      </c>
    </row>
    <row r="1607" spans="1:7" x14ac:dyDescent="0.25">
      <c r="A1607" s="4" t="str">
        <f>HYPERLINK("http://amigo.geneontology.org/cgi-bin/amigo/term-details.cgi?term=GO:0034062","GO:0034062")</f>
        <v>GO:0034062</v>
      </c>
      <c r="B1607" t="s">
        <v>2560</v>
      </c>
      <c r="C1607">
        <v>242</v>
      </c>
      <c r="D1607">
        <v>18</v>
      </c>
      <c r="E1607">
        <v>2.7476422898142099E-2</v>
      </c>
      <c r="F1607">
        <v>5.4952845796284198E-2</v>
      </c>
      <c r="G1607" t="s">
        <v>2559</v>
      </c>
    </row>
    <row r="1608" spans="1:7" x14ac:dyDescent="0.25">
      <c r="A1608" s="4" t="str">
        <f>HYPERLINK("http://amigo.geneontology.org/cgi-bin/amigo/term-details.cgi?term=GO:0090066","GO:0090066")</f>
        <v>GO:0090066</v>
      </c>
      <c r="B1608" t="s">
        <v>2558</v>
      </c>
      <c r="C1608">
        <v>110</v>
      </c>
      <c r="D1608">
        <v>10</v>
      </c>
      <c r="E1608">
        <v>2.75402227763702E-2</v>
      </c>
      <c r="F1608">
        <v>5.5080445552740498E-2</v>
      </c>
      <c r="G1608" t="s">
        <v>2556</v>
      </c>
    </row>
    <row r="1609" spans="1:7" x14ac:dyDescent="0.25">
      <c r="A1609" s="4" t="str">
        <f>HYPERLINK("http://amigo.geneontology.org/cgi-bin/amigo/term-details.cgi?term=GO:0032535","GO:0032535")</f>
        <v>GO:0032535</v>
      </c>
      <c r="B1609" t="s">
        <v>2557</v>
      </c>
      <c r="C1609">
        <v>110</v>
      </c>
      <c r="D1609">
        <v>10</v>
      </c>
      <c r="E1609">
        <v>2.75402227763702E-2</v>
      </c>
      <c r="F1609">
        <v>5.5080445552740498E-2</v>
      </c>
      <c r="G1609" t="s">
        <v>2556</v>
      </c>
    </row>
    <row r="1610" spans="1:7" x14ac:dyDescent="0.25">
      <c r="A1610" s="4" t="str">
        <f>HYPERLINK("http://amigo.geneontology.org/cgi-bin/amigo/term-details.cgi?term=GO:0031122","GO:0031122")</f>
        <v>GO:0031122</v>
      </c>
      <c r="B1610" t="s">
        <v>1412</v>
      </c>
      <c r="C1610">
        <v>15</v>
      </c>
      <c r="D1610">
        <v>3</v>
      </c>
      <c r="E1610">
        <v>2.7939276948872601E-2</v>
      </c>
      <c r="F1610">
        <v>5.5878553897745299E-2</v>
      </c>
      <c r="G1610" t="s">
        <v>2555</v>
      </c>
    </row>
    <row r="1611" spans="1:7" x14ac:dyDescent="0.25">
      <c r="A1611" s="4" t="str">
        <f>HYPERLINK("http://amigo.geneontology.org/cgi-bin/amigo/term-details.cgi?term=GO:0008655","GO:0008655")</f>
        <v>GO:0008655</v>
      </c>
      <c r="B1611" t="s">
        <v>705</v>
      </c>
      <c r="C1611">
        <v>15</v>
      </c>
      <c r="D1611">
        <v>3</v>
      </c>
      <c r="E1611">
        <v>2.7939276948872601E-2</v>
      </c>
      <c r="F1611">
        <v>5.5878553897745299E-2</v>
      </c>
      <c r="G1611" t="s">
        <v>393</v>
      </c>
    </row>
    <row r="1612" spans="1:7" x14ac:dyDescent="0.25">
      <c r="A1612" s="4" t="str">
        <f>HYPERLINK("http://amigo.geneontology.org/cgi-bin/amigo/term-details.cgi?term=GO:0043044","GO:0043044")</f>
        <v>GO:0043044</v>
      </c>
      <c r="B1612" t="s">
        <v>610</v>
      </c>
      <c r="C1612">
        <v>15</v>
      </c>
      <c r="D1612">
        <v>3</v>
      </c>
      <c r="E1612">
        <v>2.7939276948872601E-2</v>
      </c>
      <c r="F1612">
        <v>5.5878553897745299E-2</v>
      </c>
      <c r="G1612" t="s">
        <v>541</v>
      </c>
    </row>
    <row r="1613" spans="1:7" x14ac:dyDescent="0.25">
      <c r="A1613" s="4" t="str">
        <f>HYPERLINK("http://amigo.geneontology.org/cgi-bin/amigo/term-details.cgi?term=GO:0070569","GO:0070569")</f>
        <v>GO:0070569</v>
      </c>
      <c r="B1613" t="s">
        <v>417</v>
      </c>
      <c r="C1613">
        <v>26</v>
      </c>
      <c r="D1613">
        <v>4</v>
      </c>
      <c r="E1613">
        <v>2.81539208851871E-2</v>
      </c>
      <c r="F1613">
        <v>5.6307841770374199E-2</v>
      </c>
      <c r="G1613" t="s">
        <v>1058</v>
      </c>
    </row>
    <row r="1614" spans="1:7" x14ac:dyDescent="0.25">
      <c r="A1614" s="4" t="str">
        <f>HYPERLINK("http://amigo.geneontology.org/cgi-bin/amigo/term-details.cgi?term=GO:0005978","GO:0005978")</f>
        <v>GO:0005978</v>
      </c>
      <c r="B1614" t="s">
        <v>1090</v>
      </c>
      <c r="C1614">
        <v>26</v>
      </c>
      <c r="D1614">
        <v>4</v>
      </c>
      <c r="E1614">
        <v>2.81539208851871E-2</v>
      </c>
      <c r="F1614">
        <v>5.6307841770374199E-2</v>
      </c>
      <c r="G1614" t="s">
        <v>1364</v>
      </c>
    </row>
    <row r="1615" spans="1:7" x14ac:dyDescent="0.25">
      <c r="A1615" s="4" t="str">
        <f>HYPERLINK("http://amigo.geneontology.org/cgi-bin/amigo/term-details.cgi?term=GO:0042180","GO:0042180")</f>
        <v>GO:0042180</v>
      </c>
      <c r="B1615" t="s">
        <v>2554</v>
      </c>
      <c r="C1615">
        <v>159</v>
      </c>
      <c r="D1615">
        <v>13</v>
      </c>
      <c r="E1615">
        <v>2.8909205600400299E-2</v>
      </c>
      <c r="F1615">
        <v>5.7818411200800598E-2</v>
      </c>
      <c r="G1615" t="s">
        <v>2553</v>
      </c>
    </row>
    <row r="1616" spans="1:7" x14ac:dyDescent="0.25">
      <c r="A1616" s="4" t="str">
        <f>HYPERLINK("http://amigo.geneontology.org/cgi-bin/amigo/term-details.cgi?term=GO:0034754","GO:0034754")</f>
        <v>GO:0034754</v>
      </c>
      <c r="B1616" t="s">
        <v>2552</v>
      </c>
      <c r="C1616">
        <v>111</v>
      </c>
      <c r="D1616">
        <v>10</v>
      </c>
      <c r="E1616">
        <v>2.9085561025985199E-2</v>
      </c>
      <c r="F1616">
        <v>5.8171122051970503E-2</v>
      </c>
      <c r="G1616" t="s">
        <v>2551</v>
      </c>
    </row>
    <row r="1617" spans="1:7" x14ac:dyDescent="0.25">
      <c r="A1617" s="4" t="str">
        <f>HYPERLINK("http://amigo.geneontology.org/cgi-bin/amigo/term-details.cgi?term=GO:0045143","GO:0045143")</f>
        <v>GO:0045143</v>
      </c>
      <c r="B1617" t="s">
        <v>2550</v>
      </c>
      <c r="C1617">
        <v>66</v>
      </c>
      <c r="D1617">
        <v>7</v>
      </c>
      <c r="E1617">
        <v>2.9244044924334502E-2</v>
      </c>
      <c r="F1617">
        <v>5.8488089848669003E-2</v>
      </c>
      <c r="G1617" t="s">
        <v>2483</v>
      </c>
    </row>
    <row r="1618" spans="1:7" x14ac:dyDescent="0.25">
      <c r="A1618" s="4" t="str">
        <f>HYPERLINK("http://amigo.geneontology.org/cgi-bin/amigo/term-details.cgi?term=GO:0016854","GO:0016854")</f>
        <v>GO:0016854</v>
      </c>
      <c r="B1618" t="s">
        <v>917</v>
      </c>
      <c r="C1618">
        <v>66</v>
      </c>
      <c r="D1618">
        <v>7</v>
      </c>
      <c r="E1618">
        <v>2.9244044924334502E-2</v>
      </c>
      <c r="F1618">
        <v>5.8488089848669003E-2</v>
      </c>
      <c r="G1618" t="s">
        <v>2549</v>
      </c>
    </row>
    <row r="1619" spans="1:7" x14ac:dyDescent="0.25">
      <c r="A1619" s="4" t="str">
        <f>HYPERLINK("http://amigo.geneontology.org/cgi-bin/amigo/term-details.cgi?term=GO:0031347","GO:0031347")</f>
        <v>GO:0031347</v>
      </c>
      <c r="B1619" t="s">
        <v>95</v>
      </c>
      <c r="C1619">
        <v>210</v>
      </c>
      <c r="D1619">
        <v>16</v>
      </c>
      <c r="E1619">
        <v>2.9853266218075401E-2</v>
      </c>
      <c r="F1619">
        <v>5.97065324361509E-2</v>
      </c>
      <c r="G1619" t="s">
        <v>2548</v>
      </c>
    </row>
    <row r="1620" spans="1:7" x14ac:dyDescent="0.25">
      <c r="A1620" s="4" t="str">
        <f>HYPERLINK("http://amigo.geneontology.org/cgi-bin/amigo/term-details.cgi?term=GO:0006012","GO:0006012")</f>
        <v>GO:0006012</v>
      </c>
      <c r="B1620" t="s">
        <v>123</v>
      </c>
      <c r="C1620">
        <v>39</v>
      </c>
      <c r="D1620">
        <v>5</v>
      </c>
      <c r="E1620">
        <v>3.0236243006206399E-2</v>
      </c>
      <c r="F1620">
        <v>6.0472486012412799E-2</v>
      </c>
      <c r="G1620" t="s">
        <v>2547</v>
      </c>
    </row>
    <row r="1621" spans="1:7" x14ac:dyDescent="0.25">
      <c r="A1621" s="4" t="str">
        <f>HYPERLINK("http://amigo.geneontology.org/cgi-bin/amigo/term-details.cgi?term=GO:0019867","GO:0019867")</f>
        <v>GO:0019867</v>
      </c>
      <c r="B1621" t="s">
        <v>2546</v>
      </c>
      <c r="C1621">
        <v>128</v>
      </c>
      <c r="D1621">
        <v>11</v>
      </c>
      <c r="E1621">
        <v>3.0923202297404001E-2</v>
      </c>
      <c r="F1621">
        <v>6.1846404594808002E-2</v>
      </c>
      <c r="G1621" t="s">
        <v>2545</v>
      </c>
    </row>
    <row r="1622" spans="1:7" x14ac:dyDescent="0.25">
      <c r="A1622" s="4" t="str">
        <f>HYPERLINK("http://amigo.geneontology.org/cgi-bin/amigo/term-details.cgi?term=GO:0044786","GO:0044786")</f>
        <v>GO:0044786</v>
      </c>
      <c r="B1622" t="s">
        <v>2544</v>
      </c>
      <c r="C1622">
        <v>67</v>
      </c>
      <c r="D1622">
        <v>7</v>
      </c>
      <c r="E1622">
        <v>3.1426818560921797E-2</v>
      </c>
      <c r="F1622">
        <v>6.2853637121843595E-2</v>
      </c>
      <c r="G1622" t="s">
        <v>2543</v>
      </c>
    </row>
    <row r="1623" spans="1:7" x14ac:dyDescent="0.25">
      <c r="A1623" s="4" t="str">
        <f>HYPERLINK("http://amigo.geneontology.org/cgi-bin/amigo/term-details.cgi?term=GO:0010181","GO:0010181")</f>
        <v>GO:0010181</v>
      </c>
      <c r="B1623" t="s">
        <v>209</v>
      </c>
      <c r="C1623">
        <v>161</v>
      </c>
      <c r="D1623">
        <v>13</v>
      </c>
      <c r="E1623">
        <v>3.1557384035038202E-2</v>
      </c>
      <c r="F1623">
        <v>6.3114768070076405E-2</v>
      </c>
      <c r="G1623" t="s">
        <v>2542</v>
      </c>
    </row>
    <row r="1624" spans="1:7" x14ac:dyDescent="0.25">
      <c r="A1624" s="4" t="str">
        <f>HYPERLINK("http://amigo.geneontology.org/cgi-bin/amigo/term-details.cgi?term=GO:0080134","GO:0080134")</f>
        <v>GO:0080134</v>
      </c>
      <c r="B1624" t="s">
        <v>966</v>
      </c>
      <c r="C1624">
        <v>246</v>
      </c>
      <c r="D1624">
        <v>18</v>
      </c>
      <c r="E1624">
        <v>3.15961596145145E-2</v>
      </c>
      <c r="F1624">
        <v>6.3192319229029001E-2</v>
      </c>
      <c r="G1624" t="s">
        <v>2541</v>
      </c>
    </row>
    <row r="1625" spans="1:7" x14ac:dyDescent="0.25">
      <c r="A1625" s="4" t="str">
        <f>HYPERLINK("http://amigo.geneontology.org/cgi-bin/amigo/term-details.cgi?term=GO:0046134","GO:0046134")</f>
        <v>GO:0046134</v>
      </c>
      <c r="B1625" t="s">
        <v>2540</v>
      </c>
      <c r="C1625">
        <v>53</v>
      </c>
      <c r="D1625">
        <v>6</v>
      </c>
      <c r="E1625">
        <v>3.1830086485890897E-2</v>
      </c>
      <c r="F1625">
        <v>6.3660172971781906E-2</v>
      </c>
      <c r="G1625" t="s">
        <v>2471</v>
      </c>
    </row>
    <row r="1626" spans="1:7" x14ac:dyDescent="0.25">
      <c r="A1626" s="4" t="str">
        <f>HYPERLINK("http://amigo.geneontology.org/cgi-bin/amigo/term-details.cgi?term=GO:0046132","GO:0046132")</f>
        <v>GO:0046132</v>
      </c>
      <c r="B1626" t="s">
        <v>2539</v>
      </c>
      <c r="C1626">
        <v>53</v>
      </c>
      <c r="D1626">
        <v>6</v>
      </c>
      <c r="E1626">
        <v>3.1830086485890897E-2</v>
      </c>
      <c r="F1626">
        <v>6.3660172971781906E-2</v>
      </c>
      <c r="G1626" t="s">
        <v>2471</v>
      </c>
    </row>
    <row r="1627" spans="1:7" x14ac:dyDescent="0.25">
      <c r="A1627" s="4" t="str">
        <f>HYPERLINK("http://amigo.geneontology.org/cgi-bin/amigo/term-details.cgi?term=GO:0001666","GO:0001666")</f>
        <v>GO:0001666</v>
      </c>
      <c r="B1627" t="s">
        <v>1634</v>
      </c>
      <c r="C1627">
        <v>27</v>
      </c>
      <c r="D1627">
        <v>4</v>
      </c>
      <c r="E1627">
        <v>3.19003948690696E-2</v>
      </c>
      <c r="F1627">
        <v>6.3800789738139199E-2</v>
      </c>
      <c r="G1627" t="s">
        <v>2323</v>
      </c>
    </row>
    <row r="1628" spans="1:7" x14ac:dyDescent="0.25">
      <c r="A1628" s="4" t="str">
        <f>HYPERLINK("http://amigo.geneontology.org/cgi-bin/amigo/term-details.cgi?term=GO:0046658","GO:0046658")</f>
        <v>GO:0046658</v>
      </c>
      <c r="B1628" t="s">
        <v>2538</v>
      </c>
      <c r="C1628">
        <v>27</v>
      </c>
      <c r="D1628">
        <v>4</v>
      </c>
      <c r="E1628">
        <v>3.19003948690696E-2</v>
      </c>
      <c r="F1628">
        <v>6.3800789738139199E-2</v>
      </c>
      <c r="G1628" t="s">
        <v>2537</v>
      </c>
    </row>
    <row r="1629" spans="1:7" x14ac:dyDescent="0.25">
      <c r="A1629" s="4" t="str">
        <f>HYPERLINK("http://amigo.geneontology.org/cgi-bin/amigo/term-details.cgi?term=GO:0016866","GO:0016866")</f>
        <v>GO:0016866</v>
      </c>
      <c r="B1629" t="s">
        <v>813</v>
      </c>
      <c r="C1629">
        <v>178</v>
      </c>
      <c r="D1629">
        <v>14</v>
      </c>
      <c r="E1629">
        <v>3.2030083455621201E-2</v>
      </c>
      <c r="F1629">
        <v>6.40601669112425E-2</v>
      </c>
      <c r="G1629" t="s">
        <v>1418</v>
      </c>
    </row>
    <row r="1630" spans="1:7" x14ac:dyDescent="0.25">
      <c r="A1630" s="4" t="str">
        <f>HYPERLINK("http://amigo.geneontology.org/cgi-bin/amigo/term-details.cgi?term=GO:0005769","GO:0005769")</f>
        <v>GO:0005769</v>
      </c>
      <c r="B1630" t="s">
        <v>2536</v>
      </c>
      <c r="C1630">
        <v>16</v>
      </c>
      <c r="D1630">
        <v>3</v>
      </c>
      <c r="E1630">
        <v>3.3255628839516597E-2</v>
      </c>
      <c r="F1630">
        <v>6.6511257679033306E-2</v>
      </c>
      <c r="G1630" t="s">
        <v>2535</v>
      </c>
    </row>
    <row r="1631" spans="1:7" x14ac:dyDescent="0.25">
      <c r="A1631" s="4" t="str">
        <f>HYPERLINK("http://amigo.geneontology.org/cgi-bin/amigo/term-details.cgi?term=GO:0042549","GO:0042549")</f>
        <v>GO:0042549</v>
      </c>
      <c r="B1631" t="s">
        <v>1047</v>
      </c>
      <c r="C1631">
        <v>16</v>
      </c>
      <c r="D1631">
        <v>3</v>
      </c>
      <c r="E1631">
        <v>3.3255628839516597E-2</v>
      </c>
      <c r="F1631">
        <v>6.6511257679033306E-2</v>
      </c>
      <c r="G1631" t="s">
        <v>1046</v>
      </c>
    </row>
    <row r="1632" spans="1:7" x14ac:dyDescent="0.25">
      <c r="A1632" s="4" t="str">
        <f>HYPERLINK("http://amigo.geneontology.org/cgi-bin/amigo/term-details.cgi?term=GO:0001676","GO:0001676")</f>
        <v>GO:0001676</v>
      </c>
      <c r="B1632" t="s">
        <v>2534</v>
      </c>
      <c r="C1632">
        <v>16</v>
      </c>
      <c r="D1632">
        <v>3</v>
      </c>
      <c r="E1632">
        <v>3.3255628839516597E-2</v>
      </c>
      <c r="F1632">
        <v>6.6511257679033306E-2</v>
      </c>
      <c r="G1632" t="s">
        <v>2363</v>
      </c>
    </row>
    <row r="1633" spans="1:7" x14ac:dyDescent="0.25">
      <c r="A1633" s="4" t="str">
        <f>HYPERLINK("http://amigo.geneontology.org/cgi-bin/amigo/term-details.cgi?term=GO:0004824","GO:0004824")</f>
        <v>GO:0004824</v>
      </c>
      <c r="B1633" t="s">
        <v>486</v>
      </c>
      <c r="C1633">
        <v>16</v>
      </c>
      <c r="D1633">
        <v>3</v>
      </c>
      <c r="E1633">
        <v>3.3255628839516597E-2</v>
      </c>
      <c r="F1633">
        <v>6.6511257679033306E-2</v>
      </c>
      <c r="G1633" t="s">
        <v>484</v>
      </c>
    </row>
    <row r="1634" spans="1:7" x14ac:dyDescent="0.25">
      <c r="A1634" s="4" t="str">
        <f>HYPERLINK("http://amigo.geneontology.org/cgi-bin/amigo/term-details.cgi?term=GO:0006430","GO:0006430")</f>
        <v>GO:0006430</v>
      </c>
      <c r="B1634" t="s">
        <v>485</v>
      </c>
      <c r="C1634">
        <v>16</v>
      </c>
      <c r="D1634">
        <v>3</v>
      </c>
      <c r="E1634">
        <v>3.3255628839516597E-2</v>
      </c>
      <c r="F1634">
        <v>6.6511257679033306E-2</v>
      </c>
      <c r="G1634" t="s">
        <v>484</v>
      </c>
    </row>
    <row r="1635" spans="1:7" x14ac:dyDescent="0.25">
      <c r="A1635" s="4" t="str">
        <f>HYPERLINK("http://amigo.geneontology.org/cgi-bin/amigo/term-details.cgi?term=GO:0006743","GO:0006743")</f>
        <v>GO:0006743</v>
      </c>
      <c r="B1635" t="s">
        <v>1475</v>
      </c>
      <c r="C1635">
        <v>40</v>
      </c>
      <c r="D1635">
        <v>5</v>
      </c>
      <c r="E1635">
        <v>3.3311161613773801E-2</v>
      </c>
      <c r="F1635">
        <v>6.66223232275477E-2</v>
      </c>
      <c r="G1635" t="s">
        <v>2533</v>
      </c>
    </row>
    <row r="1636" spans="1:7" x14ac:dyDescent="0.25">
      <c r="A1636" s="4" t="str">
        <f>HYPERLINK("http://amigo.geneontology.org/cgi-bin/amigo/term-details.cgi?term=GO:0006744","GO:0006744")</f>
        <v>GO:0006744</v>
      </c>
      <c r="B1636" t="s">
        <v>1474</v>
      </c>
      <c r="C1636">
        <v>40</v>
      </c>
      <c r="D1636">
        <v>5</v>
      </c>
      <c r="E1636">
        <v>3.3311161613773801E-2</v>
      </c>
      <c r="F1636">
        <v>6.66223232275477E-2</v>
      </c>
      <c r="G1636" t="s">
        <v>2533</v>
      </c>
    </row>
    <row r="1637" spans="1:7" x14ac:dyDescent="0.25">
      <c r="A1637" s="4" t="str">
        <f>HYPERLINK("http://amigo.geneontology.org/cgi-bin/amigo/term-details.cgi?term=GO:0010048","GO:0010048")</f>
        <v>GO:0010048</v>
      </c>
      <c r="B1637" t="s">
        <v>2532</v>
      </c>
      <c r="C1637">
        <v>40</v>
      </c>
      <c r="D1637">
        <v>5</v>
      </c>
      <c r="E1637">
        <v>3.3311161613773801E-2</v>
      </c>
      <c r="F1637">
        <v>6.66223232275477E-2</v>
      </c>
      <c r="G1637" t="s">
        <v>2531</v>
      </c>
    </row>
    <row r="1638" spans="1:7" x14ac:dyDescent="0.25">
      <c r="A1638" s="4" t="str">
        <f>HYPERLINK("http://amigo.geneontology.org/cgi-bin/amigo/term-details.cgi?term=GO:0004427","GO:0004427")</f>
        <v>GO:0004427</v>
      </c>
      <c r="B1638" t="s">
        <v>1227</v>
      </c>
      <c r="C1638">
        <v>40</v>
      </c>
      <c r="D1638">
        <v>5</v>
      </c>
      <c r="E1638">
        <v>3.3311161613773801E-2</v>
      </c>
      <c r="F1638">
        <v>6.66223232275477E-2</v>
      </c>
      <c r="G1638" t="s">
        <v>1226</v>
      </c>
    </row>
    <row r="1639" spans="1:7" x14ac:dyDescent="0.25">
      <c r="A1639" s="4" t="str">
        <f>HYPERLINK("http://amigo.geneontology.org/cgi-bin/amigo/term-details.cgi?term=GO:0043492","GO:0043492")</f>
        <v>GO:0043492</v>
      </c>
      <c r="B1639" t="s">
        <v>345</v>
      </c>
      <c r="C1639">
        <v>429</v>
      </c>
      <c r="D1639">
        <v>28</v>
      </c>
      <c r="E1639">
        <v>3.4805663594915201E-2</v>
      </c>
      <c r="F1639">
        <v>6.9611327189830499E-2</v>
      </c>
      <c r="G1639" t="s">
        <v>2530</v>
      </c>
    </row>
    <row r="1640" spans="1:7" x14ac:dyDescent="0.25">
      <c r="A1640" s="4" t="str">
        <f>HYPERLINK("http://amigo.geneontology.org/cgi-bin/amigo/term-details.cgi?term=GO:0015934","GO:0015934")</f>
        <v>GO:0015934</v>
      </c>
      <c r="B1640" t="s">
        <v>2529</v>
      </c>
      <c r="C1640">
        <v>131</v>
      </c>
      <c r="D1640">
        <v>11</v>
      </c>
      <c r="E1640">
        <v>3.5750610579900602E-2</v>
      </c>
      <c r="F1640">
        <v>7.1501221159801204E-2</v>
      </c>
      <c r="G1640" t="s">
        <v>2528</v>
      </c>
    </row>
    <row r="1641" spans="1:7" x14ac:dyDescent="0.25">
      <c r="A1641" s="4" t="str">
        <f>HYPERLINK("http://amigo.geneontology.org/cgi-bin/amigo/term-details.cgi?term=GO:0044433","GO:0044433")</f>
        <v>GO:0044433</v>
      </c>
      <c r="B1641" t="s">
        <v>477</v>
      </c>
      <c r="C1641">
        <v>131</v>
      </c>
      <c r="D1641">
        <v>11</v>
      </c>
      <c r="E1641">
        <v>3.5750610579900602E-2</v>
      </c>
      <c r="F1641">
        <v>7.1501221159801204E-2</v>
      </c>
      <c r="G1641" t="s">
        <v>2527</v>
      </c>
    </row>
    <row r="1642" spans="1:7" x14ac:dyDescent="0.25">
      <c r="A1642" s="4" t="str">
        <f>HYPERLINK("http://amigo.geneontology.org/cgi-bin/amigo/term-details.cgi?term=GO:0033500","GO:0033500")</f>
        <v>GO:0033500</v>
      </c>
      <c r="B1642" t="s">
        <v>1042</v>
      </c>
      <c r="C1642">
        <v>28</v>
      </c>
      <c r="D1642">
        <v>4</v>
      </c>
      <c r="E1642">
        <v>3.5924765646356702E-2</v>
      </c>
      <c r="F1642">
        <v>7.18495312927135E-2</v>
      </c>
      <c r="G1642" t="s">
        <v>1037</v>
      </c>
    </row>
    <row r="1643" spans="1:7" x14ac:dyDescent="0.25">
      <c r="A1643" s="4" t="str">
        <f>HYPERLINK("http://amigo.geneontology.org/cgi-bin/amigo/term-details.cgi?term=GO:0042593","GO:0042593")</f>
        <v>GO:0042593</v>
      </c>
      <c r="B1643" t="s">
        <v>1041</v>
      </c>
      <c r="C1643">
        <v>28</v>
      </c>
      <c r="D1643">
        <v>4</v>
      </c>
      <c r="E1643">
        <v>3.5924765646356702E-2</v>
      </c>
      <c r="F1643">
        <v>7.18495312927135E-2</v>
      </c>
      <c r="G1643" t="s">
        <v>1037</v>
      </c>
    </row>
    <row r="1644" spans="1:7" x14ac:dyDescent="0.25">
      <c r="A1644" s="4" t="str">
        <f>HYPERLINK("http://amigo.geneontology.org/cgi-bin/amigo/term-details.cgi?term=GO:0001678","GO:0001678")</f>
        <v>GO:0001678</v>
      </c>
      <c r="B1644" t="s">
        <v>1040</v>
      </c>
      <c r="C1644">
        <v>28</v>
      </c>
      <c r="D1644">
        <v>4</v>
      </c>
      <c r="E1644">
        <v>3.5924765646356702E-2</v>
      </c>
      <c r="F1644">
        <v>7.18495312927135E-2</v>
      </c>
      <c r="G1644" t="s">
        <v>1037</v>
      </c>
    </row>
    <row r="1645" spans="1:7" x14ac:dyDescent="0.25">
      <c r="A1645" s="4" t="str">
        <f>HYPERLINK("http://amigo.geneontology.org/cgi-bin/amigo/term-details.cgi?term=GO:0004396","GO:0004396")</f>
        <v>GO:0004396</v>
      </c>
      <c r="B1645" t="s">
        <v>1039</v>
      </c>
      <c r="C1645">
        <v>28</v>
      </c>
      <c r="D1645">
        <v>4</v>
      </c>
      <c r="E1645">
        <v>3.5924765646356702E-2</v>
      </c>
      <c r="F1645">
        <v>7.18495312927135E-2</v>
      </c>
      <c r="G1645" t="s">
        <v>1037</v>
      </c>
    </row>
    <row r="1646" spans="1:7" x14ac:dyDescent="0.25">
      <c r="A1646" s="4" t="str">
        <f>HYPERLINK("http://amigo.geneontology.org/cgi-bin/amigo/term-details.cgi?term=GO:0005536","GO:0005536")</f>
        <v>GO:0005536</v>
      </c>
      <c r="B1646" t="s">
        <v>1038</v>
      </c>
      <c r="C1646">
        <v>28</v>
      </c>
      <c r="D1646">
        <v>4</v>
      </c>
      <c r="E1646">
        <v>3.5924765646356702E-2</v>
      </c>
      <c r="F1646">
        <v>7.18495312927135E-2</v>
      </c>
      <c r="G1646" t="s">
        <v>1037</v>
      </c>
    </row>
    <row r="1647" spans="1:7" x14ac:dyDescent="0.25">
      <c r="A1647" s="4" t="str">
        <f>HYPERLINK("http://amigo.geneontology.org/cgi-bin/amigo/term-details.cgi?term=GO:0042127","GO:0042127")</f>
        <v>GO:0042127</v>
      </c>
      <c r="B1647" t="s">
        <v>2526</v>
      </c>
      <c r="C1647">
        <v>69</v>
      </c>
      <c r="D1647">
        <v>7</v>
      </c>
      <c r="E1647">
        <v>3.6113360218365399E-2</v>
      </c>
      <c r="F1647">
        <v>7.2226720436730799E-2</v>
      </c>
      <c r="G1647" t="s">
        <v>2525</v>
      </c>
    </row>
    <row r="1648" spans="1:7" x14ac:dyDescent="0.25">
      <c r="A1648" s="4" t="str">
        <f>HYPERLINK("http://amigo.geneontology.org/cgi-bin/amigo/term-details.cgi?term=GO:1903409","GO:1903409")</f>
        <v>GO:1903409</v>
      </c>
      <c r="B1648" t="s">
        <v>2524</v>
      </c>
      <c r="C1648">
        <v>41</v>
      </c>
      <c r="D1648">
        <v>5</v>
      </c>
      <c r="E1648">
        <v>3.6573404513118801E-2</v>
      </c>
      <c r="F1648">
        <v>7.31468090262377E-2</v>
      </c>
      <c r="G1648" t="s">
        <v>2523</v>
      </c>
    </row>
    <row r="1649" spans="1:7" x14ac:dyDescent="0.25">
      <c r="A1649" s="4" t="str">
        <f>HYPERLINK("http://amigo.geneontology.org/cgi-bin/amigo/term-details.cgi?term=GO:0044248","GO:0044248")</f>
        <v>GO:0044248</v>
      </c>
      <c r="B1649" t="s">
        <v>1906</v>
      </c>
      <c r="C1649">
        <v>2129</v>
      </c>
      <c r="D1649">
        <v>114</v>
      </c>
      <c r="E1649">
        <v>3.6604576767894102E-2</v>
      </c>
      <c r="F1649">
        <v>7.3209153535788205E-2</v>
      </c>
      <c r="G1649" t="s">
        <v>2522</v>
      </c>
    </row>
    <row r="1650" spans="1:7" x14ac:dyDescent="0.25">
      <c r="A1650" s="4" t="str">
        <f>HYPERLINK("http://amigo.geneontology.org/cgi-bin/amigo/term-details.cgi?term=GO:0003873","GO:0003873")</f>
        <v>GO:0003873</v>
      </c>
      <c r="B1650" t="s">
        <v>2521</v>
      </c>
      <c r="C1650">
        <v>7</v>
      </c>
      <c r="D1650">
        <v>2</v>
      </c>
      <c r="E1650">
        <v>3.6875374603432098E-2</v>
      </c>
      <c r="F1650">
        <v>7.3750749206864294E-2</v>
      </c>
      <c r="G1650" t="s">
        <v>2519</v>
      </c>
    </row>
    <row r="1651" spans="1:7" x14ac:dyDescent="0.25">
      <c r="A1651" s="4" t="str">
        <f>HYPERLINK("http://amigo.geneontology.org/cgi-bin/amigo/term-details.cgi?term=GO:0006003","GO:0006003")</f>
        <v>GO:0006003</v>
      </c>
      <c r="B1651" t="s">
        <v>2520</v>
      </c>
      <c r="C1651">
        <v>7</v>
      </c>
      <c r="D1651">
        <v>2</v>
      </c>
      <c r="E1651">
        <v>3.6875374603432098E-2</v>
      </c>
      <c r="F1651">
        <v>7.3750749206864294E-2</v>
      </c>
      <c r="G1651" t="s">
        <v>2519</v>
      </c>
    </row>
    <row r="1652" spans="1:7" x14ac:dyDescent="0.25">
      <c r="A1652" s="4" t="str">
        <f>HYPERLINK("http://amigo.geneontology.org/cgi-bin/amigo/term-details.cgi?term=GO:0042159","GO:0042159")</f>
        <v>GO:0042159</v>
      </c>
      <c r="B1652" t="s">
        <v>2518</v>
      </c>
      <c r="C1652">
        <v>7</v>
      </c>
      <c r="D1652">
        <v>2</v>
      </c>
      <c r="E1652">
        <v>3.6875374603432098E-2</v>
      </c>
      <c r="F1652">
        <v>7.3750749206864294E-2</v>
      </c>
      <c r="G1652" t="s">
        <v>2514</v>
      </c>
    </row>
    <row r="1653" spans="1:7" x14ac:dyDescent="0.25">
      <c r="A1653" s="4" t="str">
        <f>HYPERLINK("http://amigo.geneontology.org/cgi-bin/amigo/term-details.cgi?term=GO:0098734","GO:0098734")</f>
        <v>GO:0098734</v>
      </c>
      <c r="B1653" t="s">
        <v>2517</v>
      </c>
      <c r="C1653">
        <v>7</v>
      </c>
      <c r="D1653">
        <v>2</v>
      </c>
      <c r="E1653">
        <v>3.6875374603432098E-2</v>
      </c>
      <c r="F1653">
        <v>7.3750749206864294E-2</v>
      </c>
      <c r="G1653" t="s">
        <v>2514</v>
      </c>
    </row>
    <row r="1654" spans="1:7" x14ac:dyDescent="0.25">
      <c r="A1654" s="4" t="str">
        <f>HYPERLINK("http://amigo.geneontology.org/cgi-bin/amigo/term-details.cgi?term=GO:0002084","GO:0002084")</f>
        <v>GO:0002084</v>
      </c>
      <c r="B1654" t="s">
        <v>2516</v>
      </c>
      <c r="C1654">
        <v>7</v>
      </c>
      <c r="D1654">
        <v>2</v>
      </c>
      <c r="E1654">
        <v>3.6875374603432098E-2</v>
      </c>
      <c r="F1654">
        <v>7.3750749206864294E-2</v>
      </c>
      <c r="G1654" t="s">
        <v>2514</v>
      </c>
    </row>
    <row r="1655" spans="1:7" x14ac:dyDescent="0.25">
      <c r="A1655" s="4" t="str">
        <f>HYPERLINK("http://amigo.geneontology.org/cgi-bin/amigo/term-details.cgi?term=GO:0008474","GO:0008474")</f>
        <v>GO:0008474</v>
      </c>
      <c r="B1655" t="s">
        <v>2515</v>
      </c>
      <c r="C1655">
        <v>7</v>
      </c>
      <c r="D1655">
        <v>2</v>
      </c>
      <c r="E1655">
        <v>3.6875374603432098E-2</v>
      </c>
      <c r="F1655">
        <v>7.3750749206864294E-2</v>
      </c>
      <c r="G1655" t="s">
        <v>2514</v>
      </c>
    </row>
    <row r="1656" spans="1:7" x14ac:dyDescent="0.25">
      <c r="A1656" s="4" t="str">
        <f>HYPERLINK("http://amigo.geneontology.org/cgi-bin/amigo/term-details.cgi?term=GO:0047484","GO:0047484")</f>
        <v>GO:0047484</v>
      </c>
      <c r="B1656" t="s">
        <v>2513</v>
      </c>
      <c r="C1656">
        <v>7</v>
      </c>
      <c r="D1656">
        <v>2</v>
      </c>
      <c r="E1656">
        <v>3.6875374603432098E-2</v>
      </c>
      <c r="F1656">
        <v>7.3750749206864294E-2</v>
      </c>
      <c r="G1656" t="s">
        <v>2512</v>
      </c>
    </row>
    <row r="1657" spans="1:7" x14ac:dyDescent="0.25">
      <c r="A1657" s="4" t="str">
        <f>HYPERLINK("http://amigo.geneontology.org/cgi-bin/amigo/term-details.cgi?term=GO:0030894","GO:0030894")</f>
        <v>GO:0030894</v>
      </c>
      <c r="B1657" t="s">
        <v>2511</v>
      </c>
      <c r="C1657">
        <v>7</v>
      </c>
      <c r="D1657">
        <v>2</v>
      </c>
      <c r="E1657">
        <v>3.6875374603432098E-2</v>
      </c>
      <c r="F1657">
        <v>7.3750749206864294E-2</v>
      </c>
      <c r="G1657" t="s">
        <v>2510</v>
      </c>
    </row>
    <row r="1658" spans="1:7" x14ac:dyDescent="0.25">
      <c r="A1658" s="4" t="str">
        <f>HYPERLINK("http://amigo.geneontology.org/cgi-bin/amigo/term-details.cgi?term=GO:0009558","GO:0009558")</f>
        <v>GO:0009558</v>
      </c>
      <c r="B1658" t="s">
        <v>2509</v>
      </c>
      <c r="C1658">
        <v>7</v>
      </c>
      <c r="D1658">
        <v>2</v>
      </c>
      <c r="E1658">
        <v>3.6875374603432098E-2</v>
      </c>
      <c r="F1658">
        <v>7.3750749206864294E-2</v>
      </c>
      <c r="G1658" t="s">
        <v>2508</v>
      </c>
    </row>
    <row r="1659" spans="1:7" x14ac:dyDescent="0.25">
      <c r="A1659" s="4" t="str">
        <f>HYPERLINK("http://amigo.geneontology.org/cgi-bin/amigo/term-details.cgi?term=GO:0097503","GO:0097503")</f>
        <v>GO:0097503</v>
      </c>
      <c r="B1659" t="s">
        <v>2507</v>
      </c>
      <c r="C1659">
        <v>7</v>
      </c>
      <c r="D1659">
        <v>2</v>
      </c>
      <c r="E1659">
        <v>3.6875374603432098E-2</v>
      </c>
      <c r="F1659">
        <v>7.3750749206864294E-2</v>
      </c>
      <c r="G1659" t="s">
        <v>2506</v>
      </c>
    </row>
    <row r="1660" spans="1:7" x14ac:dyDescent="0.25">
      <c r="A1660" s="4" t="str">
        <f>HYPERLINK("http://amigo.geneontology.org/cgi-bin/amigo/term-details.cgi?term=GO:0016123","GO:0016123")</f>
        <v>GO:0016123</v>
      </c>
      <c r="B1660" t="s">
        <v>2505</v>
      </c>
      <c r="C1660">
        <v>7</v>
      </c>
      <c r="D1660">
        <v>2</v>
      </c>
      <c r="E1660">
        <v>3.6875374603432098E-2</v>
      </c>
      <c r="F1660">
        <v>7.3750749206864294E-2</v>
      </c>
      <c r="G1660" t="s">
        <v>2504</v>
      </c>
    </row>
    <row r="1661" spans="1:7" x14ac:dyDescent="0.25">
      <c r="A1661" s="4" t="str">
        <f>HYPERLINK("http://amigo.geneontology.org/cgi-bin/amigo/term-details.cgi?term=GO:0044208","GO:0044208")</f>
        <v>GO:0044208</v>
      </c>
      <c r="B1661" t="s">
        <v>2503</v>
      </c>
      <c r="C1661">
        <v>7</v>
      </c>
      <c r="D1661">
        <v>2</v>
      </c>
      <c r="E1661">
        <v>3.6875374603432098E-2</v>
      </c>
      <c r="F1661">
        <v>7.3750749206864294E-2</v>
      </c>
      <c r="G1661" t="s">
        <v>1328</v>
      </c>
    </row>
    <row r="1662" spans="1:7" x14ac:dyDescent="0.25">
      <c r="A1662" s="4" t="str">
        <f>HYPERLINK("http://amigo.geneontology.org/cgi-bin/amigo/term-details.cgi?term=GO:0009870","GO:0009870")</f>
        <v>GO:0009870</v>
      </c>
      <c r="B1662" t="s">
        <v>2502</v>
      </c>
      <c r="C1662">
        <v>7</v>
      </c>
      <c r="D1662">
        <v>2</v>
      </c>
      <c r="E1662">
        <v>3.6875374603432098E-2</v>
      </c>
      <c r="F1662">
        <v>7.3750749206864294E-2</v>
      </c>
      <c r="G1662" t="s">
        <v>2501</v>
      </c>
    </row>
    <row r="1663" spans="1:7" x14ac:dyDescent="0.25">
      <c r="A1663" s="4" t="str">
        <f>HYPERLINK("http://amigo.geneontology.org/cgi-bin/amigo/term-details.cgi?term=GO:0005846","GO:0005846")</f>
        <v>GO:0005846</v>
      </c>
      <c r="B1663" t="s">
        <v>2500</v>
      </c>
      <c r="C1663">
        <v>7</v>
      </c>
      <c r="D1663">
        <v>2</v>
      </c>
      <c r="E1663">
        <v>3.6875374603432098E-2</v>
      </c>
      <c r="F1663">
        <v>7.3750749206864294E-2</v>
      </c>
      <c r="G1663" t="s">
        <v>2499</v>
      </c>
    </row>
    <row r="1664" spans="1:7" x14ac:dyDescent="0.25">
      <c r="A1664" s="4" t="str">
        <f>HYPERLINK("http://amigo.geneontology.org/cgi-bin/amigo/term-details.cgi?term=GO:0004750","GO:0004750")</f>
        <v>GO:0004750</v>
      </c>
      <c r="B1664" t="s">
        <v>1320</v>
      </c>
      <c r="C1664">
        <v>7</v>
      </c>
      <c r="D1664">
        <v>2</v>
      </c>
      <c r="E1664">
        <v>3.6875374603432098E-2</v>
      </c>
      <c r="F1664">
        <v>7.3750749206864294E-2</v>
      </c>
      <c r="G1664" t="s">
        <v>1319</v>
      </c>
    </row>
    <row r="1665" spans="1:7" x14ac:dyDescent="0.25">
      <c r="A1665" s="4" t="str">
        <f>HYPERLINK("http://amigo.geneontology.org/cgi-bin/amigo/term-details.cgi?term=GO:0008831","GO:0008831")</f>
        <v>GO:0008831</v>
      </c>
      <c r="B1665" t="s">
        <v>2498</v>
      </c>
      <c r="C1665">
        <v>7</v>
      </c>
      <c r="D1665">
        <v>2</v>
      </c>
      <c r="E1665">
        <v>3.6875374603432098E-2</v>
      </c>
      <c r="F1665">
        <v>7.3750749206864294E-2</v>
      </c>
      <c r="G1665" t="s">
        <v>2495</v>
      </c>
    </row>
    <row r="1666" spans="1:7" x14ac:dyDescent="0.25">
      <c r="A1666" s="4" t="str">
        <f>HYPERLINK("http://amigo.geneontology.org/cgi-bin/amigo/term-details.cgi?term=GO:0046379","GO:0046379")</f>
        <v>GO:0046379</v>
      </c>
      <c r="B1666" t="s">
        <v>2497</v>
      </c>
      <c r="C1666">
        <v>7</v>
      </c>
      <c r="D1666">
        <v>2</v>
      </c>
      <c r="E1666">
        <v>3.6875374603432098E-2</v>
      </c>
      <c r="F1666">
        <v>7.3750749206864294E-2</v>
      </c>
      <c r="G1666" t="s">
        <v>2495</v>
      </c>
    </row>
    <row r="1667" spans="1:7" x14ac:dyDescent="0.25">
      <c r="A1667" s="4" t="str">
        <f>HYPERLINK("http://amigo.geneontology.org/cgi-bin/amigo/term-details.cgi?term=GO:0045226","GO:0045226")</f>
        <v>GO:0045226</v>
      </c>
      <c r="B1667" t="s">
        <v>2496</v>
      </c>
      <c r="C1667">
        <v>7</v>
      </c>
      <c r="D1667">
        <v>2</v>
      </c>
      <c r="E1667">
        <v>3.6875374603432098E-2</v>
      </c>
      <c r="F1667">
        <v>7.3750749206864294E-2</v>
      </c>
      <c r="G1667" t="s">
        <v>2495</v>
      </c>
    </row>
    <row r="1668" spans="1:7" x14ac:dyDescent="0.25">
      <c r="A1668" s="4" t="str">
        <f>HYPERLINK("http://amigo.geneontology.org/cgi-bin/amigo/term-details.cgi?term=GO:0016728","GO:0016728")</f>
        <v>GO:0016728</v>
      </c>
      <c r="B1668" t="s">
        <v>1294</v>
      </c>
      <c r="C1668">
        <v>7</v>
      </c>
      <c r="D1668">
        <v>2</v>
      </c>
      <c r="E1668">
        <v>3.6875374603432098E-2</v>
      </c>
      <c r="F1668">
        <v>7.3750749206864294E-2</v>
      </c>
      <c r="G1668" t="s">
        <v>1291</v>
      </c>
    </row>
    <row r="1669" spans="1:7" x14ac:dyDescent="0.25">
      <c r="A1669" s="4" t="str">
        <f>HYPERLINK("http://amigo.geneontology.org/cgi-bin/amigo/term-details.cgi?term=GO:0061731","GO:0061731")</f>
        <v>GO:0061731</v>
      </c>
      <c r="B1669" t="s">
        <v>1293</v>
      </c>
      <c r="C1669">
        <v>7</v>
      </c>
      <c r="D1669">
        <v>2</v>
      </c>
      <c r="E1669">
        <v>3.6875374603432098E-2</v>
      </c>
      <c r="F1669">
        <v>7.3750749206864294E-2</v>
      </c>
      <c r="G1669" t="s">
        <v>1291</v>
      </c>
    </row>
    <row r="1670" spans="1:7" x14ac:dyDescent="0.25">
      <c r="A1670" s="4" t="str">
        <f>HYPERLINK("http://amigo.geneontology.org/cgi-bin/amigo/term-details.cgi?term=GO:0004748","GO:0004748")</f>
        <v>GO:0004748</v>
      </c>
      <c r="B1670" t="s">
        <v>1292</v>
      </c>
      <c r="C1670">
        <v>7</v>
      </c>
      <c r="D1670">
        <v>2</v>
      </c>
      <c r="E1670">
        <v>3.6875374603432098E-2</v>
      </c>
      <c r="F1670">
        <v>7.3750749206864294E-2</v>
      </c>
      <c r="G1670" t="s">
        <v>1291</v>
      </c>
    </row>
    <row r="1671" spans="1:7" x14ac:dyDescent="0.25">
      <c r="A1671" s="4" t="str">
        <f>HYPERLINK("http://amigo.geneontology.org/cgi-bin/amigo/term-details.cgi?term=GO:0071495","GO:0071495")</f>
        <v>GO:0071495</v>
      </c>
      <c r="B1671" t="s">
        <v>1313</v>
      </c>
      <c r="C1671">
        <v>413</v>
      </c>
      <c r="D1671">
        <v>27</v>
      </c>
      <c r="E1671">
        <v>3.6987151169133897E-2</v>
      </c>
      <c r="F1671">
        <v>7.3974302338267794E-2</v>
      </c>
      <c r="G1671" t="s">
        <v>2494</v>
      </c>
    </row>
    <row r="1672" spans="1:7" x14ac:dyDescent="0.25">
      <c r="A1672" s="4" t="str">
        <f>HYPERLINK("http://amigo.geneontology.org/cgi-bin/amigo/term-details.cgi?term=GO:0032870","GO:0032870")</f>
        <v>GO:0032870</v>
      </c>
      <c r="B1672" t="s">
        <v>1312</v>
      </c>
      <c r="C1672">
        <v>413</v>
      </c>
      <c r="D1672">
        <v>27</v>
      </c>
      <c r="E1672">
        <v>3.6987151169133897E-2</v>
      </c>
      <c r="F1672">
        <v>7.3974302338267794E-2</v>
      </c>
      <c r="G1672" t="s">
        <v>2494</v>
      </c>
    </row>
    <row r="1673" spans="1:7" x14ac:dyDescent="0.25">
      <c r="A1673" s="4" t="str">
        <f>HYPERLINK("http://amigo.geneontology.org/cgi-bin/amigo/term-details.cgi?term=GO:0071806","GO:0071806")</f>
        <v>GO:0071806</v>
      </c>
      <c r="B1673" t="s">
        <v>2493</v>
      </c>
      <c r="C1673">
        <v>132</v>
      </c>
      <c r="D1673">
        <v>11</v>
      </c>
      <c r="E1673">
        <v>3.7471046199738803E-2</v>
      </c>
      <c r="F1673">
        <v>7.4942092399477703E-2</v>
      </c>
      <c r="G1673" t="s">
        <v>2492</v>
      </c>
    </row>
    <row r="1674" spans="1:7" x14ac:dyDescent="0.25">
      <c r="A1674" s="4" t="str">
        <f>HYPERLINK("http://amigo.geneontology.org/cgi-bin/amigo/term-details.cgi?term=GO:0016903","GO:0016903")</f>
        <v>GO:0016903</v>
      </c>
      <c r="B1674" t="s">
        <v>810</v>
      </c>
      <c r="C1674">
        <v>182</v>
      </c>
      <c r="D1674">
        <v>14</v>
      </c>
      <c r="E1674">
        <v>3.75792924870628E-2</v>
      </c>
      <c r="F1674">
        <v>7.51585849741256E-2</v>
      </c>
      <c r="G1674" t="s">
        <v>2491</v>
      </c>
    </row>
    <row r="1675" spans="1:7" x14ac:dyDescent="0.25">
      <c r="A1675" s="4" t="str">
        <f>HYPERLINK("http://amigo.geneontology.org/cgi-bin/amigo/term-details.cgi?term=GO:0042430","GO:0042430")</f>
        <v>GO:0042430</v>
      </c>
      <c r="B1675" t="s">
        <v>355</v>
      </c>
      <c r="C1675">
        <v>116</v>
      </c>
      <c r="D1675">
        <v>10</v>
      </c>
      <c r="E1675">
        <v>3.7739118266739799E-2</v>
      </c>
      <c r="F1675">
        <v>7.5478236533479598E-2</v>
      </c>
      <c r="G1675" t="s">
        <v>2490</v>
      </c>
    </row>
    <row r="1676" spans="1:7" x14ac:dyDescent="0.25">
      <c r="A1676" s="4" t="str">
        <f>HYPERLINK("http://amigo.geneontology.org/cgi-bin/amigo/term-details.cgi?term=GO:0015399","GO:0015399")</f>
        <v>GO:0015399</v>
      </c>
      <c r="B1676" t="s">
        <v>278</v>
      </c>
      <c r="C1676">
        <v>470</v>
      </c>
      <c r="D1676">
        <v>30</v>
      </c>
      <c r="E1676">
        <v>3.8262808656019401E-2</v>
      </c>
      <c r="F1676">
        <v>7.6525617312038802E-2</v>
      </c>
      <c r="G1676" t="s">
        <v>2489</v>
      </c>
    </row>
    <row r="1677" spans="1:7" x14ac:dyDescent="0.25">
      <c r="A1677" s="4" t="str">
        <f>HYPERLINK("http://amigo.geneontology.org/cgi-bin/amigo/term-details.cgi?term=GO:0015405","GO:0015405")</f>
        <v>GO:0015405</v>
      </c>
      <c r="B1677" t="s">
        <v>277</v>
      </c>
      <c r="C1677">
        <v>470</v>
      </c>
      <c r="D1677">
        <v>30</v>
      </c>
      <c r="E1677">
        <v>3.8262808656019401E-2</v>
      </c>
      <c r="F1677">
        <v>7.6525617312038802E-2</v>
      </c>
      <c r="G1677" t="s">
        <v>2489</v>
      </c>
    </row>
    <row r="1678" spans="1:7" x14ac:dyDescent="0.25">
      <c r="A1678" s="4" t="str">
        <f>HYPERLINK("http://amigo.geneontology.org/cgi-bin/amigo/term-details.cgi?term=GO:0006401","GO:0006401")</f>
        <v>GO:0006401</v>
      </c>
      <c r="B1678" t="s">
        <v>1365</v>
      </c>
      <c r="C1678">
        <v>149</v>
      </c>
      <c r="D1678">
        <v>12</v>
      </c>
      <c r="E1678">
        <v>3.8441033615621997E-2</v>
      </c>
      <c r="F1678">
        <v>7.6882067231243995E-2</v>
      </c>
      <c r="G1678" t="s">
        <v>2488</v>
      </c>
    </row>
    <row r="1679" spans="1:7" x14ac:dyDescent="0.25">
      <c r="A1679" s="4" t="str">
        <f>HYPERLINK("http://amigo.geneontology.org/cgi-bin/amigo/term-details.cgi?term=GO:0009163","GO:0009163")</f>
        <v>GO:0009163</v>
      </c>
      <c r="B1679" t="s">
        <v>2487</v>
      </c>
      <c r="C1679">
        <v>85</v>
      </c>
      <c r="D1679">
        <v>8</v>
      </c>
      <c r="E1679">
        <v>3.84498391621831E-2</v>
      </c>
      <c r="F1679">
        <v>7.6899678324366297E-2</v>
      </c>
      <c r="G1679" t="s">
        <v>2485</v>
      </c>
    </row>
    <row r="1680" spans="1:7" x14ac:dyDescent="0.25">
      <c r="A1680" s="4" t="str">
        <f>HYPERLINK("http://amigo.geneontology.org/cgi-bin/amigo/term-details.cgi?term=GO:0042455","GO:0042455")</f>
        <v>GO:0042455</v>
      </c>
      <c r="B1680" t="s">
        <v>2486</v>
      </c>
      <c r="C1680">
        <v>85</v>
      </c>
      <c r="D1680">
        <v>8</v>
      </c>
      <c r="E1680">
        <v>3.84498391621831E-2</v>
      </c>
      <c r="F1680">
        <v>7.6899678324366297E-2</v>
      </c>
      <c r="G1680" t="s">
        <v>2485</v>
      </c>
    </row>
    <row r="1681" spans="1:7" x14ac:dyDescent="0.25">
      <c r="A1681" s="4" t="str">
        <f>HYPERLINK("http://amigo.geneontology.org/cgi-bin/amigo/term-details.cgi?term=GO:0044769","GO:0044769")</f>
        <v>GO:0044769</v>
      </c>
      <c r="B1681" t="s">
        <v>412</v>
      </c>
      <c r="C1681">
        <v>85</v>
      </c>
      <c r="D1681">
        <v>8</v>
      </c>
      <c r="E1681">
        <v>3.84498391621831E-2</v>
      </c>
      <c r="F1681">
        <v>7.6899678324366297E-2</v>
      </c>
      <c r="G1681" t="s">
        <v>1089</v>
      </c>
    </row>
    <row r="1682" spans="1:7" x14ac:dyDescent="0.25">
      <c r="A1682" s="4" t="str">
        <f>HYPERLINK("http://amigo.geneontology.org/cgi-bin/amigo/term-details.cgi?term=GO:0070192","GO:0070192")</f>
        <v>GO:0070192</v>
      </c>
      <c r="B1682" t="s">
        <v>2484</v>
      </c>
      <c r="C1682">
        <v>70</v>
      </c>
      <c r="D1682">
        <v>7</v>
      </c>
      <c r="E1682">
        <v>3.8620439089921903E-2</v>
      </c>
      <c r="F1682">
        <v>7.7240878179843903E-2</v>
      </c>
      <c r="G1682" t="s">
        <v>2483</v>
      </c>
    </row>
    <row r="1683" spans="1:7" x14ac:dyDescent="0.25">
      <c r="A1683" s="4" t="str">
        <f>HYPERLINK("http://amigo.geneontology.org/cgi-bin/amigo/term-details.cgi?term=GO:0042626","GO:0042626")</f>
        <v>GO:0042626</v>
      </c>
      <c r="B1683" t="s">
        <v>284</v>
      </c>
      <c r="C1683">
        <v>415</v>
      </c>
      <c r="D1683">
        <v>27</v>
      </c>
      <c r="E1683">
        <v>3.8885129747476502E-2</v>
      </c>
      <c r="F1683">
        <v>7.7770259494953003E-2</v>
      </c>
      <c r="G1683" t="s">
        <v>2482</v>
      </c>
    </row>
    <row r="1684" spans="1:7" x14ac:dyDescent="0.25">
      <c r="A1684" s="4" t="str">
        <f>HYPERLINK("http://amigo.geneontology.org/cgi-bin/amigo/term-details.cgi?term=GO:0010206","GO:0010206")</f>
        <v>GO:0010206</v>
      </c>
      <c r="B1684" t="s">
        <v>2481</v>
      </c>
      <c r="C1684">
        <v>17</v>
      </c>
      <c r="D1684">
        <v>3</v>
      </c>
      <c r="E1684">
        <v>3.9056930385153198E-2</v>
      </c>
      <c r="F1684">
        <v>7.8113860770306506E-2</v>
      </c>
      <c r="G1684" t="s">
        <v>2480</v>
      </c>
    </row>
    <row r="1685" spans="1:7" x14ac:dyDescent="0.25">
      <c r="A1685" s="4" t="str">
        <f>HYPERLINK("http://amigo.geneontology.org/cgi-bin/amigo/term-details.cgi?term=GO:0090224","GO:0090224")</f>
        <v>GO:0090224</v>
      </c>
      <c r="B1685" t="s">
        <v>2479</v>
      </c>
      <c r="C1685">
        <v>17</v>
      </c>
      <c r="D1685">
        <v>3</v>
      </c>
      <c r="E1685">
        <v>3.9056930385153198E-2</v>
      </c>
      <c r="F1685">
        <v>7.8113860770306506E-2</v>
      </c>
      <c r="G1685" t="s">
        <v>2477</v>
      </c>
    </row>
    <row r="1686" spans="1:7" x14ac:dyDescent="0.25">
      <c r="A1686" s="4" t="str">
        <f>HYPERLINK("http://amigo.geneontology.org/cgi-bin/amigo/term-details.cgi?term=GO:0060236","GO:0060236")</f>
        <v>GO:0060236</v>
      </c>
      <c r="B1686" t="s">
        <v>2478</v>
      </c>
      <c r="C1686">
        <v>17</v>
      </c>
      <c r="D1686">
        <v>3</v>
      </c>
      <c r="E1686">
        <v>3.9056930385153198E-2</v>
      </c>
      <c r="F1686">
        <v>7.8113860770306506E-2</v>
      </c>
      <c r="G1686" t="s">
        <v>2477</v>
      </c>
    </row>
    <row r="1687" spans="1:7" x14ac:dyDescent="0.25">
      <c r="A1687" s="4" t="str">
        <f>HYPERLINK("http://amigo.geneontology.org/cgi-bin/amigo/term-details.cgi?term=GO:0002213","GO:0002213")</f>
        <v>GO:0002213</v>
      </c>
      <c r="B1687" t="s">
        <v>1455</v>
      </c>
      <c r="C1687">
        <v>17</v>
      </c>
      <c r="D1687">
        <v>3</v>
      </c>
      <c r="E1687">
        <v>3.9056930385153198E-2</v>
      </c>
      <c r="F1687">
        <v>7.8113860770306506E-2</v>
      </c>
      <c r="G1687" t="s">
        <v>2363</v>
      </c>
    </row>
    <row r="1688" spans="1:7" x14ac:dyDescent="0.25">
      <c r="A1688" s="4" t="str">
        <f>HYPERLINK("http://amigo.geneontology.org/cgi-bin/amigo/term-details.cgi?term=GO:0019866","GO:0019866")</f>
        <v>GO:0019866</v>
      </c>
      <c r="B1688" t="s">
        <v>2476</v>
      </c>
      <c r="C1688">
        <v>342</v>
      </c>
      <c r="D1688">
        <v>23</v>
      </c>
      <c r="E1688">
        <v>3.9165825830629601E-2</v>
      </c>
      <c r="F1688">
        <v>7.8331651661259202E-2</v>
      </c>
      <c r="G1688" t="s">
        <v>2475</v>
      </c>
    </row>
    <row r="1689" spans="1:7" x14ac:dyDescent="0.25">
      <c r="A1689" s="4" t="str">
        <f>HYPERLINK("http://amigo.geneontology.org/cgi-bin/amigo/term-details.cgi?term=GO:0006897","GO:0006897")</f>
        <v>GO:0006897</v>
      </c>
      <c r="B1689" t="s">
        <v>464</v>
      </c>
      <c r="C1689">
        <v>42</v>
      </c>
      <c r="D1689">
        <v>5</v>
      </c>
      <c r="E1689">
        <v>4.0025027401296501E-2</v>
      </c>
      <c r="F1689">
        <v>8.0050054802593099E-2</v>
      </c>
      <c r="G1689" t="s">
        <v>2474</v>
      </c>
    </row>
    <row r="1690" spans="1:7" x14ac:dyDescent="0.25">
      <c r="A1690" s="4" t="str">
        <f>HYPERLINK("http://amigo.geneontology.org/cgi-bin/amigo/term-details.cgi?term=GO:0009982","GO:0009982")</f>
        <v>GO:0009982</v>
      </c>
      <c r="B1690" t="s">
        <v>1031</v>
      </c>
      <c r="C1690">
        <v>56</v>
      </c>
      <c r="D1690">
        <v>6</v>
      </c>
      <c r="E1690">
        <v>4.0221110859707199E-2</v>
      </c>
      <c r="F1690">
        <v>8.0442221719414397E-2</v>
      </c>
      <c r="G1690" t="s">
        <v>1030</v>
      </c>
    </row>
    <row r="1691" spans="1:7" x14ac:dyDescent="0.25">
      <c r="A1691" s="4" t="str">
        <f>HYPERLINK("http://amigo.geneontology.org/cgi-bin/amigo/term-details.cgi?term=GO:0006213","GO:0006213")</f>
        <v>GO:0006213</v>
      </c>
      <c r="B1691" t="s">
        <v>2473</v>
      </c>
      <c r="C1691">
        <v>56</v>
      </c>
      <c r="D1691">
        <v>6</v>
      </c>
      <c r="E1691">
        <v>4.0221110859707199E-2</v>
      </c>
      <c r="F1691">
        <v>8.0442221719414397E-2</v>
      </c>
      <c r="G1691" t="s">
        <v>2471</v>
      </c>
    </row>
    <row r="1692" spans="1:7" x14ac:dyDescent="0.25">
      <c r="A1692" s="4" t="str">
        <f>HYPERLINK("http://amigo.geneontology.org/cgi-bin/amigo/term-details.cgi?term=GO:0046131","GO:0046131")</f>
        <v>GO:0046131</v>
      </c>
      <c r="B1692" t="s">
        <v>2472</v>
      </c>
      <c r="C1692">
        <v>56</v>
      </c>
      <c r="D1692">
        <v>6</v>
      </c>
      <c r="E1692">
        <v>4.0221110859707199E-2</v>
      </c>
      <c r="F1692">
        <v>8.0442221719414397E-2</v>
      </c>
      <c r="G1692" t="s">
        <v>2471</v>
      </c>
    </row>
    <row r="1693" spans="1:7" x14ac:dyDescent="0.25">
      <c r="A1693" s="4" t="str">
        <f>HYPERLINK("http://amigo.geneontology.org/cgi-bin/amigo/term-details.cgi?term=GO:0009130","GO:0009130")</f>
        <v>GO:0009130</v>
      </c>
      <c r="B1693" t="s">
        <v>2470</v>
      </c>
      <c r="C1693">
        <v>29</v>
      </c>
      <c r="D1693">
        <v>4</v>
      </c>
      <c r="E1693">
        <v>4.0228430919469503E-2</v>
      </c>
      <c r="F1693">
        <v>8.0456861838939006E-2</v>
      </c>
      <c r="G1693" t="s">
        <v>2326</v>
      </c>
    </row>
    <row r="1694" spans="1:7" x14ac:dyDescent="0.25">
      <c r="A1694" s="4" t="str">
        <f>HYPERLINK("http://amigo.geneontology.org/cgi-bin/amigo/term-details.cgi?term=GO:0016161","GO:0016161")</f>
        <v>GO:0016161</v>
      </c>
      <c r="B1694" t="s">
        <v>1072</v>
      </c>
      <c r="C1694">
        <v>29</v>
      </c>
      <c r="D1694">
        <v>4</v>
      </c>
      <c r="E1694">
        <v>4.0228430919469503E-2</v>
      </c>
      <c r="F1694">
        <v>8.0456861838939006E-2</v>
      </c>
      <c r="G1694" t="s">
        <v>1366</v>
      </c>
    </row>
    <row r="1695" spans="1:7" x14ac:dyDescent="0.25">
      <c r="A1695" s="4" t="str">
        <f>HYPERLINK("http://amigo.geneontology.org/cgi-bin/amigo/term-details.cgi?term=GO:0008519","GO:0008519")</f>
        <v>GO:0008519</v>
      </c>
      <c r="B1695" t="s">
        <v>309</v>
      </c>
      <c r="C1695">
        <v>29</v>
      </c>
      <c r="D1695">
        <v>4</v>
      </c>
      <c r="E1695">
        <v>4.0228430919469503E-2</v>
      </c>
      <c r="F1695">
        <v>8.0456861838939006E-2</v>
      </c>
      <c r="G1695" t="s">
        <v>2469</v>
      </c>
    </row>
    <row r="1696" spans="1:7" x14ac:dyDescent="0.25">
      <c r="A1696" s="4" t="str">
        <f>HYPERLINK("http://amigo.geneontology.org/cgi-bin/amigo/term-details.cgi?term=GO:0002684","GO:0002684")</f>
        <v>GO:0002684</v>
      </c>
      <c r="B1696" t="s">
        <v>2468</v>
      </c>
      <c r="C1696">
        <v>29</v>
      </c>
      <c r="D1696">
        <v>4</v>
      </c>
      <c r="E1696">
        <v>4.0228430919469503E-2</v>
      </c>
      <c r="F1696">
        <v>8.0456861838939006E-2</v>
      </c>
      <c r="G1696" t="s">
        <v>2465</v>
      </c>
    </row>
    <row r="1697" spans="1:7" x14ac:dyDescent="0.25">
      <c r="A1697" s="4" t="str">
        <f>HYPERLINK("http://amigo.geneontology.org/cgi-bin/amigo/term-details.cgi?term=GO:0050778","GO:0050778")</f>
        <v>GO:0050778</v>
      </c>
      <c r="B1697" t="s">
        <v>2467</v>
      </c>
      <c r="C1697">
        <v>29</v>
      </c>
      <c r="D1697">
        <v>4</v>
      </c>
      <c r="E1697">
        <v>4.0228430919469503E-2</v>
      </c>
      <c r="F1697">
        <v>8.0456861838939006E-2</v>
      </c>
      <c r="G1697" t="s">
        <v>2465</v>
      </c>
    </row>
    <row r="1698" spans="1:7" x14ac:dyDescent="0.25">
      <c r="A1698" s="4" t="str">
        <f>HYPERLINK("http://amigo.geneontology.org/cgi-bin/amigo/term-details.cgi?term=GO:0045089","GO:0045089")</f>
        <v>GO:0045089</v>
      </c>
      <c r="B1698" t="s">
        <v>2466</v>
      </c>
      <c r="C1698">
        <v>29</v>
      </c>
      <c r="D1698">
        <v>4</v>
      </c>
      <c r="E1698">
        <v>4.0228430919469503E-2</v>
      </c>
      <c r="F1698">
        <v>8.0456861838939006E-2</v>
      </c>
      <c r="G1698" t="s">
        <v>2465</v>
      </c>
    </row>
    <row r="1699" spans="1:7" x14ac:dyDescent="0.25">
      <c r="A1699" s="4" t="str">
        <f>HYPERLINK("http://amigo.geneontology.org/cgi-bin/amigo/term-details.cgi?term=GO:0043547","GO:0043547")</f>
        <v>GO:0043547</v>
      </c>
      <c r="B1699" t="s">
        <v>2464</v>
      </c>
      <c r="C1699">
        <v>29</v>
      </c>
      <c r="D1699">
        <v>4</v>
      </c>
      <c r="E1699">
        <v>4.0228430919469503E-2</v>
      </c>
      <c r="F1699">
        <v>8.0456861838939006E-2</v>
      </c>
      <c r="G1699" t="s">
        <v>2463</v>
      </c>
    </row>
    <row r="1700" spans="1:7" x14ac:dyDescent="0.25">
      <c r="A1700" s="4" t="str">
        <f>HYPERLINK("http://amigo.geneontology.org/cgi-bin/amigo/term-details.cgi?term=GO:0051495","GO:0051495")</f>
        <v>GO:0051495</v>
      </c>
      <c r="B1700" t="s">
        <v>2462</v>
      </c>
      <c r="C1700">
        <v>86</v>
      </c>
      <c r="D1700">
        <v>8</v>
      </c>
      <c r="E1700">
        <v>4.0780996826298203E-2</v>
      </c>
      <c r="F1700">
        <v>8.1561993652596407E-2</v>
      </c>
      <c r="G1700" t="s">
        <v>2461</v>
      </c>
    </row>
    <row r="1701" spans="1:7" x14ac:dyDescent="0.25">
      <c r="A1701" s="4" t="str">
        <f>HYPERLINK("http://amigo.geneontology.org/cgi-bin/amigo/term-details.cgi?term=GO:0005654","GO:0005654")</f>
        <v>GO:0005654</v>
      </c>
      <c r="B1701" t="s">
        <v>2460</v>
      </c>
      <c r="C1701">
        <v>362</v>
      </c>
      <c r="D1701">
        <v>24</v>
      </c>
      <c r="E1701">
        <v>4.1083614606690799E-2</v>
      </c>
      <c r="F1701">
        <v>8.2167229213381598E-2</v>
      </c>
      <c r="G1701" t="s">
        <v>2459</v>
      </c>
    </row>
    <row r="1702" spans="1:7" x14ac:dyDescent="0.25">
      <c r="A1702" s="4" t="str">
        <f>HYPERLINK("http://amigo.geneontology.org/cgi-bin/amigo/term-details.cgi?term=GO:0032504","GO:0032504")</f>
        <v>GO:0032504</v>
      </c>
      <c r="B1702" t="s">
        <v>2458</v>
      </c>
      <c r="C1702">
        <v>254</v>
      </c>
      <c r="D1702">
        <v>18</v>
      </c>
      <c r="E1702">
        <v>4.1182221711496998E-2</v>
      </c>
      <c r="F1702">
        <v>8.2364443422993996E-2</v>
      </c>
      <c r="G1702" t="s">
        <v>2457</v>
      </c>
    </row>
    <row r="1703" spans="1:7" x14ac:dyDescent="0.25">
      <c r="A1703" s="4" t="str">
        <f>HYPERLINK("http://amigo.geneontology.org/cgi-bin/amigo/term-details.cgi?term=GO:0010383","GO:0010383")</f>
        <v>GO:0010383</v>
      </c>
      <c r="B1703" t="s">
        <v>2456</v>
      </c>
      <c r="C1703">
        <v>272</v>
      </c>
      <c r="D1703">
        <v>19</v>
      </c>
      <c r="E1703">
        <v>4.1498473235996702E-2</v>
      </c>
      <c r="F1703">
        <v>8.2996946471993405E-2</v>
      </c>
      <c r="G1703" t="s">
        <v>2455</v>
      </c>
    </row>
    <row r="1704" spans="1:7" x14ac:dyDescent="0.25">
      <c r="A1704" s="4" t="str">
        <f>HYPERLINK("http://amigo.geneontology.org/cgi-bin/amigo/term-details.cgi?term=GO:0003002","GO:0003002")</f>
        <v>GO:0003002</v>
      </c>
      <c r="B1704" t="s">
        <v>2454</v>
      </c>
      <c r="C1704">
        <v>118</v>
      </c>
      <c r="D1704">
        <v>10</v>
      </c>
      <c r="E1704">
        <v>4.1651173170318197E-2</v>
      </c>
      <c r="F1704">
        <v>8.3302346340636393E-2</v>
      </c>
      <c r="G1704" t="s">
        <v>2453</v>
      </c>
    </row>
    <row r="1705" spans="1:7" x14ac:dyDescent="0.25">
      <c r="A1705" s="4" t="str">
        <f>HYPERLINK("http://amigo.geneontology.org/cgi-bin/amigo/term-details.cgi?term=GO:0016791","GO:0016791")</f>
        <v>GO:0016791</v>
      </c>
      <c r="B1705" t="s">
        <v>517</v>
      </c>
      <c r="C1705">
        <v>664</v>
      </c>
      <c r="D1705">
        <v>40</v>
      </c>
      <c r="E1705">
        <v>4.2145136101186399E-2</v>
      </c>
      <c r="F1705">
        <v>8.4290272202372896E-2</v>
      </c>
      <c r="G1705" t="s">
        <v>2452</v>
      </c>
    </row>
    <row r="1706" spans="1:7" x14ac:dyDescent="0.25">
      <c r="A1706" s="4" t="str">
        <f>HYPERLINK("http://amigo.geneontology.org/cgi-bin/amigo/term-details.cgi?term=GO:0009845","GO:0009845")</f>
        <v>GO:0009845</v>
      </c>
      <c r="B1706" t="s">
        <v>2451</v>
      </c>
      <c r="C1706">
        <v>87</v>
      </c>
      <c r="D1706">
        <v>8</v>
      </c>
      <c r="E1706">
        <v>4.3204109642307399E-2</v>
      </c>
      <c r="F1706">
        <v>8.6408219284614798E-2</v>
      </c>
      <c r="G1706" t="s">
        <v>2450</v>
      </c>
    </row>
    <row r="1707" spans="1:7" x14ac:dyDescent="0.25">
      <c r="A1707" s="4" t="str">
        <f>HYPERLINK("http://amigo.geneontology.org/cgi-bin/amigo/term-details.cgi?term=GO:0004659","GO:0004659")</f>
        <v>GO:0004659</v>
      </c>
      <c r="B1707" t="s">
        <v>395</v>
      </c>
      <c r="C1707">
        <v>57</v>
      </c>
      <c r="D1707">
        <v>6</v>
      </c>
      <c r="E1707">
        <v>4.33004999220774E-2</v>
      </c>
      <c r="F1707">
        <v>8.6600999844154897E-2</v>
      </c>
      <c r="G1707" t="s">
        <v>2449</v>
      </c>
    </row>
    <row r="1708" spans="1:7" x14ac:dyDescent="0.25">
      <c r="A1708" s="4" t="str">
        <f>HYPERLINK("http://amigo.geneontology.org/cgi-bin/amigo/term-details.cgi?term=GO:0000160","GO:0000160")</f>
        <v>GO:0000160</v>
      </c>
      <c r="B1708" t="s">
        <v>1045</v>
      </c>
      <c r="C1708">
        <v>346</v>
      </c>
      <c r="D1708">
        <v>23</v>
      </c>
      <c r="E1708">
        <v>4.3655425344671303E-2</v>
      </c>
      <c r="F1708">
        <v>8.7310850689342703E-2</v>
      </c>
      <c r="G1708" t="s">
        <v>2448</v>
      </c>
    </row>
    <row r="1709" spans="1:7" x14ac:dyDescent="0.25">
      <c r="A1709" s="4" t="str">
        <f>HYPERLINK("http://amigo.geneontology.org/cgi-bin/amigo/term-details.cgi?term=GO:0006817","GO:0006817")</f>
        <v>GO:0006817</v>
      </c>
      <c r="B1709" t="s">
        <v>2447</v>
      </c>
      <c r="C1709">
        <v>43</v>
      </c>
      <c r="D1709">
        <v>5</v>
      </c>
      <c r="E1709">
        <v>4.3667645829005702E-2</v>
      </c>
      <c r="F1709">
        <v>8.7335291658011502E-2</v>
      </c>
      <c r="G1709" t="s">
        <v>2446</v>
      </c>
    </row>
    <row r="1710" spans="1:7" x14ac:dyDescent="0.25">
      <c r="A1710" s="4" t="str">
        <f>HYPERLINK("http://amigo.geneontology.org/cgi-bin/amigo/term-details.cgi?term=GO:0051510","GO:0051510")</f>
        <v>GO:0051510</v>
      </c>
      <c r="B1710" t="s">
        <v>2445</v>
      </c>
      <c r="C1710">
        <v>43</v>
      </c>
      <c r="D1710">
        <v>5</v>
      </c>
      <c r="E1710">
        <v>4.3667645829005702E-2</v>
      </c>
      <c r="F1710">
        <v>8.7335291658011502E-2</v>
      </c>
      <c r="G1710" t="s">
        <v>2444</v>
      </c>
    </row>
    <row r="1711" spans="1:7" x14ac:dyDescent="0.25">
      <c r="A1711" s="4" t="str">
        <f>HYPERLINK("http://amigo.geneontology.org/cgi-bin/amigo/term-details.cgi?term=GO:0010498","GO:0010498")</f>
        <v>GO:0010498</v>
      </c>
      <c r="B1711" t="s">
        <v>2443</v>
      </c>
      <c r="C1711">
        <v>119</v>
      </c>
      <c r="D1711">
        <v>10</v>
      </c>
      <c r="E1711">
        <v>4.3707302080371602E-2</v>
      </c>
      <c r="F1711">
        <v>8.7414604160743203E-2</v>
      </c>
      <c r="G1711" t="s">
        <v>2442</v>
      </c>
    </row>
    <row r="1712" spans="1:7" x14ac:dyDescent="0.25">
      <c r="A1712" s="4" t="str">
        <f>HYPERLINK("http://amigo.geneontology.org/cgi-bin/amigo/term-details.cgi?term=GO:0000988","GO:0000988")</f>
        <v>GO:0000988</v>
      </c>
      <c r="B1712" t="s">
        <v>2441</v>
      </c>
      <c r="C1712">
        <v>186</v>
      </c>
      <c r="D1712">
        <v>14</v>
      </c>
      <c r="E1712">
        <v>4.3783931521792302E-2</v>
      </c>
      <c r="F1712">
        <v>8.7567863043584604E-2</v>
      </c>
      <c r="G1712" t="s">
        <v>2440</v>
      </c>
    </row>
    <row r="1713" spans="1:7" x14ac:dyDescent="0.25">
      <c r="A1713" s="4" t="str">
        <f>HYPERLINK("http://amigo.geneontology.org/cgi-bin/amigo/term-details.cgi?term=GO:0036293","GO:0036293")</f>
        <v>GO:0036293</v>
      </c>
      <c r="B1713" t="s">
        <v>1529</v>
      </c>
      <c r="C1713">
        <v>30</v>
      </c>
      <c r="D1713">
        <v>4</v>
      </c>
      <c r="E1713">
        <v>4.4811805437392903E-2</v>
      </c>
      <c r="F1713">
        <v>8.9623610874785806E-2</v>
      </c>
      <c r="G1713" t="s">
        <v>2323</v>
      </c>
    </row>
    <row r="1714" spans="1:7" x14ac:dyDescent="0.25">
      <c r="A1714" s="4" t="str">
        <f>HYPERLINK("http://amigo.geneontology.org/cgi-bin/amigo/term-details.cgi?term=GO:0030620","GO:0030620")</f>
        <v>GO:0030620</v>
      </c>
      <c r="B1714" t="s">
        <v>2439</v>
      </c>
      <c r="C1714">
        <v>1</v>
      </c>
      <c r="D1714">
        <v>1</v>
      </c>
      <c r="E1714">
        <v>4.5213352534395401E-2</v>
      </c>
      <c r="F1714">
        <v>9.0426705068790802E-2</v>
      </c>
      <c r="G1714" t="s">
        <v>6</v>
      </c>
    </row>
    <row r="1715" spans="1:7" x14ac:dyDescent="0.25">
      <c r="A1715" s="4" t="str">
        <f>HYPERLINK("http://amigo.geneontology.org/cgi-bin/amigo/term-details.cgi?term=GO:0010355","GO:0010355")</f>
        <v>GO:0010355</v>
      </c>
      <c r="B1715" t="s">
        <v>2438</v>
      </c>
      <c r="C1715">
        <v>1</v>
      </c>
      <c r="D1715">
        <v>1</v>
      </c>
      <c r="E1715">
        <v>4.5213352534395401E-2</v>
      </c>
      <c r="F1715">
        <v>9.0426705068790802E-2</v>
      </c>
      <c r="G1715" t="s">
        <v>7</v>
      </c>
    </row>
    <row r="1716" spans="1:7" x14ac:dyDescent="0.25">
      <c r="A1716" s="4" t="str">
        <f>HYPERLINK("http://amigo.geneontology.org/cgi-bin/amigo/term-details.cgi?term=GO:0010356","GO:0010356")</f>
        <v>GO:0010356</v>
      </c>
      <c r="B1716" t="s">
        <v>2437</v>
      </c>
      <c r="C1716">
        <v>1</v>
      </c>
      <c r="D1716">
        <v>1</v>
      </c>
      <c r="E1716">
        <v>4.5213352534395401E-2</v>
      </c>
      <c r="F1716">
        <v>9.0426705068790802E-2</v>
      </c>
      <c r="G1716" t="s">
        <v>7</v>
      </c>
    </row>
    <row r="1717" spans="1:7" x14ac:dyDescent="0.25">
      <c r="A1717" s="4" t="str">
        <f>HYPERLINK("http://amigo.geneontology.org/cgi-bin/amigo/term-details.cgi?term=GO:0010357","GO:0010357")</f>
        <v>GO:0010357</v>
      </c>
      <c r="B1717" t="s">
        <v>2436</v>
      </c>
      <c r="C1717">
        <v>1</v>
      </c>
      <c r="D1717">
        <v>1</v>
      </c>
      <c r="E1717">
        <v>4.5213352534395401E-2</v>
      </c>
      <c r="F1717">
        <v>9.0426705068790802E-2</v>
      </c>
      <c r="G1717" t="s">
        <v>7</v>
      </c>
    </row>
    <row r="1718" spans="1:7" x14ac:dyDescent="0.25">
      <c r="A1718" s="4" t="str">
        <f>HYPERLINK("http://amigo.geneontology.org/cgi-bin/amigo/term-details.cgi?term=GO:0010966","GO:0010966")</f>
        <v>GO:0010966</v>
      </c>
      <c r="B1718" t="s">
        <v>2435</v>
      </c>
      <c r="C1718">
        <v>1</v>
      </c>
      <c r="D1718">
        <v>1</v>
      </c>
      <c r="E1718">
        <v>4.5213352534395401E-2</v>
      </c>
      <c r="F1718">
        <v>9.0426705068790802E-2</v>
      </c>
      <c r="G1718" t="s">
        <v>8</v>
      </c>
    </row>
    <row r="1719" spans="1:7" x14ac:dyDescent="0.25">
      <c r="A1719" s="4" t="str">
        <f>HYPERLINK("http://amigo.geneontology.org/cgi-bin/amigo/term-details.cgi?term=GO:1903795","GO:1903795")</f>
        <v>GO:1903795</v>
      </c>
      <c r="B1719" t="s">
        <v>2434</v>
      </c>
      <c r="C1719">
        <v>1</v>
      </c>
      <c r="D1719">
        <v>1</v>
      </c>
      <c r="E1719">
        <v>4.5213352534395401E-2</v>
      </c>
      <c r="F1719">
        <v>9.0426705068790802E-2</v>
      </c>
      <c r="G1719" t="s">
        <v>8</v>
      </c>
    </row>
    <row r="1720" spans="1:7" x14ac:dyDescent="0.25">
      <c r="A1720" s="4" t="str">
        <f>HYPERLINK("http://amigo.geneontology.org/cgi-bin/amigo/term-details.cgi?term=GO:2000185","GO:2000185")</f>
        <v>GO:2000185</v>
      </c>
      <c r="B1720" t="s">
        <v>2433</v>
      </c>
      <c r="C1720">
        <v>1</v>
      </c>
      <c r="D1720">
        <v>1</v>
      </c>
      <c r="E1720">
        <v>4.5213352534395401E-2</v>
      </c>
      <c r="F1720">
        <v>9.0426705068790802E-2</v>
      </c>
      <c r="G1720" t="s">
        <v>8</v>
      </c>
    </row>
    <row r="1721" spans="1:7" x14ac:dyDescent="0.25">
      <c r="A1721" s="4" t="str">
        <f>HYPERLINK("http://amigo.geneontology.org/cgi-bin/amigo/term-details.cgi?term=GO:0009927","GO:0009927")</f>
        <v>GO:0009927</v>
      </c>
      <c r="B1721" t="s">
        <v>2432</v>
      </c>
      <c r="C1721">
        <v>1</v>
      </c>
      <c r="D1721">
        <v>1</v>
      </c>
      <c r="E1721">
        <v>4.5213352534395401E-2</v>
      </c>
      <c r="F1721">
        <v>9.0426705068790802E-2</v>
      </c>
      <c r="G1721" t="s">
        <v>959</v>
      </c>
    </row>
    <row r="1722" spans="1:7" x14ac:dyDescent="0.25">
      <c r="A1722" s="4" t="str">
        <f>HYPERLINK("http://amigo.geneontology.org/cgi-bin/amigo/term-details.cgi?term=GO:0004740","GO:0004740")</f>
        <v>GO:0004740</v>
      </c>
      <c r="B1722" t="s">
        <v>2431</v>
      </c>
      <c r="C1722">
        <v>1</v>
      </c>
      <c r="D1722">
        <v>1</v>
      </c>
      <c r="E1722">
        <v>4.5213352534395401E-2</v>
      </c>
      <c r="F1722">
        <v>9.0426705068790802E-2</v>
      </c>
      <c r="G1722" t="s">
        <v>959</v>
      </c>
    </row>
    <row r="1723" spans="1:7" x14ac:dyDescent="0.25">
      <c r="A1723" s="4" t="str">
        <f>HYPERLINK("http://amigo.geneontology.org/cgi-bin/amigo/term-details.cgi?term=GO:0015918","GO:0015918")</f>
        <v>GO:0015918</v>
      </c>
      <c r="B1723" t="s">
        <v>2430</v>
      </c>
      <c r="C1723">
        <v>1</v>
      </c>
      <c r="D1723">
        <v>1</v>
      </c>
      <c r="E1723">
        <v>4.5213352534395401E-2</v>
      </c>
      <c r="F1723">
        <v>9.0426705068790802E-2</v>
      </c>
      <c r="G1723" t="s">
        <v>9</v>
      </c>
    </row>
    <row r="1724" spans="1:7" x14ac:dyDescent="0.25">
      <c r="A1724" s="4" t="str">
        <f>HYPERLINK("http://amigo.geneontology.org/cgi-bin/amigo/term-details.cgi?term=GO:0030301","GO:0030301")</f>
        <v>GO:0030301</v>
      </c>
      <c r="B1724" t="s">
        <v>2429</v>
      </c>
      <c r="C1724">
        <v>1</v>
      </c>
      <c r="D1724">
        <v>1</v>
      </c>
      <c r="E1724">
        <v>4.5213352534395401E-2</v>
      </c>
      <c r="F1724">
        <v>9.0426705068790802E-2</v>
      </c>
      <c r="G1724" t="s">
        <v>9</v>
      </c>
    </row>
    <row r="1725" spans="1:7" x14ac:dyDescent="0.25">
      <c r="A1725" s="4" t="str">
        <f>HYPERLINK("http://amigo.geneontology.org/cgi-bin/amigo/term-details.cgi?term=GO:0010160","GO:0010160")</f>
        <v>GO:0010160</v>
      </c>
      <c r="B1725" t="s">
        <v>2428</v>
      </c>
      <c r="C1725">
        <v>1</v>
      </c>
      <c r="D1725">
        <v>1</v>
      </c>
      <c r="E1725">
        <v>4.5213352534395401E-2</v>
      </c>
      <c r="F1725">
        <v>9.0426705068790802E-2</v>
      </c>
      <c r="G1725" t="s">
        <v>10</v>
      </c>
    </row>
    <row r="1726" spans="1:7" x14ac:dyDescent="0.25">
      <c r="A1726" s="4" t="str">
        <f>HYPERLINK("http://amigo.geneontology.org/cgi-bin/amigo/term-details.cgi?term=GO:0043966","GO:0043966")</f>
        <v>GO:0043966</v>
      </c>
      <c r="B1726" t="s">
        <v>2427</v>
      </c>
      <c r="C1726">
        <v>1</v>
      </c>
      <c r="D1726">
        <v>1</v>
      </c>
      <c r="E1726">
        <v>4.5213352534395401E-2</v>
      </c>
      <c r="F1726">
        <v>9.0426705068790802E-2</v>
      </c>
      <c r="G1726" t="s">
        <v>11</v>
      </c>
    </row>
    <row r="1727" spans="1:7" x14ac:dyDescent="0.25">
      <c r="A1727" s="4" t="str">
        <f>HYPERLINK("http://amigo.geneontology.org/cgi-bin/amigo/term-details.cgi?term=GO:0043971","GO:0043971")</f>
        <v>GO:0043971</v>
      </c>
      <c r="B1727" t="s">
        <v>2426</v>
      </c>
      <c r="C1727">
        <v>1</v>
      </c>
      <c r="D1727">
        <v>1</v>
      </c>
      <c r="E1727">
        <v>4.5213352534395401E-2</v>
      </c>
      <c r="F1727">
        <v>9.0426705068790802E-2</v>
      </c>
      <c r="G1727" t="s">
        <v>11</v>
      </c>
    </row>
    <row r="1728" spans="1:7" x14ac:dyDescent="0.25">
      <c r="A1728" s="4" t="str">
        <f>HYPERLINK("http://amigo.geneontology.org/cgi-bin/amigo/term-details.cgi?term=GO:0043972","GO:0043972")</f>
        <v>GO:0043972</v>
      </c>
      <c r="B1728" t="s">
        <v>2425</v>
      </c>
      <c r="C1728">
        <v>1</v>
      </c>
      <c r="D1728">
        <v>1</v>
      </c>
      <c r="E1728">
        <v>4.5213352534395401E-2</v>
      </c>
      <c r="F1728">
        <v>9.0426705068790802E-2</v>
      </c>
      <c r="G1728" t="s">
        <v>11</v>
      </c>
    </row>
    <row r="1729" spans="1:7" x14ac:dyDescent="0.25">
      <c r="A1729" s="4" t="str">
        <f>HYPERLINK("http://amigo.geneontology.org/cgi-bin/amigo/term-details.cgi?term=GO:0044154","GO:0044154")</f>
        <v>GO:0044154</v>
      </c>
      <c r="B1729" t="s">
        <v>2424</v>
      </c>
      <c r="C1729">
        <v>1</v>
      </c>
      <c r="D1729">
        <v>1</v>
      </c>
      <c r="E1729">
        <v>4.5213352534395401E-2</v>
      </c>
      <c r="F1729">
        <v>9.0426705068790802E-2</v>
      </c>
      <c r="G1729" t="s">
        <v>11</v>
      </c>
    </row>
    <row r="1730" spans="1:7" x14ac:dyDescent="0.25">
      <c r="A1730" s="4" t="str">
        <f>HYPERLINK("http://amigo.geneontology.org/cgi-bin/amigo/term-details.cgi?term=GO:0010007","GO:0010007")</f>
        <v>GO:0010007</v>
      </c>
      <c r="B1730" t="s">
        <v>2423</v>
      </c>
      <c r="C1730">
        <v>1</v>
      </c>
      <c r="D1730">
        <v>1</v>
      </c>
      <c r="E1730">
        <v>4.5213352534395401E-2</v>
      </c>
      <c r="F1730">
        <v>9.0426705068790802E-2</v>
      </c>
      <c r="G1730" t="s">
        <v>12</v>
      </c>
    </row>
    <row r="1731" spans="1:7" x14ac:dyDescent="0.25">
      <c r="A1731" s="4" t="str">
        <f>HYPERLINK("http://amigo.geneontology.org/cgi-bin/amigo/term-details.cgi?term=GO:0000338","GO:0000338")</f>
        <v>GO:0000338</v>
      </c>
      <c r="B1731" t="s">
        <v>2422</v>
      </c>
      <c r="C1731">
        <v>1</v>
      </c>
      <c r="D1731">
        <v>1</v>
      </c>
      <c r="E1731">
        <v>4.5213352534395401E-2</v>
      </c>
      <c r="F1731">
        <v>9.0426705068790802E-2</v>
      </c>
      <c r="G1731" t="s">
        <v>17</v>
      </c>
    </row>
    <row r="1732" spans="1:7" x14ac:dyDescent="0.25">
      <c r="A1732" s="4" t="str">
        <f>HYPERLINK("http://amigo.geneontology.org/cgi-bin/amigo/term-details.cgi?term=GO:0090342","GO:0090342")</f>
        <v>GO:0090342</v>
      </c>
      <c r="B1732" t="s">
        <v>2421</v>
      </c>
      <c r="C1732">
        <v>1</v>
      </c>
      <c r="D1732">
        <v>1</v>
      </c>
      <c r="E1732">
        <v>4.5213352534395401E-2</v>
      </c>
      <c r="F1732">
        <v>9.0426705068790802E-2</v>
      </c>
      <c r="G1732" t="s">
        <v>20</v>
      </c>
    </row>
    <row r="1733" spans="1:7" x14ac:dyDescent="0.25">
      <c r="A1733" s="4" t="str">
        <f>HYPERLINK("http://amigo.geneontology.org/cgi-bin/amigo/term-details.cgi?term=GO:0043596","GO:0043596")</f>
        <v>GO:0043596</v>
      </c>
      <c r="B1733" t="s">
        <v>2420</v>
      </c>
      <c r="C1733">
        <v>1</v>
      </c>
      <c r="D1733">
        <v>1</v>
      </c>
      <c r="E1733">
        <v>4.5213352534395401E-2</v>
      </c>
      <c r="F1733">
        <v>9.0426705068790802E-2</v>
      </c>
      <c r="G1733" t="s">
        <v>21</v>
      </c>
    </row>
    <row r="1734" spans="1:7" x14ac:dyDescent="0.25">
      <c r="A1734" s="4" t="str">
        <f>HYPERLINK("http://amigo.geneontology.org/cgi-bin/amigo/term-details.cgi?term=GO:0043601","GO:0043601")</f>
        <v>GO:0043601</v>
      </c>
      <c r="B1734" t="s">
        <v>2419</v>
      </c>
      <c r="C1734">
        <v>1</v>
      </c>
      <c r="D1734">
        <v>1</v>
      </c>
      <c r="E1734">
        <v>4.5213352534395401E-2</v>
      </c>
      <c r="F1734">
        <v>9.0426705068790802E-2</v>
      </c>
      <c r="G1734" t="s">
        <v>21</v>
      </c>
    </row>
    <row r="1735" spans="1:7" x14ac:dyDescent="0.25">
      <c r="A1735" s="4" t="str">
        <f>HYPERLINK("http://amigo.geneontology.org/cgi-bin/amigo/term-details.cgi?term=GO:0035970","GO:0035970")</f>
        <v>GO:0035970</v>
      </c>
      <c r="B1735" t="s">
        <v>2418</v>
      </c>
      <c r="C1735">
        <v>1</v>
      </c>
      <c r="D1735">
        <v>1</v>
      </c>
      <c r="E1735">
        <v>4.5213352534395401E-2</v>
      </c>
      <c r="F1735">
        <v>9.0426705068790802E-2</v>
      </c>
      <c r="G1735" t="s">
        <v>22</v>
      </c>
    </row>
    <row r="1736" spans="1:7" x14ac:dyDescent="0.25">
      <c r="A1736" s="4" t="str">
        <f>HYPERLINK("http://amigo.geneontology.org/cgi-bin/amigo/term-details.cgi?term=GO:0035529","GO:0035529")</f>
        <v>GO:0035529</v>
      </c>
      <c r="B1736" t="s">
        <v>2417</v>
      </c>
      <c r="C1736">
        <v>1</v>
      </c>
      <c r="D1736">
        <v>1</v>
      </c>
      <c r="E1736">
        <v>4.5213352534395401E-2</v>
      </c>
      <c r="F1736">
        <v>9.0426705068790802E-2</v>
      </c>
      <c r="G1736" t="s">
        <v>23</v>
      </c>
    </row>
    <row r="1737" spans="1:7" x14ac:dyDescent="0.25">
      <c r="A1737" s="4" t="str">
        <f>HYPERLINK("http://amigo.geneontology.org/cgi-bin/amigo/term-details.cgi?term=GO:0052918","GO:0052918")</f>
        <v>GO:0052918</v>
      </c>
      <c r="B1737" t="s">
        <v>2416</v>
      </c>
      <c r="C1737">
        <v>1</v>
      </c>
      <c r="D1737">
        <v>1</v>
      </c>
      <c r="E1737">
        <v>4.5213352534395401E-2</v>
      </c>
      <c r="F1737">
        <v>9.0426705068790802E-2</v>
      </c>
      <c r="G1737" t="s">
        <v>24</v>
      </c>
    </row>
    <row r="1738" spans="1:7" x14ac:dyDescent="0.25">
      <c r="A1738" s="4" t="str">
        <f>HYPERLINK("http://amigo.geneontology.org/cgi-bin/amigo/term-details.cgi?term=GO:0052926","GO:0052926")</f>
        <v>GO:0052926</v>
      </c>
      <c r="B1738" t="s">
        <v>2415</v>
      </c>
      <c r="C1738">
        <v>1</v>
      </c>
      <c r="D1738">
        <v>1</v>
      </c>
      <c r="E1738">
        <v>4.5213352534395401E-2</v>
      </c>
      <c r="F1738">
        <v>9.0426705068790802E-2</v>
      </c>
      <c r="G1738" t="s">
        <v>24</v>
      </c>
    </row>
    <row r="1739" spans="1:7" x14ac:dyDescent="0.25">
      <c r="A1739" s="4" t="str">
        <f>HYPERLINK("http://amigo.geneontology.org/cgi-bin/amigo/term-details.cgi?term=GO:0033614","GO:0033614")</f>
        <v>GO:0033614</v>
      </c>
      <c r="B1739" t="s">
        <v>2414</v>
      </c>
      <c r="C1739">
        <v>1</v>
      </c>
      <c r="D1739">
        <v>1</v>
      </c>
      <c r="E1739">
        <v>4.5213352534395401E-2</v>
      </c>
      <c r="F1739">
        <v>9.0426705068790802E-2</v>
      </c>
      <c r="G1739" t="s">
        <v>26</v>
      </c>
    </row>
    <row r="1740" spans="1:7" x14ac:dyDescent="0.25">
      <c r="A1740" s="4" t="str">
        <f>HYPERLINK("http://amigo.geneontology.org/cgi-bin/amigo/term-details.cgi?term=GO:0043394","GO:0043394")</f>
        <v>GO:0043394</v>
      </c>
      <c r="B1740" t="s">
        <v>2413</v>
      </c>
      <c r="C1740">
        <v>1</v>
      </c>
      <c r="D1740">
        <v>1</v>
      </c>
      <c r="E1740">
        <v>4.5213352534395401E-2</v>
      </c>
      <c r="F1740">
        <v>9.0426705068790802E-2</v>
      </c>
      <c r="G1740" t="s">
        <v>27</v>
      </c>
    </row>
    <row r="1741" spans="1:7" x14ac:dyDescent="0.25">
      <c r="A1741" s="4" t="str">
        <f>HYPERLINK("http://amigo.geneontology.org/cgi-bin/amigo/term-details.cgi?term=GO:0051738","GO:0051738")</f>
        <v>GO:0051738</v>
      </c>
      <c r="B1741" t="s">
        <v>2412</v>
      </c>
      <c r="C1741">
        <v>1</v>
      </c>
      <c r="D1741">
        <v>1</v>
      </c>
      <c r="E1741">
        <v>4.5213352534395401E-2</v>
      </c>
      <c r="F1741">
        <v>9.0426705068790802E-2</v>
      </c>
      <c r="G1741" t="s">
        <v>28</v>
      </c>
    </row>
    <row r="1742" spans="1:7" x14ac:dyDescent="0.25">
      <c r="A1742" s="4" t="str">
        <f>HYPERLINK("http://amigo.geneontology.org/cgi-bin/amigo/term-details.cgi?term=GO:0070180","GO:0070180")</f>
        <v>GO:0070180</v>
      </c>
      <c r="B1742" t="s">
        <v>2411</v>
      </c>
      <c r="C1742">
        <v>1</v>
      </c>
      <c r="D1742">
        <v>1</v>
      </c>
      <c r="E1742">
        <v>4.5213352534395401E-2</v>
      </c>
      <c r="F1742">
        <v>9.0426705068790802E-2</v>
      </c>
      <c r="G1742" t="s">
        <v>29</v>
      </c>
    </row>
    <row r="1743" spans="1:7" x14ac:dyDescent="0.25">
      <c r="A1743" s="4" t="str">
        <f>HYPERLINK("http://amigo.geneontology.org/cgi-bin/amigo/term-details.cgi?term=GO:0035101","GO:0035101")</f>
        <v>GO:0035101</v>
      </c>
      <c r="B1743" t="s">
        <v>2410</v>
      </c>
      <c r="C1743">
        <v>1</v>
      </c>
      <c r="D1743">
        <v>1</v>
      </c>
      <c r="E1743">
        <v>4.5213352534395401E-2</v>
      </c>
      <c r="F1743">
        <v>9.0426705068790802E-2</v>
      </c>
      <c r="G1743" t="s">
        <v>31</v>
      </c>
    </row>
    <row r="1744" spans="1:7" x14ac:dyDescent="0.25">
      <c r="A1744" s="4" t="str">
        <f>HYPERLINK("http://amigo.geneontology.org/cgi-bin/amigo/term-details.cgi?term=GO:0010342","GO:0010342")</f>
        <v>GO:0010342</v>
      </c>
      <c r="B1744" t="s">
        <v>2409</v>
      </c>
      <c r="C1744">
        <v>1</v>
      </c>
      <c r="D1744">
        <v>1</v>
      </c>
      <c r="E1744">
        <v>4.5213352534395401E-2</v>
      </c>
      <c r="F1744">
        <v>9.0426705068790802E-2</v>
      </c>
      <c r="G1744" t="s">
        <v>32</v>
      </c>
    </row>
    <row r="1745" spans="1:7" x14ac:dyDescent="0.25">
      <c r="A1745" s="4" t="str">
        <f>HYPERLINK("http://amigo.geneontology.org/cgi-bin/amigo/term-details.cgi?term=GO:0098572","GO:0098572")</f>
        <v>GO:0098572</v>
      </c>
      <c r="B1745" t="s">
        <v>2408</v>
      </c>
      <c r="C1745">
        <v>1</v>
      </c>
      <c r="D1745">
        <v>1</v>
      </c>
      <c r="E1745">
        <v>4.5213352534395401E-2</v>
      </c>
      <c r="F1745">
        <v>9.0426705068790802E-2</v>
      </c>
      <c r="G1745" t="s">
        <v>33</v>
      </c>
    </row>
    <row r="1746" spans="1:7" x14ac:dyDescent="0.25">
      <c r="A1746" s="4" t="str">
        <f>HYPERLINK("http://amigo.geneontology.org/cgi-bin/amigo/term-details.cgi?term=GO:0090227","GO:0090227")</f>
        <v>GO:0090227</v>
      </c>
      <c r="B1746" t="s">
        <v>2407</v>
      </c>
      <c r="C1746">
        <v>1</v>
      </c>
      <c r="D1746">
        <v>1</v>
      </c>
      <c r="E1746">
        <v>4.5213352534395401E-2</v>
      </c>
      <c r="F1746">
        <v>9.0426705068790802E-2</v>
      </c>
      <c r="G1746" t="s">
        <v>34</v>
      </c>
    </row>
    <row r="1747" spans="1:7" x14ac:dyDescent="0.25">
      <c r="A1747" s="4" t="str">
        <f>HYPERLINK("http://amigo.geneontology.org/cgi-bin/amigo/term-details.cgi?term=GO:0090228","GO:0090228")</f>
        <v>GO:0090228</v>
      </c>
      <c r="B1747" t="s">
        <v>2406</v>
      </c>
      <c r="C1747">
        <v>1</v>
      </c>
      <c r="D1747">
        <v>1</v>
      </c>
      <c r="E1747">
        <v>4.5213352534395401E-2</v>
      </c>
      <c r="F1747">
        <v>9.0426705068790802E-2</v>
      </c>
      <c r="G1747" t="s">
        <v>34</v>
      </c>
    </row>
    <row r="1748" spans="1:7" x14ac:dyDescent="0.25">
      <c r="A1748" s="4" t="str">
        <f>HYPERLINK("http://amigo.geneontology.org/cgi-bin/amigo/term-details.cgi?term=GO:0052805","GO:0052805")</f>
        <v>GO:0052805</v>
      </c>
      <c r="B1748" t="s">
        <v>2405</v>
      </c>
      <c r="C1748">
        <v>1</v>
      </c>
      <c r="D1748">
        <v>1</v>
      </c>
      <c r="E1748">
        <v>4.5213352534395401E-2</v>
      </c>
      <c r="F1748">
        <v>9.0426705068790802E-2</v>
      </c>
      <c r="G1748" t="s">
        <v>36</v>
      </c>
    </row>
    <row r="1749" spans="1:7" x14ac:dyDescent="0.25">
      <c r="A1749" s="4" t="str">
        <f>HYPERLINK("http://amigo.geneontology.org/cgi-bin/amigo/term-details.cgi?term=GO:0006548","GO:0006548")</f>
        <v>GO:0006548</v>
      </c>
      <c r="B1749" t="s">
        <v>2404</v>
      </c>
      <c r="C1749">
        <v>1</v>
      </c>
      <c r="D1749">
        <v>1</v>
      </c>
      <c r="E1749">
        <v>4.5213352534395401E-2</v>
      </c>
      <c r="F1749">
        <v>9.0426705068790802E-2</v>
      </c>
      <c r="G1749" t="s">
        <v>36</v>
      </c>
    </row>
    <row r="1750" spans="1:7" x14ac:dyDescent="0.25">
      <c r="A1750" s="4" t="str">
        <f>HYPERLINK("http://amigo.geneontology.org/cgi-bin/amigo/term-details.cgi?term=GO:0043606","GO:0043606")</f>
        <v>GO:0043606</v>
      </c>
      <c r="B1750" t="s">
        <v>2403</v>
      </c>
      <c r="C1750">
        <v>1</v>
      </c>
      <c r="D1750">
        <v>1</v>
      </c>
      <c r="E1750">
        <v>4.5213352534395401E-2</v>
      </c>
      <c r="F1750">
        <v>9.0426705068790802E-2</v>
      </c>
      <c r="G1750" t="s">
        <v>36</v>
      </c>
    </row>
    <row r="1751" spans="1:7" x14ac:dyDescent="0.25">
      <c r="A1751" s="4" t="str">
        <f>HYPERLINK("http://amigo.geneontology.org/cgi-bin/amigo/term-details.cgi?term=GO:0019556","GO:0019556")</f>
        <v>GO:0019556</v>
      </c>
      <c r="B1751" t="s">
        <v>2402</v>
      </c>
      <c r="C1751">
        <v>1</v>
      </c>
      <c r="D1751">
        <v>1</v>
      </c>
      <c r="E1751">
        <v>4.5213352534395401E-2</v>
      </c>
      <c r="F1751">
        <v>9.0426705068790802E-2</v>
      </c>
      <c r="G1751" t="s">
        <v>36</v>
      </c>
    </row>
    <row r="1752" spans="1:7" x14ac:dyDescent="0.25">
      <c r="A1752" s="4" t="str">
        <f>HYPERLINK("http://amigo.geneontology.org/cgi-bin/amigo/term-details.cgi?term=GO:0030388","GO:0030388")</f>
        <v>GO:0030388</v>
      </c>
      <c r="B1752" t="s">
        <v>2401</v>
      </c>
      <c r="C1752">
        <v>1</v>
      </c>
      <c r="D1752">
        <v>1</v>
      </c>
      <c r="E1752">
        <v>4.5213352534395401E-2</v>
      </c>
      <c r="F1752">
        <v>9.0426705068790802E-2</v>
      </c>
      <c r="G1752" t="s">
        <v>37</v>
      </c>
    </row>
    <row r="1753" spans="1:7" x14ac:dyDescent="0.25">
      <c r="A1753" s="4" t="str">
        <f>HYPERLINK("http://amigo.geneontology.org/cgi-bin/amigo/term-details.cgi?term=GO:0004614","GO:0004614")</f>
        <v>GO:0004614</v>
      </c>
      <c r="B1753" t="s">
        <v>2400</v>
      </c>
      <c r="C1753">
        <v>1</v>
      </c>
      <c r="D1753">
        <v>1</v>
      </c>
      <c r="E1753">
        <v>4.5213352534395401E-2</v>
      </c>
      <c r="F1753">
        <v>9.0426705068790802E-2</v>
      </c>
      <c r="G1753" t="s">
        <v>38</v>
      </c>
    </row>
    <row r="1754" spans="1:7" x14ac:dyDescent="0.25">
      <c r="A1754" s="4" t="str">
        <f>HYPERLINK("http://amigo.geneontology.org/cgi-bin/amigo/term-details.cgi?term=GO:0047538","GO:0047538")</f>
        <v>GO:0047538</v>
      </c>
      <c r="B1754" t="s">
        <v>2399</v>
      </c>
      <c r="C1754">
        <v>1</v>
      </c>
      <c r="D1754">
        <v>1</v>
      </c>
      <c r="E1754">
        <v>4.5213352534395401E-2</v>
      </c>
      <c r="F1754">
        <v>9.0426705068790802E-2</v>
      </c>
      <c r="G1754" t="s">
        <v>43</v>
      </c>
    </row>
    <row r="1755" spans="1:7" x14ac:dyDescent="0.25">
      <c r="A1755" s="4" t="str">
        <f>HYPERLINK("http://amigo.geneontology.org/cgi-bin/amigo/term-details.cgi?term=GO:0046863","GO:0046863")</f>
        <v>GO:0046863</v>
      </c>
      <c r="B1755" t="s">
        <v>2398</v>
      </c>
      <c r="C1755">
        <v>1</v>
      </c>
      <c r="D1755">
        <v>1</v>
      </c>
      <c r="E1755">
        <v>4.5213352534395401E-2</v>
      </c>
      <c r="F1755">
        <v>9.0426705068790802E-2</v>
      </c>
      <c r="G1755" t="s">
        <v>44</v>
      </c>
    </row>
    <row r="1756" spans="1:7" x14ac:dyDescent="0.25">
      <c r="A1756" s="4" t="str">
        <f>HYPERLINK("http://amigo.geneontology.org/cgi-bin/amigo/term-details.cgi?term=GO:0070971","GO:0070971")</f>
        <v>GO:0070971</v>
      </c>
      <c r="B1756" t="s">
        <v>2397</v>
      </c>
      <c r="C1756">
        <v>1</v>
      </c>
      <c r="D1756">
        <v>1</v>
      </c>
      <c r="E1756">
        <v>4.5213352534395401E-2</v>
      </c>
      <c r="F1756">
        <v>9.0426705068790802E-2</v>
      </c>
      <c r="G1756" t="s">
        <v>45</v>
      </c>
    </row>
    <row r="1757" spans="1:7" x14ac:dyDescent="0.25">
      <c r="A1757" s="4" t="str">
        <f>HYPERLINK("http://amigo.geneontology.org/cgi-bin/amigo/term-details.cgi?term=GO:0010330","GO:0010330")</f>
        <v>GO:0010330</v>
      </c>
      <c r="B1757" t="s">
        <v>2396</v>
      </c>
      <c r="C1757">
        <v>1</v>
      </c>
      <c r="D1757">
        <v>1</v>
      </c>
      <c r="E1757">
        <v>4.5213352534395401E-2</v>
      </c>
      <c r="F1757">
        <v>9.0426705068790802E-2</v>
      </c>
      <c r="G1757" t="s">
        <v>49</v>
      </c>
    </row>
    <row r="1758" spans="1:7" x14ac:dyDescent="0.25">
      <c r="A1758" s="4" t="str">
        <f>HYPERLINK("http://amigo.geneontology.org/cgi-bin/amigo/term-details.cgi?term=GO:0043157","GO:0043157")</f>
        <v>GO:0043157</v>
      </c>
      <c r="B1758" t="s">
        <v>2395</v>
      </c>
      <c r="C1758">
        <v>1</v>
      </c>
      <c r="D1758">
        <v>1</v>
      </c>
      <c r="E1758">
        <v>4.5213352534395401E-2</v>
      </c>
      <c r="F1758">
        <v>9.0426705068790802E-2</v>
      </c>
      <c r="G1758" t="s">
        <v>50</v>
      </c>
    </row>
    <row r="1759" spans="1:7" x14ac:dyDescent="0.25">
      <c r="A1759" s="4" t="str">
        <f>HYPERLINK("http://amigo.geneontology.org/cgi-bin/amigo/term-details.cgi?term=GO:0048768","GO:0048768")</f>
        <v>GO:0048768</v>
      </c>
      <c r="B1759" t="s">
        <v>2394</v>
      </c>
      <c r="C1759">
        <v>1</v>
      </c>
      <c r="D1759">
        <v>1</v>
      </c>
      <c r="E1759">
        <v>4.5213352534395401E-2</v>
      </c>
      <c r="F1759">
        <v>9.0426705068790802E-2</v>
      </c>
      <c r="G1759" t="s">
        <v>51</v>
      </c>
    </row>
    <row r="1760" spans="1:7" x14ac:dyDescent="0.25">
      <c r="A1760" s="4" t="str">
        <f>HYPERLINK("http://amigo.geneontology.org/cgi-bin/amigo/term-details.cgi?term=GO:0006971","GO:0006971")</f>
        <v>GO:0006971</v>
      </c>
      <c r="B1760" t="s">
        <v>2393</v>
      </c>
      <c r="C1760">
        <v>1</v>
      </c>
      <c r="D1760">
        <v>1</v>
      </c>
      <c r="E1760">
        <v>4.5213352534395401E-2</v>
      </c>
      <c r="F1760">
        <v>9.0426705068790802E-2</v>
      </c>
      <c r="G1760" t="s">
        <v>52</v>
      </c>
    </row>
    <row r="1761" spans="1:7" x14ac:dyDescent="0.25">
      <c r="A1761" s="4" t="str">
        <f>HYPERLINK("http://amigo.geneontology.org/cgi-bin/amigo/term-details.cgi?term=GO:0006740","GO:0006740")</f>
        <v>GO:0006740</v>
      </c>
      <c r="B1761" t="s">
        <v>2392</v>
      </c>
      <c r="C1761">
        <v>1</v>
      </c>
      <c r="D1761">
        <v>1</v>
      </c>
      <c r="E1761">
        <v>4.5213352534395401E-2</v>
      </c>
      <c r="F1761">
        <v>9.0426705068790802E-2</v>
      </c>
      <c r="G1761" t="s">
        <v>54</v>
      </c>
    </row>
    <row r="1762" spans="1:7" x14ac:dyDescent="0.25">
      <c r="A1762" s="4" t="str">
        <f>HYPERLINK("http://amigo.geneontology.org/cgi-bin/amigo/term-details.cgi?term=GO:0009780","GO:0009780")</f>
        <v>GO:0009780</v>
      </c>
      <c r="B1762" t="s">
        <v>2391</v>
      </c>
      <c r="C1762">
        <v>1</v>
      </c>
      <c r="D1762">
        <v>1</v>
      </c>
      <c r="E1762">
        <v>4.5213352534395401E-2</v>
      </c>
      <c r="F1762">
        <v>9.0426705068790802E-2</v>
      </c>
      <c r="G1762" t="s">
        <v>54</v>
      </c>
    </row>
    <row r="1763" spans="1:7" x14ac:dyDescent="0.25">
      <c r="A1763" s="4" t="str">
        <f>HYPERLINK("http://amigo.geneontology.org/cgi-bin/amigo/term-details.cgi?term=GO:0042550","GO:0042550")</f>
        <v>GO:0042550</v>
      </c>
      <c r="B1763" t="s">
        <v>2390</v>
      </c>
      <c r="C1763">
        <v>1</v>
      </c>
      <c r="D1763">
        <v>1</v>
      </c>
      <c r="E1763">
        <v>4.5213352534395401E-2</v>
      </c>
      <c r="F1763">
        <v>9.0426705068790802E-2</v>
      </c>
      <c r="G1763" t="s">
        <v>54</v>
      </c>
    </row>
    <row r="1764" spans="1:7" x14ac:dyDescent="0.25">
      <c r="A1764" s="4" t="str">
        <f>HYPERLINK("http://amigo.geneontology.org/cgi-bin/amigo/term-details.cgi?term=GO:0046905","GO:0046905")</f>
        <v>GO:0046905</v>
      </c>
      <c r="B1764" t="s">
        <v>2389</v>
      </c>
      <c r="C1764">
        <v>1</v>
      </c>
      <c r="D1764">
        <v>1</v>
      </c>
      <c r="E1764">
        <v>4.5213352534395401E-2</v>
      </c>
      <c r="F1764">
        <v>9.0426705068790802E-2</v>
      </c>
      <c r="G1764" t="s">
        <v>55</v>
      </c>
    </row>
    <row r="1765" spans="1:7" x14ac:dyDescent="0.25">
      <c r="A1765" s="4" t="str">
        <f>HYPERLINK("http://amigo.geneontology.org/cgi-bin/amigo/term-details.cgi?term=GO:0048283","GO:0048283")</f>
        <v>GO:0048283</v>
      </c>
      <c r="B1765" t="s">
        <v>2388</v>
      </c>
      <c r="C1765">
        <v>1</v>
      </c>
      <c r="D1765">
        <v>1</v>
      </c>
      <c r="E1765">
        <v>4.5213352534395401E-2</v>
      </c>
      <c r="F1765">
        <v>9.0426705068790802E-2</v>
      </c>
      <c r="G1765" t="s">
        <v>57</v>
      </c>
    </row>
    <row r="1766" spans="1:7" x14ac:dyDescent="0.25">
      <c r="A1766" s="4" t="str">
        <f>HYPERLINK("http://amigo.geneontology.org/cgi-bin/amigo/term-details.cgi?term=GO:0090416","GO:0090416")</f>
        <v>GO:0090416</v>
      </c>
      <c r="B1766" t="s">
        <v>2387</v>
      </c>
      <c r="C1766">
        <v>1</v>
      </c>
      <c r="D1766">
        <v>1</v>
      </c>
      <c r="E1766">
        <v>4.5213352534395401E-2</v>
      </c>
      <c r="F1766">
        <v>9.0426705068790802E-2</v>
      </c>
      <c r="G1766" t="s">
        <v>60</v>
      </c>
    </row>
    <row r="1767" spans="1:7" x14ac:dyDescent="0.25">
      <c r="A1767" s="4" t="str">
        <f>HYPERLINK("http://amigo.geneontology.org/cgi-bin/amigo/term-details.cgi?term=GO:0015651","GO:0015651")</f>
        <v>GO:0015651</v>
      </c>
      <c r="B1767" t="s">
        <v>2386</v>
      </c>
      <c r="C1767">
        <v>1</v>
      </c>
      <c r="D1767">
        <v>1</v>
      </c>
      <c r="E1767">
        <v>4.5213352534395401E-2</v>
      </c>
      <c r="F1767">
        <v>9.0426705068790802E-2</v>
      </c>
      <c r="G1767" t="s">
        <v>60</v>
      </c>
    </row>
    <row r="1768" spans="1:7" x14ac:dyDescent="0.25">
      <c r="A1768" s="4" t="str">
        <f>HYPERLINK("http://amigo.geneontology.org/cgi-bin/amigo/term-details.cgi?term=GO:0090417","GO:0090417")</f>
        <v>GO:0090417</v>
      </c>
      <c r="B1768" t="s">
        <v>2385</v>
      </c>
      <c r="C1768">
        <v>1</v>
      </c>
      <c r="D1768">
        <v>1</v>
      </c>
      <c r="E1768">
        <v>4.5213352534395401E-2</v>
      </c>
      <c r="F1768">
        <v>9.0426705068790802E-2</v>
      </c>
      <c r="G1768" t="s">
        <v>60</v>
      </c>
    </row>
    <row r="1769" spans="1:7" x14ac:dyDescent="0.25">
      <c r="A1769" s="4" t="str">
        <f>HYPERLINK("http://amigo.geneontology.org/cgi-bin/amigo/term-details.cgi?term=GO:2001142","GO:2001142")</f>
        <v>GO:2001142</v>
      </c>
      <c r="B1769" t="s">
        <v>2384</v>
      </c>
      <c r="C1769">
        <v>1</v>
      </c>
      <c r="D1769">
        <v>1</v>
      </c>
      <c r="E1769">
        <v>4.5213352534395401E-2</v>
      </c>
      <c r="F1769">
        <v>9.0426705068790802E-2</v>
      </c>
      <c r="G1769" t="s">
        <v>60</v>
      </c>
    </row>
    <row r="1770" spans="1:7" x14ac:dyDescent="0.25">
      <c r="A1770" s="4" t="str">
        <f>HYPERLINK("http://amigo.geneontology.org/cgi-bin/amigo/term-details.cgi?term=GO:0015697","GO:0015697")</f>
        <v>GO:0015697</v>
      </c>
      <c r="B1770" t="s">
        <v>2383</v>
      </c>
      <c r="C1770">
        <v>1</v>
      </c>
      <c r="D1770">
        <v>1</v>
      </c>
      <c r="E1770">
        <v>4.5213352534395401E-2</v>
      </c>
      <c r="F1770">
        <v>9.0426705068790802E-2</v>
      </c>
      <c r="G1770" t="s">
        <v>60</v>
      </c>
    </row>
    <row r="1771" spans="1:7" x14ac:dyDescent="0.25">
      <c r="A1771" s="4" t="str">
        <f>HYPERLINK("http://amigo.geneontology.org/cgi-bin/amigo/term-details.cgi?term=GO:2001143","GO:2001143")</f>
        <v>GO:2001143</v>
      </c>
      <c r="B1771" t="s">
        <v>2382</v>
      </c>
      <c r="C1771">
        <v>1</v>
      </c>
      <c r="D1771">
        <v>1</v>
      </c>
      <c r="E1771">
        <v>4.5213352534395401E-2</v>
      </c>
      <c r="F1771">
        <v>9.0426705068790802E-2</v>
      </c>
      <c r="G1771" t="s">
        <v>60</v>
      </c>
    </row>
    <row r="1772" spans="1:7" x14ac:dyDescent="0.25">
      <c r="A1772" s="4" t="str">
        <f>HYPERLINK("http://amigo.geneontology.org/cgi-bin/amigo/term-details.cgi?term=GO:0000481","GO:0000481")</f>
        <v>GO:0000481</v>
      </c>
      <c r="B1772" t="s">
        <v>2381</v>
      </c>
      <c r="C1772">
        <v>1</v>
      </c>
      <c r="D1772">
        <v>1</v>
      </c>
      <c r="E1772">
        <v>4.5213352534395401E-2</v>
      </c>
      <c r="F1772">
        <v>9.0426705068790802E-2</v>
      </c>
      <c r="G1772" t="s">
        <v>61</v>
      </c>
    </row>
    <row r="1773" spans="1:7" x14ac:dyDescent="0.25">
      <c r="A1773" s="4" t="str">
        <f>HYPERLINK("http://amigo.geneontology.org/cgi-bin/amigo/term-details.cgi?term=GO:0030908","GO:0030908")</f>
        <v>GO:0030908</v>
      </c>
      <c r="B1773" t="s">
        <v>2380</v>
      </c>
      <c r="C1773">
        <v>1</v>
      </c>
      <c r="D1773">
        <v>1</v>
      </c>
      <c r="E1773">
        <v>4.5213352534395401E-2</v>
      </c>
      <c r="F1773">
        <v>9.0426705068790802E-2</v>
      </c>
      <c r="G1773" t="s">
        <v>63</v>
      </c>
    </row>
    <row r="1774" spans="1:7" x14ac:dyDescent="0.25">
      <c r="A1774" s="4" t="str">
        <f>HYPERLINK("http://amigo.geneontology.org/cgi-bin/amigo/term-details.cgi?term=GO:0016539","GO:0016539")</f>
        <v>GO:0016539</v>
      </c>
      <c r="B1774" t="s">
        <v>2379</v>
      </c>
      <c r="C1774">
        <v>1</v>
      </c>
      <c r="D1774">
        <v>1</v>
      </c>
      <c r="E1774">
        <v>4.5213352534395401E-2</v>
      </c>
      <c r="F1774">
        <v>9.0426705068790802E-2</v>
      </c>
      <c r="G1774" t="s">
        <v>63</v>
      </c>
    </row>
    <row r="1775" spans="1:7" x14ac:dyDescent="0.25">
      <c r="A1775" s="4" t="str">
        <f>HYPERLINK("http://amigo.geneontology.org/cgi-bin/amigo/term-details.cgi?term=GO:0051211","GO:0051211")</f>
        <v>GO:0051211</v>
      </c>
      <c r="B1775" t="s">
        <v>2378</v>
      </c>
      <c r="C1775">
        <v>1</v>
      </c>
      <c r="D1775">
        <v>1</v>
      </c>
      <c r="E1775">
        <v>4.5213352534395401E-2</v>
      </c>
      <c r="F1775">
        <v>9.0426705068790802E-2</v>
      </c>
      <c r="G1775" t="s">
        <v>67</v>
      </c>
    </row>
    <row r="1776" spans="1:7" x14ac:dyDescent="0.25">
      <c r="A1776" s="4" t="str">
        <f>HYPERLINK("http://amigo.geneontology.org/cgi-bin/amigo/term-details.cgi?term=GO:0015837","GO:0015837")</f>
        <v>GO:0015837</v>
      </c>
      <c r="B1776" t="s">
        <v>2377</v>
      </c>
      <c r="C1776">
        <v>1</v>
      </c>
      <c r="D1776">
        <v>1</v>
      </c>
      <c r="E1776">
        <v>4.5213352534395401E-2</v>
      </c>
      <c r="F1776">
        <v>9.0426705068790802E-2</v>
      </c>
      <c r="G1776" t="s">
        <v>72</v>
      </c>
    </row>
    <row r="1777" spans="1:7" x14ac:dyDescent="0.25">
      <c r="A1777" s="4" t="str">
        <f>HYPERLINK("http://amigo.geneontology.org/cgi-bin/amigo/term-details.cgi?term=GO:0015843","GO:0015843")</f>
        <v>GO:0015843</v>
      </c>
      <c r="B1777" t="s">
        <v>2376</v>
      </c>
      <c r="C1777">
        <v>1</v>
      </c>
      <c r="D1777">
        <v>1</v>
      </c>
      <c r="E1777">
        <v>4.5213352534395401E-2</v>
      </c>
      <c r="F1777">
        <v>9.0426705068790802E-2</v>
      </c>
      <c r="G1777" t="s">
        <v>72</v>
      </c>
    </row>
    <row r="1778" spans="1:7" x14ac:dyDescent="0.25">
      <c r="A1778" s="4" t="str">
        <f>HYPERLINK("http://amigo.geneontology.org/cgi-bin/amigo/term-details.cgi?term=GO:0072489","GO:0072489")</f>
        <v>GO:0072489</v>
      </c>
      <c r="B1778" t="s">
        <v>2375</v>
      </c>
      <c r="C1778">
        <v>1</v>
      </c>
      <c r="D1778">
        <v>1</v>
      </c>
      <c r="E1778">
        <v>4.5213352534395401E-2</v>
      </c>
      <c r="F1778">
        <v>9.0426705068790802E-2</v>
      </c>
      <c r="G1778" t="s">
        <v>72</v>
      </c>
    </row>
    <row r="1779" spans="1:7" x14ac:dyDescent="0.25">
      <c r="A1779" s="4" t="str">
        <f>HYPERLINK("http://amigo.geneontology.org/cgi-bin/amigo/term-details.cgi?term=GO:0046484","GO:0046484")</f>
        <v>GO:0046484</v>
      </c>
      <c r="B1779" t="s">
        <v>2374</v>
      </c>
      <c r="C1779">
        <v>1</v>
      </c>
      <c r="D1779">
        <v>1</v>
      </c>
      <c r="E1779">
        <v>4.5213352534395401E-2</v>
      </c>
      <c r="F1779">
        <v>9.0426705068790802E-2</v>
      </c>
      <c r="G1779" t="s">
        <v>73</v>
      </c>
    </row>
    <row r="1780" spans="1:7" x14ac:dyDescent="0.25">
      <c r="A1780" s="4" t="str">
        <f>HYPERLINK("http://amigo.geneontology.org/cgi-bin/amigo/term-details.cgi?term=GO:0018131","GO:0018131")</f>
        <v>GO:0018131</v>
      </c>
      <c r="B1780" t="s">
        <v>2373</v>
      </c>
      <c r="C1780">
        <v>1</v>
      </c>
      <c r="D1780">
        <v>1</v>
      </c>
      <c r="E1780">
        <v>4.5213352534395401E-2</v>
      </c>
      <c r="F1780">
        <v>9.0426705068790802E-2</v>
      </c>
      <c r="G1780" t="s">
        <v>73</v>
      </c>
    </row>
    <row r="1781" spans="1:7" x14ac:dyDescent="0.25">
      <c r="A1781" s="4" t="str">
        <f>HYPERLINK("http://amigo.geneontology.org/cgi-bin/amigo/term-details.cgi?term=GO:0052838","GO:0052838")</f>
        <v>GO:0052838</v>
      </c>
      <c r="B1781" t="s">
        <v>2372</v>
      </c>
      <c r="C1781">
        <v>1</v>
      </c>
      <c r="D1781">
        <v>1</v>
      </c>
      <c r="E1781">
        <v>4.5213352534395401E-2</v>
      </c>
      <c r="F1781">
        <v>9.0426705068790802E-2</v>
      </c>
      <c r="G1781" t="s">
        <v>73</v>
      </c>
    </row>
    <row r="1782" spans="1:7" x14ac:dyDescent="0.25">
      <c r="A1782" s="4" t="str">
        <f>HYPERLINK("http://amigo.geneontology.org/cgi-bin/amigo/term-details.cgi?term=GO:0052837","GO:0052837")</f>
        <v>GO:0052837</v>
      </c>
      <c r="B1782" t="s">
        <v>2371</v>
      </c>
      <c r="C1782">
        <v>1</v>
      </c>
      <c r="D1782">
        <v>1</v>
      </c>
      <c r="E1782">
        <v>4.5213352534395401E-2</v>
      </c>
      <c r="F1782">
        <v>9.0426705068790802E-2</v>
      </c>
      <c r="G1782" t="s">
        <v>73</v>
      </c>
    </row>
    <row r="1783" spans="1:7" x14ac:dyDescent="0.25">
      <c r="A1783" s="4" t="str">
        <f>HYPERLINK("http://amigo.geneontology.org/cgi-bin/amigo/term-details.cgi?term=GO:0000175","GO:0000175")</f>
        <v>GO:0000175</v>
      </c>
      <c r="B1783" t="s">
        <v>543</v>
      </c>
      <c r="C1783">
        <v>18</v>
      </c>
      <c r="D1783">
        <v>3</v>
      </c>
      <c r="E1783">
        <v>4.5334660049631499E-2</v>
      </c>
      <c r="F1783">
        <v>9.0669320099263095E-2</v>
      </c>
      <c r="G1783" t="s">
        <v>449</v>
      </c>
    </row>
    <row r="1784" spans="1:7" x14ac:dyDescent="0.25">
      <c r="A1784" s="4" t="str">
        <f>HYPERLINK("http://amigo.geneontology.org/cgi-bin/amigo/term-details.cgi?term=GO:0006564","GO:0006564")</f>
        <v>GO:0006564</v>
      </c>
      <c r="B1784" t="s">
        <v>977</v>
      </c>
      <c r="C1784">
        <v>18</v>
      </c>
      <c r="D1784">
        <v>3</v>
      </c>
      <c r="E1784">
        <v>4.5334660049631499E-2</v>
      </c>
      <c r="F1784">
        <v>9.0669320099263095E-2</v>
      </c>
      <c r="G1784" t="s">
        <v>2370</v>
      </c>
    </row>
    <row r="1785" spans="1:7" x14ac:dyDescent="0.25">
      <c r="A1785" s="4" t="str">
        <f>HYPERLINK("http://amigo.geneontology.org/cgi-bin/amigo/term-details.cgi?term=GO:0015296","GO:0015296")</f>
        <v>GO:0015296</v>
      </c>
      <c r="B1785" t="s">
        <v>2369</v>
      </c>
      <c r="C1785">
        <v>18</v>
      </c>
      <c r="D1785">
        <v>3</v>
      </c>
      <c r="E1785">
        <v>4.5334660049631499E-2</v>
      </c>
      <c r="F1785">
        <v>9.0669320099263095E-2</v>
      </c>
      <c r="G1785" t="s">
        <v>2368</v>
      </c>
    </row>
    <row r="1786" spans="1:7" x14ac:dyDescent="0.25">
      <c r="A1786" s="4" t="str">
        <f>HYPERLINK("http://amigo.geneontology.org/cgi-bin/amigo/term-details.cgi?term=GO:0004579","GO:0004579")</f>
        <v>GO:0004579</v>
      </c>
      <c r="B1786" t="s">
        <v>2367</v>
      </c>
      <c r="C1786">
        <v>18</v>
      </c>
      <c r="D1786">
        <v>3</v>
      </c>
      <c r="E1786">
        <v>4.5334660049631499E-2</v>
      </c>
      <c r="F1786">
        <v>9.0669320099263095E-2</v>
      </c>
      <c r="G1786" t="s">
        <v>2366</v>
      </c>
    </row>
    <row r="1787" spans="1:7" x14ac:dyDescent="0.25">
      <c r="A1787" s="4" t="str">
        <f>HYPERLINK("http://amigo.geneontology.org/cgi-bin/amigo/term-details.cgi?term=GO:1901568","GO:1901568")</f>
        <v>GO:1901568</v>
      </c>
      <c r="B1787" t="s">
        <v>2365</v>
      </c>
      <c r="C1787">
        <v>18</v>
      </c>
      <c r="D1787">
        <v>3</v>
      </c>
      <c r="E1787">
        <v>4.5334660049631499E-2</v>
      </c>
      <c r="F1787">
        <v>9.0669320099263095E-2</v>
      </c>
      <c r="G1787" t="s">
        <v>2363</v>
      </c>
    </row>
    <row r="1788" spans="1:7" x14ac:dyDescent="0.25">
      <c r="A1788" s="4" t="str">
        <f>HYPERLINK("http://amigo.geneontology.org/cgi-bin/amigo/term-details.cgi?term=GO:1901570","GO:1901570")</f>
        <v>GO:1901570</v>
      </c>
      <c r="B1788" t="s">
        <v>2364</v>
      </c>
      <c r="C1788">
        <v>18</v>
      </c>
      <c r="D1788">
        <v>3</v>
      </c>
      <c r="E1788">
        <v>4.5334660049631499E-2</v>
      </c>
      <c r="F1788">
        <v>9.0669320099263095E-2</v>
      </c>
      <c r="G1788" t="s">
        <v>2363</v>
      </c>
    </row>
    <row r="1789" spans="1:7" x14ac:dyDescent="0.25">
      <c r="A1789" s="4" t="str">
        <f>HYPERLINK("http://amigo.geneontology.org/cgi-bin/amigo/term-details.cgi?term=GO:0006760","GO:0006760")</f>
        <v>GO:0006760</v>
      </c>
      <c r="B1789" t="s">
        <v>2362</v>
      </c>
      <c r="C1789">
        <v>58</v>
      </c>
      <c r="D1789">
        <v>6</v>
      </c>
      <c r="E1789">
        <v>4.6523517136017302E-2</v>
      </c>
      <c r="F1789">
        <v>9.3047034272034604E-2</v>
      </c>
      <c r="G1789" t="s">
        <v>2361</v>
      </c>
    </row>
    <row r="1790" spans="1:7" x14ac:dyDescent="0.25">
      <c r="A1790" s="4" t="str">
        <f>HYPERLINK("http://amigo.geneontology.org/cgi-bin/amigo/term-details.cgi?term=GO:0045261","GO:0045261")</f>
        <v>GO:0045261</v>
      </c>
      <c r="B1790" t="s">
        <v>1044</v>
      </c>
      <c r="C1790">
        <v>58</v>
      </c>
      <c r="D1790">
        <v>6</v>
      </c>
      <c r="E1790">
        <v>4.6523517136017302E-2</v>
      </c>
      <c r="F1790">
        <v>9.3047034272034604E-2</v>
      </c>
      <c r="G1790" t="s">
        <v>1043</v>
      </c>
    </row>
    <row r="1791" spans="1:7" x14ac:dyDescent="0.25">
      <c r="A1791" s="4" t="str">
        <f>HYPERLINK("http://amigo.geneontology.org/cgi-bin/amigo/term-details.cgi?term=GO:0051347","GO:0051347")</f>
        <v>GO:0051347</v>
      </c>
      <c r="B1791" t="s">
        <v>2360</v>
      </c>
      <c r="C1791">
        <v>44</v>
      </c>
      <c r="D1791">
        <v>5</v>
      </c>
      <c r="E1791">
        <v>4.7502438677254497E-2</v>
      </c>
      <c r="F1791">
        <v>9.5004877354509104E-2</v>
      </c>
      <c r="G1791" t="s">
        <v>2359</v>
      </c>
    </row>
    <row r="1792" spans="1:7" x14ac:dyDescent="0.25">
      <c r="A1792" s="4" t="str">
        <f>HYPERLINK("http://amigo.geneontology.org/cgi-bin/amigo/term-details.cgi?term=GO:0015294","GO:0015294")</f>
        <v>GO:0015294</v>
      </c>
      <c r="B1792" t="s">
        <v>2358</v>
      </c>
      <c r="C1792">
        <v>44</v>
      </c>
      <c r="D1792">
        <v>5</v>
      </c>
      <c r="E1792">
        <v>4.7502438677254497E-2</v>
      </c>
      <c r="F1792">
        <v>9.5004877354509104E-2</v>
      </c>
      <c r="G1792" t="s">
        <v>2357</v>
      </c>
    </row>
    <row r="1793" spans="1:7" x14ac:dyDescent="0.25">
      <c r="A1793" s="4" t="str">
        <f>HYPERLINK("http://amigo.geneontology.org/cgi-bin/amigo/term-details.cgi?term=GO:0000234","GO:0000234")</f>
        <v>GO:0000234</v>
      </c>
      <c r="B1793" t="s">
        <v>1140</v>
      </c>
      <c r="C1793">
        <v>8</v>
      </c>
      <c r="D1793">
        <v>2</v>
      </c>
      <c r="E1793">
        <v>4.7714995526202897E-2</v>
      </c>
      <c r="F1793">
        <v>9.5429991052405905E-2</v>
      </c>
      <c r="G1793" t="s">
        <v>1393</v>
      </c>
    </row>
    <row r="1794" spans="1:7" x14ac:dyDescent="0.25">
      <c r="A1794" s="4" t="str">
        <f>HYPERLINK("http://amigo.geneontology.org/cgi-bin/amigo/term-details.cgi?term=GO:0006656","GO:0006656")</f>
        <v>GO:0006656</v>
      </c>
      <c r="B1794" t="s">
        <v>1139</v>
      </c>
      <c r="C1794">
        <v>8</v>
      </c>
      <c r="D1794">
        <v>2</v>
      </c>
      <c r="E1794">
        <v>4.7714995526202897E-2</v>
      </c>
      <c r="F1794">
        <v>9.5429991052405905E-2</v>
      </c>
      <c r="G1794" t="s">
        <v>1393</v>
      </c>
    </row>
    <row r="1795" spans="1:7" x14ac:dyDescent="0.25">
      <c r="A1795" s="4" t="str">
        <f>HYPERLINK("http://amigo.geneontology.org/cgi-bin/amigo/term-details.cgi?term=GO:0008653","GO:0008653")</f>
        <v>GO:0008653</v>
      </c>
      <c r="B1795" t="s">
        <v>2356</v>
      </c>
      <c r="C1795">
        <v>8</v>
      </c>
      <c r="D1795">
        <v>2</v>
      </c>
      <c r="E1795">
        <v>4.7714995526202897E-2</v>
      </c>
      <c r="F1795">
        <v>9.5429991052405905E-2</v>
      </c>
      <c r="G1795" t="s">
        <v>1387</v>
      </c>
    </row>
    <row r="1796" spans="1:7" x14ac:dyDescent="0.25">
      <c r="A1796" s="4" t="str">
        <f>HYPERLINK("http://amigo.geneontology.org/cgi-bin/amigo/term-details.cgi?term=GO:0009103","GO:0009103")</f>
        <v>GO:0009103</v>
      </c>
      <c r="B1796" t="s">
        <v>2355</v>
      </c>
      <c r="C1796">
        <v>8</v>
      </c>
      <c r="D1796">
        <v>2</v>
      </c>
      <c r="E1796">
        <v>4.7714995526202897E-2</v>
      </c>
      <c r="F1796">
        <v>9.5429991052405905E-2</v>
      </c>
      <c r="G1796" t="s">
        <v>1387</v>
      </c>
    </row>
    <row r="1797" spans="1:7" x14ac:dyDescent="0.25">
      <c r="A1797" s="4" t="str">
        <f>HYPERLINK("http://amigo.geneontology.org/cgi-bin/amigo/term-details.cgi?term=GO:0008360","GO:0008360")</f>
        <v>GO:0008360</v>
      </c>
      <c r="B1797" t="s">
        <v>2354</v>
      </c>
      <c r="C1797">
        <v>8</v>
      </c>
      <c r="D1797">
        <v>2</v>
      </c>
      <c r="E1797">
        <v>4.7714995526202897E-2</v>
      </c>
      <c r="F1797">
        <v>9.5429991052405905E-2</v>
      </c>
      <c r="G1797" t="s">
        <v>2353</v>
      </c>
    </row>
    <row r="1798" spans="1:7" x14ac:dyDescent="0.25">
      <c r="A1798" s="4" t="str">
        <f>HYPERLINK("http://amigo.geneontology.org/cgi-bin/amigo/term-details.cgi?term=GO:0003896","GO:0003896")</f>
        <v>GO:0003896</v>
      </c>
      <c r="B1798" t="s">
        <v>2352</v>
      </c>
      <c r="C1798">
        <v>8</v>
      </c>
      <c r="D1798">
        <v>2</v>
      </c>
      <c r="E1798">
        <v>4.7714995526202897E-2</v>
      </c>
      <c r="F1798">
        <v>9.5429991052405905E-2</v>
      </c>
      <c r="G1798" t="s">
        <v>2350</v>
      </c>
    </row>
    <row r="1799" spans="1:7" x14ac:dyDescent="0.25">
      <c r="A1799" s="4" t="str">
        <f>HYPERLINK("http://amigo.geneontology.org/cgi-bin/amigo/term-details.cgi?term=GO:0006269","GO:0006269")</f>
        <v>GO:0006269</v>
      </c>
      <c r="B1799" t="s">
        <v>2351</v>
      </c>
      <c r="C1799">
        <v>8</v>
      </c>
      <c r="D1799">
        <v>2</v>
      </c>
      <c r="E1799">
        <v>4.7714995526202897E-2</v>
      </c>
      <c r="F1799">
        <v>9.5429991052405905E-2</v>
      </c>
      <c r="G1799" t="s">
        <v>2350</v>
      </c>
    </row>
    <row r="1800" spans="1:7" x14ac:dyDescent="0.25">
      <c r="A1800" s="4" t="str">
        <f>HYPERLINK("http://amigo.geneontology.org/cgi-bin/amigo/term-details.cgi?term=GO:0004791","GO:0004791")</f>
        <v>GO:0004791</v>
      </c>
      <c r="B1800" t="s">
        <v>296</v>
      </c>
      <c r="C1800">
        <v>8</v>
      </c>
      <c r="D1800">
        <v>2</v>
      </c>
      <c r="E1800">
        <v>4.7714995526202897E-2</v>
      </c>
      <c r="F1800">
        <v>9.5429991052405905E-2</v>
      </c>
      <c r="G1800" t="s">
        <v>1368</v>
      </c>
    </row>
    <row r="1801" spans="1:7" x14ac:dyDescent="0.25">
      <c r="A1801" s="4" t="str">
        <f>HYPERLINK("http://amigo.geneontology.org/cgi-bin/amigo/term-details.cgi?term=GO:1901463","GO:1901463")</f>
        <v>GO:1901463</v>
      </c>
      <c r="B1801" t="s">
        <v>2349</v>
      </c>
      <c r="C1801">
        <v>8</v>
      </c>
      <c r="D1801">
        <v>2</v>
      </c>
      <c r="E1801">
        <v>4.7714995526202897E-2</v>
      </c>
      <c r="F1801">
        <v>9.5429991052405905E-2</v>
      </c>
      <c r="G1801" t="s">
        <v>1368</v>
      </c>
    </row>
    <row r="1802" spans="1:7" x14ac:dyDescent="0.25">
      <c r="A1802" s="4" t="str">
        <f>HYPERLINK("http://amigo.geneontology.org/cgi-bin/amigo/term-details.cgi?term=GO:0046620","GO:0046620")</f>
        <v>GO:0046620</v>
      </c>
      <c r="B1802" t="s">
        <v>2348</v>
      </c>
      <c r="C1802">
        <v>8</v>
      </c>
      <c r="D1802">
        <v>2</v>
      </c>
      <c r="E1802">
        <v>4.7714995526202897E-2</v>
      </c>
      <c r="F1802">
        <v>9.5429991052405905E-2</v>
      </c>
      <c r="G1802" t="s">
        <v>2345</v>
      </c>
    </row>
    <row r="1803" spans="1:7" x14ac:dyDescent="0.25">
      <c r="A1803" s="4" t="str">
        <f>HYPERLINK("http://amigo.geneontology.org/cgi-bin/amigo/term-details.cgi?term=GO:0048640","GO:0048640")</f>
        <v>GO:0048640</v>
      </c>
      <c r="B1803" t="s">
        <v>2347</v>
      </c>
      <c r="C1803">
        <v>8</v>
      </c>
      <c r="D1803">
        <v>2</v>
      </c>
      <c r="E1803">
        <v>4.7714995526202897E-2</v>
      </c>
      <c r="F1803">
        <v>9.5429991052405905E-2</v>
      </c>
      <c r="G1803" t="s">
        <v>2345</v>
      </c>
    </row>
    <row r="1804" spans="1:7" x14ac:dyDescent="0.25">
      <c r="A1804" s="4" t="str">
        <f>HYPERLINK("http://amigo.geneontology.org/cgi-bin/amigo/term-details.cgi?term=GO:0046621","GO:0046621")</f>
        <v>GO:0046621</v>
      </c>
      <c r="B1804" t="s">
        <v>2346</v>
      </c>
      <c r="C1804">
        <v>8</v>
      </c>
      <c r="D1804">
        <v>2</v>
      </c>
      <c r="E1804">
        <v>4.7714995526202897E-2</v>
      </c>
      <c r="F1804">
        <v>9.5429991052405905E-2</v>
      </c>
      <c r="G1804" t="s">
        <v>2345</v>
      </c>
    </row>
    <row r="1805" spans="1:7" x14ac:dyDescent="0.25">
      <c r="A1805" s="4" t="str">
        <f>HYPERLINK("http://amigo.geneontology.org/cgi-bin/amigo/term-details.cgi?term=GO:1902930","GO:1902930")</f>
        <v>GO:1902930</v>
      </c>
      <c r="B1805" t="s">
        <v>2344</v>
      </c>
      <c r="C1805">
        <v>8</v>
      </c>
      <c r="D1805">
        <v>2</v>
      </c>
      <c r="E1805">
        <v>4.7714995526202897E-2</v>
      </c>
      <c r="F1805">
        <v>9.5429991052405905E-2</v>
      </c>
      <c r="G1805" t="s">
        <v>2343</v>
      </c>
    </row>
    <row r="1806" spans="1:7" x14ac:dyDescent="0.25">
      <c r="A1806" s="4" t="str">
        <f>HYPERLINK("http://amigo.geneontology.org/cgi-bin/amigo/term-details.cgi?term=GO:0004019","GO:0004019")</f>
        <v>GO:0004019</v>
      </c>
      <c r="B1806" t="s">
        <v>1329</v>
      </c>
      <c r="C1806">
        <v>8</v>
      </c>
      <c r="D1806">
        <v>2</v>
      </c>
      <c r="E1806">
        <v>4.7714995526202897E-2</v>
      </c>
      <c r="F1806">
        <v>9.5429991052405905E-2</v>
      </c>
      <c r="G1806" t="s">
        <v>1328</v>
      </c>
    </row>
    <row r="1807" spans="1:7" x14ac:dyDescent="0.25">
      <c r="A1807" s="4" t="str">
        <f>HYPERLINK("http://amigo.geneontology.org/cgi-bin/amigo/term-details.cgi?term=GO:0004529","GO:0004529")</f>
        <v>GO:0004529</v>
      </c>
      <c r="B1807" t="s">
        <v>2342</v>
      </c>
      <c r="C1807">
        <v>8</v>
      </c>
      <c r="D1807">
        <v>2</v>
      </c>
      <c r="E1807">
        <v>4.7714995526202897E-2</v>
      </c>
      <c r="F1807">
        <v>9.5429991052405905E-2</v>
      </c>
      <c r="G1807" t="s">
        <v>2339</v>
      </c>
    </row>
    <row r="1808" spans="1:7" x14ac:dyDescent="0.25">
      <c r="A1808" s="4" t="str">
        <f>HYPERLINK("http://amigo.geneontology.org/cgi-bin/amigo/term-details.cgi?term=GO:0016895","GO:0016895")</f>
        <v>GO:0016895</v>
      </c>
      <c r="B1808" t="s">
        <v>2341</v>
      </c>
      <c r="C1808">
        <v>8</v>
      </c>
      <c r="D1808">
        <v>2</v>
      </c>
      <c r="E1808">
        <v>4.7714995526202897E-2</v>
      </c>
      <c r="F1808">
        <v>9.5429991052405905E-2</v>
      </c>
      <c r="G1808" t="s">
        <v>2339</v>
      </c>
    </row>
    <row r="1809" spans="1:7" x14ac:dyDescent="0.25">
      <c r="A1809" s="4" t="str">
        <f>HYPERLINK("http://amigo.geneontology.org/cgi-bin/amigo/term-details.cgi?term=GO:0035312","GO:0035312")</f>
        <v>GO:0035312</v>
      </c>
      <c r="B1809" t="s">
        <v>2340</v>
      </c>
      <c r="C1809">
        <v>8</v>
      </c>
      <c r="D1809">
        <v>2</v>
      </c>
      <c r="E1809">
        <v>4.7714995526202897E-2</v>
      </c>
      <c r="F1809">
        <v>9.5429991052405905E-2</v>
      </c>
      <c r="G1809" t="s">
        <v>2339</v>
      </c>
    </row>
    <row r="1810" spans="1:7" x14ac:dyDescent="0.25">
      <c r="A1810" s="4" t="str">
        <f>HYPERLINK("http://amigo.geneontology.org/cgi-bin/amigo/term-details.cgi?term=GO:0048571","GO:0048571")</f>
        <v>GO:0048571</v>
      </c>
      <c r="B1810" t="s">
        <v>2338</v>
      </c>
      <c r="C1810">
        <v>8</v>
      </c>
      <c r="D1810">
        <v>2</v>
      </c>
      <c r="E1810">
        <v>4.7714995526202897E-2</v>
      </c>
      <c r="F1810">
        <v>9.5429991052405905E-2</v>
      </c>
      <c r="G1810" t="s">
        <v>2337</v>
      </c>
    </row>
    <row r="1811" spans="1:7" x14ac:dyDescent="0.25">
      <c r="A1811" s="4" t="str">
        <f>HYPERLINK("http://amigo.geneontology.org/cgi-bin/amigo/term-details.cgi?term=GO:0000290","GO:0000290")</f>
        <v>GO:0000290</v>
      </c>
      <c r="B1811" t="s">
        <v>1324</v>
      </c>
      <c r="C1811">
        <v>8</v>
      </c>
      <c r="D1811">
        <v>2</v>
      </c>
      <c r="E1811">
        <v>4.7714995526202897E-2</v>
      </c>
      <c r="F1811">
        <v>9.5429991052405905E-2</v>
      </c>
      <c r="G1811" t="s">
        <v>1323</v>
      </c>
    </row>
    <row r="1812" spans="1:7" x14ac:dyDescent="0.25">
      <c r="A1812" s="4" t="str">
        <f>HYPERLINK("http://amigo.geneontology.org/cgi-bin/amigo/term-details.cgi?term=GO:0008186","GO:0008186")</f>
        <v>GO:0008186</v>
      </c>
      <c r="B1812" t="s">
        <v>2336</v>
      </c>
      <c r="C1812">
        <v>8</v>
      </c>
      <c r="D1812">
        <v>2</v>
      </c>
      <c r="E1812">
        <v>4.7714995526202897E-2</v>
      </c>
      <c r="F1812">
        <v>9.5429991052405905E-2</v>
      </c>
      <c r="G1812" t="s">
        <v>2334</v>
      </c>
    </row>
    <row r="1813" spans="1:7" x14ac:dyDescent="0.25">
      <c r="A1813" s="4" t="str">
        <f>HYPERLINK("http://amigo.geneontology.org/cgi-bin/amigo/term-details.cgi?term=GO:0004004","GO:0004004")</f>
        <v>GO:0004004</v>
      </c>
      <c r="B1813" t="s">
        <v>2335</v>
      </c>
      <c r="C1813">
        <v>8</v>
      </c>
      <c r="D1813">
        <v>2</v>
      </c>
      <c r="E1813">
        <v>4.7714995526202897E-2</v>
      </c>
      <c r="F1813">
        <v>9.5429991052405905E-2</v>
      </c>
      <c r="G1813" t="s">
        <v>2334</v>
      </c>
    </row>
    <row r="1814" spans="1:7" x14ac:dyDescent="0.25">
      <c r="A1814" s="4" t="str">
        <f>HYPERLINK("http://amigo.geneontology.org/cgi-bin/amigo/term-details.cgi?term=GO:0004807","GO:0004807")</f>
        <v>GO:0004807</v>
      </c>
      <c r="B1814" t="s">
        <v>1305</v>
      </c>
      <c r="C1814">
        <v>8</v>
      </c>
      <c r="D1814">
        <v>2</v>
      </c>
      <c r="E1814">
        <v>4.7714995526202897E-2</v>
      </c>
      <c r="F1814">
        <v>9.5429991052405905E-2</v>
      </c>
      <c r="G1814" t="s">
        <v>1304</v>
      </c>
    </row>
    <row r="1815" spans="1:7" x14ac:dyDescent="0.25">
      <c r="A1815" s="4" t="str">
        <f>HYPERLINK("http://amigo.geneontology.org/cgi-bin/amigo/term-details.cgi?term=GO:0019405","GO:0019405")</f>
        <v>GO:0019405</v>
      </c>
      <c r="B1815" t="s">
        <v>2333</v>
      </c>
      <c r="C1815">
        <v>8</v>
      </c>
      <c r="D1815">
        <v>2</v>
      </c>
      <c r="E1815">
        <v>4.7714995526202897E-2</v>
      </c>
      <c r="F1815">
        <v>9.5429991052405905E-2</v>
      </c>
      <c r="G1815" t="s">
        <v>1304</v>
      </c>
    </row>
    <row r="1816" spans="1:7" x14ac:dyDescent="0.25">
      <c r="A1816" s="4" t="str">
        <f>HYPERLINK("http://amigo.geneontology.org/cgi-bin/amigo/term-details.cgi?term=GO:0019563","GO:0019563")</f>
        <v>GO:0019563</v>
      </c>
      <c r="B1816" t="s">
        <v>2332</v>
      </c>
      <c r="C1816">
        <v>8</v>
      </c>
      <c r="D1816">
        <v>2</v>
      </c>
      <c r="E1816">
        <v>4.7714995526202897E-2</v>
      </c>
      <c r="F1816">
        <v>9.5429991052405905E-2</v>
      </c>
      <c r="G1816" t="s">
        <v>1304</v>
      </c>
    </row>
    <row r="1817" spans="1:7" x14ac:dyDescent="0.25">
      <c r="A1817" s="4" t="str">
        <f>HYPERLINK("http://amigo.geneontology.org/cgi-bin/amigo/term-details.cgi?term=GO:0080022","GO:0080022")</f>
        <v>GO:0080022</v>
      </c>
      <c r="B1817" t="s">
        <v>1578</v>
      </c>
      <c r="C1817">
        <v>8</v>
      </c>
      <c r="D1817">
        <v>2</v>
      </c>
      <c r="E1817">
        <v>4.7714995526202897E-2</v>
      </c>
      <c r="F1817">
        <v>9.5429991052405905E-2</v>
      </c>
      <c r="G1817" t="s">
        <v>1304</v>
      </c>
    </row>
    <row r="1818" spans="1:7" x14ac:dyDescent="0.25">
      <c r="A1818" s="4" t="str">
        <f>HYPERLINK("http://amigo.geneontology.org/cgi-bin/amigo/term-details.cgi?term=GO:0000812","GO:0000812")</f>
        <v>GO:0000812</v>
      </c>
      <c r="B1818" t="s">
        <v>2331</v>
      </c>
      <c r="C1818">
        <v>8</v>
      </c>
      <c r="D1818">
        <v>2</v>
      </c>
      <c r="E1818">
        <v>4.7714995526202897E-2</v>
      </c>
      <c r="F1818">
        <v>9.5429991052405905E-2</v>
      </c>
      <c r="G1818" t="s">
        <v>2330</v>
      </c>
    </row>
    <row r="1819" spans="1:7" x14ac:dyDescent="0.25">
      <c r="A1819" s="4" t="str">
        <f>HYPERLINK("http://amigo.geneontology.org/cgi-bin/amigo/term-details.cgi?term=GO:0019439","GO:0019439")</f>
        <v>GO:0019439</v>
      </c>
      <c r="B1819" t="s">
        <v>2329</v>
      </c>
      <c r="C1819">
        <v>518</v>
      </c>
      <c r="D1819">
        <v>32</v>
      </c>
      <c r="E1819">
        <v>4.81970697562836E-2</v>
      </c>
      <c r="F1819">
        <v>9.6394139512567298E-2</v>
      </c>
      <c r="G1819" t="s">
        <v>2328</v>
      </c>
    </row>
    <row r="1820" spans="1:7" x14ac:dyDescent="0.25">
      <c r="A1820" s="4" t="str">
        <f>HYPERLINK("http://amigo.geneontology.org/cgi-bin/amigo/term-details.cgi?term=GO:0009129","GO:0009129")</f>
        <v>GO:0009129</v>
      </c>
      <c r="B1820" t="s">
        <v>2327</v>
      </c>
      <c r="C1820">
        <v>31</v>
      </c>
      <c r="D1820">
        <v>4</v>
      </c>
      <c r="E1820">
        <v>4.96743632647033E-2</v>
      </c>
      <c r="F1820">
        <v>9.93487265294066E-2</v>
      </c>
      <c r="G1820" t="s">
        <v>2326</v>
      </c>
    </row>
    <row r="1821" spans="1:7" x14ac:dyDescent="0.25">
      <c r="A1821" s="4" t="str">
        <f>HYPERLINK("http://amigo.geneontology.org/cgi-bin/amigo/term-details.cgi?term=GO:0006301","GO:0006301")</f>
        <v>GO:0006301</v>
      </c>
      <c r="B1821" t="s">
        <v>2325</v>
      </c>
      <c r="C1821">
        <v>31</v>
      </c>
      <c r="D1821">
        <v>4</v>
      </c>
      <c r="E1821">
        <v>4.96743632647033E-2</v>
      </c>
      <c r="F1821">
        <v>9.93487265294066E-2</v>
      </c>
      <c r="G1821" t="s">
        <v>2324</v>
      </c>
    </row>
    <row r="1822" spans="1:7" x14ac:dyDescent="0.25">
      <c r="A1822" s="4" t="str">
        <f>HYPERLINK("http://amigo.geneontology.org/cgi-bin/amigo/term-details.cgi?term=GO:0070482","GO:0070482")</f>
        <v>GO:0070482</v>
      </c>
      <c r="B1822" t="s">
        <v>1694</v>
      </c>
      <c r="C1822">
        <v>31</v>
      </c>
      <c r="D1822">
        <v>4</v>
      </c>
      <c r="E1822">
        <v>4.96743632647033E-2</v>
      </c>
      <c r="F1822">
        <v>9.93487265294066E-2</v>
      </c>
      <c r="G1822" t="s">
        <v>2323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workbookViewId="0">
      <pane xSplit="5" ySplit="10" topLeftCell="G11" activePane="bottomRight" state="frozen"/>
      <selection pane="topRight" activeCell="F1" sqref="F1"/>
      <selection pane="bottomLeft" activeCell="A11" sqref="A11"/>
      <selection pane="bottomRight" activeCell="J43" sqref="J43"/>
    </sheetView>
  </sheetViews>
  <sheetFormatPr defaultRowHeight="15" x14ac:dyDescent="0.25"/>
  <cols>
    <col min="1" max="1" width="13" customWidth="1"/>
    <col min="2" max="2" width="35.42578125" customWidth="1"/>
  </cols>
  <sheetData>
    <row r="1" spans="1:11" x14ac:dyDescent="0.25">
      <c r="A1" t="s">
        <v>392</v>
      </c>
      <c r="B1">
        <v>156</v>
      </c>
    </row>
    <row r="2" spans="1:11" x14ac:dyDescent="0.25">
      <c r="A2" t="s">
        <v>391</v>
      </c>
      <c r="B2">
        <v>77079</v>
      </c>
      <c r="K2">
        <f>24/220</f>
        <v>0.10909090909090909</v>
      </c>
    </row>
    <row r="3" spans="1:11" x14ac:dyDescent="0.25">
      <c r="A3" t="s">
        <v>390</v>
      </c>
      <c r="B3" t="s">
        <v>389</v>
      </c>
    </row>
    <row r="4" spans="1:11" x14ac:dyDescent="0.25">
      <c r="A4" t="s">
        <v>388</v>
      </c>
      <c r="B4" t="s">
        <v>387</v>
      </c>
    </row>
    <row r="5" spans="1:11" x14ac:dyDescent="0.25">
      <c r="A5" t="s">
        <v>386</v>
      </c>
      <c r="B5" t="s">
        <v>385</v>
      </c>
    </row>
    <row r="6" spans="1:11" x14ac:dyDescent="0.25">
      <c r="A6" t="s">
        <v>384</v>
      </c>
      <c r="B6" t="s">
        <v>383</v>
      </c>
      <c r="G6">
        <f>IF(G11=G12,1,0)</f>
        <v>1</v>
      </c>
    </row>
    <row r="7" spans="1:11" x14ac:dyDescent="0.25">
      <c r="A7" t="s">
        <v>382</v>
      </c>
      <c r="B7" t="s">
        <v>381</v>
      </c>
      <c r="G7">
        <f>IF(G12=G13,1,0)</f>
        <v>1</v>
      </c>
    </row>
    <row r="8" spans="1:11" x14ac:dyDescent="0.25">
      <c r="A8" t="s">
        <v>380</v>
      </c>
      <c r="B8">
        <v>3</v>
      </c>
      <c r="G8">
        <f>IF(G13=G14,1,0)</f>
        <v>1</v>
      </c>
    </row>
    <row r="10" spans="1:11" x14ac:dyDescent="0.25">
      <c r="A10" t="s">
        <v>379</v>
      </c>
      <c r="B10" t="s">
        <v>378</v>
      </c>
      <c r="C10" t="s">
        <v>377</v>
      </c>
      <c r="D10" t="s">
        <v>376</v>
      </c>
      <c r="E10" t="s">
        <v>375</v>
      </c>
      <c r="F10" t="s">
        <v>374</v>
      </c>
      <c r="G10" t="s">
        <v>373</v>
      </c>
    </row>
    <row r="11" spans="1:11" x14ac:dyDescent="0.25">
      <c r="A11" s="3" t="str">
        <f>HYPERLINK("http://amigo.geneontology.org/cgi-bin/amigo/term-details.cgi?term=GO:0004564","GO:0004564")</f>
        <v>GO:0004564</v>
      </c>
      <c r="B11" s="3" t="s">
        <v>207</v>
      </c>
      <c r="C11">
        <v>32</v>
      </c>
      <c r="D11">
        <v>9</v>
      </c>
      <c r="E11" s="2">
        <v>1.2149547398835299E-17</v>
      </c>
      <c r="F11" s="2">
        <v>1.82850688352472E-14</v>
      </c>
      <c r="G11" t="s">
        <v>4793</v>
      </c>
    </row>
    <row r="12" spans="1:11" x14ac:dyDescent="0.25">
      <c r="A12" s="3" t="str">
        <f>HYPERLINK("http://amigo.geneontology.org/cgi-bin/amigo/term-details.cgi?term=GO:0090599","GO:0090599")</f>
        <v>GO:0090599</v>
      </c>
      <c r="B12" s="3" t="s">
        <v>206</v>
      </c>
      <c r="C12">
        <v>32</v>
      </c>
      <c r="D12">
        <v>9</v>
      </c>
      <c r="E12" s="2">
        <v>1.2149547398835299E-17</v>
      </c>
      <c r="F12" s="2">
        <v>2.74215284791714E-14</v>
      </c>
      <c r="G12" t="s">
        <v>4793</v>
      </c>
    </row>
    <row r="13" spans="1:11" x14ac:dyDescent="0.25">
      <c r="A13" s="3" t="str">
        <f>HYPERLINK("http://amigo.geneontology.org/cgi-bin/amigo/term-details.cgi?term=GO:0004575","GO:0004575")</f>
        <v>GO:0004575</v>
      </c>
      <c r="B13" s="3" t="s">
        <v>205</v>
      </c>
      <c r="C13">
        <v>32</v>
      </c>
      <c r="D13">
        <v>9</v>
      </c>
      <c r="E13" s="2">
        <v>1.2149547398835299E-17</v>
      </c>
      <c r="F13" s="2">
        <v>5.4855206505741703E-14</v>
      </c>
      <c r="G13" t="s">
        <v>4793</v>
      </c>
    </row>
    <row r="14" spans="1:11" x14ac:dyDescent="0.25">
      <c r="A14" s="3" t="str">
        <f>HYPERLINK("http://amigo.geneontology.org/cgi-bin/amigo/term-details.cgi?term=GO:0015926","GO:0015926")</f>
        <v>GO:0015926</v>
      </c>
      <c r="B14" s="3" t="s">
        <v>182</v>
      </c>
      <c r="C14">
        <v>59</v>
      </c>
      <c r="D14">
        <v>9</v>
      </c>
      <c r="E14" s="2">
        <v>5.1962413175542503E-15</v>
      </c>
      <c r="F14" s="2">
        <v>5.8613602062011999E-12</v>
      </c>
      <c r="G14" t="s">
        <v>4793</v>
      </c>
    </row>
    <row r="15" spans="1:11" x14ac:dyDescent="0.25">
      <c r="A15" t="str">
        <f>HYPERLINK("http://amigo.geneontology.org/cgi-bin/amigo/term-details.cgi?term=GO:0004553","GO:0004553")</f>
        <v>GO:0004553</v>
      </c>
      <c r="B15" t="s">
        <v>76</v>
      </c>
      <c r="C15">
        <v>1509</v>
      </c>
      <c r="D15">
        <v>14</v>
      </c>
      <c r="E15" s="2">
        <v>2.7583700664392901E-6</v>
      </c>
      <c r="F15">
        <v>2.49080816999468E-3</v>
      </c>
      <c r="G15" t="s">
        <v>4792</v>
      </c>
    </row>
    <row r="16" spans="1:11" x14ac:dyDescent="0.25">
      <c r="A16" t="str">
        <f>HYPERLINK("http://amigo.geneontology.org/cgi-bin/amigo/term-details.cgi?term=GO:0016798","GO:0016798")</f>
        <v>GO:0016798</v>
      </c>
      <c r="B16" t="s">
        <v>830</v>
      </c>
      <c r="C16">
        <v>1691</v>
      </c>
      <c r="D16">
        <v>14</v>
      </c>
      <c r="E16" s="2">
        <v>9.9811204044515998E-6</v>
      </c>
      <c r="F16">
        <v>7.5058025441476E-3</v>
      </c>
      <c r="G16" t="s">
        <v>4792</v>
      </c>
    </row>
    <row r="17" spans="1:7" x14ac:dyDescent="0.25">
      <c r="A17" t="str">
        <f>HYPERLINK("http://amigo.geneontology.org/cgi-bin/amigo/term-details.cgi?term=GO:0004857","GO:0004857")</f>
        <v>GO:0004857</v>
      </c>
      <c r="B17" t="s">
        <v>4791</v>
      </c>
      <c r="C17">
        <v>860</v>
      </c>
      <c r="D17">
        <v>10</v>
      </c>
      <c r="E17" s="2">
        <v>1.15177197997691E-5</v>
      </c>
      <c r="F17">
        <v>7.4289292708510698E-3</v>
      </c>
      <c r="G17" t="s">
        <v>4786</v>
      </c>
    </row>
    <row r="18" spans="1:7" x14ac:dyDescent="0.25">
      <c r="A18" t="str">
        <f>HYPERLINK("http://amigo.geneontology.org/cgi-bin/amigo/term-details.cgi?term=GO:0061134","GO:0061134")</f>
        <v>GO:0061134</v>
      </c>
      <c r="B18" t="s">
        <v>4410</v>
      </c>
      <c r="C18">
        <v>445</v>
      </c>
      <c r="D18">
        <v>7</v>
      </c>
      <c r="E18" s="2">
        <v>3.79114481878173E-5</v>
      </c>
      <c r="F18">
        <v>1.55436937570051E-2</v>
      </c>
      <c r="G18" t="s">
        <v>4790</v>
      </c>
    </row>
    <row r="19" spans="1:7" x14ac:dyDescent="0.25">
      <c r="A19" t="str">
        <f>HYPERLINK("http://amigo.geneontology.org/cgi-bin/amigo/term-details.cgi?term=GO:0030414","GO:0030414")</f>
        <v>GO:0030414</v>
      </c>
      <c r="B19" t="s">
        <v>4411</v>
      </c>
      <c r="C19">
        <v>445</v>
      </c>
      <c r="D19">
        <v>7</v>
      </c>
      <c r="E19" s="2">
        <v>3.79114481878173E-5</v>
      </c>
      <c r="F19">
        <v>1.70980631327056E-2</v>
      </c>
      <c r="G19" t="s">
        <v>4790</v>
      </c>
    </row>
    <row r="20" spans="1:7" x14ac:dyDescent="0.25">
      <c r="A20" t="str">
        <f>HYPERLINK("http://amigo.geneontology.org/cgi-bin/amigo/term-details.cgi?term=GO:0061135","GO:0061135")</f>
        <v>GO:0061135</v>
      </c>
      <c r="B20" t="s">
        <v>4412</v>
      </c>
      <c r="C20">
        <v>445</v>
      </c>
      <c r="D20">
        <v>7</v>
      </c>
      <c r="E20" s="2">
        <v>3.79114481878173E-5</v>
      </c>
      <c r="F20">
        <v>1.8993635542096401E-2</v>
      </c>
      <c r="G20" t="s">
        <v>4790</v>
      </c>
    </row>
    <row r="21" spans="1:7" x14ac:dyDescent="0.25">
      <c r="A21" t="str">
        <f>HYPERLINK("http://amigo.geneontology.org/cgi-bin/amigo/term-details.cgi?term=GO:0004866","GO:0004866")</f>
        <v>GO:0004866</v>
      </c>
      <c r="B21" t="s">
        <v>4413</v>
      </c>
      <c r="C21">
        <v>445</v>
      </c>
      <c r="D21">
        <v>7</v>
      </c>
      <c r="E21" s="2">
        <v>3.79114481878173E-5</v>
      </c>
      <c r="F21">
        <v>2.1382056777928898E-2</v>
      </c>
      <c r="G21" t="s">
        <v>4790</v>
      </c>
    </row>
    <row r="22" spans="1:7" x14ac:dyDescent="0.25">
      <c r="A22" t="str">
        <f>HYPERLINK("http://amigo.geneontology.org/cgi-bin/amigo/term-details.cgi?term=GO:0004869","GO:0004869")</f>
        <v>GO:0004869</v>
      </c>
      <c r="B22" t="s">
        <v>4789</v>
      </c>
      <c r="C22">
        <v>95</v>
      </c>
      <c r="D22">
        <v>4</v>
      </c>
      <c r="E22" s="2">
        <v>4.4527181128425703E-5</v>
      </c>
      <c r="F22">
        <v>1.6742220104288E-2</v>
      </c>
      <c r="G22" t="s">
        <v>4788</v>
      </c>
    </row>
    <row r="23" spans="1:7" x14ac:dyDescent="0.25">
      <c r="A23" t="str">
        <f>HYPERLINK("http://amigo.geneontology.org/cgi-bin/amigo/term-details.cgi?term=GO:0030234","GO:0030234")</f>
        <v>GO:0030234</v>
      </c>
      <c r="B23" t="s">
        <v>4787</v>
      </c>
      <c r="C23">
        <v>1103</v>
      </c>
      <c r="D23">
        <v>10</v>
      </c>
      <c r="E23" s="2">
        <v>9.2492858780922997E-5</v>
      </c>
      <c r="F23">
        <v>3.2095021996980201E-2</v>
      </c>
      <c r="G23" t="s">
        <v>4786</v>
      </c>
    </row>
    <row r="24" spans="1:7" x14ac:dyDescent="0.25">
      <c r="A24" t="str">
        <f>HYPERLINK("http://amigo.geneontology.org/cgi-bin/amigo/term-details.cgi?term=GO:0016301","GO:0016301")</f>
        <v>GO:0016301</v>
      </c>
      <c r="B24" t="s">
        <v>365</v>
      </c>
      <c r="C24">
        <v>6285</v>
      </c>
      <c r="D24">
        <v>27</v>
      </c>
      <c r="E24" s="2">
        <v>1.5654725292848701E-4</v>
      </c>
      <c r="F24">
        <v>5.0408215442972797E-2</v>
      </c>
      <c r="G24" t="s">
        <v>4728</v>
      </c>
    </row>
    <row r="25" spans="1:7" x14ac:dyDescent="0.25">
      <c r="A25" t="str">
        <f>HYPERLINK("http://amigo.geneontology.org/cgi-bin/amigo/term-details.cgi?term=GO:0004672","GO:0004672")</f>
        <v>GO:0004672</v>
      </c>
      <c r="B25" t="s">
        <v>368</v>
      </c>
      <c r="C25">
        <v>5633</v>
      </c>
      <c r="D25">
        <v>25</v>
      </c>
      <c r="E25" s="2">
        <v>1.7271858785176299E-4</v>
      </c>
      <c r="F25">
        <v>5.19882949433806E-2</v>
      </c>
      <c r="G25" t="s">
        <v>4751</v>
      </c>
    </row>
    <row r="26" spans="1:7" x14ac:dyDescent="0.25">
      <c r="A26" t="str">
        <f>HYPERLINK("http://amigo.geneontology.org/cgi-bin/amigo/term-details.cgi?term=GO:0006468","GO:0006468")</f>
        <v>GO:0006468</v>
      </c>
      <c r="B26" t="s">
        <v>370</v>
      </c>
      <c r="C26">
        <v>5693</v>
      </c>
      <c r="D26">
        <v>25</v>
      </c>
      <c r="E26" s="2">
        <v>2.0315064807790799E-4</v>
      </c>
      <c r="F26">
        <v>5.7288482757970001E-2</v>
      </c>
      <c r="G26" t="s">
        <v>4751</v>
      </c>
    </row>
    <row r="27" spans="1:7" x14ac:dyDescent="0.25">
      <c r="A27" t="str">
        <f>HYPERLINK("http://amigo.geneontology.org/cgi-bin/amigo/term-details.cgi?term=GO:0016773","GO:0016773")</f>
        <v>GO:0016773</v>
      </c>
      <c r="B27" t="s">
        <v>369</v>
      </c>
      <c r="C27">
        <v>6062</v>
      </c>
      <c r="D27">
        <v>26</v>
      </c>
      <c r="E27" s="2">
        <v>2.1621505336024801E-4</v>
      </c>
      <c r="F27">
        <v>5.7296989140465902E-2</v>
      </c>
      <c r="G27" t="s">
        <v>4785</v>
      </c>
    </row>
    <row r="28" spans="1:7" x14ac:dyDescent="0.25">
      <c r="A28" t="str">
        <f>HYPERLINK("http://amigo.geneontology.org/cgi-bin/amigo/term-details.cgi?term=GO:0016310","GO:0016310")</f>
        <v>GO:0016310</v>
      </c>
      <c r="B28" t="s">
        <v>366</v>
      </c>
      <c r="C28">
        <v>6439</v>
      </c>
      <c r="D28">
        <v>27</v>
      </c>
      <c r="E28" s="2">
        <v>2.3142738172825399E-4</v>
      </c>
      <c r="F28">
        <v>5.7856845432063597E-2</v>
      </c>
      <c r="G28" t="s">
        <v>4728</v>
      </c>
    </row>
    <row r="29" spans="1:7" x14ac:dyDescent="0.25">
      <c r="A29" t="str">
        <f>HYPERLINK("http://amigo.geneontology.org/cgi-bin/amigo/term-details.cgi?term=GO:0016772","GO:0016772")</f>
        <v>GO:0016772</v>
      </c>
      <c r="B29" t="s">
        <v>951</v>
      </c>
      <c r="C29">
        <v>6904</v>
      </c>
      <c r="D29">
        <v>27</v>
      </c>
      <c r="E29" s="2">
        <v>6.8649318017211804E-4</v>
      </c>
      <c r="F29">
        <v>0.162698883700792</v>
      </c>
      <c r="G29" t="s">
        <v>4728</v>
      </c>
    </row>
    <row r="30" spans="1:7" x14ac:dyDescent="0.25">
      <c r="A30" t="str">
        <f>HYPERLINK("http://amigo.geneontology.org/cgi-bin/amigo/term-details.cgi?term=GO:0016740","GO:0016740")</f>
        <v>GO:0016740</v>
      </c>
      <c r="B30" t="s">
        <v>955</v>
      </c>
      <c r="C30">
        <v>12914</v>
      </c>
      <c r="D30">
        <v>42</v>
      </c>
      <c r="E30" s="2">
        <v>9.2466811415297702E-4</v>
      </c>
      <c r="F30">
        <v>0.208050325684419</v>
      </c>
      <c r="G30" t="s">
        <v>4784</v>
      </c>
    </row>
    <row r="31" spans="1:7" x14ac:dyDescent="0.25">
      <c r="A31" t="str">
        <f>HYPERLINK("http://amigo.geneontology.org/cgi-bin/amigo/term-details.cgi?term=GO:0005975","GO:0005975")</f>
        <v>GO:0005975</v>
      </c>
      <c r="B31" t="s">
        <v>892</v>
      </c>
      <c r="C31">
        <v>2990</v>
      </c>
      <c r="D31">
        <v>15</v>
      </c>
      <c r="E31">
        <v>1.1602752561080099E-3</v>
      </c>
      <c r="F31">
        <v>0.24945918006322301</v>
      </c>
      <c r="G31" t="s">
        <v>4783</v>
      </c>
    </row>
    <row r="32" spans="1:7" x14ac:dyDescent="0.25">
      <c r="A32" t="str">
        <f>HYPERLINK("http://amigo.geneontology.org/cgi-bin/amigo/term-details.cgi?term=GO:1900377","GO:1900377")</f>
        <v>GO:1900377</v>
      </c>
      <c r="B32" t="s">
        <v>4782</v>
      </c>
      <c r="C32">
        <v>1</v>
      </c>
      <c r="D32">
        <v>1</v>
      </c>
      <c r="E32">
        <v>2.0238975596425001E-3</v>
      </c>
      <c r="F32">
        <v>0.38049274121278998</v>
      </c>
      <c r="G32" t="s">
        <v>956</v>
      </c>
    </row>
    <row r="33" spans="1:7" x14ac:dyDescent="0.25">
      <c r="A33" t="str">
        <f>HYPERLINK("http://amigo.geneontology.org/cgi-bin/amigo/term-details.cgi?term=GO:1903085","GO:1903085")</f>
        <v>GO:1903085</v>
      </c>
      <c r="B33" t="s">
        <v>4781</v>
      </c>
      <c r="C33">
        <v>1</v>
      </c>
      <c r="D33">
        <v>1</v>
      </c>
      <c r="E33">
        <v>2.0238975596425001E-3</v>
      </c>
      <c r="F33">
        <v>0.39668392168993</v>
      </c>
      <c r="G33" t="s">
        <v>956</v>
      </c>
    </row>
    <row r="34" spans="1:7" x14ac:dyDescent="0.25">
      <c r="A34" t="str">
        <f>HYPERLINK("http://amigo.geneontology.org/cgi-bin/amigo/term-details.cgi?term=GO:1903086","GO:1903086")</f>
        <v>GO:1903086</v>
      </c>
      <c r="B34" t="s">
        <v>4780</v>
      </c>
      <c r="C34">
        <v>1</v>
      </c>
      <c r="D34">
        <v>1</v>
      </c>
      <c r="E34">
        <v>2.0238975596425001E-3</v>
      </c>
      <c r="F34">
        <v>0.41489899972671201</v>
      </c>
      <c r="G34" t="s">
        <v>956</v>
      </c>
    </row>
    <row r="35" spans="1:7" x14ac:dyDescent="0.25">
      <c r="A35" t="str">
        <f>HYPERLINK("http://amigo.geneontology.org/cgi-bin/amigo/term-details.cgi?term=GO:0008037","GO:0008037")</f>
        <v>GO:0008037</v>
      </c>
      <c r="B35" t="s">
        <v>947</v>
      </c>
      <c r="C35">
        <v>461</v>
      </c>
      <c r="D35">
        <v>5</v>
      </c>
      <c r="E35">
        <v>2.5822666631589298E-3</v>
      </c>
      <c r="F35">
        <v>0.44673213272649598</v>
      </c>
      <c r="G35" t="s">
        <v>4770</v>
      </c>
    </row>
    <row r="36" spans="1:7" x14ac:dyDescent="0.25">
      <c r="A36" t="str">
        <f>HYPERLINK("http://amigo.geneontology.org/cgi-bin/amigo/term-details.cgi?term=GO:0048544","GO:0048544")</f>
        <v>GO:0048544</v>
      </c>
      <c r="B36" t="s">
        <v>334</v>
      </c>
      <c r="C36">
        <v>461</v>
      </c>
      <c r="D36">
        <v>5</v>
      </c>
      <c r="E36">
        <v>2.5822666631589298E-3</v>
      </c>
      <c r="F36">
        <v>0.464807999368608</v>
      </c>
      <c r="G36" t="s">
        <v>4770</v>
      </c>
    </row>
    <row r="37" spans="1:7" x14ac:dyDescent="0.25">
      <c r="A37" t="str">
        <f>HYPERLINK("http://amigo.geneontology.org/cgi-bin/amigo/term-details.cgi?term=GO:0009875","GO:0009875")</f>
        <v>GO:0009875</v>
      </c>
      <c r="B37" t="s">
        <v>335</v>
      </c>
      <c r="C37">
        <v>463</v>
      </c>
      <c r="D37">
        <v>5</v>
      </c>
      <c r="E37">
        <v>2.6305646194923998E-3</v>
      </c>
      <c r="F37">
        <v>0.43930429145523098</v>
      </c>
      <c r="G37" t="s">
        <v>4770</v>
      </c>
    </row>
    <row r="38" spans="1:7" x14ac:dyDescent="0.25">
      <c r="A38" t="str">
        <f>HYPERLINK("http://amigo.geneontology.org/cgi-bin/amigo/term-details.cgi?term=GO:0006694","GO:0006694")</f>
        <v>GO:0006694</v>
      </c>
      <c r="B38" t="s">
        <v>4779</v>
      </c>
      <c r="C38">
        <v>135</v>
      </c>
      <c r="D38">
        <v>3</v>
      </c>
      <c r="E38">
        <v>2.6817668029719701E-3</v>
      </c>
      <c r="F38">
        <v>0.431764455278487</v>
      </c>
      <c r="G38" t="s">
        <v>4777</v>
      </c>
    </row>
    <row r="39" spans="1:7" x14ac:dyDescent="0.25">
      <c r="A39" t="str">
        <f>HYPERLINK("http://amigo.geneontology.org/cgi-bin/amigo/term-details.cgi?term=GO:0008202","GO:0008202")</f>
        <v>GO:0008202</v>
      </c>
      <c r="B39" t="s">
        <v>4778</v>
      </c>
      <c r="C39">
        <v>153</v>
      </c>
      <c r="D39">
        <v>3</v>
      </c>
      <c r="E39">
        <v>3.8119387500340201E-3</v>
      </c>
      <c r="F39">
        <v>0.59085050625527402</v>
      </c>
      <c r="G39" t="s">
        <v>4777</v>
      </c>
    </row>
    <row r="40" spans="1:7" x14ac:dyDescent="0.25">
      <c r="A40" t="str">
        <f>HYPERLINK("http://amigo.geneontology.org/cgi-bin/amigo/term-details.cgi?term=GO:0010417","GO:0010417")</f>
        <v>GO:0010417</v>
      </c>
      <c r="B40" t="s">
        <v>4776</v>
      </c>
      <c r="C40">
        <v>2</v>
      </c>
      <c r="D40">
        <v>1</v>
      </c>
      <c r="E40">
        <v>4.0437251627517797E-3</v>
      </c>
      <c r="F40">
        <v>0.60655877441276695</v>
      </c>
      <c r="G40" t="s">
        <v>4758</v>
      </c>
    </row>
    <row r="41" spans="1:7" x14ac:dyDescent="0.25">
      <c r="A41" t="str">
        <f>HYPERLINK("http://amigo.geneontology.org/cgi-bin/amigo/term-details.cgi?term=GO:0098798","GO:0098798")</f>
        <v>GO:0098798</v>
      </c>
      <c r="B41" t="s">
        <v>4775</v>
      </c>
      <c r="C41">
        <v>164</v>
      </c>
      <c r="D41">
        <v>3</v>
      </c>
      <c r="E41">
        <v>4.62556012906566E-3</v>
      </c>
      <c r="F41">
        <v>0.67070621871452196</v>
      </c>
      <c r="G41" t="s">
        <v>4721</v>
      </c>
    </row>
    <row r="42" spans="1:7" x14ac:dyDescent="0.25">
      <c r="A42" t="str">
        <f>HYPERLINK("http://amigo.geneontology.org/cgi-bin/amigo/term-details.cgi?term=GO:0006796","GO:0006796")</f>
        <v>GO:0006796</v>
      </c>
      <c r="B42" t="s">
        <v>361</v>
      </c>
      <c r="C42">
        <v>8366</v>
      </c>
      <c r="D42">
        <v>28</v>
      </c>
      <c r="E42">
        <v>5.30504392492825E-3</v>
      </c>
      <c r="F42">
        <v>0.74801119341488298</v>
      </c>
      <c r="G42" t="s">
        <v>4774</v>
      </c>
    </row>
    <row r="43" spans="1:7" x14ac:dyDescent="0.25">
      <c r="A43" t="str">
        <f>HYPERLINK("http://amigo.geneontology.org/cgi-bin/amigo/term-details.cgi?term=GO:0006793","GO:0006793")</f>
        <v>GO:0006793</v>
      </c>
      <c r="B43" t="s">
        <v>952</v>
      </c>
      <c r="C43">
        <v>8439</v>
      </c>
      <c r="D43">
        <v>28</v>
      </c>
      <c r="E43">
        <v>5.9651522739888503E-3</v>
      </c>
      <c r="F43">
        <v>0.81126070926248395</v>
      </c>
      <c r="G43" t="s">
        <v>4774</v>
      </c>
    </row>
    <row r="44" spans="1:7" x14ac:dyDescent="0.25">
      <c r="A44" t="str">
        <f>HYPERLINK("http://amigo.geneontology.org/cgi-bin/amigo/term-details.cgi?term=GO:0030964","GO:0030964")</f>
        <v>GO:0030964</v>
      </c>
      <c r="B44" t="s">
        <v>4773</v>
      </c>
      <c r="C44">
        <v>57</v>
      </c>
      <c r="D44">
        <v>2</v>
      </c>
      <c r="E44">
        <v>6.03838575691796E-3</v>
      </c>
      <c r="F44">
        <v>0.75479821961474503</v>
      </c>
      <c r="G44" t="s">
        <v>4736</v>
      </c>
    </row>
    <row r="45" spans="1:7" x14ac:dyDescent="0.25">
      <c r="A45" t="str">
        <f>HYPERLINK("http://amigo.geneontology.org/cgi-bin/amigo/term-details.cgi?term=GO:0045271","GO:0045271")</f>
        <v>GO:0045271</v>
      </c>
      <c r="B45" t="s">
        <v>4772</v>
      </c>
      <c r="C45">
        <v>57</v>
      </c>
      <c r="D45">
        <v>2</v>
      </c>
      <c r="E45">
        <v>6.03838575691796E-3</v>
      </c>
      <c r="F45">
        <v>0.77895176264241694</v>
      </c>
      <c r="G45" t="s">
        <v>4736</v>
      </c>
    </row>
    <row r="46" spans="1:7" x14ac:dyDescent="0.25">
      <c r="A46" t="str">
        <f>HYPERLINK("http://amigo.geneontology.org/cgi-bin/amigo/term-details.cgi?term=GO:0005747","GO:0005747")</f>
        <v>GO:0005747</v>
      </c>
      <c r="B46" t="s">
        <v>4771</v>
      </c>
      <c r="C46">
        <v>57</v>
      </c>
      <c r="D46">
        <v>2</v>
      </c>
      <c r="E46">
        <v>6.03838575691796E-3</v>
      </c>
      <c r="F46">
        <v>0.79706691991317102</v>
      </c>
      <c r="G46" t="s">
        <v>4736</v>
      </c>
    </row>
    <row r="47" spans="1:7" x14ac:dyDescent="0.25">
      <c r="A47" t="str">
        <f>HYPERLINK("http://amigo.geneontology.org/cgi-bin/amigo/term-details.cgi?term=GO:0044706","GO:0044706")</f>
        <v>GO:0044706</v>
      </c>
      <c r="B47" t="s">
        <v>946</v>
      </c>
      <c r="C47">
        <v>576</v>
      </c>
      <c r="D47">
        <v>5</v>
      </c>
      <c r="E47">
        <v>6.5703467402523997E-3</v>
      </c>
      <c r="F47">
        <v>0.77530091534978296</v>
      </c>
      <c r="G47" t="s">
        <v>4770</v>
      </c>
    </row>
    <row r="48" spans="1:7" x14ac:dyDescent="0.25">
      <c r="A48" t="str">
        <f>HYPERLINK("http://amigo.geneontology.org/cgi-bin/amigo/term-details.cgi?term=GO:0009856","GO:0009856")</f>
        <v>GO:0009856</v>
      </c>
      <c r="B48" t="s">
        <v>336</v>
      </c>
      <c r="C48">
        <v>576</v>
      </c>
      <c r="D48">
        <v>5</v>
      </c>
      <c r="E48">
        <v>6.5703467402523997E-3</v>
      </c>
      <c r="F48">
        <v>0.80158230231079297</v>
      </c>
      <c r="G48" t="s">
        <v>4770</v>
      </c>
    </row>
    <row r="49" spans="1:7" x14ac:dyDescent="0.25">
      <c r="A49" t="str">
        <f>HYPERLINK("http://amigo.geneontology.org/cgi-bin/amigo/term-details.cgi?term=GO:0010333","GO:0010333")</f>
        <v>GO:0010333</v>
      </c>
      <c r="B49" t="s">
        <v>4769</v>
      </c>
      <c r="C49">
        <v>190</v>
      </c>
      <c r="D49">
        <v>3</v>
      </c>
      <c r="E49">
        <v>6.9412443718938604E-3</v>
      </c>
      <c r="F49">
        <v>0.79824310276779398</v>
      </c>
      <c r="G49" t="s">
        <v>4766</v>
      </c>
    </row>
    <row r="50" spans="1:7" x14ac:dyDescent="0.25">
      <c r="A50" t="str">
        <f>HYPERLINK("http://amigo.geneontology.org/cgi-bin/amigo/term-details.cgi?term=GO:0044455","GO:0044455")</f>
        <v>GO:0044455</v>
      </c>
      <c r="B50" t="s">
        <v>4768</v>
      </c>
      <c r="C50">
        <v>198</v>
      </c>
      <c r="D50">
        <v>3</v>
      </c>
      <c r="E50">
        <v>7.7690253844737E-3</v>
      </c>
      <c r="F50">
        <v>0.87013084306105504</v>
      </c>
      <c r="G50" t="s">
        <v>4721</v>
      </c>
    </row>
    <row r="51" spans="1:7" x14ac:dyDescent="0.25">
      <c r="A51" t="str">
        <f>HYPERLINK("http://amigo.geneontology.org/cgi-bin/amigo/term-details.cgi?term=GO:0016838","GO:0016838")</f>
        <v>GO:0016838</v>
      </c>
      <c r="B51" t="s">
        <v>4767</v>
      </c>
      <c r="C51">
        <v>200</v>
      </c>
      <c r="D51">
        <v>3</v>
      </c>
      <c r="E51">
        <v>7.9846646726490604E-3</v>
      </c>
      <c r="F51">
        <v>0.878313113991397</v>
      </c>
      <c r="G51" t="s">
        <v>4766</v>
      </c>
    </row>
    <row r="52" spans="1:7" x14ac:dyDescent="0.25">
      <c r="A52" t="str">
        <f>HYPERLINK("http://amigo.geneontology.org/cgi-bin/amigo/term-details.cgi?term=GO:2000762","GO:2000762")</f>
        <v>GO:2000762</v>
      </c>
      <c r="B52" t="s">
        <v>4765</v>
      </c>
      <c r="C52">
        <v>4</v>
      </c>
      <c r="D52">
        <v>1</v>
      </c>
      <c r="E52">
        <v>8.0712030091322808E-3</v>
      </c>
      <c r="F52">
        <v>0.86361872197715395</v>
      </c>
      <c r="G52" t="s">
        <v>956</v>
      </c>
    </row>
    <row r="53" spans="1:7" x14ac:dyDescent="0.25">
      <c r="A53" t="str">
        <f>HYPERLINK("http://amigo.geneontology.org/cgi-bin/amigo/term-details.cgi?term=GO:0140096","GO:0140096")</f>
        <v>GO:0140096</v>
      </c>
      <c r="B53" t="s">
        <v>2296</v>
      </c>
      <c r="C53">
        <v>9460</v>
      </c>
      <c r="D53">
        <v>30</v>
      </c>
      <c r="E53">
        <v>8.2638844417831092E-3</v>
      </c>
      <c r="F53">
        <v>0.86770786638722597</v>
      </c>
      <c r="G53" t="s">
        <v>4764</v>
      </c>
    </row>
    <row r="54" spans="1:7" x14ac:dyDescent="0.25">
      <c r="A54" t="str">
        <f>HYPERLINK("http://amigo.geneontology.org/cgi-bin/amigo/term-details.cgi?term=GO:0008171","GO:0008171")</f>
        <v>GO:0008171</v>
      </c>
      <c r="B54" t="s">
        <v>4763</v>
      </c>
      <c r="C54">
        <v>216</v>
      </c>
      <c r="D54">
        <v>3</v>
      </c>
      <c r="E54">
        <v>9.8369022521335395E-3</v>
      </c>
      <c r="F54">
        <v>1</v>
      </c>
      <c r="G54" t="s">
        <v>4762</v>
      </c>
    </row>
    <row r="55" spans="1:7" x14ac:dyDescent="0.25">
      <c r="A55" t="str">
        <f>HYPERLINK("http://amigo.geneontology.org/cgi-bin/amigo/term-details.cgi?term=GO:0015066","GO:0015066")</f>
        <v>GO:0015066</v>
      </c>
      <c r="B55" t="s">
        <v>4761</v>
      </c>
      <c r="C55">
        <v>5</v>
      </c>
      <c r="D55">
        <v>1</v>
      </c>
      <c r="E55">
        <v>1.0078869468150699E-2</v>
      </c>
      <c r="F55">
        <v>0.98772920787877605</v>
      </c>
      <c r="G55" t="s">
        <v>4760</v>
      </c>
    </row>
    <row r="56" spans="1:7" x14ac:dyDescent="0.25">
      <c r="A56" t="str">
        <f>HYPERLINK("http://amigo.geneontology.org/cgi-bin/amigo/term-details.cgi?term=GO:0042285","GO:0042285")</f>
        <v>GO:0042285</v>
      </c>
      <c r="B56" t="s">
        <v>4759</v>
      </c>
      <c r="C56">
        <v>5</v>
      </c>
      <c r="D56">
        <v>1</v>
      </c>
      <c r="E56">
        <v>1.0078869468150699E-2</v>
      </c>
      <c r="F56">
        <v>1</v>
      </c>
      <c r="G56" t="s">
        <v>4758</v>
      </c>
    </row>
    <row r="57" spans="1:7" x14ac:dyDescent="0.25">
      <c r="A57" t="str">
        <f>HYPERLINK("http://amigo.geneontology.org/cgi-bin/amigo/term-details.cgi?term=GO:0098803","GO:0098803")</f>
        <v>GO:0098803</v>
      </c>
      <c r="B57" t="s">
        <v>4757</v>
      </c>
      <c r="C57">
        <v>77</v>
      </c>
      <c r="D57">
        <v>2</v>
      </c>
      <c r="E57">
        <v>1.07821037673943E-2</v>
      </c>
      <c r="F57">
        <v>1</v>
      </c>
      <c r="G57" t="s">
        <v>4736</v>
      </c>
    </row>
    <row r="58" spans="1:7" x14ac:dyDescent="0.25">
      <c r="A58" t="str">
        <f>HYPERLINK("http://amigo.geneontology.org/cgi-bin/amigo/term-details.cgi?term=GO:0004674","GO:0004674")</f>
        <v>GO:0004674</v>
      </c>
      <c r="B58" t="s">
        <v>325</v>
      </c>
      <c r="C58">
        <v>2443</v>
      </c>
      <c r="D58">
        <v>11</v>
      </c>
      <c r="E58">
        <v>1.12783184805186E-2</v>
      </c>
      <c r="F58">
        <v>1</v>
      </c>
      <c r="G58" t="s">
        <v>4756</v>
      </c>
    </row>
    <row r="59" spans="1:7" x14ac:dyDescent="0.25">
      <c r="A59" t="str">
        <f>HYPERLINK("http://amigo.geneontology.org/cgi-bin/amigo/term-details.cgi?term=GO:0004150","GO:0004150")</f>
        <v>GO:0004150</v>
      </c>
      <c r="B59" t="s">
        <v>4755</v>
      </c>
      <c r="C59">
        <v>6</v>
      </c>
      <c r="D59">
        <v>1</v>
      </c>
      <c r="E59">
        <v>1.20824984003109E-2</v>
      </c>
      <c r="F59">
        <v>1</v>
      </c>
      <c r="G59" t="s">
        <v>4754</v>
      </c>
    </row>
    <row r="60" spans="1:7" x14ac:dyDescent="0.25">
      <c r="A60" t="str">
        <f>HYPERLINK("http://amigo.geneontology.org/cgi-bin/amigo/term-details.cgi?term=GO:1900376","GO:1900376")</f>
        <v>GO:1900376</v>
      </c>
      <c r="B60" t="s">
        <v>4753</v>
      </c>
      <c r="C60">
        <v>6</v>
      </c>
      <c r="D60">
        <v>1</v>
      </c>
      <c r="E60">
        <v>1.20824984003109E-2</v>
      </c>
      <c r="F60">
        <v>1</v>
      </c>
      <c r="G60" t="s">
        <v>956</v>
      </c>
    </row>
    <row r="61" spans="1:7" x14ac:dyDescent="0.25">
      <c r="A61" t="str">
        <f>HYPERLINK("http://amigo.geneontology.org/cgi-bin/amigo/term-details.cgi?term=GO:0005746","GO:0005746")</f>
        <v>GO:0005746</v>
      </c>
      <c r="B61" t="s">
        <v>4752</v>
      </c>
      <c r="C61">
        <v>86</v>
      </c>
      <c r="D61">
        <v>2</v>
      </c>
      <c r="E61">
        <v>1.3309822238908199E-2</v>
      </c>
      <c r="F61">
        <v>1</v>
      </c>
      <c r="G61" t="s">
        <v>4736</v>
      </c>
    </row>
    <row r="62" spans="1:7" x14ac:dyDescent="0.25">
      <c r="A62" t="str">
        <f>HYPERLINK("http://amigo.geneontology.org/cgi-bin/amigo/term-details.cgi?term=GO:0006855","GO:0006855")</f>
        <v>GO:0006855</v>
      </c>
      <c r="B62" t="s">
        <v>118</v>
      </c>
      <c r="C62">
        <v>242</v>
      </c>
      <c r="D62">
        <v>3</v>
      </c>
      <c r="E62">
        <v>1.3339109101481001E-2</v>
      </c>
      <c r="F62">
        <v>1</v>
      </c>
      <c r="G62" t="s">
        <v>4732</v>
      </c>
    </row>
    <row r="63" spans="1:7" x14ac:dyDescent="0.25">
      <c r="A63" t="str">
        <f>HYPERLINK("http://amigo.geneontology.org/cgi-bin/amigo/term-details.cgi?term=GO:0015893","GO:0015893")</f>
        <v>GO:0015893</v>
      </c>
      <c r="B63" t="s">
        <v>119</v>
      </c>
      <c r="C63">
        <v>268</v>
      </c>
      <c r="D63">
        <v>3</v>
      </c>
      <c r="E63">
        <v>1.7465644584135201E-2</v>
      </c>
      <c r="F63">
        <v>1</v>
      </c>
      <c r="G63" t="s">
        <v>4732</v>
      </c>
    </row>
    <row r="64" spans="1:7" x14ac:dyDescent="0.25">
      <c r="A64" t="str">
        <f>HYPERLINK("http://amigo.geneontology.org/cgi-bin/amigo/term-details.cgi?term=GO:0015238","GO:0015238")</f>
        <v>GO:0015238</v>
      </c>
      <c r="B64" t="s">
        <v>914</v>
      </c>
      <c r="C64">
        <v>271</v>
      </c>
      <c r="D64">
        <v>3</v>
      </c>
      <c r="E64">
        <v>1.7982485075038399E-2</v>
      </c>
      <c r="F64">
        <v>1</v>
      </c>
      <c r="G64" t="s">
        <v>4732</v>
      </c>
    </row>
    <row r="65" spans="1:7" x14ac:dyDescent="0.25">
      <c r="A65" t="str">
        <f>HYPERLINK("http://amigo.geneontology.org/cgi-bin/amigo/term-details.cgi?term=GO:0036211","GO:0036211")</f>
        <v>GO:0036211</v>
      </c>
      <c r="B65" t="s">
        <v>372</v>
      </c>
      <c r="C65">
        <v>8034</v>
      </c>
      <c r="D65">
        <v>25</v>
      </c>
      <c r="E65">
        <v>1.9715295208953501E-2</v>
      </c>
      <c r="F65">
        <v>1</v>
      </c>
      <c r="G65" t="s">
        <v>4751</v>
      </c>
    </row>
    <row r="66" spans="1:7" x14ac:dyDescent="0.25">
      <c r="A66" t="str">
        <f>HYPERLINK("http://amigo.geneontology.org/cgi-bin/amigo/term-details.cgi?term=GO:0006464","GO:0006464")</f>
        <v>GO:0006464</v>
      </c>
      <c r="B66" t="s">
        <v>371</v>
      </c>
      <c r="C66">
        <v>8034</v>
      </c>
      <c r="D66">
        <v>25</v>
      </c>
      <c r="E66">
        <v>1.9715295208953501E-2</v>
      </c>
      <c r="F66">
        <v>1</v>
      </c>
      <c r="G66" t="s">
        <v>4751</v>
      </c>
    </row>
    <row r="67" spans="1:7" x14ac:dyDescent="0.25">
      <c r="A67" t="str">
        <f>HYPERLINK("http://amigo.geneontology.org/cgi-bin/amigo/term-details.cgi?term=GO:0008168","GO:0008168")</f>
        <v>GO:0008168</v>
      </c>
      <c r="B67" t="s">
        <v>454</v>
      </c>
      <c r="C67">
        <v>1051</v>
      </c>
      <c r="D67">
        <v>6</v>
      </c>
      <c r="E67">
        <v>2.0630475680284099E-2</v>
      </c>
      <c r="F67">
        <v>1</v>
      </c>
      <c r="G67" t="s">
        <v>4749</v>
      </c>
    </row>
    <row r="68" spans="1:7" x14ac:dyDescent="0.25">
      <c r="A68" t="str">
        <f>HYPERLINK("http://amigo.geneontology.org/cgi-bin/amigo/term-details.cgi?term=GO:0005524","GO:0005524")</f>
        <v>GO:0005524</v>
      </c>
      <c r="B68" t="s">
        <v>362</v>
      </c>
      <c r="C68">
        <v>8993</v>
      </c>
      <c r="D68">
        <v>27</v>
      </c>
      <c r="E68">
        <v>2.3485631497347101E-2</v>
      </c>
      <c r="F68">
        <v>1</v>
      </c>
      <c r="G68" t="s">
        <v>4728</v>
      </c>
    </row>
    <row r="69" spans="1:7" x14ac:dyDescent="0.25">
      <c r="A69" t="str">
        <f>HYPERLINK("http://amigo.geneontology.org/cgi-bin/amigo/term-details.cgi?term=GO:0008083","GO:0008083")</f>
        <v>GO:0008083</v>
      </c>
      <c r="B69" t="s">
        <v>4750</v>
      </c>
      <c r="C69">
        <v>12</v>
      </c>
      <c r="D69">
        <v>1</v>
      </c>
      <c r="E69">
        <v>2.4019934597258701E-2</v>
      </c>
      <c r="F69">
        <v>1</v>
      </c>
      <c r="G69" t="s">
        <v>957</v>
      </c>
    </row>
    <row r="70" spans="1:7" x14ac:dyDescent="0.25">
      <c r="A70" t="str">
        <f>HYPERLINK("http://amigo.geneontology.org/cgi-bin/amigo/term-details.cgi?term=GO:0043455","GO:0043455")</f>
        <v>GO:0043455</v>
      </c>
      <c r="B70" t="s">
        <v>2732</v>
      </c>
      <c r="C70">
        <v>12</v>
      </c>
      <c r="D70">
        <v>1</v>
      </c>
      <c r="E70">
        <v>2.4019934597258701E-2</v>
      </c>
      <c r="F70">
        <v>1</v>
      </c>
      <c r="G70" t="s">
        <v>956</v>
      </c>
    </row>
    <row r="71" spans="1:7" x14ac:dyDescent="0.25">
      <c r="A71" t="str">
        <f>HYPERLINK("http://amigo.geneontology.org/cgi-bin/amigo/term-details.cgi?term=GO:0016741","GO:0016741")</f>
        <v>GO:0016741</v>
      </c>
      <c r="B71" t="s">
        <v>823</v>
      </c>
      <c r="C71">
        <v>1089</v>
      </c>
      <c r="D71">
        <v>6</v>
      </c>
      <c r="E71">
        <v>2.40234056947102E-2</v>
      </c>
      <c r="F71">
        <v>1</v>
      </c>
      <c r="G71" t="s">
        <v>4749</v>
      </c>
    </row>
    <row r="72" spans="1:7" x14ac:dyDescent="0.25">
      <c r="A72" t="str">
        <f>HYPERLINK("http://amigo.geneontology.org/cgi-bin/amigo/term-details.cgi?term=GO:0043412","GO:0043412")</f>
        <v>GO:0043412</v>
      </c>
      <c r="B72" t="s">
        <v>367</v>
      </c>
      <c r="C72">
        <v>8612</v>
      </c>
      <c r="D72">
        <v>26</v>
      </c>
      <c r="E72">
        <v>2.4570998347133301E-2</v>
      </c>
      <c r="F72">
        <v>1</v>
      </c>
      <c r="G72" t="s">
        <v>4748</v>
      </c>
    </row>
    <row r="73" spans="1:7" x14ac:dyDescent="0.25">
      <c r="A73" t="str">
        <f>HYPERLINK("http://amigo.geneontology.org/cgi-bin/amigo/term-details.cgi?term=GO:0070469","GO:0070469")</f>
        <v>GO:0070469</v>
      </c>
      <c r="B73" t="s">
        <v>4747</v>
      </c>
      <c r="C73">
        <v>120</v>
      </c>
      <c r="D73">
        <v>2</v>
      </c>
      <c r="E73">
        <v>2.4866660831552902E-2</v>
      </c>
      <c r="F73">
        <v>1</v>
      </c>
      <c r="G73" t="s">
        <v>4736</v>
      </c>
    </row>
    <row r="74" spans="1:7" x14ac:dyDescent="0.25">
      <c r="A74" t="str">
        <f>HYPERLINK("http://amigo.geneontology.org/cgi-bin/amigo/term-details.cgi?term=GO:0071704","GO:0071704")</f>
        <v>GO:0071704</v>
      </c>
      <c r="B74" t="s">
        <v>905</v>
      </c>
      <c r="C74">
        <v>24369</v>
      </c>
      <c r="D74">
        <v>61</v>
      </c>
      <c r="E74">
        <v>2.85500623989553E-2</v>
      </c>
      <c r="F74">
        <v>1</v>
      </c>
      <c r="G74" t="s">
        <v>4746</v>
      </c>
    </row>
    <row r="75" spans="1:7" x14ac:dyDescent="0.25">
      <c r="A75" t="str">
        <f>HYPERLINK("http://amigo.geneontology.org/cgi-bin/amigo/term-details.cgi?term=GO:0004867","GO:0004867")</f>
        <v>GO:0004867</v>
      </c>
      <c r="B75" t="s">
        <v>144</v>
      </c>
      <c r="C75">
        <v>335</v>
      </c>
      <c r="D75">
        <v>3</v>
      </c>
      <c r="E75">
        <v>3.1028749023245799E-2</v>
      </c>
      <c r="F75">
        <v>1</v>
      </c>
      <c r="G75" t="s">
        <v>4745</v>
      </c>
    </row>
    <row r="76" spans="1:7" x14ac:dyDescent="0.25">
      <c r="A76" t="str">
        <f>HYPERLINK("http://amigo.geneontology.org/cgi-bin/amigo/term-details.cgi?term=GO:0035639","GO:0035639")</f>
        <v>GO:0035639</v>
      </c>
      <c r="B76" t="s">
        <v>363</v>
      </c>
      <c r="C76">
        <v>9665</v>
      </c>
      <c r="D76">
        <v>28</v>
      </c>
      <c r="E76">
        <v>3.1842126954373801E-2</v>
      </c>
      <c r="F76">
        <v>1</v>
      </c>
      <c r="G76" t="s">
        <v>4744</v>
      </c>
    </row>
    <row r="77" spans="1:7" x14ac:dyDescent="0.25">
      <c r="A77" t="str">
        <f>HYPERLINK("http://amigo.geneontology.org/cgi-bin/amigo/term-details.cgi?term=GO:0030545","GO:0030545")</f>
        <v>GO:0030545</v>
      </c>
      <c r="B77" t="s">
        <v>4743</v>
      </c>
      <c r="C77">
        <v>16</v>
      </c>
      <c r="D77">
        <v>1</v>
      </c>
      <c r="E77">
        <v>3.1898490708873399E-2</v>
      </c>
      <c r="F77">
        <v>1</v>
      </c>
      <c r="G77" t="s">
        <v>957</v>
      </c>
    </row>
    <row r="78" spans="1:7" x14ac:dyDescent="0.25">
      <c r="A78" t="str">
        <f>HYPERLINK("http://amigo.geneontology.org/cgi-bin/amigo/term-details.cgi?term=GO:0048018","GO:0048018")</f>
        <v>GO:0048018</v>
      </c>
      <c r="B78" t="s">
        <v>4742</v>
      </c>
      <c r="C78">
        <v>16</v>
      </c>
      <c r="D78">
        <v>1</v>
      </c>
      <c r="E78">
        <v>3.1898490708873399E-2</v>
      </c>
      <c r="F78">
        <v>1</v>
      </c>
      <c r="G78" t="s">
        <v>957</v>
      </c>
    </row>
    <row r="79" spans="1:7" x14ac:dyDescent="0.25">
      <c r="A79" t="str">
        <f>HYPERLINK("http://amigo.geneontology.org/cgi-bin/amigo/term-details.cgi?term=GO:0009853","GO:0009853")</f>
        <v>GO:0009853</v>
      </c>
      <c r="B79" t="s">
        <v>3778</v>
      </c>
      <c r="C79">
        <v>138</v>
      </c>
      <c r="D79">
        <v>2</v>
      </c>
      <c r="E79">
        <v>3.2157377966152603E-2</v>
      </c>
      <c r="F79">
        <v>1</v>
      </c>
      <c r="G79" t="s">
        <v>4736</v>
      </c>
    </row>
    <row r="80" spans="1:7" x14ac:dyDescent="0.25">
      <c r="A80" t="str">
        <f>HYPERLINK("http://amigo.geneontology.org/cgi-bin/amigo/term-details.cgi?term=GO:0004550","GO:0004550")</f>
        <v>GO:0004550</v>
      </c>
      <c r="B80" t="s">
        <v>4741</v>
      </c>
      <c r="C80">
        <v>17</v>
      </c>
      <c r="D80">
        <v>1</v>
      </c>
      <c r="E80">
        <v>3.38582357910946E-2</v>
      </c>
      <c r="F80">
        <v>1</v>
      </c>
      <c r="G80" t="s">
        <v>4719</v>
      </c>
    </row>
    <row r="81" spans="1:7" x14ac:dyDescent="0.25">
      <c r="A81" t="str">
        <f>HYPERLINK("http://amigo.geneontology.org/cgi-bin/amigo/term-details.cgi?term=GO:0006183","GO:0006183")</f>
        <v>GO:0006183</v>
      </c>
      <c r="B81" t="s">
        <v>4740</v>
      </c>
      <c r="C81">
        <v>17</v>
      </c>
      <c r="D81">
        <v>1</v>
      </c>
      <c r="E81">
        <v>3.38582357910946E-2</v>
      </c>
      <c r="F81">
        <v>1</v>
      </c>
      <c r="G81" t="s">
        <v>4719</v>
      </c>
    </row>
    <row r="82" spans="1:7" x14ac:dyDescent="0.25">
      <c r="A82" t="str">
        <f>HYPERLINK("http://amigo.geneontology.org/cgi-bin/amigo/term-details.cgi?term=GO:0046051","GO:0046051")</f>
        <v>GO:0046051</v>
      </c>
      <c r="B82" t="s">
        <v>4739</v>
      </c>
      <c r="C82">
        <v>17</v>
      </c>
      <c r="D82">
        <v>1</v>
      </c>
      <c r="E82">
        <v>3.38582357910946E-2</v>
      </c>
      <c r="F82">
        <v>1</v>
      </c>
      <c r="G82" t="s">
        <v>4719</v>
      </c>
    </row>
    <row r="83" spans="1:7" x14ac:dyDescent="0.25">
      <c r="A83" t="str">
        <f>HYPERLINK("http://amigo.geneontology.org/cgi-bin/amigo/term-details.cgi?term=GO:0006228","GO:0006228")</f>
        <v>GO:0006228</v>
      </c>
      <c r="B83" t="s">
        <v>4738</v>
      </c>
      <c r="C83">
        <v>17</v>
      </c>
      <c r="D83">
        <v>1</v>
      </c>
      <c r="E83">
        <v>3.38582357910946E-2</v>
      </c>
      <c r="F83">
        <v>1</v>
      </c>
      <c r="G83" t="s">
        <v>4719</v>
      </c>
    </row>
    <row r="84" spans="1:7" x14ac:dyDescent="0.25">
      <c r="A84" t="str">
        <f>HYPERLINK("http://amigo.geneontology.org/cgi-bin/amigo/term-details.cgi?term=GO:0098800","GO:0098800")</f>
        <v>GO:0098800</v>
      </c>
      <c r="B84" t="s">
        <v>4737</v>
      </c>
      <c r="C84">
        <v>146</v>
      </c>
      <c r="D84">
        <v>2</v>
      </c>
      <c r="E84">
        <v>3.5634828851964E-2</v>
      </c>
      <c r="F84">
        <v>1</v>
      </c>
      <c r="G84" t="s">
        <v>4736</v>
      </c>
    </row>
    <row r="85" spans="1:7" x14ac:dyDescent="0.25">
      <c r="A85" t="str">
        <f>HYPERLINK("http://amigo.geneontology.org/cgi-bin/amigo/term-details.cgi?term=GO:0098799","GO:0098799")</f>
        <v>GO:0098799</v>
      </c>
      <c r="B85" t="s">
        <v>4735</v>
      </c>
      <c r="C85">
        <v>18</v>
      </c>
      <c r="D85">
        <v>1</v>
      </c>
      <c r="E85">
        <v>3.58140391081571E-2</v>
      </c>
      <c r="F85">
        <v>1</v>
      </c>
      <c r="G85" t="s">
        <v>958</v>
      </c>
    </row>
    <row r="86" spans="1:7" x14ac:dyDescent="0.25">
      <c r="A86" t="str">
        <f>HYPERLINK("http://amigo.geneontology.org/cgi-bin/amigo/term-details.cgi?term=GO:0005742","GO:0005742")</f>
        <v>GO:0005742</v>
      </c>
      <c r="B86" t="s">
        <v>4734</v>
      </c>
      <c r="C86">
        <v>18</v>
      </c>
      <c r="D86">
        <v>1</v>
      </c>
      <c r="E86">
        <v>3.58140391081571E-2</v>
      </c>
      <c r="F86">
        <v>1</v>
      </c>
      <c r="G86" t="s">
        <v>958</v>
      </c>
    </row>
    <row r="87" spans="1:7" x14ac:dyDescent="0.25">
      <c r="A87" t="str">
        <f>HYPERLINK("http://amigo.geneontology.org/cgi-bin/amigo/term-details.cgi?term=GO:0044238","GO:0044238")</f>
        <v>GO:0044238</v>
      </c>
      <c r="B87" t="s">
        <v>900</v>
      </c>
      <c r="C87">
        <v>23288</v>
      </c>
      <c r="D87">
        <v>58</v>
      </c>
      <c r="E87">
        <v>3.6970555501470402E-2</v>
      </c>
      <c r="F87">
        <v>1</v>
      </c>
      <c r="G87" t="s">
        <v>4733</v>
      </c>
    </row>
    <row r="88" spans="1:7" x14ac:dyDescent="0.25">
      <c r="A88" t="str">
        <f>HYPERLINK("http://amigo.geneontology.org/cgi-bin/amigo/term-details.cgi?term=GO:0015297","GO:0015297")</f>
        <v>GO:0015297</v>
      </c>
      <c r="B88" t="s">
        <v>112</v>
      </c>
      <c r="C88">
        <v>362</v>
      </c>
      <c r="D88">
        <v>3</v>
      </c>
      <c r="E88">
        <v>3.76836660989225E-2</v>
      </c>
      <c r="F88">
        <v>1</v>
      </c>
      <c r="G88" t="s">
        <v>4732</v>
      </c>
    </row>
    <row r="89" spans="1:7" x14ac:dyDescent="0.25">
      <c r="A89" t="str">
        <f>HYPERLINK("http://amigo.geneontology.org/cgi-bin/amigo/term-details.cgi?term=GO:0030150","GO:0030150")</f>
        <v>GO:0030150</v>
      </c>
      <c r="B89" t="s">
        <v>4731</v>
      </c>
      <c r="C89">
        <v>19</v>
      </c>
      <c r="D89">
        <v>1</v>
      </c>
      <c r="E89">
        <v>3.7765908533634297E-2</v>
      </c>
      <c r="F89">
        <v>1</v>
      </c>
      <c r="G89" t="s">
        <v>958</v>
      </c>
    </row>
    <row r="90" spans="1:7" x14ac:dyDescent="0.25">
      <c r="A90" t="str">
        <f>HYPERLINK("http://amigo.geneontology.org/cgi-bin/amigo/term-details.cgi?term=GO:0010277","GO:0010277")</f>
        <v>GO:0010277</v>
      </c>
      <c r="B90" t="s">
        <v>4730</v>
      </c>
      <c r="C90">
        <v>19</v>
      </c>
      <c r="D90">
        <v>1</v>
      </c>
      <c r="E90">
        <v>3.7765908533634297E-2</v>
      </c>
      <c r="F90">
        <v>1</v>
      </c>
      <c r="G90" t="s">
        <v>4723</v>
      </c>
    </row>
    <row r="91" spans="1:7" x14ac:dyDescent="0.25">
      <c r="A91" t="str">
        <f>HYPERLINK("http://amigo.geneontology.org/cgi-bin/amigo/term-details.cgi?term=GO:0031966","GO:0031966")</f>
        <v>GO:0031966</v>
      </c>
      <c r="B91" t="s">
        <v>4729</v>
      </c>
      <c r="C91">
        <v>368</v>
      </c>
      <c r="D91">
        <v>3</v>
      </c>
      <c r="E91">
        <v>3.9253845889772897E-2</v>
      </c>
      <c r="F91">
        <v>1</v>
      </c>
      <c r="G91" t="s">
        <v>4721</v>
      </c>
    </row>
    <row r="92" spans="1:7" x14ac:dyDescent="0.25">
      <c r="A92" t="str">
        <f>HYPERLINK("http://amigo.geneontology.org/cgi-bin/amigo/term-details.cgi?term=GO:0008144","GO:0008144")</f>
        <v>GO:0008144</v>
      </c>
      <c r="B92" t="s">
        <v>2319</v>
      </c>
      <c r="C92">
        <v>9423</v>
      </c>
      <c r="D92">
        <v>27</v>
      </c>
      <c r="E92">
        <v>3.9286792728894702E-2</v>
      </c>
      <c r="F92">
        <v>1</v>
      </c>
      <c r="G92" t="s">
        <v>4728</v>
      </c>
    </row>
    <row r="93" spans="1:7" x14ac:dyDescent="0.25">
      <c r="A93" t="str">
        <f>HYPERLINK("http://amigo.geneontology.org/cgi-bin/amigo/term-details.cgi?term=GO:0046039","GO:0046039")</f>
        <v>GO:0046039</v>
      </c>
      <c r="B93" t="s">
        <v>4727</v>
      </c>
      <c r="C93">
        <v>20</v>
      </c>
      <c r="D93">
        <v>1</v>
      </c>
      <c r="E93">
        <v>3.9713851933371E-2</v>
      </c>
      <c r="F93">
        <v>1</v>
      </c>
      <c r="G93" t="s">
        <v>4719</v>
      </c>
    </row>
    <row r="94" spans="1:7" x14ac:dyDescent="0.25">
      <c r="A94" t="str">
        <f>HYPERLINK("http://amigo.geneontology.org/cgi-bin/amigo/term-details.cgi?term=GO:0005102","GO:0005102")</f>
        <v>GO:0005102</v>
      </c>
      <c r="B94" t="s">
        <v>4726</v>
      </c>
      <c r="C94">
        <v>21</v>
      </c>
      <c r="D94">
        <v>1</v>
      </c>
      <c r="E94">
        <v>4.1657877149194202E-2</v>
      </c>
      <c r="F94">
        <v>1</v>
      </c>
      <c r="G94" t="s">
        <v>957</v>
      </c>
    </row>
    <row r="95" spans="1:7" x14ac:dyDescent="0.25">
      <c r="A95" t="str">
        <f>HYPERLINK("http://amigo.geneontology.org/cgi-bin/amigo/term-details.cgi?term=GO:0005516","GO:0005516")</f>
        <v>GO:0005516</v>
      </c>
      <c r="B95" t="s">
        <v>4582</v>
      </c>
      <c r="C95">
        <v>165</v>
      </c>
      <c r="D95">
        <v>2</v>
      </c>
      <c r="E95">
        <v>4.4437952151084301E-2</v>
      </c>
      <c r="F95">
        <v>1</v>
      </c>
      <c r="G95" t="s">
        <v>4725</v>
      </c>
    </row>
    <row r="96" spans="1:7" x14ac:dyDescent="0.25">
      <c r="A96" t="str">
        <f>HYPERLINK("http://amigo.geneontology.org/cgi-bin/amigo/term-details.cgi?term=GO:0044036","GO:0044036")</f>
        <v>GO:0044036</v>
      </c>
      <c r="B96" t="s">
        <v>189</v>
      </c>
      <c r="C96">
        <v>388</v>
      </c>
      <c r="D96">
        <v>3</v>
      </c>
      <c r="E96">
        <v>4.4724192287143097E-2</v>
      </c>
      <c r="F96">
        <v>1</v>
      </c>
      <c r="G96" t="s">
        <v>4724</v>
      </c>
    </row>
    <row r="97" spans="1:7" x14ac:dyDescent="0.25">
      <c r="A97" t="str">
        <f>HYPERLINK("http://amigo.geneontology.org/cgi-bin/amigo/term-details.cgi?term=GO:0016703","GO:0016703")</f>
        <v>GO:0016703</v>
      </c>
      <c r="B97" t="s">
        <v>1199</v>
      </c>
      <c r="C97">
        <v>23</v>
      </c>
      <c r="D97">
        <v>1</v>
      </c>
      <c r="E97">
        <v>4.5534204339920899E-2</v>
      </c>
      <c r="F97">
        <v>1</v>
      </c>
      <c r="G97" t="s">
        <v>4723</v>
      </c>
    </row>
    <row r="98" spans="1:7" x14ac:dyDescent="0.25">
      <c r="A98" t="str">
        <f>HYPERLINK("http://amigo.geneontology.org/cgi-bin/amigo/term-details.cgi?term=GO:0005740","GO:0005740")</f>
        <v>GO:0005740</v>
      </c>
      <c r="B98" t="s">
        <v>4722</v>
      </c>
      <c r="C98">
        <v>394</v>
      </c>
      <c r="D98">
        <v>3</v>
      </c>
      <c r="E98">
        <v>4.6435503528599299E-2</v>
      </c>
      <c r="F98">
        <v>1</v>
      </c>
      <c r="G98" t="s">
        <v>4721</v>
      </c>
    </row>
    <row r="99" spans="1:7" x14ac:dyDescent="0.25">
      <c r="A99" t="str">
        <f>HYPERLINK("http://amigo.geneontology.org/cgi-bin/amigo/term-details.cgi?term=GO:1901070","GO:1901070")</f>
        <v>GO:1901070</v>
      </c>
      <c r="B99" t="s">
        <v>4720</v>
      </c>
      <c r="C99">
        <v>25</v>
      </c>
      <c r="D99">
        <v>1</v>
      </c>
      <c r="E99">
        <v>4.9394952568556597E-2</v>
      </c>
      <c r="F99">
        <v>1</v>
      </c>
      <c r="G99" t="s">
        <v>4719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pane xSplit="5" ySplit="10" topLeftCell="F38" activePane="bottomRight" state="frozen"/>
      <selection pane="topRight" activeCell="F1" sqref="F1"/>
      <selection pane="bottomLeft" activeCell="A11" sqref="A11"/>
      <selection pane="bottomRight" activeCell="A53" sqref="A53"/>
    </sheetView>
  </sheetViews>
  <sheetFormatPr defaultRowHeight="15" x14ac:dyDescent="0.25"/>
  <cols>
    <col min="1" max="1" width="14.85546875" customWidth="1"/>
    <col min="2" max="2" width="39.7109375" customWidth="1"/>
  </cols>
  <sheetData>
    <row r="1" spans="1:7" x14ac:dyDescent="0.25">
      <c r="A1" t="s">
        <v>392</v>
      </c>
      <c r="B1">
        <v>55</v>
      </c>
    </row>
    <row r="2" spans="1:7" x14ac:dyDescent="0.25">
      <c r="A2" t="s">
        <v>391</v>
      </c>
      <c r="B2">
        <v>77079</v>
      </c>
    </row>
    <row r="3" spans="1:7" x14ac:dyDescent="0.25">
      <c r="A3" t="s">
        <v>390</v>
      </c>
      <c r="B3" t="s">
        <v>389</v>
      </c>
    </row>
    <row r="4" spans="1:7" x14ac:dyDescent="0.25">
      <c r="A4" t="s">
        <v>388</v>
      </c>
      <c r="B4" t="s">
        <v>387</v>
      </c>
    </row>
    <row r="5" spans="1:7" x14ac:dyDescent="0.25">
      <c r="A5" t="s">
        <v>386</v>
      </c>
      <c r="B5" t="s">
        <v>385</v>
      </c>
    </row>
    <row r="6" spans="1:7" x14ac:dyDescent="0.25">
      <c r="A6" t="s">
        <v>384</v>
      </c>
      <c r="B6" t="s">
        <v>383</v>
      </c>
    </row>
    <row r="7" spans="1:7" x14ac:dyDescent="0.25">
      <c r="A7" t="s">
        <v>382</v>
      </c>
      <c r="B7" t="s">
        <v>381</v>
      </c>
    </row>
    <row r="8" spans="1:7" x14ac:dyDescent="0.25">
      <c r="A8" t="s">
        <v>380</v>
      </c>
      <c r="B8">
        <v>3</v>
      </c>
    </row>
    <row r="10" spans="1:7" x14ac:dyDescent="0.25">
      <c r="A10" t="s">
        <v>379</v>
      </c>
      <c r="B10" t="s">
        <v>378</v>
      </c>
      <c r="C10" t="s">
        <v>377</v>
      </c>
      <c r="D10" t="s">
        <v>376</v>
      </c>
      <c r="E10" t="s">
        <v>375</v>
      </c>
      <c r="F10" t="s">
        <v>374</v>
      </c>
      <c r="G10" t="s">
        <v>373</v>
      </c>
    </row>
    <row r="11" spans="1:7" x14ac:dyDescent="0.25">
      <c r="A11" s="4" t="str">
        <f>HYPERLINK("http://amigo.geneontology.org/cgi-bin/amigo/term-details.cgi?term=GO:0004672","GO:0004672")</f>
        <v>GO:0004672</v>
      </c>
      <c r="B11" t="s">
        <v>368</v>
      </c>
      <c r="C11">
        <v>5633</v>
      </c>
      <c r="D11">
        <v>20</v>
      </c>
      <c r="E11" s="2">
        <v>7.5202886851337701E-10</v>
      </c>
      <c r="F11" s="2">
        <v>3.3954103413378902E-6</v>
      </c>
      <c r="G11" t="s">
        <v>4314</v>
      </c>
    </row>
    <row r="12" spans="1:7" x14ac:dyDescent="0.25">
      <c r="A12" s="4" t="str">
        <f>HYPERLINK("http://amigo.geneontology.org/cgi-bin/amigo/term-details.cgi?term=GO:0006468","GO:0006468")</f>
        <v>GO:0006468</v>
      </c>
      <c r="B12" t="s">
        <v>370</v>
      </c>
      <c r="C12">
        <v>5693</v>
      </c>
      <c r="D12">
        <v>20</v>
      </c>
      <c r="E12" s="2">
        <v>9.0444527561593601E-10</v>
      </c>
      <c r="F12" s="2">
        <v>2.0413329870651599E-6</v>
      </c>
      <c r="G12" t="s">
        <v>4314</v>
      </c>
    </row>
    <row r="13" spans="1:7" x14ac:dyDescent="0.25">
      <c r="A13" s="4" t="str">
        <f>HYPERLINK("http://amigo.geneontology.org/cgi-bin/amigo/term-details.cgi?term=GO:0016773","GO:0016773")</f>
        <v>GO:0016773</v>
      </c>
      <c r="B13" t="s">
        <v>369</v>
      </c>
      <c r="C13">
        <v>6062</v>
      </c>
      <c r="D13">
        <v>20</v>
      </c>
      <c r="E13" s="2">
        <v>2.6826004546389599E-9</v>
      </c>
      <c r="F13" s="2">
        <v>4.0373136842316402E-6</v>
      </c>
      <c r="G13" t="s">
        <v>4314</v>
      </c>
    </row>
    <row r="14" spans="1:7" x14ac:dyDescent="0.25">
      <c r="A14" s="4" t="str">
        <f>HYPERLINK("http://amigo.geneontology.org/cgi-bin/amigo/term-details.cgi?term=GO:0016772","GO:0016772")</f>
        <v>GO:0016772</v>
      </c>
      <c r="B14" t="s">
        <v>951</v>
      </c>
      <c r="C14">
        <v>6904</v>
      </c>
      <c r="D14">
        <v>21</v>
      </c>
      <c r="E14" s="2">
        <v>3.9550659654172603E-9</v>
      </c>
      <c r="F14" s="2">
        <v>4.46131440899067E-6</v>
      </c>
      <c r="G14" t="s">
        <v>4315</v>
      </c>
    </row>
    <row r="15" spans="1:7" x14ac:dyDescent="0.25">
      <c r="A15" s="4" t="str">
        <f>HYPERLINK("http://amigo.geneontology.org/cgi-bin/amigo/term-details.cgi?term=GO:0016301","GO:0016301")</f>
        <v>GO:0016301</v>
      </c>
      <c r="B15" t="s">
        <v>365</v>
      </c>
      <c r="C15">
        <v>6285</v>
      </c>
      <c r="D15">
        <v>20</v>
      </c>
      <c r="E15" s="2">
        <v>4.9868453885150403E-9</v>
      </c>
      <c r="F15" s="2">
        <v>4.5031213858290802E-6</v>
      </c>
      <c r="G15" t="s">
        <v>4314</v>
      </c>
    </row>
    <row r="16" spans="1:7" x14ac:dyDescent="0.25">
      <c r="A16" s="4" t="str">
        <f>HYPERLINK("http://amigo.geneontology.org/cgi-bin/amigo/term-details.cgi?term=GO:0016310","GO:0016310")</f>
        <v>GO:0016310</v>
      </c>
      <c r="B16" t="s">
        <v>366</v>
      </c>
      <c r="C16">
        <v>6439</v>
      </c>
      <c r="D16">
        <v>20</v>
      </c>
      <c r="E16" s="2">
        <v>7.5380250107764204E-9</v>
      </c>
      <c r="F16" s="2">
        <v>5.6685948081038598E-6</v>
      </c>
      <c r="G16" t="s">
        <v>4314</v>
      </c>
    </row>
    <row r="17" spans="1:7" x14ac:dyDescent="0.25">
      <c r="A17" s="4" t="str">
        <f>HYPERLINK("http://amigo.geneontology.org/cgi-bin/amigo/term-details.cgi?term=GO:0036211","GO:0036211")</f>
        <v>GO:0036211</v>
      </c>
      <c r="B17" t="s">
        <v>372</v>
      </c>
      <c r="C17">
        <v>8034</v>
      </c>
      <c r="D17">
        <v>22</v>
      </c>
      <c r="E17" s="2">
        <v>1.0072011374501199E-8</v>
      </c>
      <c r="F17" s="2">
        <v>5.6806144152187198E-6</v>
      </c>
      <c r="G17" t="s">
        <v>4316</v>
      </c>
    </row>
    <row r="18" spans="1:7" x14ac:dyDescent="0.25">
      <c r="A18" s="4" t="str">
        <f>HYPERLINK("http://amigo.geneontology.org/cgi-bin/amigo/term-details.cgi?term=GO:0006464","GO:0006464")</f>
        <v>GO:0006464</v>
      </c>
      <c r="B18" t="s">
        <v>371</v>
      </c>
      <c r="C18">
        <v>8034</v>
      </c>
      <c r="D18">
        <v>22</v>
      </c>
      <c r="E18" s="2">
        <v>1.0072011374501199E-8</v>
      </c>
      <c r="F18" s="2">
        <v>6.49644733655332E-6</v>
      </c>
      <c r="G18" t="s">
        <v>4316</v>
      </c>
    </row>
    <row r="19" spans="1:7" x14ac:dyDescent="0.25">
      <c r="A19" s="4" t="str">
        <f>HYPERLINK("http://amigo.geneontology.org/cgi-bin/amigo/term-details.cgi?term=GO:0004674","GO:0004674")</f>
        <v>GO:0004674</v>
      </c>
      <c r="B19" t="s">
        <v>325</v>
      </c>
      <c r="C19">
        <v>2443</v>
      </c>
      <c r="D19">
        <v>13</v>
      </c>
      <c r="E19" s="2">
        <v>1.3205802414983899E-8</v>
      </c>
      <c r="F19" s="2">
        <v>6.6161070099069499E-6</v>
      </c>
      <c r="G19" t="s">
        <v>4317</v>
      </c>
    </row>
    <row r="20" spans="1:7" x14ac:dyDescent="0.25">
      <c r="A20" s="4" t="str">
        <f>HYPERLINK("http://amigo.geneontology.org/cgi-bin/amigo/term-details.cgi?term=GO:0006796","GO:0006796")</f>
        <v>GO:0006796</v>
      </c>
      <c r="B20" t="s">
        <v>361</v>
      </c>
      <c r="C20">
        <v>8366</v>
      </c>
      <c r="D20">
        <v>22</v>
      </c>
      <c r="E20" s="2">
        <v>2.11509731619473E-8</v>
      </c>
      <c r="F20" s="2">
        <v>9.5390888960382302E-6</v>
      </c>
      <c r="G20" t="s">
        <v>4318</v>
      </c>
    </row>
    <row r="21" spans="1:7" x14ac:dyDescent="0.25">
      <c r="A21" s="4" t="str">
        <f>HYPERLINK("http://amigo.geneontology.org/cgi-bin/amigo/term-details.cgi?term=GO:0006793","GO:0006793")</f>
        <v>GO:0006793</v>
      </c>
      <c r="B21" t="s">
        <v>952</v>
      </c>
      <c r="C21">
        <v>8439</v>
      </c>
      <c r="D21">
        <v>22</v>
      </c>
      <c r="E21" s="2">
        <v>2.4778590885328599E-8</v>
      </c>
      <c r="F21" s="2">
        <v>1.01592222629847E-5</v>
      </c>
      <c r="G21" t="s">
        <v>4318</v>
      </c>
    </row>
    <row r="22" spans="1:7" x14ac:dyDescent="0.25">
      <c r="A22" s="4" t="str">
        <f>HYPERLINK("http://amigo.geneontology.org/cgi-bin/amigo/term-details.cgi?term=GO:0043412","GO:0043412")</f>
        <v>GO:0043412</v>
      </c>
      <c r="B22" t="s">
        <v>367</v>
      </c>
      <c r="C22">
        <v>8612</v>
      </c>
      <c r="D22">
        <v>22</v>
      </c>
      <c r="E22" s="2">
        <v>3.58182502953666E-8</v>
      </c>
      <c r="F22" s="2">
        <v>1.3467662111057801E-5</v>
      </c>
      <c r="G22" t="s">
        <v>4316</v>
      </c>
    </row>
    <row r="23" spans="1:7" x14ac:dyDescent="0.25">
      <c r="A23" s="4" t="str">
        <f>HYPERLINK("http://amigo.geneontology.org/cgi-bin/amigo/term-details.cgi?term=GO:0005524","GO:0005524")</f>
        <v>GO:0005524</v>
      </c>
      <c r="B23" t="s">
        <v>362</v>
      </c>
      <c r="C23">
        <v>8993</v>
      </c>
      <c r="D23">
        <v>22</v>
      </c>
      <c r="E23" s="2">
        <v>7.81374275595131E-8</v>
      </c>
      <c r="F23" s="2">
        <v>2.7113687363150999E-5</v>
      </c>
      <c r="G23" t="s">
        <v>4319</v>
      </c>
    </row>
    <row r="24" spans="1:7" x14ac:dyDescent="0.25">
      <c r="A24" s="4" t="str">
        <f>HYPERLINK("http://amigo.geneontology.org/cgi-bin/amigo/term-details.cgi?term=GO:0008144","GO:0008144")</f>
        <v>GO:0008144</v>
      </c>
      <c r="B24" t="s">
        <v>2319</v>
      </c>
      <c r="C24">
        <v>9423</v>
      </c>
      <c r="D24">
        <v>22</v>
      </c>
      <c r="E24" s="2">
        <v>1.7953931733728099E-7</v>
      </c>
      <c r="F24" s="2">
        <v>5.7811660182604702E-5</v>
      </c>
      <c r="G24" t="s">
        <v>4319</v>
      </c>
    </row>
    <row r="25" spans="1:7" x14ac:dyDescent="0.25">
      <c r="A25" s="4" t="str">
        <f>HYPERLINK("http://amigo.geneontology.org/cgi-bin/amigo/term-details.cgi?term=GO:0140096","GO:0140096")</f>
        <v>GO:0140096</v>
      </c>
      <c r="B25" t="s">
        <v>2296</v>
      </c>
      <c r="C25">
        <v>9460</v>
      </c>
      <c r="D25">
        <v>22</v>
      </c>
      <c r="E25" s="2">
        <v>1.9242803851907199E-7</v>
      </c>
      <c r="F25" s="2">
        <v>5.7920839594240799E-5</v>
      </c>
      <c r="G25" t="s">
        <v>4320</v>
      </c>
    </row>
    <row r="26" spans="1:7" x14ac:dyDescent="0.25">
      <c r="A26" s="4" t="str">
        <f>HYPERLINK("http://amigo.geneontology.org/cgi-bin/amigo/term-details.cgi?term=GO:0035639","GO:0035639")</f>
        <v>GO:0035639</v>
      </c>
      <c r="B26" t="s">
        <v>363</v>
      </c>
      <c r="C26">
        <v>9665</v>
      </c>
      <c r="D26">
        <v>22</v>
      </c>
      <c r="E26" s="2">
        <v>2.8080365093804201E-7</v>
      </c>
      <c r="F26" s="2">
        <v>7.9186629564527894E-5</v>
      </c>
      <c r="G26" t="s">
        <v>4319</v>
      </c>
    </row>
    <row r="27" spans="1:7" x14ac:dyDescent="0.25">
      <c r="A27" s="4" t="str">
        <f>HYPERLINK("http://amigo.geneontology.org/cgi-bin/amigo/term-details.cgi?term=GO:0016740","GO:0016740")</f>
        <v>GO:0016740</v>
      </c>
      <c r="B27" t="s">
        <v>955</v>
      </c>
      <c r="C27">
        <v>12914</v>
      </c>
      <c r="D27">
        <v>25</v>
      </c>
      <c r="E27" s="2">
        <v>6.4670348462032005E-7</v>
      </c>
      <c r="F27" s="2">
        <v>1.7137642342438501E-4</v>
      </c>
      <c r="G27" t="s">
        <v>4321</v>
      </c>
    </row>
    <row r="28" spans="1:7" x14ac:dyDescent="0.25">
      <c r="A28" s="4" t="str">
        <f>HYPERLINK("http://amigo.geneontology.org/cgi-bin/amigo/term-details.cgi?term=GO:0044267","GO:0044267")</f>
        <v>GO:0044267</v>
      </c>
      <c r="B28" t="s">
        <v>360</v>
      </c>
      <c r="C28">
        <v>10315</v>
      </c>
      <c r="D28">
        <v>22</v>
      </c>
      <c r="E28" s="2">
        <v>8.7193135554298496E-7</v>
      </c>
      <c r="F28" s="2">
        <v>2.17982838885746E-4</v>
      </c>
      <c r="G28" t="s">
        <v>4316</v>
      </c>
    </row>
    <row r="29" spans="1:7" x14ac:dyDescent="0.25">
      <c r="A29" s="4" t="str">
        <f>HYPERLINK("http://amigo.geneontology.org/cgi-bin/amigo/term-details.cgi?term=GO:0032559","GO:0032559")</f>
        <v>GO:0032559</v>
      </c>
      <c r="B29" t="s">
        <v>268</v>
      </c>
      <c r="C29">
        <v>11276</v>
      </c>
      <c r="D29">
        <v>23</v>
      </c>
      <c r="E29" s="2">
        <v>9.5121423785640502E-7</v>
      </c>
      <c r="F29" s="2">
        <v>2.2543777437196799E-4</v>
      </c>
      <c r="G29" t="s">
        <v>4322</v>
      </c>
    </row>
    <row r="30" spans="1:7" x14ac:dyDescent="0.25">
      <c r="A30" s="4" t="str">
        <f>HYPERLINK("http://amigo.geneontology.org/cgi-bin/amigo/term-details.cgi?term=GO:0097367","GO:0097367")</f>
        <v>GO:0097367</v>
      </c>
      <c r="B30" t="s">
        <v>883</v>
      </c>
      <c r="C30">
        <v>12241</v>
      </c>
      <c r="D30">
        <v>24</v>
      </c>
      <c r="E30" s="2">
        <v>9.9372246322560508E-7</v>
      </c>
      <c r="F30" s="2">
        <v>2.2358755422576099E-4</v>
      </c>
      <c r="G30" t="s">
        <v>4323</v>
      </c>
    </row>
    <row r="31" spans="1:7" x14ac:dyDescent="0.25">
      <c r="A31" s="4" t="str">
        <f>HYPERLINK("http://amigo.geneontology.org/cgi-bin/amigo/term-details.cgi?term=GO:0008037","GO:0008037")</f>
        <v>GO:0008037</v>
      </c>
      <c r="B31" t="s">
        <v>947</v>
      </c>
      <c r="C31">
        <v>461</v>
      </c>
      <c r="D31">
        <v>6</v>
      </c>
      <c r="E31" s="2">
        <v>1.0023611768076501E-6</v>
      </c>
      <c r="F31" s="2">
        <v>2.0548404124557E-4</v>
      </c>
      <c r="G31" t="s">
        <v>4324</v>
      </c>
    </row>
    <row r="32" spans="1:7" x14ac:dyDescent="0.25">
      <c r="A32" s="4" t="str">
        <f>HYPERLINK("http://amigo.geneontology.org/cgi-bin/amigo/term-details.cgi?term=GO:0048544","GO:0048544")</f>
        <v>GO:0048544</v>
      </c>
      <c r="B32" t="s">
        <v>334</v>
      </c>
      <c r="C32">
        <v>461</v>
      </c>
      <c r="D32">
        <v>6</v>
      </c>
      <c r="E32" s="2">
        <v>1.0023611768076501E-6</v>
      </c>
      <c r="F32" s="2">
        <v>2.1550765301364599E-4</v>
      </c>
      <c r="G32" t="s">
        <v>4324</v>
      </c>
    </row>
    <row r="33" spans="1:7" x14ac:dyDescent="0.25">
      <c r="A33" s="4" t="str">
        <f>HYPERLINK("http://amigo.geneontology.org/cgi-bin/amigo/term-details.cgi?term=GO:0009875","GO:0009875")</f>
        <v>GO:0009875</v>
      </c>
      <c r="B33" t="s">
        <v>335</v>
      </c>
      <c r="C33">
        <v>463</v>
      </c>
      <c r="D33">
        <v>6</v>
      </c>
      <c r="E33" s="2">
        <v>1.0277625430689799E-6</v>
      </c>
      <c r="F33" s="2">
        <v>2.01441458441521E-4</v>
      </c>
      <c r="G33" t="s">
        <v>4324</v>
      </c>
    </row>
    <row r="34" spans="1:7" x14ac:dyDescent="0.25">
      <c r="A34" s="4" t="str">
        <f>HYPERLINK("http://amigo.geneontology.org/cgi-bin/amigo/term-details.cgi?term=GO:0030554","GO:0030554")</f>
        <v>GO:0030554</v>
      </c>
      <c r="B34" t="s">
        <v>267</v>
      </c>
      <c r="C34">
        <v>11364</v>
      </c>
      <c r="D34">
        <v>23</v>
      </c>
      <c r="E34" s="2">
        <v>1.09276053320826E-6</v>
      </c>
      <c r="F34" s="2">
        <v>2.0543898024315399E-4</v>
      </c>
      <c r="G34" t="s">
        <v>4322</v>
      </c>
    </row>
    <row r="35" spans="1:7" x14ac:dyDescent="0.25">
      <c r="A35" s="4" t="str">
        <f>HYPERLINK("http://amigo.geneontology.org/cgi-bin/amigo/term-details.cgi?term=GO:0032555","GO:0032555")</f>
        <v>GO:0032555</v>
      </c>
      <c r="B35" t="s">
        <v>280</v>
      </c>
      <c r="C35">
        <v>11948</v>
      </c>
      <c r="D35">
        <v>23</v>
      </c>
      <c r="E35" s="2">
        <v>2.6488937163773098E-6</v>
      </c>
      <c r="F35" s="2">
        <v>4.76800868947916E-4</v>
      </c>
      <c r="G35" t="s">
        <v>4322</v>
      </c>
    </row>
    <row r="36" spans="1:7" x14ac:dyDescent="0.25">
      <c r="A36" s="4" t="str">
        <f>HYPERLINK("http://amigo.geneontology.org/cgi-bin/amigo/term-details.cgi?term=GO:0017076","GO:0017076")</f>
        <v>GO:0017076</v>
      </c>
      <c r="B36" t="s">
        <v>304</v>
      </c>
      <c r="C36">
        <v>12038</v>
      </c>
      <c r="D36">
        <v>23</v>
      </c>
      <c r="E36" s="2">
        <v>3.0203780710440098E-6</v>
      </c>
      <c r="F36" s="2">
        <v>5.2252540629061305E-4</v>
      </c>
      <c r="G36" t="s">
        <v>4322</v>
      </c>
    </row>
    <row r="37" spans="1:7" x14ac:dyDescent="0.25">
      <c r="A37" s="4" t="str">
        <f>HYPERLINK("http://amigo.geneontology.org/cgi-bin/amigo/term-details.cgi?term=GO:0032553","GO:0032553")</f>
        <v>GO:0032553</v>
      </c>
      <c r="B37" t="s">
        <v>314</v>
      </c>
      <c r="C37">
        <v>12105</v>
      </c>
      <c r="D37">
        <v>23</v>
      </c>
      <c r="E37" s="2">
        <v>3.32747734739053E-6</v>
      </c>
      <c r="F37" s="2">
        <v>5.5568871701421898E-4</v>
      </c>
      <c r="G37" t="s">
        <v>4322</v>
      </c>
    </row>
    <row r="38" spans="1:7" x14ac:dyDescent="0.25">
      <c r="A38" s="4" t="str">
        <f>HYPERLINK("http://amigo.geneontology.org/cgi-bin/amigo/term-details.cgi?term=GO:0044706","GO:0044706")</f>
        <v>GO:0044706</v>
      </c>
      <c r="B38" t="s">
        <v>946</v>
      </c>
      <c r="C38">
        <v>576</v>
      </c>
      <c r="D38">
        <v>6</v>
      </c>
      <c r="E38" s="2">
        <v>3.6055989831158098E-6</v>
      </c>
      <c r="F38" s="2">
        <v>5.5886784238294996E-4</v>
      </c>
      <c r="G38" t="s">
        <v>4324</v>
      </c>
    </row>
    <row r="39" spans="1:7" x14ac:dyDescent="0.25">
      <c r="A39" s="4" t="str">
        <f>HYPERLINK("http://amigo.geneontology.org/cgi-bin/amigo/term-details.cgi?term=GO:0009856","GO:0009856")</f>
        <v>GO:0009856</v>
      </c>
      <c r="B39" t="s">
        <v>336</v>
      </c>
      <c r="C39">
        <v>576</v>
      </c>
      <c r="D39">
        <v>6</v>
      </c>
      <c r="E39" s="2">
        <v>3.6055989831158098E-6</v>
      </c>
      <c r="F39" s="2">
        <v>5.8050143628164501E-4</v>
      </c>
      <c r="G39" t="s">
        <v>4324</v>
      </c>
    </row>
    <row r="40" spans="1:7" x14ac:dyDescent="0.25">
      <c r="A40" s="4" t="str">
        <f>HYPERLINK("http://amigo.geneontology.org/cgi-bin/amigo/term-details.cgi?term=GO:0019538","GO:0019538")</f>
        <v>GO:0019538</v>
      </c>
      <c r="B40" t="s">
        <v>346</v>
      </c>
      <c r="C40">
        <v>12453</v>
      </c>
      <c r="D40">
        <v>23</v>
      </c>
      <c r="E40" s="2">
        <v>5.4387830320458903E-6</v>
      </c>
      <c r="F40" s="2">
        <v>8.1581745480688295E-4</v>
      </c>
      <c r="G40" t="s">
        <v>4325</v>
      </c>
    </row>
    <row r="41" spans="1:7" x14ac:dyDescent="0.25">
      <c r="A41" s="4" t="str">
        <f>HYPERLINK("http://amigo.geneontology.org/cgi-bin/amigo/term-details.cgi?term=GO:0043168","GO:0043168")</f>
        <v>GO:0043168</v>
      </c>
      <c r="B41" t="s">
        <v>833</v>
      </c>
      <c r="C41">
        <v>13394</v>
      </c>
      <c r="D41">
        <v>23</v>
      </c>
      <c r="E41" s="2">
        <v>1.8748443389875201E-5</v>
      </c>
      <c r="F41">
        <v>2.7185242915319101E-3</v>
      </c>
      <c r="G41" t="s">
        <v>4322</v>
      </c>
    </row>
    <row r="42" spans="1:7" x14ac:dyDescent="0.25">
      <c r="A42" s="4" t="str">
        <f>HYPERLINK("http://amigo.geneontology.org/cgi-bin/amigo/term-details.cgi?term=GO:0036094","GO:0036094")</f>
        <v>GO:0036094</v>
      </c>
      <c r="B42" t="s">
        <v>887</v>
      </c>
      <c r="C42">
        <v>14520</v>
      </c>
      <c r="D42">
        <v>24</v>
      </c>
      <c r="E42" s="2">
        <v>2.11970303085171E-5</v>
      </c>
      <c r="F42">
        <v>2.9887812735009201E-3</v>
      </c>
      <c r="G42" t="s">
        <v>4323</v>
      </c>
    </row>
    <row r="43" spans="1:7" x14ac:dyDescent="0.25">
      <c r="A43" s="4" t="str">
        <f>HYPERLINK("http://amigo.geneontology.org/cgi-bin/amigo/term-details.cgi?term=GO:1901265","GO:1901265")</f>
        <v>GO:1901265</v>
      </c>
      <c r="B43" t="s">
        <v>886</v>
      </c>
      <c r="C43">
        <v>13982</v>
      </c>
      <c r="D43">
        <v>23</v>
      </c>
      <c r="E43" s="2">
        <v>3.8201003824818902E-5</v>
      </c>
      <c r="F43">
        <v>5.0425325048760999E-3</v>
      </c>
      <c r="G43" t="s">
        <v>4322</v>
      </c>
    </row>
    <row r="44" spans="1:7" x14ac:dyDescent="0.25">
      <c r="A44" s="4" t="str">
        <f>HYPERLINK("http://amigo.geneontology.org/cgi-bin/amigo/term-details.cgi?term=GO:0000166","GO:0000166")</f>
        <v>GO:0000166</v>
      </c>
      <c r="B44" t="s">
        <v>315</v>
      </c>
      <c r="C44">
        <v>13982</v>
      </c>
      <c r="D44">
        <v>23</v>
      </c>
      <c r="E44" s="2">
        <v>3.8201003824818902E-5</v>
      </c>
      <c r="F44">
        <v>5.1953365201753803E-3</v>
      </c>
      <c r="G44" t="s">
        <v>4322</v>
      </c>
    </row>
    <row r="45" spans="1:7" x14ac:dyDescent="0.25">
      <c r="A45" s="4" t="str">
        <f>HYPERLINK("http://amigo.geneontology.org/cgi-bin/amigo/term-details.cgi?term=GO:1901363","GO:1901363")</f>
        <v>GO:1901363</v>
      </c>
      <c r="B45" t="s">
        <v>4326</v>
      </c>
      <c r="C45">
        <v>27353</v>
      </c>
      <c r="D45">
        <v>34</v>
      </c>
      <c r="E45" s="2">
        <v>6.2318109372514404E-5</v>
      </c>
      <c r="F45">
        <v>8.0390361090543604E-3</v>
      </c>
      <c r="G45" t="s">
        <v>4327</v>
      </c>
    </row>
    <row r="46" spans="1:7" x14ac:dyDescent="0.25">
      <c r="A46" s="4" t="str">
        <f>HYPERLINK("http://amigo.geneontology.org/cgi-bin/amigo/term-details.cgi?term=GO:0097159","GO:0097159")</f>
        <v>GO:0097159</v>
      </c>
      <c r="B46" t="s">
        <v>4328</v>
      </c>
      <c r="C46">
        <v>27356</v>
      </c>
      <c r="D46">
        <v>34</v>
      </c>
      <c r="E46" s="2">
        <v>6.2476603040300898E-5</v>
      </c>
      <c r="F46">
        <v>7.8095753800376099E-3</v>
      </c>
      <c r="G46" t="s">
        <v>4327</v>
      </c>
    </row>
    <row r="47" spans="1:7" x14ac:dyDescent="0.25">
      <c r="A47" s="4" t="str">
        <f>HYPERLINK("http://amigo.geneontology.org/cgi-bin/amigo/term-details.cgi?term=GO:1901564","GO:1901564")</f>
        <v>GO:1901564</v>
      </c>
      <c r="B47" t="s">
        <v>899</v>
      </c>
      <c r="C47">
        <v>15243</v>
      </c>
      <c r="D47">
        <v>23</v>
      </c>
      <c r="E47" s="2">
        <v>1.52749614033133E-4</v>
      </c>
      <c r="F47">
        <v>1.86354529120423E-2</v>
      </c>
      <c r="G47" t="s">
        <v>4325</v>
      </c>
    </row>
    <row r="48" spans="1:7" x14ac:dyDescent="0.25">
      <c r="A48" s="4" t="str">
        <f>HYPERLINK("http://amigo.geneontology.org/cgi-bin/amigo/term-details.cgi?term=GO:0044260","GO:0044260")</f>
        <v>GO:0044260</v>
      </c>
      <c r="B48" t="s">
        <v>276</v>
      </c>
      <c r="C48">
        <v>15411</v>
      </c>
      <c r="D48">
        <v>23</v>
      </c>
      <c r="E48" s="2">
        <v>1.81308641988464E-4</v>
      </c>
      <c r="F48">
        <v>2.13944197546387E-2</v>
      </c>
      <c r="G48" t="s">
        <v>4329</v>
      </c>
    </row>
    <row r="49" spans="1:7" x14ac:dyDescent="0.25">
      <c r="A49" s="4" t="str">
        <f>HYPERLINK("http://amigo.geneontology.org/cgi-bin/amigo/term-details.cgi?term=GO:0043170","GO:0043170")</f>
        <v>GO:0043170</v>
      </c>
      <c r="B49" t="s">
        <v>884</v>
      </c>
      <c r="C49">
        <v>17684</v>
      </c>
      <c r="D49">
        <v>24</v>
      </c>
      <c r="E49" s="2">
        <v>5.3931533293245402E-4</v>
      </c>
      <c r="F49">
        <v>6.2021263287232203E-2</v>
      </c>
      <c r="G49" t="s">
        <v>4330</v>
      </c>
    </row>
    <row r="50" spans="1:7" x14ac:dyDescent="0.25">
      <c r="A50" s="4" t="str">
        <f>HYPERLINK("http://amigo.geneontology.org/cgi-bin/amigo/term-details.cgi?term=GO:0043167","GO:0043167")</f>
        <v>GO:0043167</v>
      </c>
      <c r="B50" t="s">
        <v>953</v>
      </c>
      <c r="C50">
        <v>24009</v>
      </c>
      <c r="D50">
        <v>29</v>
      </c>
      <c r="E50" s="2">
        <v>7.0896799645249703E-4</v>
      </c>
      <c r="F50">
        <v>7.9404415602679607E-2</v>
      </c>
      <c r="G50" t="s">
        <v>4331</v>
      </c>
    </row>
    <row r="51" spans="1:7" x14ac:dyDescent="0.25">
      <c r="A51" s="4" t="str">
        <f>HYPERLINK("http://amigo.geneontology.org/cgi-bin/amigo/term-details.cgi?term=GO:0022414","GO:0022414")</f>
        <v>GO:0022414</v>
      </c>
      <c r="B51" t="s">
        <v>933</v>
      </c>
      <c r="C51">
        <v>1818</v>
      </c>
      <c r="D51">
        <v>6</v>
      </c>
      <c r="E51">
        <v>1.8456011826790901E-3</v>
      </c>
      <c r="F51">
        <v>0.20301613009469899</v>
      </c>
      <c r="G51" t="s">
        <v>4324</v>
      </c>
    </row>
    <row r="52" spans="1:7" x14ac:dyDescent="0.25">
      <c r="A52" s="4" t="str">
        <f>HYPERLINK("http://amigo.geneontology.org/cgi-bin/amigo/term-details.cgi?term=GO:0030246","GO:0030246")</f>
        <v>GO:0030246</v>
      </c>
      <c r="B52" t="s">
        <v>948</v>
      </c>
      <c r="C52">
        <v>1249</v>
      </c>
      <c r="D52">
        <v>5</v>
      </c>
      <c r="E52">
        <v>1.9722133863991501E-3</v>
      </c>
      <c r="F52">
        <v>0.21102683234470901</v>
      </c>
      <c r="G52" t="s">
        <v>4332</v>
      </c>
    </row>
    <row r="53" spans="1:7" x14ac:dyDescent="0.25">
      <c r="A53" s="4" t="str">
        <f>HYPERLINK("http://amigo.geneontology.org/cgi-bin/amigo/term-details.cgi?term=GO:0006807","GO:0006807")</f>
        <v>GO:0006807</v>
      </c>
      <c r="B53" t="s">
        <v>911</v>
      </c>
      <c r="C53">
        <v>19671</v>
      </c>
      <c r="D53">
        <v>24</v>
      </c>
      <c r="E53">
        <v>2.6284493017427299E-3</v>
      </c>
      <c r="F53">
        <v>0.275987176682987</v>
      </c>
      <c r="G53" t="s">
        <v>4330</v>
      </c>
    </row>
    <row r="54" spans="1:7" x14ac:dyDescent="0.25">
      <c r="A54" s="4" t="str">
        <f>HYPERLINK("http://amigo.geneontology.org/cgi-bin/amigo/term-details.cgi?term=GO:0007154","GO:0007154")</f>
        <v>GO:0007154</v>
      </c>
      <c r="B54" t="s">
        <v>920</v>
      </c>
      <c r="C54">
        <v>2132</v>
      </c>
      <c r="D54">
        <v>6</v>
      </c>
      <c r="E54">
        <v>4.0527424291754597E-3</v>
      </c>
      <c r="F54">
        <v>0.41337972777589599</v>
      </c>
      <c r="G54" t="s">
        <v>4324</v>
      </c>
    </row>
    <row r="55" spans="1:7" x14ac:dyDescent="0.25">
      <c r="A55" s="4" t="str">
        <f>HYPERLINK("http://amigo.geneontology.org/cgi-bin/amigo/term-details.cgi?term=GO:0044238","GO:0044238")</f>
        <v>GO:0044238</v>
      </c>
      <c r="B55" t="s">
        <v>900</v>
      </c>
      <c r="C55">
        <v>23288</v>
      </c>
      <c r="D55">
        <v>26</v>
      </c>
      <c r="E55">
        <v>5.7354020178986501E-3</v>
      </c>
      <c r="F55">
        <v>0.57354020178986498</v>
      </c>
      <c r="G55" t="s">
        <v>4333</v>
      </c>
    </row>
    <row r="56" spans="1:7" x14ac:dyDescent="0.25">
      <c r="A56" s="4" t="str">
        <f>HYPERLINK("http://amigo.geneontology.org/cgi-bin/amigo/term-details.cgi?term=GO:0004163","GO:0004163")</f>
        <v>GO:0004163</v>
      </c>
      <c r="B56" t="s">
        <v>4334</v>
      </c>
      <c r="C56">
        <v>10</v>
      </c>
      <c r="D56">
        <v>1</v>
      </c>
      <c r="E56">
        <v>7.1130816165092901E-3</v>
      </c>
      <c r="F56">
        <v>0.68285583518489201</v>
      </c>
      <c r="G56" t="s">
        <v>4335</v>
      </c>
    </row>
    <row r="57" spans="1:7" x14ac:dyDescent="0.25">
      <c r="A57" s="4" t="str">
        <f>HYPERLINK("http://amigo.geneontology.org/cgi-bin/amigo/term-details.cgi?term=GO:0019287","GO:0019287")</f>
        <v>GO:0019287</v>
      </c>
      <c r="B57" t="s">
        <v>4336</v>
      </c>
      <c r="C57">
        <v>10</v>
      </c>
      <c r="D57">
        <v>1</v>
      </c>
      <c r="E57">
        <v>7.1130816165092901E-3</v>
      </c>
      <c r="F57">
        <v>0.69708199841790996</v>
      </c>
      <c r="G57" t="s">
        <v>4335</v>
      </c>
    </row>
    <row r="58" spans="1:7" x14ac:dyDescent="0.25">
      <c r="A58" s="4" t="str">
        <f>HYPERLINK("http://amigo.geneontology.org/cgi-bin/amigo/term-details.cgi?term=GO:0044237","GO:0044237")</f>
        <v>GO:0044237</v>
      </c>
      <c r="B58" t="s">
        <v>895</v>
      </c>
      <c r="C58">
        <v>21432</v>
      </c>
      <c r="D58">
        <v>24</v>
      </c>
      <c r="E58">
        <v>8.5094223130872202E-3</v>
      </c>
      <c r="F58">
        <v>0.79988569743019799</v>
      </c>
      <c r="G58" t="s">
        <v>4337</v>
      </c>
    </row>
    <row r="59" spans="1:7" x14ac:dyDescent="0.25">
      <c r="A59" s="4" t="str">
        <f>HYPERLINK("http://amigo.geneontology.org/cgi-bin/amigo/term-details.cgi?term=GO:0020037","GO:0020037")</f>
        <v>GO:0020037</v>
      </c>
      <c r="B59" t="s">
        <v>4338</v>
      </c>
      <c r="C59">
        <v>2527</v>
      </c>
      <c r="D59">
        <v>6</v>
      </c>
      <c r="E59">
        <v>9.0799596663442197E-3</v>
      </c>
      <c r="F59">
        <v>0.83535628930366801</v>
      </c>
      <c r="G59" t="s">
        <v>4339</v>
      </c>
    </row>
    <row r="60" spans="1:7" x14ac:dyDescent="0.25">
      <c r="A60" s="4" t="str">
        <f>HYPERLINK("http://amigo.geneontology.org/cgi-bin/amigo/term-details.cgi?term=GO:0006850","GO:0006850")</f>
        <v>GO:0006850</v>
      </c>
      <c r="B60" t="s">
        <v>4340</v>
      </c>
      <c r="C60">
        <v>15</v>
      </c>
      <c r="D60">
        <v>1</v>
      </c>
      <c r="E60">
        <v>1.0650970167854001E-2</v>
      </c>
      <c r="F60">
        <v>0.95858731510686401</v>
      </c>
      <c r="G60" t="s">
        <v>4341</v>
      </c>
    </row>
    <row r="61" spans="1:7" x14ac:dyDescent="0.25">
      <c r="A61" s="4" t="str">
        <f>HYPERLINK("http://amigo.geneontology.org/cgi-bin/amigo/term-details.cgi?term=GO:0046906","GO:0046906")</f>
        <v>GO:0046906</v>
      </c>
      <c r="B61" t="s">
        <v>4342</v>
      </c>
      <c r="C61">
        <v>2625</v>
      </c>
      <c r="D61">
        <v>6</v>
      </c>
      <c r="E61">
        <v>1.08209455706082E-2</v>
      </c>
      <c r="F61">
        <v>0.95224321021352798</v>
      </c>
      <c r="G61" t="s">
        <v>4339</v>
      </c>
    </row>
    <row r="62" spans="1:7" x14ac:dyDescent="0.25">
      <c r="A62" s="4" t="str">
        <f>HYPERLINK("http://amigo.geneontology.org/cgi-bin/amigo/term-details.cgi?term=GO:0071704","GO:0071704")</f>
        <v>GO:0071704</v>
      </c>
      <c r="B62" t="s">
        <v>905</v>
      </c>
      <c r="C62">
        <v>24369</v>
      </c>
      <c r="D62">
        <v>26</v>
      </c>
      <c r="E62">
        <v>1.0900828054298701E-2</v>
      </c>
      <c r="F62">
        <v>0.93747121266969002</v>
      </c>
      <c r="G62" t="s">
        <v>4333</v>
      </c>
    </row>
    <row r="63" spans="1:7" x14ac:dyDescent="0.25">
      <c r="A63" s="4" t="str">
        <f>HYPERLINK("http://amigo.geneontology.org/cgi-bin/amigo/term-details.cgi?term=GO:0006848","GO:0006848")</f>
        <v>GO:0006848</v>
      </c>
      <c r="B63" t="s">
        <v>4343</v>
      </c>
      <c r="C63">
        <v>17</v>
      </c>
      <c r="D63">
        <v>1</v>
      </c>
      <c r="E63">
        <v>1.2062657388407699E-2</v>
      </c>
      <c r="F63">
        <v>1</v>
      </c>
      <c r="G63" t="s">
        <v>4341</v>
      </c>
    </row>
    <row r="64" spans="1:7" x14ac:dyDescent="0.25">
      <c r="A64" s="4" t="str">
        <f>HYPERLINK("http://amigo.geneontology.org/cgi-bin/amigo/term-details.cgi?term=GO:1901475","GO:1901475")</f>
        <v>GO:1901475</v>
      </c>
      <c r="B64" t="s">
        <v>4344</v>
      </c>
      <c r="C64">
        <v>17</v>
      </c>
      <c r="D64">
        <v>1</v>
      </c>
      <c r="E64">
        <v>1.2062657388407699E-2</v>
      </c>
      <c r="F64">
        <v>1</v>
      </c>
      <c r="G64" t="s">
        <v>4341</v>
      </c>
    </row>
    <row r="65" spans="1:7" x14ac:dyDescent="0.25">
      <c r="A65" s="4" t="str">
        <f>HYPERLINK("http://amigo.geneontology.org/cgi-bin/amigo/term-details.cgi?term=GO:0015804","GO:0015804")</f>
        <v>GO:0015804</v>
      </c>
      <c r="B65" t="s">
        <v>1874</v>
      </c>
      <c r="C65">
        <v>18</v>
      </c>
      <c r="D65">
        <v>1</v>
      </c>
      <c r="E65">
        <v>1.2767759173406E-2</v>
      </c>
      <c r="F65">
        <v>1</v>
      </c>
      <c r="G65" t="s">
        <v>2</v>
      </c>
    </row>
    <row r="66" spans="1:7" x14ac:dyDescent="0.25">
      <c r="A66" s="4" t="str">
        <f>HYPERLINK("http://amigo.geneontology.org/cgi-bin/amigo/term-details.cgi?term=GO:0015824","GO:0015824")</f>
        <v>GO:0015824</v>
      </c>
      <c r="B66" t="s">
        <v>1873</v>
      </c>
      <c r="C66">
        <v>18</v>
      </c>
      <c r="D66">
        <v>1</v>
      </c>
      <c r="E66">
        <v>1.2767759173406E-2</v>
      </c>
      <c r="F66">
        <v>1</v>
      </c>
      <c r="G66" t="s">
        <v>2</v>
      </c>
    </row>
    <row r="67" spans="1:7" x14ac:dyDescent="0.25">
      <c r="A67" s="4" t="str">
        <f>HYPERLINK("http://amigo.geneontology.org/cgi-bin/amigo/term-details.cgi?term=GO:0015849","GO:0015849")</f>
        <v>GO:0015849</v>
      </c>
      <c r="B67" t="s">
        <v>149</v>
      </c>
      <c r="C67">
        <v>245</v>
      </c>
      <c r="D67">
        <v>2</v>
      </c>
      <c r="E67">
        <v>1.3375464596688501E-2</v>
      </c>
      <c r="F67">
        <v>1</v>
      </c>
      <c r="G67" t="s">
        <v>4345</v>
      </c>
    </row>
    <row r="68" spans="1:7" x14ac:dyDescent="0.25">
      <c r="A68" s="4" t="str">
        <f>HYPERLINK("http://amigo.geneontology.org/cgi-bin/amigo/term-details.cgi?term=GO:0046942","GO:0046942")</f>
        <v>GO:0046942</v>
      </c>
      <c r="B68" t="s">
        <v>2053</v>
      </c>
      <c r="C68">
        <v>245</v>
      </c>
      <c r="D68">
        <v>2</v>
      </c>
      <c r="E68">
        <v>1.3375464596688501E-2</v>
      </c>
      <c r="F68">
        <v>1</v>
      </c>
      <c r="G68" t="s">
        <v>4345</v>
      </c>
    </row>
    <row r="69" spans="1:7" x14ac:dyDescent="0.25">
      <c r="A69" s="4" t="str">
        <f>HYPERLINK("http://amigo.geneontology.org/cgi-bin/amigo/term-details.cgi?term=GO:0015711","GO:0015711")</f>
        <v>GO:0015711</v>
      </c>
      <c r="B69" t="s">
        <v>2176</v>
      </c>
      <c r="C69">
        <v>296</v>
      </c>
      <c r="D69">
        <v>2</v>
      </c>
      <c r="E69">
        <v>1.9091642127342601E-2</v>
      </c>
      <c r="F69">
        <v>1</v>
      </c>
      <c r="G69" t="s">
        <v>4345</v>
      </c>
    </row>
    <row r="70" spans="1:7" x14ac:dyDescent="0.25">
      <c r="A70" s="4" t="str">
        <f>HYPERLINK("http://amigo.geneontology.org/cgi-bin/amigo/term-details.cgi?term=GO:0004601","GO:0004601")</f>
        <v>GO:0004601</v>
      </c>
      <c r="B70" t="s">
        <v>4346</v>
      </c>
      <c r="C70">
        <v>798</v>
      </c>
      <c r="D70">
        <v>3</v>
      </c>
      <c r="E70">
        <v>1.9473284509007802E-2</v>
      </c>
      <c r="F70">
        <v>1</v>
      </c>
      <c r="G70" t="s">
        <v>4347</v>
      </c>
    </row>
    <row r="71" spans="1:7" x14ac:dyDescent="0.25">
      <c r="A71" s="4" t="str">
        <f>HYPERLINK("http://amigo.geneontology.org/cgi-bin/amigo/term-details.cgi?term=GO:0016684","GO:0016684")</f>
        <v>GO:0016684</v>
      </c>
      <c r="B71" t="s">
        <v>4348</v>
      </c>
      <c r="C71">
        <v>799</v>
      </c>
      <c r="D71">
        <v>3</v>
      </c>
      <c r="E71">
        <v>1.9536986509119E-2</v>
      </c>
      <c r="F71">
        <v>1</v>
      </c>
      <c r="G71" t="s">
        <v>4347</v>
      </c>
    </row>
    <row r="72" spans="1:7" x14ac:dyDescent="0.25">
      <c r="A72" s="4" t="str">
        <f>HYPERLINK("http://amigo.geneontology.org/cgi-bin/amigo/term-details.cgi?term=GO:1990542","GO:1990542")</f>
        <v>GO:1990542</v>
      </c>
      <c r="B72" t="s">
        <v>4349</v>
      </c>
      <c r="C72">
        <v>35</v>
      </c>
      <c r="D72">
        <v>1</v>
      </c>
      <c r="E72">
        <v>2.4679169516903E-2</v>
      </c>
      <c r="F72">
        <v>1</v>
      </c>
      <c r="G72" t="s">
        <v>4341</v>
      </c>
    </row>
    <row r="73" spans="1:7" x14ac:dyDescent="0.25">
      <c r="A73" s="4" t="str">
        <f>HYPERLINK("http://amigo.geneontology.org/cgi-bin/amigo/term-details.cgi?term=GO:0006979","GO:0006979")</f>
        <v>GO:0006979</v>
      </c>
      <c r="B73" t="s">
        <v>4350</v>
      </c>
      <c r="C73">
        <v>985</v>
      </c>
      <c r="D73">
        <v>3</v>
      </c>
      <c r="E73">
        <v>3.3410870605317201E-2</v>
      </c>
      <c r="F73">
        <v>1</v>
      </c>
      <c r="G73" t="s">
        <v>4347</v>
      </c>
    </row>
    <row r="74" spans="1:7" x14ac:dyDescent="0.25">
      <c r="A74" s="4" t="str">
        <f>HYPERLINK("http://amigo.geneontology.org/cgi-bin/amigo/term-details.cgi?term=GO:0035335","GO:0035335")</f>
        <v>GO:0035335</v>
      </c>
      <c r="B74" t="s">
        <v>4351</v>
      </c>
      <c r="C74">
        <v>48</v>
      </c>
      <c r="D74">
        <v>1</v>
      </c>
      <c r="E74">
        <v>3.3692578657142903E-2</v>
      </c>
      <c r="F74">
        <v>1</v>
      </c>
      <c r="G74" t="s">
        <v>4352</v>
      </c>
    </row>
    <row r="75" spans="1:7" x14ac:dyDescent="0.25">
      <c r="A75" s="4" t="str">
        <f>HYPERLINK("http://amigo.geneontology.org/cgi-bin/amigo/term-details.cgi?term=GO:0015718","GO:0015718")</f>
        <v>GO:0015718</v>
      </c>
      <c r="B75" t="s">
        <v>4353</v>
      </c>
      <c r="C75">
        <v>52</v>
      </c>
      <c r="D75">
        <v>1</v>
      </c>
      <c r="E75">
        <v>3.6449445260163402E-2</v>
      </c>
      <c r="F75">
        <v>1</v>
      </c>
      <c r="G75" t="s">
        <v>4341</v>
      </c>
    </row>
    <row r="76" spans="1:7" x14ac:dyDescent="0.25">
      <c r="A76" s="4" t="str">
        <f>HYPERLINK("http://amigo.geneontology.org/cgi-bin/amigo/term-details.cgi?term=GO:0006084","GO:0006084")</f>
        <v>GO:0006084</v>
      </c>
      <c r="B76" t="s">
        <v>3342</v>
      </c>
      <c r="C76">
        <v>62</v>
      </c>
      <c r="D76">
        <v>1</v>
      </c>
      <c r="E76">
        <v>4.3307871329560398E-2</v>
      </c>
      <c r="F76">
        <v>1</v>
      </c>
      <c r="G76" t="s">
        <v>4335</v>
      </c>
    </row>
    <row r="77" spans="1:7" x14ac:dyDescent="0.25">
      <c r="A77" s="4" t="str">
        <f>HYPERLINK("http://amigo.geneontology.org/cgi-bin/amigo/term-details.cgi?term=GO:0035383","GO:0035383")</f>
        <v>GO:0035383</v>
      </c>
      <c r="B77" t="s">
        <v>3291</v>
      </c>
      <c r="C77">
        <v>69</v>
      </c>
      <c r="D77">
        <v>1</v>
      </c>
      <c r="E77">
        <v>4.8080228060239802E-2</v>
      </c>
      <c r="F77">
        <v>1</v>
      </c>
      <c r="G77" t="s">
        <v>4335</v>
      </c>
    </row>
    <row r="78" spans="1:7" x14ac:dyDescent="0.25">
      <c r="A78" s="4" t="str">
        <f>HYPERLINK("http://amigo.geneontology.org/cgi-bin/amigo/term-details.cgi?term=GO:0006637","GO:0006637")</f>
        <v>GO:0006637</v>
      </c>
      <c r="B78" t="s">
        <v>3290</v>
      </c>
      <c r="C78">
        <v>69</v>
      </c>
      <c r="D78">
        <v>1</v>
      </c>
      <c r="E78">
        <v>4.8080228060239802E-2</v>
      </c>
      <c r="F78">
        <v>1</v>
      </c>
      <c r="G78" t="s">
        <v>4335</v>
      </c>
    </row>
    <row r="79" spans="1:7" x14ac:dyDescent="0.25">
      <c r="A79" s="4" t="str">
        <f>HYPERLINK("http://amigo.geneontology.org/cgi-bin/amigo/term-details.cgi?term=GO:0004725","GO:0004725")</f>
        <v>GO:0004725</v>
      </c>
      <c r="B79" t="s">
        <v>4354</v>
      </c>
      <c r="C79">
        <v>70</v>
      </c>
      <c r="D79">
        <v>1</v>
      </c>
      <c r="E79">
        <v>4.8760082458887501E-2</v>
      </c>
      <c r="F79">
        <v>1</v>
      </c>
      <c r="G79" t="s">
        <v>4352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2"/>
  <sheetViews>
    <sheetView workbookViewId="0">
      <pane xSplit="5" ySplit="10" topLeftCell="F224" activePane="bottomRight" state="frozen"/>
      <selection pane="topRight" activeCell="F1" sqref="F1"/>
      <selection pane="bottomLeft" activeCell="A11" sqref="A11"/>
      <selection pane="bottomRight" activeCell="A241" sqref="A241"/>
    </sheetView>
  </sheetViews>
  <sheetFormatPr defaultRowHeight="15" x14ac:dyDescent="0.25"/>
  <cols>
    <col min="1" max="1" width="14.5703125" customWidth="1"/>
    <col min="2" max="2" width="38.5703125" customWidth="1"/>
  </cols>
  <sheetData>
    <row r="1" spans="1:7" x14ac:dyDescent="0.25">
      <c r="A1" t="s">
        <v>392</v>
      </c>
      <c r="B1">
        <v>1233</v>
      </c>
    </row>
    <row r="2" spans="1:7" x14ac:dyDescent="0.25">
      <c r="A2" t="s">
        <v>391</v>
      </c>
      <c r="B2">
        <v>77079</v>
      </c>
    </row>
    <row r="3" spans="1:7" x14ac:dyDescent="0.25">
      <c r="A3" t="s">
        <v>390</v>
      </c>
      <c r="B3" t="s">
        <v>389</v>
      </c>
    </row>
    <row r="4" spans="1:7" x14ac:dyDescent="0.25">
      <c r="A4" t="s">
        <v>388</v>
      </c>
      <c r="B4" t="s">
        <v>387</v>
      </c>
    </row>
    <row r="5" spans="1:7" x14ac:dyDescent="0.25">
      <c r="A5" t="s">
        <v>386</v>
      </c>
      <c r="B5" t="s">
        <v>385</v>
      </c>
    </row>
    <row r="6" spans="1:7" x14ac:dyDescent="0.25">
      <c r="A6" t="s">
        <v>384</v>
      </c>
      <c r="B6" t="s">
        <v>383</v>
      </c>
    </row>
    <row r="7" spans="1:7" x14ac:dyDescent="0.25">
      <c r="A7" t="s">
        <v>382</v>
      </c>
      <c r="B7" t="s">
        <v>381</v>
      </c>
    </row>
    <row r="8" spans="1:7" x14ac:dyDescent="0.25">
      <c r="A8" t="s">
        <v>380</v>
      </c>
      <c r="B8">
        <v>3</v>
      </c>
    </row>
    <row r="10" spans="1:7" x14ac:dyDescent="0.25">
      <c r="A10" t="s">
        <v>379</v>
      </c>
      <c r="B10" t="s">
        <v>378</v>
      </c>
      <c r="C10" t="s">
        <v>377</v>
      </c>
      <c r="D10" t="s">
        <v>376</v>
      </c>
      <c r="E10" t="s">
        <v>375</v>
      </c>
      <c r="F10" t="s">
        <v>374</v>
      </c>
      <c r="G10" t="s">
        <v>373</v>
      </c>
    </row>
    <row r="11" spans="1:7" x14ac:dyDescent="0.25">
      <c r="A11" s="4" t="str">
        <f>HYPERLINK("http://amigo.geneontology.org/cgi-bin/amigo/term-details.cgi?term=GO:0003700","GO:0003700")</f>
        <v>GO:0003700</v>
      </c>
      <c r="B11" t="s">
        <v>2289</v>
      </c>
      <c r="C11">
        <v>2075</v>
      </c>
      <c r="D11">
        <v>75</v>
      </c>
      <c r="E11" s="2">
        <v>1.01295309772742E-10</v>
      </c>
      <c r="F11" s="2">
        <v>4.5734832362393099E-7</v>
      </c>
      <c r="G11" t="s">
        <v>4443</v>
      </c>
    </row>
    <row r="12" spans="1:7" x14ac:dyDescent="0.25">
      <c r="A12" s="4" t="str">
        <f>HYPERLINK("http://amigo.geneontology.org/cgi-bin/amigo/term-details.cgi?term=GO:0043565","GO:0043565")</f>
        <v>GO:0043565</v>
      </c>
      <c r="B12" t="s">
        <v>364</v>
      </c>
      <c r="C12">
        <v>1091</v>
      </c>
      <c r="D12">
        <v>46</v>
      </c>
      <c r="E12" s="2">
        <v>4.9374736139338502E-9</v>
      </c>
      <c r="F12" s="2">
        <v>1.11438779466487E-5</v>
      </c>
      <c r="G12" t="s">
        <v>4444</v>
      </c>
    </row>
    <row r="13" spans="1:7" x14ac:dyDescent="0.25">
      <c r="A13" s="4" t="str">
        <f>HYPERLINK("http://amigo.geneontology.org/cgi-bin/amigo/term-details.cgi?term=GO:0015706","GO:0015706")</f>
        <v>GO:0015706</v>
      </c>
      <c r="B13" t="s">
        <v>228</v>
      </c>
      <c r="C13">
        <v>55</v>
      </c>
      <c r="D13">
        <v>9</v>
      </c>
      <c r="E13" s="2">
        <v>2.1897006781342301E-7</v>
      </c>
      <c r="F13" s="2">
        <v>3.2954995205920198E-4</v>
      </c>
      <c r="G13" t="s">
        <v>4445</v>
      </c>
    </row>
    <row r="14" spans="1:7" x14ac:dyDescent="0.25">
      <c r="A14" s="4" t="str">
        <f>HYPERLINK("http://amigo.geneontology.org/cgi-bin/amigo/term-details.cgi?term=GO:0010167","GO:0010167")</f>
        <v>GO:0010167</v>
      </c>
      <c r="B14" t="s">
        <v>229</v>
      </c>
      <c r="C14">
        <v>44</v>
      </c>
      <c r="D14">
        <v>8</v>
      </c>
      <c r="E14" s="2">
        <v>4.4590650628036598E-7</v>
      </c>
      <c r="F14" s="2">
        <v>5.0298253908425295E-4</v>
      </c>
      <c r="G14" t="s">
        <v>4446</v>
      </c>
    </row>
    <row r="15" spans="1:7" x14ac:dyDescent="0.25">
      <c r="A15" s="4" t="str">
        <f>HYPERLINK("http://amigo.geneontology.org/cgi-bin/amigo/term-details.cgi?term=GO:0005509","GO:0005509")</f>
        <v>GO:0005509</v>
      </c>
      <c r="B15" t="s">
        <v>243</v>
      </c>
      <c r="C15">
        <v>1211</v>
      </c>
      <c r="D15">
        <v>44</v>
      </c>
      <c r="E15" s="2">
        <v>6.5768020054747502E-7</v>
      </c>
      <c r="F15" s="2">
        <v>5.9388522109436997E-4</v>
      </c>
      <c r="G15" t="s">
        <v>4447</v>
      </c>
    </row>
    <row r="16" spans="1:7" x14ac:dyDescent="0.25">
      <c r="A16" s="4" t="str">
        <f>HYPERLINK("http://amigo.geneontology.org/cgi-bin/amigo/term-details.cgi?term=GO:0046499","GO:0046499")</f>
        <v>GO:0046499</v>
      </c>
      <c r="B16" t="s">
        <v>4448</v>
      </c>
      <c r="C16">
        <v>8</v>
      </c>
      <c r="D16">
        <v>4</v>
      </c>
      <c r="E16" s="2">
        <v>4.3335080227275502E-6</v>
      </c>
      <c r="F16">
        <v>2.7951126746592701E-3</v>
      </c>
      <c r="G16" t="s">
        <v>4449</v>
      </c>
    </row>
    <row r="17" spans="1:7" x14ac:dyDescent="0.25">
      <c r="A17" s="4" t="str">
        <f>HYPERLINK("http://amigo.geneontology.org/cgi-bin/amigo/term-details.cgi?term=GO:0006557","GO:0006557")</f>
        <v>GO:0006557</v>
      </c>
      <c r="B17" t="s">
        <v>4450</v>
      </c>
      <c r="C17">
        <v>8</v>
      </c>
      <c r="D17">
        <v>4</v>
      </c>
      <c r="E17" s="2">
        <v>4.3335080227275502E-6</v>
      </c>
      <c r="F17">
        <v>3.25879803309111E-3</v>
      </c>
      <c r="G17" t="s">
        <v>4449</v>
      </c>
    </row>
    <row r="18" spans="1:7" x14ac:dyDescent="0.25">
      <c r="A18" s="4" t="str">
        <f>HYPERLINK("http://amigo.geneontology.org/cgi-bin/amigo/term-details.cgi?term=GO:0004014","GO:0004014")</f>
        <v>GO:0004014</v>
      </c>
      <c r="B18" t="s">
        <v>4451</v>
      </c>
      <c r="C18">
        <v>12</v>
      </c>
      <c r="D18">
        <v>4</v>
      </c>
      <c r="E18" s="2">
        <v>2.9114520274788701E-5</v>
      </c>
      <c r="F18">
        <v>1.3130648643929699E-2</v>
      </c>
      <c r="G18" t="s">
        <v>4449</v>
      </c>
    </row>
    <row r="19" spans="1:7" x14ac:dyDescent="0.25">
      <c r="A19" s="4" t="str">
        <f>HYPERLINK("http://amigo.geneontology.org/cgi-bin/amigo/term-details.cgi?term=GO:0008215","GO:0008215")</f>
        <v>GO:0008215</v>
      </c>
      <c r="B19" t="s">
        <v>4452</v>
      </c>
      <c r="C19">
        <v>12</v>
      </c>
      <c r="D19">
        <v>4</v>
      </c>
      <c r="E19" s="2">
        <v>2.9114520274788701E-5</v>
      </c>
      <c r="F19">
        <v>1.4586374657669101E-2</v>
      </c>
      <c r="G19" t="s">
        <v>4449</v>
      </c>
    </row>
    <row r="20" spans="1:7" x14ac:dyDescent="0.25">
      <c r="A20" s="4" t="str">
        <f>HYPERLINK("http://amigo.geneontology.org/cgi-bin/amigo/term-details.cgi?term=GO:0006597","GO:0006597")</f>
        <v>GO:0006597</v>
      </c>
      <c r="B20" t="s">
        <v>4453</v>
      </c>
      <c r="C20">
        <v>12</v>
      </c>
      <c r="D20">
        <v>4</v>
      </c>
      <c r="E20" s="2">
        <v>2.9114520274788701E-5</v>
      </c>
      <c r="F20">
        <v>1.6420589434980801E-2</v>
      </c>
      <c r="G20" t="s">
        <v>4449</v>
      </c>
    </row>
    <row r="21" spans="1:7" x14ac:dyDescent="0.25">
      <c r="A21" s="4" t="str">
        <f>HYPERLINK("http://amigo.geneontology.org/cgi-bin/amigo/term-details.cgi?term=GO:0050794","GO:0050794")</f>
        <v>GO:0050794</v>
      </c>
      <c r="B21" t="s">
        <v>929</v>
      </c>
      <c r="C21">
        <v>7503</v>
      </c>
      <c r="D21">
        <v>163</v>
      </c>
      <c r="E21" s="2">
        <v>4.0695853198816498E-5</v>
      </c>
      <c r="F21">
        <v>1.66852998115147E-2</v>
      </c>
      <c r="G21" t="s">
        <v>4454</v>
      </c>
    </row>
    <row r="22" spans="1:7" x14ac:dyDescent="0.25">
      <c r="A22" s="4" t="str">
        <f>HYPERLINK("http://amigo.geneontology.org/cgi-bin/amigo/term-details.cgi?term=GO:1903506","GO:1903506")</f>
        <v>GO:1903506</v>
      </c>
      <c r="B22" t="s">
        <v>343</v>
      </c>
      <c r="C22">
        <v>4667</v>
      </c>
      <c r="D22">
        <v>109</v>
      </c>
      <c r="E22" s="2">
        <v>5.8960773089590003E-5</v>
      </c>
      <c r="F22">
        <v>2.0459388262087701E-2</v>
      </c>
      <c r="G22" t="s">
        <v>4455</v>
      </c>
    </row>
    <row r="23" spans="1:7" x14ac:dyDescent="0.25">
      <c r="A23" s="4" t="str">
        <f>HYPERLINK("http://amigo.geneontology.org/cgi-bin/amigo/term-details.cgi?term=GO:0006355","GO:0006355")</f>
        <v>GO:0006355</v>
      </c>
      <c r="B23" t="s">
        <v>342</v>
      </c>
      <c r="C23">
        <v>4667</v>
      </c>
      <c r="D23">
        <v>109</v>
      </c>
      <c r="E23" s="2">
        <v>5.8960773089590003E-5</v>
      </c>
      <c r="F23">
        <v>2.21692506816858E-2</v>
      </c>
      <c r="G23" t="s">
        <v>4455</v>
      </c>
    </row>
    <row r="24" spans="1:7" x14ac:dyDescent="0.25">
      <c r="A24" s="4" t="str">
        <f>HYPERLINK("http://amigo.geneontology.org/cgi-bin/amigo/term-details.cgi?term=GO:2001141","GO:2001141")</f>
        <v>GO:2001141</v>
      </c>
      <c r="B24" t="s">
        <v>344</v>
      </c>
      <c r="C24">
        <v>4679</v>
      </c>
      <c r="D24">
        <v>109</v>
      </c>
      <c r="E24" s="2">
        <v>6.5179882029491498E-5</v>
      </c>
      <c r="F24">
        <v>2.09879220134962E-2</v>
      </c>
      <c r="G24" t="s">
        <v>4455</v>
      </c>
    </row>
    <row r="25" spans="1:7" x14ac:dyDescent="0.25">
      <c r="A25" s="4" t="str">
        <f>HYPERLINK("http://amigo.geneontology.org/cgi-bin/amigo/term-details.cgi?term=GO:0033862","GO:0033862")</f>
        <v>GO:0033862</v>
      </c>
      <c r="B25" t="s">
        <v>4456</v>
      </c>
      <c r="C25">
        <v>6</v>
      </c>
      <c r="D25">
        <v>3</v>
      </c>
      <c r="E25" s="2">
        <v>7.8776234224785705E-5</v>
      </c>
      <c r="F25">
        <v>2.3711646501660501E-2</v>
      </c>
      <c r="G25" t="s">
        <v>4457</v>
      </c>
    </row>
    <row r="26" spans="1:7" x14ac:dyDescent="0.25">
      <c r="A26" s="4" t="str">
        <f>HYPERLINK("http://amigo.geneontology.org/cgi-bin/amigo/term-details.cgi?term=GO:0051252","GO:0051252")</f>
        <v>GO:0051252</v>
      </c>
      <c r="B26" t="s">
        <v>341</v>
      </c>
      <c r="C26">
        <v>4719</v>
      </c>
      <c r="D26">
        <v>109</v>
      </c>
      <c r="E26" s="2">
        <v>9.0565071950801597E-5</v>
      </c>
      <c r="F26">
        <v>2.5539350290125998E-2</v>
      </c>
      <c r="G26" t="s">
        <v>4455</v>
      </c>
    </row>
    <row r="27" spans="1:7" x14ac:dyDescent="0.25">
      <c r="A27" s="4" t="str">
        <f>HYPERLINK("http://amigo.geneontology.org/cgi-bin/amigo/term-details.cgi?term=GO:0031163","GO:0031163")</f>
        <v>GO:0031163</v>
      </c>
      <c r="B27" t="s">
        <v>219</v>
      </c>
      <c r="C27">
        <v>142</v>
      </c>
      <c r="D27">
        <v>10</v>
      </c>
      <c r="E27" s="2">
        <v>1.04862722518355E-4</v>
      </c>
      <c r="F27">
        <v>2.62156806295889E-2</v>
      </c>
      <c r="G27" t="s">
        <v>4458</v>
      </c>
    </row>
    <row r="28" spans="1:7" x14ac:dyDescent="0.25">
      <c r="A28" s="4" t="str">
        <f>HYPERLINK("http://amigo.geneontology.org/cgi-bin/amigo/term-details.cgi?term=GO:0016226","GO:0016226")</f>
        <v>GO:0016226</v>
      </c>
      <c r="B28" t="s">
        <v>218</v>
      </c>
      <c r="C28">
        <v>142</v>
      </c>
      <c r="D28">
        <v>10</v>
      </c>
      <c r="E28" s="2">
        <v>1.04862722518355E-4</v>
      </c>
      <c r="F28">
        <v>2.7788621467364199E-2</v>
      </c>
      <c r="G28" t="s">
        <v>4458</v>
      </c>
    </row>
    <row r="29" spans="1:7" x14ac:dyDescent="0.25">
      <c r="A29" s="4" t="str">
        <f>HYPERLINK("http://amigo.geneontology.org/cgi-bin/amigo/term-details.cgi?term=GO:0050789","GO:0050789")</f>
        <v>GO:0050789</v>
      </c>
      <c r="B29" t="s">
        <v>1992</v>
      </c>
      <c r="C29">
        <v>8097</v>
      </c>
      <c r="D29">
        <v>171</v>
      </c>
      <c r="E29" s="2">
        <v>1.1086045025951499E-4</v>
      </c>
      <c r="F29">
        <v>2.6273926711505101E-2</v>
      </c>
      <c r="G29" t="s">
        <v>4459</v>
      </c>
    </row>
    <row r="30" spans="1:7" x14ac:dyDescent="0.25">
      <c r="A30" s="4" t="str">
        <f>HYPERLINK("http://amigo.geneontology.org/cgi-bin/amigo/term-details.cgi?term=GO:0010035","GO:0010035")</f>
        <v>GO:0010035</v>
      </c>
      <c r="B30" t="s">
        <v>930</v>
      </c>
      <c r="C30">
        <v>479</v>
      </c>
      <c r="D30">
        <v>20</v>
      </c>
      <c r="E30" s="2">
        <v>1.17661445133251E-4</v>
      </c>
      <c r="F30">
        <v>2.64738251549816E-2</v>
      </c>
      <c r="G30" t="s">
        <v>4460</v>
      </c>
    </row>
    <row r="31" spans="1:7" x14ac:dyDescent="0.25">
      <c r="A31" s="4" t="str">
        <f>HYPERLINK("http://amigo.geneontology.org/cgi-bin/amigo/term-details.cgi?term=GO:0031326","GO:0031326")</f>
        <v>GO:0031326</v>
      </c>
      <c r="B31" t="s">
        <v>321</v>
      </c>
      <c r="C31">
        <v>4975</v>
      </c>
      <c r="D31">
        <v>113</v>
      </c>
      <c r="E31" s="2">
        <v>1.2938944586604999E-4</v>
      </c>
      <c r="F31">
        <v>2.7818730861200899E-2</v>
      </c>
      <c r="G31" t="s">
        <v>4461</v>
      </c>
    </row>
    <row r="32" spans="1:7" x14ac:dyDescent="0.25">
      <c r="A32" s="4" t="str">
        <f>HYPERLINK("http://amigo.geneontology.org/cgi-bin/amigo/term-details.cgi?term=GO:2000112","GO:2000112")</f>
        <v>GO:2000112</v>
      </c>
      <c r="B32" t="s">
        <v>320</v>
      </c>
      <c r="C32">
        <v>4936</v>
      </c>
      <c r="D32">
        <v>112</v>
      </c>
      <c r="E32" s="2">
        <v>1.44128521164803E-4</v>
      </c>
      <c r="F32">
        <v>2.9546346838784699E-2</v>
      </c>
      <c r="G32" t="s">
        <v>4462</v>
      </c>
    </row>
    <row r="33" spans="1:7" x14ac:dyDescent="0.25">
      <c r="A33" s="4" t="str">
        <f>HYPERLINK("http://amigo.geneontology.org/cgi-bin/amigo/term-details.cgi?term=GO:0009889","GO:0009889")</f>
        <v>GO:0009889</v>
      </c>
      <c r="B33" t="s">
        <v>944</v>
      </c>
      <c r="C33">
        <v>4992</v>
      </c>
      <c r="D33">
        <v>113</v>
      </c>
      <c r="E33" s="2">
        <v>1.4745259895150201E-4</v>
      </c>
      <c r="F33">
        <v>2.8900709394494399E-2</v>
      </c>
      <c r="G33" t="s">
        <v>4461</v>
      </c>
    </row>
    <row r="34" spans="1:7" x14ac:dyDescent="0.25">
      <c r="A34" s="4" t="str">
        <f>HYPERLINK("http://amigo.geneontology.org/cgi-bin/amigo/term-details.cgi?term=GO:0016298","GO:0016298")</f>
        <v>GO:0016298</v>
      </c>
      <c r="B34" t="s">
        <v>1466</v>
      </c>
      <c r="C34">
        <v>209</v>
      </c>
      <c r="D34">
        <v>12</v>
      </c>
      <c r="E34" s="2">
        <v>1.5761532686360701E-4</v>
      </c>
      <c r="F34">
        <v>2.9631681450358199E-2</v>
      </c>
      <c r="G34" t="s">
        <v>4463</v>
      </c>
    </row>
    <row r="35" spans="1:7" x14ac:dyDescent="0.25">
      <c r="A35" s="4" t="str">
        <f>HYPERLINK("http://amigo.geneontology.org/cgi-bin/amigo/term-details.cgi?term=GO:0010556","GO:0010556")</f>
        <v>GO:0010556</v>
      </c>
      <c r="B35" t="s">
        <v>322</v>
      </c>
      <c r="C35">
        <v>4948</v>
      </c>
      <c r="D35">
        <v>112</v>
      </c>
      <c r="E35" s="2">
        <v>1.58030569512193E-4</v>
      </c>
      <c r="F35">
        <v>2.8445502512194801E-2</v>
      </c>
      <c r="G35" t="s">
        <v>4462</v>
      </c>
    </row>
    <row r="36" spans="1:7" x14ac:dyDescent="0.25">
      <c r="A36" s="4" t="str">
        <f>HYPERLINK("http://amigo.geneontology.org/cgi-bin/amigo/term-details.cgi?term=GO:0019219","GO:0019219")</f>
        <v>GO:0019219</v>
      </c>
      <c r="B36" t="s">
        <v>338</v>
      </c>
      <c r="C36">
        <v>4838</v>
      </c>
      <c r="D36">
        <v>109</v>
      </c>
      <c r="E36" s="2">
        <v>2.29796771513201E-4</v>
      </c>
      <c r="F36">
        <v>3.9754841471783799E-2</v>
      </c>
      <c r="G36" t="s">
        <v>4455</v>
      </c>
    </row>
    <row r="37" spans="1:7" x14ac:dyDescent="0.25">
      <c r="A37" s="4" t="str">
        <f>HYPERLINK("http://amigo.geneontology.org/cgi-bin/amigo/term-details.cgi?term=GO:0031323","GO:0031323")</f>
        <v>GO:0031323</v>
      </c>
      <c r="B37" t="s">
        <v>940</v>
      </c>
      <c r="C37">
        <v>5266</v>
      </c>
      <c r="D37">
        <v>117</v>
      </c>
      <c r="E37" s="2">
        <v>2.3146492055655001E-4</v>
      </c>
      <c r="F37">
        <v>3.8654641732943799E-2</v>
      </c>
      <c r="G37" t="s">
        <v>4464</v>
      </c>
    </row>
    <row r="38" spans="1:7" x14ac:dyDescent="0.25">
      <c r="A38" s="4" t="str">
        <f>HYPERLINK("http://amigo.geneontology.org/cgi-bin/amigo/term-details.cgi?term=GO:0050200","GO:0050200")</f>
        <v>GO:0050200</v>
      </c>
      <c r="B38" t="s">
        <v>4465</v>
      </c>
      <c r="C38">
        <v>2</v>
      </c>
      <c r="D38">
        <v>2</v>
      </c>
      <c r="E38" s="2">
        <v>2.5568619228911999E-4</v>
      </c>
      <c r="F38">
        <v>4.1165476958548303E-2</v>
      </c>
      <c r="G38" t="s">
        <v>4466</v>
      </c>
    </row>
    <row r="39" spans="1:7" x14ac:dyDescent="0.25">
      <c r="A39" s="4" t="str">
        <f>HYPERLINK("http://amigo.geneontology.org/cgi-bin/amigo/term-details.cgi?term=GO:0004806","GO:0004806")</f>
        <v>GO:0004806</v>
      </c>
      <c r="B39" t="s">
        <v>1845</v>
      </c>
      <c r="C39">
        <v>80</v>
      </c>
      <c r="D39">
        <v>7</v>
      </c>
      <c r="E39" s="2">
        <v>3.0349152576910298E-4</v>
      </c>
      <c r="F39">
        <v>4.70411864942109E-2</v>
      </c>
      <c r="G39" t="s">
        <v>4467</v>
      </c>
    </row>
    <row r="40" spans="1:7" x14ac:dyDescent="0.25">
      <c r="A40" s="4" t="str">
        <f>HYPERLINK("http://amigo.geneontology.org/cgi-bin/amigo/term-details.cgi?term=GO:0051171","GO:0051171")</f>
        <v>GO:0051171</v>
      </c>
      <c r="B40" t="s">
        <v>942</v>
      </c>
      <c r="C40">
        <v>5167</v>
      </c>
      <c r="D40">
        <v>114</v>
      </c>
      <c r="E40" s="2">
        <v>3.6029174636039699E-4</v>
      </c>
      <c r="F40">
        <v>5.4043761954059598E-2</v>
      </c>
      <c r="G40" t="s">
        <v>4468</v>
      </c>
    </row>
    <row r="41" spans="1:7" x14ac:dyDescent="0.25">
      <c r="A41" s="4" t="str">
        <f>HYPERLINK("http://amigo.geneontology.org/cgi-bin/amigo/term-details.cgi?term=GO:0061919","GO:0061919")</f>
        <v>GO:0061919</v>
      </c>
      <c r="B41" t="s">
        <v>1524</v>
      </c>
      <c r="C41">
        <v>83</v>
      </c>
      <c r="D41">
        <v>7</v>
      </c>
      <c r="E41" s="2">
        <v>3.80604150383935E-4</v>
      </c>
      <c r="F41">
        <v>5.3665185204134901E-2</v>
      </c>
      <c r="G41" t="s">
        <v>4469</v>
      </c>
    </row>
    <row r="42" spans="1:7" x14ac:dyDescent="0.25">
      <c r="A42" s="4" t="str">
        <f>HYPERLINK("http://amigo.geneontology.org/cgi-bin/amigo/term-details.cgi?term=GO:0006914","GO:0006914")</f>
        <v>GO:0006914</v>
      </c>
      <c r="B42" t="s">
        <v>1523</v>
      </c>
      <c r="C42">
        <v>83</v>
      </c>
      <c r="D42">
        <v>7</v>
      </c>
      <c r="E42" s="2">
        <v>3.80604150383935E-4</v>
      </c>
      <c r="F42">
        <v>5.5187601805670602E-2</v>
      </c>
      <c r="G42" t="s">
        <v>4469</v>
      </c>
    </row>
    <row r="43" spans="1:7" x14ac:dyDescent="0.25">
      <c r="A43" s="4" t="str">
        <f>HYPERLINK("http://amigo.geneontology.org/cgi-bin/amigo/term-details.cgi?term=GO:0001101","GO:0001101")</f>
        <v>GO:0001101</v>
      </c>
      <c r="B43" t="s">
        <v>984</v>
      </c>
      <c r="C43">
        <v>529</v>
      </c>
      <c r="D43">
        <v>20</v>
      </c>
      <c r="E43" s="2">
        <v>4.2433568068115702E-4</v>
      </c>
      <c r="F43">
        <v>5.7709652572637403E-2</v>
      </c>
      <c r="G43" t="s">
        <v>4470</v>
      </c>
    </row>
    <row r="44" spans="1:7" x14ac:dyDescent="0.25">
      <c r="A44" s="4" t="str">
        <f>HYPERLINK("http://amigo.geneontology.org/cgi-bin/amigo/term-details.cgi?term=GO:0045330","GO:0045330")</f>
        <v>GO:0045330</v>
      </c>
      <c r="B44" t="s">
        <v>4471</v>
      </c>
      <c r="C44">
        <v>61</v>
      </c>
      <c r="D44">
        <v>6</v>
      </c>
      <c r="E44" s="2">
        <v>4.3436200553128901E-4</v>
      </c>
      <c r="F44">
        <v>5.73357847301302E-2</v>
      </c>
      <c r="G44" t="s">
        <v>4472</v>
      </c>
    </row>
    <row r="45" spans="1:7" x14ac:dyDescent="0.25">
      <c r="A45" s="4" t="str">
        <f>HYPERLINK("http://amigo.geneontology.org/cgi-bin/amigo/term-details.cgi?term=GO:0051346","GO:0051346")</f>
        <v>GO:0051346</v>
      </c>
      <c r="B45" t="s">
        <v>2130</v>
      </c>
      <c r="C45">
        <v>87</v>
      </c>
      <c r="D45">
        <v>7</v>
      </c>
      <c r="E45" s="2">
        <v>5.0697276217656195E-4</v>
      </c>
      <c r="F45">
        <v>6.5399486320776495E-2</v>
      </c>
      <c r="G45" t="s">
        <v>4473</v>
      </c>
    </row>
    <row r="46" spans="1:7" x14ac:dyDescent="0.25">
      <c r="A46" s="4" t="str">
        <f>HYPERLINK("http://amigo.geneontology.org/cgi-bin/amigo/term-details.cgi?term=GO:0043086","GO:0043086")</f>
        <v>GO:0043086</v>
      </c>
      <c r="B46" t="s">
        <v>4474</v>
      </c>
      <c r="C46">
        <v>209</v>
      </c>
      <c r="D46">
        <v>11</v>
      </c>
      <c r="E46" s="2">
        <v>6.0761167175311199E-4</v>
      </c>
      <c r="F46">
        <v>7.5951458969139005E-2</v>
      </c>
      <c r="G46" t="s">
        <v>4475</v>
      </c>
    </row>
    <row r="47" spans="1:7" x14ac:dyDescent="0.25">
      <c r="A47" s="4" t="str">
        <f>HYPERLINK("http://amigo.geneontology.org/cgi-bin/amigo/term-details.cgi?term=GO:0080090","GO:0080090")</f>
        <v>GO:0080090</v>
      </c>
      <c r="B47" t="s">
        <v>941</v>
      </c>
      <c r="C47">
        <v>5204</v>
      </c>
      <c r="D47">
        <v>113</v>
      </c>
      <c r="E47" s="2">
        <v>6.7328145415256697E-4</v>
      </c>
      <c r="F47">
        <v>8.2140337406613195E-2</v>
      </c>
      <c r="G47" t="s">
        <v>4476</v>
      </c>
    </row>
    <row r="48" spans="1:7" x14ac:dyDescent="0.25">
      <c r="A48" s="4" t="str">
        <f>HYPERLINK("http://amigo.geneontology.org/cgi-bin/amigo/term-details.cgi?term=GO:0000164","GO:0000164")</f>
        <v>GO:0000164</v>
      </c>
      <c r="B48" t="s">
        <v>1623</v>
      </c>
      <c r="C48">
        <v>3</v>
      </c>
      <c r="D48">
        <v>2</v>
      </c>
      <c r="E48" s="2">
        <v>7.5889142706595805E-4</v>
      </c>
      <c r="F48">
        <v>6.5264662727672396E-2</v>
      </c>
      <c r="G48" t="s">
        <v>1620</v>
      </c>
    </row>
    <row r="49" spans="1:7" x14ac:dyDescent="0.25">
      <c r="A49" s="4" t="str">
        <f>HYPERLINK("http://amigo.geneontology.org/cgi-bin/amigo/term-details.cgi?term=GO:0010923","GO:0010923")</f>
        <v>GO:0010923</v>
      </c>
      <c r="B49" t="s">
        <v>1622</v>
      </c>
      <c r="C49">
        <v>3</v>
      </c>
      <c r="D49">
        <v>2</v>
      </c>
      <c r="E49" s="2">
        <v>7.5889142706595805E-4</v>
      </c>
      <c r="F49">
        <v>6.6782445581804295E-2</v>
      </c>
      <c r="G49" t="s">
        <v>1620</v>
      </c>
    </row>
    <row r="50" spans="1:7" x14ac:dyDescent="0.25">
      <c r="A50" s="4" t="str">
        <f>HYPERLINK("http://amigo.geneontology.org/cgi-bin/amigo/term-details.cgi?term=GO:0032515","GO:0032515")</f>
        <v>GO:0032515</v>
      </c>
      <c r="B50" t="s">
        <v>1621</v>
      </c>
      <c r="C50">
        <v>3</v>
      </c>
      <c r="D50">
        <v>2</v>
      </c>
      <c r="E50" s="2">
        <v>7.5889142706595805E-4</v>
      </c>
      <c r="F50">
        <v>6.8300228435936305E-2</v>
      </c>
      <c r="G50" t="s">
        <v>1620</v>
      </c>
    </row>
    <row r="51" spans="1:7" x14ac:dyDescent="0.25">
      <c r="A51" s="4" t="str">
        <f>HYPERLINK("http://amigo.geneontology.org/cgi-bin/amigo/term-details.cgi?term=GO:0006954","GO:0006954")</f>
        <v>GO:0006954</v>
      </c>
      <c r="B51" t="s">
        <v>4477</v>
      </c>
      <c r="C51">
        <v>3</v>
      </c>
      <c r="D51">
        <v>2</v>
      </c>
      <c r="E51" s="2">
        <v>7.5889142706595805E-4</v>
      </c>
      <c r="F51">
        <v>6.9818011290068205E-2</v>
      </c>
      <c r="G51" t="s">
        <v>4478</v>
      </c>
    </row>
    <row r="52" spans="1:7" x14ac:dyDescent="0.25">
      <c r="A52" s="4" t="str">
        <f>HYPERLINK("http://amigo.geneontology.org/cgi-bin/amigo/term-details.cgi?term=GO:0002437","GO:0002437")</f>
        <v>GO:0002437</v>
      </c>
      <c r="B52" t="s">
        <v>4479</v>
      </c>
      <c r="C52">
        <v>3</v>
      </c>
      <c r="D52">
        <v>2</v>
      </c>
      <c r="E52" s="2">
        <v>7.5889142706595805E-4</v>
      </c>
      <c r="F52">
        <v>7.1335794144200104E-2</v>
      </c>
      <c r="G52" t="s">
        <v>4478</v>
      </c>
    </row>
    <row r="53" spans="1:7" x14ac:dyDescent="0.25">
      <c r="A53" s="4" t="str">
        <f>HYPERLINK("http://amigo.geneontology.org/cgi-bin/amigo/term-details.cgi?term=GO:0002526","GO:0002526")</f>
        <v>GO:0002526</v>
      </c>
      <c r="B53" t="s">
        <v>4480</v>
      </c>
      <c r="C53">
        <v>3</v>
      </c>
      <c r="D53">
        <v>2</v>
      </c>
      <c r="E53" s="2">
        <v>7.5889142706595805E-4</v>
      </c>
      <c r="F53">
        <v>7.2853576998332004E-2</v>
      </c>
      <c r="G53" t="s">
        <v>4478</v>
      </c>
    </row>
    <row r="54" spans="1:7" x14ac:dyDescent="0.25">
      <c r="A54" s="4" t="str">
        <f>HYPERLINK("http://amigo.geneontology.org/cgi-bin/amigo/term-details.cgi?term=GO:0002438","GO:0002438")</f>
        <v>GO:0002438</v>
      </c>
      <c r="B54" t="s">
        <v>4481</v>
      </c>
      <c r="C54">
        <v>3</v>
      </c>
      <c r="D54">
        <v>2</v>
      </c>
      <c r="E54" s="2">
        <v>7.5889142706595805E-4</v>
      </c>
      <c r="F54">
        <v>7.4371359852463903E-2</v>
      </c>
      <c r="G54" t="s">
        <v>4478</v>
      </c>
    </row>
    <row r="55" spans="1:7" x14ac:dyDescent="0.25">
      <c r="A55" s="4" t="str">
        <f>HYPERLINK("http://amigo.geneontology.org/cgi-bin/amigo/term-details.cgi?term=GO:0002524","GO:0002524")</f>
        <v>GO:0002524</v>
      </c>
      <c r="B55" t="s">
        <v>4482</v>
      </c>
      <c r="C55">
        <v>3</v>
      </c>
      <c r="D55">
        <v>2</v>
      </c>
      <c r="E55" s="2">
        <v>7.5889142706595805E-4</v>
      </c>
      <c r="F55">
        <v>7.5889142706595802E-2</v>
      </c>
      <c r="G55" t="s">
        <v>4478</v>
      </c>
    </row>
    <row r="56" spans="1:7" x14ac:dyDescent="0.25">
      <c r="A56" s="4" t="str">
        <f>HYPERLINK("http://amigo.geneontology.org/cgi-bin/amigo/term-details.cgi?term=GO:0002443","GO:0002443")</f>
        <v>GO:0002443</v>
      </c>
      <c r="B56" t="s">
        <v>4483</v>
      </c>
      <c r="C56">
        <v>3</v>
      </c>
      <c r="D56">
        <v>2</v>
      </c>
      <c r="E56" s="2">
        <v>7.5889142706595805E-4</v>
      </c>
      <c r="F56">
        <v>7.7406925560727799E-2</v>
      </c>
      <c r="G56" t="s">
        <v>4478</v>
      </c>
    </row>
    <row r="57" spans="1:7" x14ac:dyDescent="0.25">
      <c r="A57" s="4" t="str">
        <f>HYPERLINK("http://amigo.geneontology.org/cgi-bin/amigo/term-details.cgi?term=GO:0002449","GO:0002449")</f>
        <v>GO:0002449</v>
      </c>
      <c r="B57" t="s">
        <v>4484</v>
      </c>
      <c r="C57">
        <v>3</v>
      </c>
      <c r="D57">
        <v>2</v>
      </c>
      <c r="E57" s="2">
        <v>7.5889142706595805E-4</v>
      </c>
      <c r="F57">
        <v>7.9683599841925606E-2</v>
      </c>
      <c r="G57" t="s">
        <v>4478</v>
      </c>
    </row>
    <row r="58" spans="1:7" x14ac:dyDescent="0.25">
      <c r="A58" s="4" t="str">
        <f>HYPERLINK("http://amigo.geneontology.org/cgi-bin/amigo/term-details.cgi?term=GO:0002250","GO:0002250")</f>
        <v>GO:0002250</v>
      </c>
      <c r="B58" t="s">
        <v>4485</v>
      </c>
      <c r="C58">
        <v>3</v>
      </c>
      <c r="D58">
        <v>2</v>
      </c>
      <c r="E58" s="2">
        <v>7.5889142706595805E-4</v>
      </c>
      <c r="F58">
        <v>8.1201382696057603E-2</v>
      </c>
      <c r="G58" t="s">
        <v>4478</v>
      </c>
    </row>
    <row r="59" spans="1:7" x14ac:dyDescent="0.25">
      <c r="A59" s="4" t="str">
        <f>HYPERLINK("http://amigo.geneontology.org/cgi-bin/amigo/term-details.cgi?term=GO:0002460","GO:0002460")</f>
        <v>GO:0002460</v>
      </c>
      <c r="B59" t="s">
        <v>4486</v>
      </c>
      <c r="C59">
        <v>3</v>
      </c>
      <c r="D59">
        <v>2</v>
      </c>
      <c r="E59" s="2">
        <v>7.5889142706595805E-4</v>
      </c>
      <c r="F59">
        <v>8.3478056977255397E-2</v>
      </c>
      <c r="G59" t="s">
        <v>4478</v>
      </c>
    </row>
    <row r="60" spans="1:7" x14ac:dyDescent="0.25">
      <c r="A60" s="4" t="str">
        <f>HYPERLINK("http://amigo.geneontology.org/cgi-bin/amigo/term-details.cgi?term=GO:0019724","GO:0019724")</f>
        <v>GO:0019724</v>
      </c>
      <c r="B60" t="s">
        <v>4487</v>
      </c>
      <c r="C60">
        <v>3</v>
      </c>
      <c r="D60">
        <v>2</v>
      </c>
      <c r="E60" s="2">
        <v>7.5889142706595805E-4</v>
      </c>
      <c r="F60">
        <v>8.4995839831387393E-2</v>
      </c>
      <c r="G60" t="s">
        <v>4478</v>
      </c>
    </row>
    <row r="61" spans="1:7" x14ac:dyDescent="0.25">
      <c r="A61" s="4" t="str">
        <f>HYPERLINK("http://amigo.geneontology.org/cgi-bin/amigo/term-details.cgi?term=GO:0016064","GO:0016064")</f>
        <v>GO:0016064</v>
      </c>
      <c r="B61" t="s">
        <v>4488</v>
      </c>
      <c r="C61">
        <v>3</v>
      </c>
      <c r="D61">
        <v>2</v>
      </c>
      <c r="E61" s="2">
        <v>7.5889142706595805E-4</v>
      </c>
      <c r="F61">
        <v>8.7272514112585201E-2</v>
      </c>
      <c r="G61" t="s">
        <v>4478</v>
      </c>
    </row>
    <row r="62" spans="1:7" x14ac:dyDescent="0.25">
      <c r="A62" s="4" t="str">
        <f>HYPERLINK("http://amigo.geneontology.org/cgi-bin/amigo/term-details.cgi?term=GO:0016068","GO:0016068")</f>
        <v>GO:0016068</v>
      </c>
      <c r="B62" t="s">
        <v>4489</v>
      </c>
      <c r="C62">
        <v>3</v>
      </c>
      <c r="D62">
        <v>2</v>
      </c>
      <c r="E62" s="2">
        <v>7.5889142706595805E-4</v>
      </c>
      <c r="F62">
        <v>8.9549188393783105E-2</v>
      </c>
      <c r="G62" t="s">
        <v>4478</v>
      </c>
    </row>
    <row r="63" spans="1:7" x14ac:dyDescent="0.25">
      <c r="A63" s="4" t="str">
        <f>HYPERLINK("http://amigo.geneontology.org/cgi-bin/amigo/term-details.cgi?term=GO:0019222","GO:0019222")</f>
        <v>GO:0019222</v>
      </c>
      <c r="B63" t="s">
        <v>936</v>
      </c>
      <c r="C63">
        <v>5550</v>
      </c>
      <c r="D63">
        <v>119</v>
      </c>
      <c r="E63" s="2">
        <v>7.66714210685953E-4</v>
      </c>
      <c r="F63">
        <v>6.5170707908305994E-2</v>
      </c>
      <c r="G63" t="s">
        <v>4490</v>
      </c>
    </row>
    <row r="64" spans="1:7" x14ac:dyDescent="0.25">
      <c r="A64" s="4" t="str">
        <f>HYPERLINK("http://amigo.geneontology.org/cgi-bin/amigo/term-details.cgi?term=GO:0010260","GO:0010260")</f>
        <v>GO:0010260</v>
      </c>
      <c r="B64" t="s">
        <v>2091</v>
      </c>
      <c r="C64">
        <v>12</v>
      </c>
      <c r="D64">
        <v>3</v>
      </c>
      <c r="E64" s="2">
        <v>8.0640176277040499E-4</v>
      </c>
      <c r="F64">
        <v>6.6931346309943601E-2</v>
      </c>
      <c r="G64" t="s">
        <v>4491</v>
      </c>
    </row>
    <row r="65" spans="1:7" x14ac:dyDescent="0.25">
      <c r="A65" s="4" t="str">
        <f>HYPERLINK("http://amigo.geneontology.org/cgi-bin/amigo/term-details.cgi?term=GO:0044092","GO:0044092")</f>
        <v>GO:0044092</v>
      </c>
      <c r="B65" t="s">
        <v>1453</v>
      </c>
      <c r="C65">
        <v>221</v>
      </c>
      <c r="D65">
        <v>11</v>
      </c>
      <c r="E65" s="2">
        <v>9.5995503296950697E-4</v>
      </c>
      <c r="F65">
        <v>7.8716312703499602E-2</v>
      </c>
      <c r="G65" t="s">
        <v>4475</v>
      </c>
    </row>
    <row r="66" spans="1:7" x14ac:dyDescent="0.25">
      <c r="A66" s="4" t="str">
        <f>HYPERLINK("http://amigo.geneontology.org/cgi-bin/amigo/term-details.cgi?term=GO:0006595","GO:0006595")</f>
        <v>GO:0006595</v>
      </c>
      <c r="B66" t="s">
        <v>4492</v>
      </c>
      <c r="C66">
        <v>72</v>
      </c>
      <c r="D66">
        <v>6</v>
      </c>
      <c r="E66">
        <v>1.05366510140735E-3</v>
      </c>
      <c r="F66">
        <v>8.4293208112588405E-2</v>
      </c>
      <c r="G66" t="s">
        <v>4493</v>
      </c>
    </row>
    <row r="67" spans="1:7" x14ac:dyDescent="0.25">
      <c r="A67" s="4" t="str">
        <f>HYPERLINK("http://amigo.geneontology.org/cgi-bin/amigo/term-details.cgi?term=GO:0060255","GO:0060255")</f>
        <v>GO:0060255</v>
      </c>
      <c r="B67" t="s">
        <v>937</v>
      </c>
      <c r="C67">
        <v>5394</v>
      </c>
      <c r="D67">
        <v>115</v>
      </c>
      <c r="E67">
        <v>1.1399777378749299E-3</v>
      </c>
      <c r="F67">
        <v>9.0058241292120103E-2</v>
      </c>
      <c r="G67" t="s">
        <v>4494</v>
      </c>
    </row>
    <row r="68" spans="1:7" x14ac:dyDescent="0.25">
      <c r="A68" s="4" t="str">
        <f>HYPERLINK("http://amigo.geneontology.org/cgi-bin/amigo/term-details.cgi?term=GO:0008216","GO:0008216")</f>
        <v>GO:0008216</v>
      </c>
      <c r="B68" t="s">
        <v>4495</v>
      </c>
      <c r="C68">
        <v>31</v>
      </c>
      <c r="D68">
        <v>4</v>
      </c>
      <c r="E68">
        <v>1.4533666930064599E-3</v>
      </c>
      <c r="F68">
        <v>0.110455868668491</v>
      </c>
      <c r="G68" t="s">
        <v>4449</v>
      </c>
    </row>
    <row r="69" spans="1:7" x14ac:dyDescent="0.25">
      <c r="A69" s="4" t="str">
        <f>HYPERLINK("http://amigo.geneontology.org/cgi-bin/amigo/term-details.cgi?term=GO:0008295","GO:0008295")</f>
        <v>GO:0008295</v>
      </c>
      <c r="B69" t="s">
        <v>4496</v>
      </c>
      <c r="C69">
        <v>31</v>
      </c>
      <c r="D69">
        <v>4</v>
      </c>
      <c r="E69">
        <v>1.4533666930064599E-3</v>
      </c>
      <c r="F69">
        <v>0.11190923536149699</v>
      </c>
      <c r="G69" t="s">
        <v>4449</v>
      </c>
    </row>
    <row r="70" spans="1:7" x14ac:dyDescent="0.25">
      <c r="A70" s="4" t="str">
        <f>HYPERLINK("http://amigo.geneontology.org/cgi-bin/amigo/term-details.cgi?term=GO:0034256","GO:0034256")</f>
        <v>GO:0034256</v>
      </c>
      <c r="B70" t="s">
        <v>4497</v>
      </c>
      <c r="C70">
        <v>4</v>
      </c>
      <c r="D70">
        <v>2</v>
      </c>
      <c r="E70">
        <v>1.50164405493237E-3</v>
      </c>
      <c r="F70">
        <v>0.11112166006499501</v>
      </c>
      <c r="G70" t="s">
        <v>4498</v>
      </c>
    </row>
    <row r="71" spans="1:7" x14ac:dyDescent="0.25">
      <c r="A71" s="4" t="str">
        <f>HYPERLINK("http://amigo.geneontology.org/cgi-bin/amigo/term-details.cgi?term=GO:0034045","GO:0034045")</f>
        <v>GO:0034045</v>
      </c>
      <c r="B71" t="s">
        <v>1878</v>
      </c>
      <c r="C71">
        <v>4</v>
      </c>
      <c r="D71">
        <v>2</v>
      </c>
      <c r="E71">
        <v>1.50164405493237E-3</v>
      </c>
      <c r="F71">
        <v>0.11262330411992801</v>
      </c>
      <c r="G71" t="s">
        <v>4499</v>
      </c>
    </row>
    <row r="72" spans="1:7" x14ac:dyDescent="0.25">
      <c r="A72" s="4" t="str">
        <f>HYPERLINK("http://amigo.geneontology.org/cgi-bin/amigo/term-details.cgi?term=GO:0006629","GO:0006629")</f>
        <v>GO:0006629</v>
      </c>
      <c r="B72" t="s">
        <v>919</v>
      </c>
      <c r="C72">
        <v>2608</v>
      </c>
      <c r="D72">
        <v>62</v>
      </c>
      <c r="E72">
        <v>1.5133134472668701E-3</v>
      </c>
      <c r="F72">
        <v>0.10895856820321501</v>
      </c>
      <c r="G72" t="s">
        <v>4500</v>
      </c>
    </row>
    <row r="73" spans="1:7" x14ac:dyDescent="0.25">
      <c r="A73" s="4" t="str">
        <f>HYPERLINK("http://amigo.geneontology.org/cgi-bin/amigo/term-details.cgi?term=GO:1901698","GO:1901698")</f>
        <v>GO:1901698</v>
      </c>
      <c r="B73" t="s">
        <v>924</v>
      </c>
      <c r="C73">
        <v>234</v>
      </c>
      <c r="D73">
        <v>11</v>
      </c>
      <c r="E73">
        <v>1.51688997729284E-3</v>
      </c>
      <c r="F73">
        <v>0.107699188387791</v>
      </c>
      <c r="G73" t="s">
        <v>4501</v>
      </c>
    </row>
    <row r="74" spans="1:7" x14ac:dyDescent="0.25">
      <c r="A74" s="4" t="str">
        <f>HYPERLINK("http://amigo.geneontology.org/cgi-bin/amigo/term-details.cgi?term=GO:0006986","GO:0006986")</f>
        <v>GO:0006986</v>
      </c>
      <c r="B74" t="s">
        <v>2301</v>
      </c>
      <c r="C74">
        <v>53</v>
      </c>
      <c r="D74">
        <v>5</v>
      </c>
      <c r="E74">
        <v>1.5791931745856001E-3</v>
      </c>
      <c r="F74">
        <v>0.10580594269723501</v>
      </c>
      <c r="G74" t="s">
        <v>4502</v>
      </c>
    </row>
    <row r="75" spans="1:7" x14ac:dyDescent="0.25">
      <c r="A75" s="4" t="str">
        <f>HYPERLINK("http://amigo.geneontology.org/cgi-bin/amigo/term-details.cgi?term=GO:0035967","GO:0035967")</f>
        <v>GO:0035967</v>
      </c>
      <c r="B75" t="s">
        <v>2300</v>
      </c>
      <c r="C75">
        <v>53</v>
      </c>
      <c r="D75">
        <v>5</v>
      </c>
      <c r="E75">
        <v>1.5791931745856001E-3</v>
      </c>
      <c r="F75">
        <v>0.107385135871821</v>
      </c>
      <c r="G75" t="s">
        <v>4502</v>
      </c>
    </row>
    <row r="76" spans="1:7" x14ac:dyDescent="0.25">
      <c r="A76" s="4" t="str">
        <f>HYPERLINK("http://amigo.geneontology.org/cgi-bin/amigo/term-details.cgi?term=GO:0034620","GO:0034620")</f>
        <v>GO:0034620</v>
      </c>
      <c r="B76" t="s">
        <v>2299</v>
      </c>
      <c r="C76">
        <v>53</v>
      </c>
      <c r="D76">
        <v>5</v>
      </c>
      <c r="E76">
        <v>1.5791931745856001E-3</v>
      </c>
      <c r="F76">
        <v>0.108964329046406</v>
      </c>
      <c r="G76" t="s">
        <v>4502</v>
      </c>
    </row>
    <row r="77" spans="1:7" x14ac:dyDescent="0.25">
      <c r="A77" s="4" t="str">
        <f>HYPERLINK("http://amigo.geneontology.org/cgi-bin/amigo/term-details.cgi?term=GO:0030968","GO:0030968")</f>
        <v>GO:0030968</v>
      </c>
      <c r="B77" t="s">
        <v>2298</v>
      </c>
      <c r="C77">
        <v>53</v>
      </c>
      <c r="D77">
        <v>5</v>
      </c>
      <c r="E77">
        <v>1.5791931745856001E-3</v>
      </c>
      <c r="F77">
        <v>0.11054352222099199</v>
      </c>
      <c r="G77" t="s">
        <v>4502</v>
      </c>
    </row>
    <row r="78" spans="1:7" x14ac:dyDescent="0.25">
      <c r="A78" s="4" t="str">
        <f>HYPERLINK("http://amigo.geneontology.org/cgi-bin/amigo/term-details.cgi?term=GO:0052689","GO:0052689")</f>
        <v>GO:0052689</v>
      </c>
      <c r="B78" t="s">
        <v>4503</v>
      </c>
      <c r="C78">
        <v>389</v>
      </c>
      <c r="D78">
        <v>15</v>
      </c>
      <c r="E78">
        <v>1.74241844639974E-3</v>
      </c>
      <c r="F78">
        <v>0.11499961746238301</v>
      </c>
      <c r="G78" t="s">
        <v>4504</v>
      </c>
    </row>
    <row r="79" spans="1:7" x14ac:dyDescent="0.25">
      <c r="A79" s="4" t="str">
        <f>HYPERLINK("http://amigo.geneontology.org/cgi-bin/amigo/term-details.cgi?term=GO:0005666","GO:0005666")</f>
        <v>GO:0005666</v>
      </c>
      <c r="B79" t="s">
        <v>4505</v>
      </c>
      <c r="C79">
        <v>16</v>
      </c>
      <c r="D79">
        <v>3</v>
      </c>
      <c r="E79">
        <v>1.95694267082426E-3</v>
      </c>
      <c r="F79">
        <v>0.127201273603577</v>
      </c>
      <c r="G79" t="s">
        <v>4506</v>
      </c>
    </row>
    <row r="80" spans="1:7" x14ac:dyDescent="0.25">
      <c r="A80" s="4" t="str">
        <f>HYPERLINK("http://amigo.geneontology.org/cgi-bin/amigo/term-details.cgi?term=GO:0009415","GO:0009415")</f>
        <v>GO:0009415</v>
      </c>
      <c r="B80" t="s">
        <v>983</v>
      </c>
      <c r="C80">
        <v>209</v>
      </c>
      <c r="D80">
        <v>10</v>
      </c>
      <c r="E80">
        <v>2.1461899206139E-3</v>
      </c>
      <c r="F80">
        <v>0.13735615491928899</v>
      </c>
      <c r="G80" t="s">
        <v>4507</v>
      </c>
    </row>
    <row r="81" spans="1:7" x14ac:dyDescent="0.25">
      <c r="A81" s="4" t="str">
        <f>HYPERLINK("http://amigo.geneontology.org/cgi-bin/amigo/term-details.cgi?term=GO:0008081","GO:0008081")</f>
        <v>GO:0008081</v>
      </c>
      <c r="B81" t="s">
        <v>4508</v>
      </c>
      <c r="C81">
        <v>143</v>
      </c>
      <c r="D81">
        <v>8</v>
      </c>
      <c r="E81">
        <v>2.2356856038503099E-3</v>
      </c>
      <c r="F81">
        <v>0.14084819304256899</v>
      </c>
      <c r="G81" t="s">
        <v>4509</v>
      </c>
    </row>
    <row r="82" spans="1:7" x14ac:dyDescent="0.25">
      <c r="A82" s="4" t="str">
        <f>HYPERLINK("http://amigo.geneontology.org/cgi-bin/amigo/term-details.cgi?term=GO:1901700","GO:1901700")</f>
        <v>GO:1901700</v>
      </c>
      <c r="B82" t="s">
        <v>926</v>
      </c>
      <c r="C82">
        <v>877</v>
      </c>
      <c r="D82">
        <v>26</v>
      </c>
      <c r="E82">
        <v>2.32448232468105E-3</v>
      </c>
      <c r="F82">
        <v>0.14411790413022499</v>
      </c>
      <c r="G82" t="s">
        <v>4510</v>
      </c>
    </row>
    <row r="83" spans="1:7" x14ac:dyDescent="0.25">
      <c r="A83" s="4" t="str">
        <f>HYPERLINK("http://amigo.geneontology.org/cgi-bin/amigo/term-details.cgi?term=GO:0009741","GO:0009741")</f>
        <v>GO:0009741</v>
      </c>
      <c r="B83" t="s">
        <v>4511</v>
      </c>
      <c r="C83">
        <v>60</v>
      </c>
      <c r="D83">
        <v>5</v>
      </c>
      <c r="E83">
        <v>2.7423045780303299E-3</v>
      </c>
      <c r="F83">
        <v>0.16728057925984999</v>
      </c>
      <c r="G83" t="s">
        <v>4512</v>
      </c>
    </row>
    <row r="84" spans="1:7" x14ac:dyDescent="0.25">
      <c r="A84" s="4" t="str">
        <f>HYPERLINK("http://amigo.geneontology.org/cgi-bin/amigo/term-details.cgi?term=GO:0009041","GO:0009041")</f>
        <v>GO:0009041</v>
      </c>
      <c r="B84" t="s">
        <v>4513</v>
      </c>
      <c r="C84">
        <v>18</v>
      </c>
      <c r="D84">
        <v>3</v>
      </c>
      <c r="E84">
        <v>2.78443336617529E-3</v>
      </c>
      <c r="F84">
        <v>0.169850435336692</v>
      </c>
      <c r="G84" t="s">
        <v>4457</v>
      </c>
    </row>
    <row r="85" spans="1:7" x14ac:dyDescent="0.25">
      <c r="A85" s="4" t="str">
        <f>HYPERLINK("http://amigo.geneontology.org/cgi-bin/amigo/term-details.cgi?term=GO:0097164","GO:0097164")</f>
        <v>GO:0097164</v>
      </c>
      <c r="B85" t="s">
        <v>4514</v>
      </c>
      <c r="C85">
        <v>117</v>
      </c>
      <c r="D85">
        <v>7</v>
      </c>
      <c r="E85">
        <v>2.8531457414554999E-3</v>
      </c>
      <c r="F85">
        <v>0.17118874448733001</v>
      </c>
      <c r="G85" t="s">
        <v>4515</v>
      </c>
    </row>
    <row r="86" spans="1:7" x14ac:dyDescent="0.25">
      <c r="A86" s="4" t="str">
        <f>HYPERLINK("http://amigo.geneontology.org/cgi-bin/amigo/term-details.cgi?term=GO:0033015","GO:0033015")</f>
        <v>GO:0033015</v>
      </c>
      <c r="B86" t="s">
        <v>4516</v>
      </c>
      <c r="C86">
        <v>89</v>
      </c>
      <c r="D86">
        <v>6</v>
      </c>
      <c r="E86">
        <v>3.1192042650388702E-3</v>
      </c>
      <c r="F86">
        <v>0.18091384737225399</v>
      </c>
      <c r="G86" t="s">
        <v>4517</v>
      </c>
    </row>
    <row r="87" spans="1:7" x14ac:dyDescent="0.25">
      <c r="A87" s="4" t="str">
        <f>HYPERLINK("http://amigo.geneontology.org/cgi-bin/amigo/term-details.cgi?term=GO:0006787","GO:0006787")</f>
        <v>GO:0006787</v>
      </c>
      <c r="B87" t="s">
        <v>4518</v>
      </c>
      <c r="C87">
        <v>89</v>
      </c>
      <c r="D87">
        <v>6</v>
      </c>
      <c r="E87">
        <v>3.1192042650388702E-3</v>
      </c>
      <c r="F87">
        <v>0.184033051637293</v>
      </c>
      <c r="G87" t="s">
        <v>4517</v>
      </c>
    </row>
    <row r="88" spans="1:7" x14ac:dyDescent="0.25">
      <c r="A88" s="4" t="str">
        <f>HYPERLINK("http://amigo.geneontology.org/cgi-bin/amigo/term-details.cgi?term=GO:0061733","GO:0061733")</f>
        <v>GO:0061733</v>
      </c>
      <c r="B88" t="s">
        <v>168</v>
      </c>
      <c r="C88">
        <v>38</v>
      </c>
      <c r="D88">
        <v>4</v>
      </c>
      <c r="E88">
        <v>3.12111973078162E-3</v>
      </c>
      <c r="F88">
        <v>0.17790382465455201</v>
      </c>
      <c r="G88" t="s">
        <v>4519</v>
      </c>
    </row>
    <row r="89" spans="1:7" x14ac:dyDescent="0.25">
      <c r="A89" s="4" t="str">
        <f>HYPERLINK("http://amigo.geneontology.org/cgi-bin/amigo/term-details.cgi?term=GO:0004402","GO:0004402")</f>
        <v>GO:0004402</v>
      </c>
      <c r="B89" t="s">
        <v>167</v>
      </c>
      <c r="C89">
        <v>38</v>
      </c>
      <c r="D89">
        <v>4</v>
      </c>
      <c r="E89">
        <v>3.12111973078162E-3</v>
      </c>
      <c r="F89">
        <v>0.17790382465455201</v>
      </c>
      <c r="G89" t="s">
        <v>4519</v>
      </c>
    </row>
    <row r="90" spans="1:7" x14ac:dyDescent="0.25">
      <c r="A90" s="4" t="str">
        <f>HYPERLINK("http://amigo.geneontology.org/cgi-bin/amigo/term-details.cgi?term=GO:0006012","GO:0006012")</f>
        <v>GO:0006012</v>
      </c>
      <c r="B90" t="s">
        <v>123</v>
      </c>
      <c r="C90">
        <v>39</v>
      </c>
      <c r="D90">
        <v>4</v>
      </c>
      <c r="E90">
        <v>3.4342888199217999E-3</v>
      </c>
      <c r="F90">
        <v>0.19232017391562101</v>
      </c>
      <c r="G90" t="s">
        <v>4520</v>
      </c>
    </row>
    <row r="91" spans="1:7" x14ac:dyDescent="0.25">
      <c r="A91" s="4" t="str">
        <f>HYPERLINK("http://amigo.geneontology.org/cgi-bin/amigo/term-details.cgi?term=GO:0004476","GO:0004476")</f>
        <v>GO:0004476</v>
      </c>
      <c r="B91" t="s">
        <v>187</v>
      </c>
      <c r="C91">
        <v>6</v>
      </c>
      <c r="D91">
        <v>2</v>
      </c>
      <c r="E91">
        <v>3.6748575388171399E-3</v>
      </c>
      <c r="F91">
        <v>0.202117164634943</v>
      </c>
      <c r="G91" t="s">
        <v>4521</v>
      </c>
    </row>
    <row r="92" spans="1:7" x14ac:dyDescent="0.25">
      <c r="A92" s="4" t="str">
        <f>HYPERLINK("http://amigo.geneontology.org/cgi-bin/amigo/term-details.cgi?term=GO:0004335","GO:0004335")</f>
        <v>GO:0004335</v>
      </c>
      <c r="B92" t="s">
        <v>1113</v>
      </c>
      <c r="C92">
        <v>6</v>
      </c>
      <c r="D92">
        <v>2</v>
      </c>
      <c r="E92">
        <v>3.6748575388171399E-3</v>
      </c>
      <c r="F92">
        <v>0.202117164634943</v>
      </c>
      <c r="G92" t="s">
        <v>4522</v>
      </c>
    </row>
    <row r="93" spans="1:7" x14ac:dyDescent="0.25">
      <c r="A93" s="4" t="str">
        <f>HYPERLINK("http://amigo.geneontology.org/cgi-bin/amigo/term-details.cgi?term=GO:0009723","GO:0009723")</f>
        <v>GO:0009723</v>
      </c>
      <c r="B93" t="s">
        <v>585</v>
      </c>
      <c r="C93">
        <v>92</v>
      </c>
      <c r="D93">
        <v>6</v>
      </c>
      <c r="E93">
        <v>3.6769484116458201E-3</v>
      </c>
      <c r="F93">
        <v>0.19855521422887401</v>
      </c>
      <c r="G93" t="s">
        <v>4523</v>
      </c>
    </row>
    <row r="94" spans="1:7" x14ac:dyDescent="0.25">
      <c r="A94" s="4" t="str">
        <f>HYPERLINK("http://amigo.geneontology.org/cgi-bin/amigo/term-details.cgi?term=GO:0034212","GO:0034212")</f>
        <v>GO:0034212</v>
      </c>
      <c r="B94" t="s">
        <v>169</v>
      </c>
      <c r="C94">
        <v>40</v>
      </c>
      <c r="D94">
        <v>4</v>
      </c>
      <c r="E94">
        <v>3.7681430988855099E-3</v>
      </c>
      <c r="F94">
        <v>0.19971158424093199</v>
      </c>
      <c r="G94" t="s">
        <v>4519</v>
      </c>
    </row>
    <row r="95" spans="1:7" x14ac:dyDescent="0.25">
      <c r="A95" s="4" t="str">
        <f>HYPERLINK("http://amigo.geneontology.org/cgi-bin/amigo/term-details.cgi?term=GO:0007165","GO:0007165")</f>
        <v>GO:0007165</v>
      </c>
      <c r="B95" t="s">
        <v>2185</v>
      </c>
      <c r="C95">
        <v>1544</v>
      </c>
      <c r="D95">
        <v>39</v>
      </c>
      <c r="E95">
        <v>4.0327671589783301E-3</v>
      </c>
      <c r="F95">
        <v>0.21373665942585099</v>
      </c>
      <c r="G95" t="s">
        <v>4524</v>
      </c>
    </row>
    <row r="96" spans="1:7" x14ac:dyDescent="0.25">
      <c r="A96" s="4" t="str">
        <f>HYPERLINK("http://amigo.geneontology.org/cgi-bin/amigo/term-details.cgi?term=GO:0072329","GO:0072329")</f>
        <v>GO:0072329</v>
      </c>
      <c r="B96" t="s">
        <v>2100</v>
      </c>
      <c r="C96">
        <v>160</v>
      </c>
      <c r="D96">
        <v>8</v>
      </c>
      <c r="E96">
        <v>4.4362581616833102E-3</v>
      </c>
      <c r="F96">
        <v>0.23068542440753201</v>
      </c>
      <c r="G96" t="s">
        <v>4525</v>
      </c>
    </row>
    <row r="97" spans="1:7" x14ac:dyDescent="0.25">
      <c r="A97" s="4" t="str">
        <f>HYPERLINK("http://amigo.geneontology.org/cgi-bin/amigo/term-details.cgi?term=GO:0042451","GO:0042451")</f>
        <v>GO:0042451</v>
      </c>
      <c r="B97" t="s">
        <v>4526</v>
      </c>
      <c r="C97">
        <v>42</v>
      </c>
      <c r="D97">
        <v>4</v>
      </c>
      <c r="E97">
        <v>4.5004006568435898E-3</v>
      </c>
      <c r="F97">
        <v>0.22952043349902301</v>
      </c>
      <c r="G97" t="s">
        <v>4449</v>
      </c>
    </row>
    <row r="98" spans="1:7" x14ac:dyDescent="0.25">
      <c r="A98" s="4" t="str">
        <f>HYPERLINK("http://amigo.geneontology.org/cgi-bin/amigo/term-details.cgi?term=GO:0046129","GO:0046129")</f>
        <v>GO:0046129</v>
      </c>
      <c r="B98" t="s">
        <v>4527</v>
      </c>
      <c r="C98">
        <v>42</v>
      </c>
      <c r="D98">
        <v>4</v>
      </c>
      <c r="E98">
        <v>4.5004006568435898E-3</v>
      </c>
      <c r="F98">
        <v>0.22952043349902301</v>
      </c>
      <c r="G98" t="s">
        <v>4449</v>
      </c>
    </row>
    <row r="99" spans="1:7" x14ac:dyDescent="0.25">
      <c r="A99" s="4" t="str">
        <f>HYPERLINK("http://amigo.geneontology.org/cgi-bin/amigo/term-details.cgi?term=GO:0015698","GO:0015698")</f>
        <v>GO:0015698</v>
      </c>
      <c r="B99" t="s">
        <v>467</v>
      </c>
      <c r="C99">
        <v>199</v>
      </c>
      <c r="D99">
        <v>9</v>
      </c>
      <c r="E99">
        <v>5.0559762623022097E-3</v>
      </c>
      <c r="F99">
        <v>0.25279881311510999</v>
      </c>
      <c r="G99" t="s">
        <v>4445</v>
      </c>
    </row>
    <row r="100" spans="1:7" x14ac:dyDescent="0.25">
      <c r="A100" s="4" t="str">
        <f>HYPERLINK("http://amigo.geneontology.org/cgi-bin/amigo/term-details.cgi?term=GO:0043666","GO:0043666")</f>
        <v>GO:0043666</v>
      </c>
      <c r="B100" t="s">
        <v>4528</v>
      </c>
      <c r="C100">
        <v>7</v>
      </c>
      <c r="D100">
        <v>2</v>
      </c>
      <c r="E100">
        <v>5.0903156025836702E-3</v>
      </c>
      <c r="F100">
        <v>0.25451578012918302</v>
      </c>
      <c r="G100" t="s">
        <v>1620</v>
      </c>
    </row>
    <row r="101" spans="1:7" x14ac:dyDescent="0.25">
      <c r="A101" s="4" t="str">
        <f>HYPERLINK("http://amigo.geneontology.org/cgi-bin/amigo/term-details.cgi?term=GO:0042538","GO:0042538")</f>
        <v>GO:0042538</v>
      </c>
      <c r="B101" t="s">
        <v>2173</v>
      </c>
      <c r="C101">
        <v>44</v>
      </c>
      <c r="D101">
        <v>4</v>
      </c>
      <c r="E101">
        <v>5.3227591022122602E-3</v>
      </c>
      <c r="F101">
        <v>0.26081519600839997</v>
      </c>
      <c r="G101" t="s">
        <v>4529</v>
      </c>
    </row>
    <row r="102" spans="1:7" x14ac:dyDescent="0.25">
      <c r="A102" s="4" t="str">
        <f>HYPERLINK("http://amigo.geneontology.org/cgi-bin/amigo/term-details.cgi?term=GO:0010921","GO:0010921")</f>
        <v>GO:0010921</v>
      </c>
      <c r="B102" t="s">
        <v>4530</v>
      </c>
      <c r="C102">
        <v>8</v>
      </c>
      <c r="D102">
        <v>2</v>
      </c>
      <c r="E102">
        <v>6.71530756859444E-3</v>
      </c>
      <c r="F102">
        <v>0.32905007086112698</v>
      </c>
      <c r="G102" t="s">
        <v>1620</v>
      </c>
    </row>
    <row r="103" spans="1:7" x14ac:dyDescent="0.25">
      <c r="A103" s="4" t="str">
        <f>HYPERLINK("http://amigo.geneontology.org/cgi-bin/amigo/term-details.cgi?term=GO:0044242","GO:0044242")</f>
        <v>GO:0044242</v>
      </c>
      <c r="B103" t="s">
        <v>2143</v>
      </c>
      <c r="C103">
        <v>173</v>
      </c>
      <c r="D103">
        <v>8</v>
      </c>
      <c r="E103">
        <v>7.0242704184886396E-3</v>
      </c>
      <c r="F103">
        <v>0.33716498008745399</v>
      </c>
      <c r="G103" t="s">
        <v>4525</v>
      </c>
    </row>
    <row r="104" spans="1:7" x14ac:dyDescent="0.25">
      <c r="A104" s="4" t="str">
        <f>HYPERLINK("http://amigo.geneontology.org/cgi-bin/amigo/term-details.cgi?term=GO:0048513","GO:0048513")</f>
        <v>GO:0048513</v>
      </c>
      <c r="B104" t="s">
        <v>4531</v>
      </c>
      <c r="C104">
        <v>75</v>
      </c>
      <c r="D104">
        <v>5</v>
      </c>
      <c r="E104">
        <v>7.1279943728697302E-3</v>
      </c>
      <c r="F104">
        <v>0.342143729897747</v>
      </c>
      <c r="G104" t="s">
        <v>4532</v>
      </c>
    </row>
    <row r="105" spans="1:7" x14ac:dyDescent="0.25">
      <c r="A105" s="4" t="str">
        <f>HYPERLINK("http://amigo.geneontology.org/cgi-bin/amigo/term-details.cgi?term=GO:0045088","GO:0045088")</f>
        <v>GO:0045088</v>
      </c>
      <c r="B105" t="s">
        <v>2256</v>
      </c>
      <c r="C105">
        <v>141</v>
      </c>
      <c r="D105">
        <v>7</v>
      </c>
      <c r="E105">
        <v>7.8461982805991103E-3</v>
      </c>
      <c r="F105">
        <v>0.36877131918815798</v>
      </c>
      <c r="G105" t="s">
        <v>4533</v>
      </c>
    </row>
    <row r="106" spans="1:7" x14ac:dyDescent="0.25">
      <c r="A106" s="4" t="str">
        <f>HYPERLINK("http://amigo.geneontology.org/cgi-bin/amigo/term-details.cgi?term=GO:0052547","GO:0052547")</f>
        <v>GO:0052547</v>
      </c>
      <c r="B106" t="s">
        <v>2108</v>
      </c>
      <c r="C106">
        <v>77</v>
      </c>
      <c r="D106">
        <v>5</v>
      </c>
      <c r="E106">
        <v>7.9507913889000897E-3</v>
      </c>
      <c r="F106">
        <v>0.34188402972270399</v>
      </c>
      <c r="G106" t="s">
        <v>4534</v>
      </c>
    </row>
    <row r="107" spans="1:7" x14ac:dyDescent="0.25">
      <c r="A107" s="4" t="str">
        <f>HYPERLINK("http://amigo.geneontology.org/cgi-bin/amigo/term-details.cgi?term=GO:0010466","GO:0010466")</f>
        <v>GO:0010466</v>
      </c>
      <c r="B107" t="s">
        <v>2107</v>
      </c>
      <c r="C107">
        <v>77</v>
      </c>
      <c r="D107">
        <v>5</v>
      </c>
      <c r="E107">
        <v>7.9507913889000897E-3</v>
      </c>
      <c r="F107">
        <v>0.34983482111160402</v>
      </c>
      <c r="G107" t="s">
        <v>4534</v>
      </c>
    </row>
    <row r="108" spans="1:7" x14ac:dyDescent="0.25">
      <c r="A108" s="4" t="str">
        <f>HYPERLINK("http://amigo.geneontology.org/cgi-bin/amigo/term-details.cgi?term=GO:0052548","GO:0052548")</f>
        <v>GO:0052548</v>
      </c>
      <c r="B108" t="s">
        <v>2106</v>
      </c>
      <c r="C108">
        <v>77</v>
      </c>
      <c r="D108">
        <v>5</v>
      </c>
      <c r="E108">
        <v>7.9507913889000897E-3</v>
      </c>
      <c r="F108">
        <v>0.34983482111160402</v>
      </c>
      <c r="G108" t="s">
        <v>4534</v>
      </c>
    </row>
    <row r="109" spans="1:7" x14ac:dyDescent="0.25">
      <c r="A109" s="4" t="str">
        <f>HYPERLINK("http://amigo.geneontology.org/cgi-bin/amigo/term-details.cgi?term=GO:0010951","GO:0010951")</f>
        <v>GO:0010951</v>
      </c>
      <c r="B109" t="s">
        <v>2105</v>
      </c>
      <c r="C109">
        <v>77</v>
      </c>
      <c r="D109">
        <v>5</v>
      </c>
      <c r="E109">
        <v>7.9507913889000897E-3</v>
      </c>
      <c r="F109">
        <v>0.357785612500504</v>
      </c>
      <c r="G109" t="s">
        <v>4534</v>
      </c>
    </row>
    <row r="110" spans="1:7" x14ac:dyDescent="0.25">
      <c r="A110" s="4" t="str">
        <f>HYPERLINK("http://amigo.geneontology.org/cgi-bin/amigo/term-details.cgi?term=GO:0042278","GO:0042278")</f>
        <v>GO:0042278</v>
      </c>
      <c r="B110" t="s">
        <v>4535</v>
      </c>
      <c r="C110">
        <v>77</v>
      </c>
      <c r="D110">
        <v>5</v>
      </c>
      <c r="E110">
        <v>7.9507913889000897E-3</v>
      </c>
      <c r="F110">
        <v>0.357785612500504</v>
      </c>
      <c r="G110" t="s">
        <v>4536</v>
      </c>
    </row>
    <row r="111" spans="1:7" x14ac:dyDescent="0.25">
      <c r="A111" s="4" t="str">
        <f>HYPERLINK("http://amigo.geneontology.org/cgi-bin/amigo/term-details.cgi?term=GO:0046128","GO:0046128")</f>
        <v>GO:0046128</v>
      </c>
      <c r="B111" t="s">
        <v>4537</v>
      </c>
      <c r="C111">
        <v>77</v>
      </c>
      <c r="D111">
        <v>5</v>
      </c>
      <c r="E111">
        <v>7.9507913889000897E-3</v>
      </c>
      <c r="F111">
        <v>0.36573640388940398</v>
      </c>
      <c r="G111" t="s">
        <v>4536</v>
      </c>
    </row>
    <row r="112" spans="1:7" x14ac:dyDescent="0.25">
      <c r="A112" s="4" t="str">
        <f>HYPERLINK("http://amigo.geneontology.org/cgi-bin/amigo/term-details.cgi?term=GO:0046149","GO:0046149")</f>
        <v>GO:0046149</v>
      </c>
      <c r="B112" t="s">
        <v>4538</v>
      </c>
      <c r="C112">
        <v>77</v>
      </c>
      <c r="D112">
        <v>5</v>
      </c>
      <c r="E112">
        <v>7.9507913889000897E-3</v>
      </c>
      <c r="F112">
        <v>0.36573640388940398</v>
      </c>
      <c r="G112" t="s">
        <v>4539</v>
      </c>
    </row>
    <row r="113" spans="1:7" x14ac:dyDescent="0.25">
      <c r="A113" s="4" t="str">
        <f>HYPERLINK("http://amigo.geneontology.org/cgi-bin/amigo/term-details.cgi?term=GO:0015996","GO:0015996")</f>
        <v>GO:0015996</v>
      </c>
      <c r="B113" t="s">
        <v>4540</v>
      </c>
      <c r="C113">
        <v>77</v>
      </c>
      <c r="D113">
        <v>5</v>
      </c>
      <c r="E113">
        <v>7.9507913889000897E-3</v>
      </c>
      <c r="F113">
        <v>0.37368719527830402</v>
      </c>
      <c r="G113" t="s">
        <v>4539</v>
      </c>
    </row>
    <row r="114" spans="1:7" x14ac:dyDescent="0.25">
      <c r="A114" s="4" t="str">
        <f>HYPERLINK("http://amigo.geneontology.org/cgi-bin/amigo/term-details.cgi?term=GO:0080135","GO:0080135")</f>
        <v>GO:0080135</v>
      </c>
      <c r="B114" t="s">
        <v>401</v>
      </c>
      <c r="C114">
        <v>108</v>
      </c>
      <c r="D114">
        <v>6</v>
      </c>
      <c r="E114">
        <v>7.9717036979095497E-3</v>
      </c>
      <c r="F114">
        <v>0.34278325901010998</v>
      </c>
      <c r="G114" t="s">
        <v>4541</v>
      </c>
    </row>
    <row r="115" spans="1:7" x14ac:dyDescent="0.25">
      <c r="A115" s="4" t="str">
        <f>HYPERLINK("http://amigo.geneontology.org/cgi-bin/amigo/term-details.cgi?term=GO:0006383","GO:0006383")</f>
        <v>GO:0006383</v>
      </c>
      <c r="B115" t="s">
        <v>4542</v>
      </c>
      <c r="C115">
        <v>26</v>
      </c>
      <c r="D115">
        <v>3</v>
      </c>
      <c r="E115">
        <v>8.0690341826851197E-3</v>
      </c>
      <c r="F115">
        <v>0.34696846985545998</v>
      </c>
      <c r="G115" t="s">
        <v>4506</v>
      </c>
    </row>
    <row r="116" spans="1:7" x14ac:dyDescent="0.25">
      <c r="A116" s="4" t="str">
        <f>HYPERLINK("http://amigo.geneontology.org/cgi-bin/amigo/term-details.cgi?term=GO:0019201","GO:0019201")</f>
        <v>GO:0019201</v>
      </c>
      <c r="B116" t="s">
        <v>4543</v>
      </c>
      <c r="C116">
        <v>50</v>
      </c>
      <c r="D116">
        <v>4</v>
      </c>
      <c r="E116">
        <v>8.3759585092452304E-3</v>
      </c>
      <c r="F116">
        <v>0.3517902573883</v>
      </c>
      <c r="G116" t="s">
        <v>4544</v>
      </c>
    </row>
    <row r="117" spans="1:7" x14ac:dyDescent="0.25">
      <c r="A117" s="4" t="str">
        <f>HYPERLINK("http://amigo.geneontology.org/cgi-bin/amigo/term-details.cgi?term=GO:0046835","GO:0046835")</f>
        <v>GO:0046835</v>
      </c>
      <c r="B117" t="s">
        <v>1130</v>
      </c>
      <c r="C117">
        <v>78</v>
      </c>
      <c r="D117">
        <v>5</v>
      </c>
      <c r="E117">
        <v>8.3859224988054593E-3</v>
      </c>
      <c r="F117">
        <v>0.35220874494982901</v>
      </c>
      <c r="G117" t="s">
        <v>4545</v>
      </c>
    </row>
    <row r="118" spans="1:7" x14ac:dyDescent="0.25">
      <c r="A118" s="4" t="str">
        <f>HYPERLINK("http://amigo.geneontology.org/cgi-bin/amigo/term-details.cgi?term=GO:0050776","GO:0050776")</f>
        <v>GO:0050776</v>
      </c>
      <c r="B118" t="s">
        <v>2255</v>
      </c>
      <c r="C118">
        <v>143</v>
      </c>
      <c r="D118">
        <v>7</v>
      </c>
      <c r="E118">
        <v>8.4460782575341599E-3</v>
      </c>
      <c r="F118">
        <v>0.3462892085589</v>
      </c>
      <c r="G118" t="s">
        <v>4533</v>
      </c>
    </row>
    <row r="119" spans="1:7" x14ac:dyDescent="0.25">
      <c r="A119" s="4" t="str">
        <f>HYPERLINK("http://amigo.geneontology.org/cgi-bin/amigo/term-details.cgi?term=GO:0004420","GO:0004420")</f>
        <v>GO:0004420</v>
      </c>
      <c r="B119" t="s">
        <v>222</v>
      </c>
      <c r="C119">
        <v>9</v>
      </c>
      <c r="D119">
        <v>2</v>
      </c>
      <c r="E119">
        <v>8.5427785750664398E-3</v>
      </c>
      <c r="F119">
        <v>0.350253921577724</v>
      </c>
      <c r="G119" t="s">
        <v>4546</v>
      </c>
    </row>
    <row r="120" spans="1:7" x14ac:dyDescent="0.25">
      <c r="A120" s="4" t="str">
        <f>HYPERLINK("http://amigo.geneontology.org/cgi-bin/amigo/term-details.cgi?term=GO:0051188","GO:0051188")</f>
        <v>GO:0051188</v>
      </c>
      <c r="B120" t="s">
        <v>93</v>
      </c>
      <c r="C120">
        <v>696</v>
      </c>
      <c r="D120">
        <v>20</v>
      </c>
      <c r="E120">
        <v>9.5775782823563794E-3</v>
      </c>
      <c r="F120">
        <v>0.392680709576611</v>
      </c>
      <c r="G120" t="s">
        <v>4547</v>
      </c>
    </row>
    <row r="121" spans="1:7" x14ac:dyDescent="0.25">
      <c r="A121" s="4" t="str">
        <f>HYPERLINK("http://amigo.geneontology.org/cgi-bin/amigo/term-details.cgi?term=GO:0006596","GO:0006596")</f>
        <v>GO:0006596</v>
      </c>
      <c r="B121" t="s">
        <v>4548</v>
      </c>
      <c r="C121">
        <v>52</v>
      </c>
      <c r="D121">
        <v>4</v>
      </c>
      <c r="E121">
        <v>9.6030963644590205E-3</v>
      </c>
      <c r="F121">
        <v>0.38412385457836001</v>
      </c>
      <c r="G121" t="s">
        <v>4449</v>
      </c>
    </row>
    <row r="122" spans="1:7" x14ac:dyDescent="0.25">
      <c r="A122" s="4" t="str">
        <f>HYPERLINK("http://amigo.geneontology.org/cgi-bin/amigo/term-details.cgi?term=GO:0016042","GO:0016042")</f>
        <v>GO:0016042</v>
      </c>
      <c r="B122" t="s">
        <v>2050</v>
      </c>
      <c r="C122">
        <v>301</v>
      </c>
      <c r="D122">
        <v>11</v>
      </c>
      <c r="E122">
        <v>9.87864910594668E-3</v>
      </c>
      <c r="F122">
        <v>0.39514596423786702</v>
      </c>
      <c r="G122" t="s">
        <v>4549</v>
      </c>
    </row>
    <row r="123" spans="1:7" x14ac:dyDescent="0.25">
      <c r="A123" s="4" t="str">
        <f>HYPERLINK("http://amigo.geneontology.org/cgi-bin/amigo/term-details.cgi?term=GO:0009062","GO:0009062")</f>
        <v>GO:0009062</v>
      </c>
      <c r="B123" t="s">
        <v>2122</v>
      </c>
      <c r="C123">
        <v>148</v>
      </c>
      <c r="D123">
        <v>7</v>
      </c>
      <c r="E123">
        <v>1.00924955893453E-2</v>
      </c>
      <c r="F123">
        <v>0.39360732798447001</v>
      </c>
      <c r="G123" t="s">
        <v>4550</v>
      </c>
    </row>
    <row r="124" spans="1:7" x14ac:dyDescent="0.25">
      <c r="A124" s="4" t="str">
        <f>HYPERLINK("http://amigo.geneontology.org/cgi-bin/amigo/term-details.cgi?term=GO:0051336","GO:0051336")</f>
        <v>GO:0051336</v>
      </c>
      <c r="B124" t="s">
        <v>1919</v>
      </c>
      <c r="C124">
        <v>148</v>
      </c>
      <c r="D124">
        <v>7</v>
      </c>
      <c r="E124">
        <v>1.00924955893453E-2</v>
      </c>
      <c r="F124">
        <v>0.39360732798447001</v>
      </c>
      <c r="G124" t="s">
        <v>4473</v>
      </c>
    </row>
    <row r="125" spans="1:7" x14ac:dyDescent="0.25">
      <c r="A125" s="4" t="str">
        <f>HYPERLINK("http://amigo.geneontology.org/cgi-bin/amigo/term-details.cgi?term=GO:0043069","GO:0043069")</f>
        <v>GO:0043069</v>
      </c>
      <c r="B125" t="s">
        <v>2291</v>
      </c>
      <c r="C125">
        <v>53</v>
      </c>
      <c r="D125">
        <v>4</v>
      </c>
      <c r="E125">
        <v>1.0258108869630401E-2</v>
      </c>
      <c r="F125">
        <v>0.40006624591558598</v>
      </c>
      <c r="G125" t="s">
        <v>4551</v>
      </c>
    </row>
    <row r="126" spans="1:7" x14ac:dyDescent="0.25">
      <c r="A126" s="4" t="str">
        <f>HYPERLINK("http://amigo.geneontology.org/cgi-bin/amigo/term-details.cgi?term=GO:0002682","GO:0002682")</f>
        <v>GO:0002682</v>
      </c>
      <c r="B126" t="s">
        <v>2249</v>
      </c>
      <c r="C126">
        <v>149</v>
      </c>
      <c r="D126">
        <v>7</v>
      </c>
      <c r="E126">
        <v>1.0447938650854501E-2</v>
      </c>
      <c r="F126">
        <v>0.39702166873247102</v>
      </c>
      <c r="G126" t="s">
        <v>4533</v>
      </c>
    </row>
    <row r="127" spans="1:7" x14ac:dyDescent="0.25">
      <c r="A127" s="4" t="str">
        <f>HYPERLINK("http://amigo.geneontology.org/cgi-bin/amigo/term-details.cgi?term=GO:0046900","GO:0046900")</f>
        <v>GO:0046900</v>
      </c>
      <c r="B127" t="s">
        <v>4552</v>
      </c>
      <c r="C127">
        <v>10</v>
      </c>
      <c r="D127">
        <v>2</v>
      </c>
      <c r="E127">
        <v>1.0565845531986799E-2</v>
      </c>
      <c r="F127">
        <v>0.38037043915152502</v>
      </c>
      <c r="G127" t="s">
        <v>4553</v>
      </c>
    </row>
    <row r="128" spans="1:7" x14ac:dyDescent="0.25">
      <c r="A128" s="4" t="str">
        <f>HYPERLINK("http://amigo.geneontology.org/cgi-bin/amigo/term-details.cgi?term=GO:0046901","GO:0046901")</f>
        <v>GO:0046901</v>
      </c>
      <c r="B128" t="s">
        <v>4554</v>
      </c>
      <c r="C128">
        <v>10</v>
      </c>
      <c r="D128">
        <v>2</v>
      </c>
      <c r="E128">
        <v>1.0565845531986799E-2</v>
      </c>
      <c r="F128">
        <v>0.39093628468351099</v>
      </c>
      <c r="G128" t="s">
        <v>4553</v>
      </c>
    </row>
    <row r="129" spans="1:7" x14ac:dyDescent="0.25">
      <c r="A129" s="4" t="str">
        <f>HYPERLINK("http://amigo.geneontology.org/cgi-bin/amigo/term-details.cgi?term=GO:0010506","GO:0010506")</f>
        <v>GO:0010506</v>
      </c>
      <c r="B129" t="s">
        <v>4555</v>
      </c>
      <c r="C129">
        <v>10</v>
      </c>
      <c r="D129">
        <v>2</v>
      </c>
      <c r="E129">
        <v>1.0565845531986799E-2</v>
      </c>
      <c r="F129">
        <v>0.39093628468351099</v>
      </c>
      <c r="G129" t="s">
        <v>4556</v>
      </c>
    </row>
    <row r="130" spans="1:7" x14ac:dyDescent="0.25">
      <c r="A130" s="4" t="str">
        <f>HYPERLINK("http://amigo.geneontology.org/cgi-bin/amigo/term-details.cgi?term=GO:0010508","GO:0010508")</f>
        <v>GO:0010508</v>
      </c>
      <c r="B130" t="s">
        <v>4557</v>
      </c>
      <c r="C130">
        <v>10</v>
      </c>
      <c r="D130">
        <v>2</v>
      </c>
      <c r="E130">
        <v>1.0565845531986799E-2</v>
      </c>
      <c r="F130">
        <v>0.39093628468351099</v>
      </c>
      <c r="G130" t="s">
        <v>4556</v>
      </c>
    </row>
    <row r="131" spans="1:7" x14ac:dyDescent="0.25">
      <c r="A131" s="4" t="str">
        <f>HYPERLINK("http://amigo.geneontology.org/cgi-bin/amigo/term-details.cgi?term=GO:0047216","GO:0047216")</f>
        <v>GO:0047216</v>
      </c>
      <c r="B131" t="s">
        <v>2180</v>
      </c>
      <c r="C131">
        <v>10</v>
      </c>
      <c r="D131">
        <v>2</v>
      </c>
      <c r="E131">
        <v>1.0565845531986799E-2</v>
      </c>
      <c r="F131">
        <v>0.39093628468351099</v>
      </c>
      <c r="G131" t="s">
        <v>4558</v>
      </c>
    </row>
    <row r="132" spans="1:7" x14ac:dyDescent="0.25">
      <c r="A132" s="4" t="str">
        <f>HYPERLINK("http://amigo.geneontology.org/cgi-bin/amigo/term-details.cgi?term=GO:0097428","GO:0097428")</f>
        <v>GO:0097428</v>
      </c>
      <c r="B132" t="s">
        <v>968</v>
      </c>
      <c r="C132">
        <v>10</v>
      </c>
      <c r="D132">
        <v>2</v>
      </c>
      <c r="E132">
        <v>1.0565845531986799E-2</v>
      </c>
      <c r="F132">
        <v>0.40150213021549802</v>
      </c>
      <c r="G132" t="s">
        <v>4559</v>
      </c>
    </row>
    <row r="133" spans="1:7" x14ac:dyDescent="0.25">
      <c r="A133" s="4" t="str">
        <f>HYPERLINK("http://amigo.geneontology.org/cgi-bin/amigo/term-details.cgi?term=GO:0080092","GO:0080092")</f>
        <v>GO:0080092</v>
      </c>
      <c r="B133" t="s">
        <v>4560</v>
      </c>
      <c r="C133">
        <v>10</v>
      </c>
      <c r="D133">
        <v>2</v>
      </c>
      <c r="E133">
        <v>1.0565845531986799E-2</v>
      </c>
      <c r="F133">
        <v>0.40150213021549802</v>
      </c>
      <c r="G133" t="s">
        <v>4561</v>
      </c>
    </row>
    <row r="134" spans="1:7" x14ac:dyDescent="0.25">
      <c r="A134" s="4" t="str">
        <f>HYPERLINK("http://amigo.geneontology.org/cgi-bin/amigo/term-details.cgi?term=GO:0046486","GO:0046486")</f>
        <v>GO:0046486</v>
      </c>
      <c r="B134" t="s">
        <v>562</v>
      </c>
      <c r="C134">
        <v>521</v>
      </c>
      <c r="D134">
        <v>16</v>
      </c>
      <c r="E134">
        <v>1.0829793716640701E-2</v>
      </c>
      <c r="F134">
        <v>0.38987257379906498</v>
      </c>
      <c r="G134" t="s">
        <v>4562</v>
      </c>
    </row>
    <row r="135" spans="1:7" x14ac:dyDescent="0.25">
      <c r="A135" s="4" t="str">
        <f>HYPERLINK("http://amigo.geneontology.org/cgi-bin/amigo/term-details.cgi?term=GO:0007568","GO:0007568")</f>
        <v>GO:0007568</v>
      </c>
      <c r="B135" t="s">
        <v>2079</v>
      </c>
      <c r="C135">
        <v>56</v>
      </c>
      <c r="D135">
        <v>4</v>
      </c>
      <c r="E135">
        <v>1.23941648057451E-2</v>
      </c>
      <c r="F135">
        <v>0.44618993300682502</v>
      </c>
      <c r="G135" t="s">
        <v>4563</v>
      </c>
    </row>
    <row r="136" spans="1:7" x14ac:dyDescent="0.25">
      <c r="A136" s="4" t="str">
        <f>HYPERLINK("http://amigo.geneontology.org/cgi-bin/amigo/term-details.cgi?term=GO:0042221","GO:0042221")</f>
        <v>GO:0042221</v>
      </c>
      <c r="B136" t="s">
        <v>916</v>
      </c>
      <c r="C136">
        <v>2082</v>
      </c>
      <c r="D136">
        <v>47</v>
      </c>
      <c r="E136">
        <v>1.27138036607807E-2</v>
      </c>
      <c r="F136">
        <v>0.44498312812732699</v>
      </c>
      <c r="G136" t="s">
        <v>4564</v>
      </c>
    </row>
    <row r="137" spans="1:7" x14ac:dyDescent="0.25">
      <c r="A137" s="4" t="str">
        <f>HYPERLINK("http://amigo.geneontology.org/cgi-bin/amigo/term-details.cgi?term=GO:0004326","GO:0004326")</f>
        <v>GO:0004326</v>
      </c>
      <c r="B137" t="s">
        <v>4565</v>
      </c>
      <c r="C137">
        <v>11</v>
      </c>
      <c r="D137">
        <v>2</v>
      </c>
      <c r="E137">
        <v>1.27777934385208E-2</v>
      </c>
      <c r="F137">
        <v>0.44722277034822799</v>
      </c>
      <c r="G137" t="s">
        <v>4553</v>
      </c>
    </row>
    <row r="138" spans="1:7" x14ac:dyDescent="0.25">
      <c r="A138" s="4" t="str">
        <f>HYPERLINK("http://amigo.geneontology.org/cgi-bin/amigo/term-details.cgi?term=GO:0055070","GO:0055070")</f>
        <v>GO:0055070</v>
      </c>
      <c r="B138" t="s">
        <v>1424</v>
      </c>
      <c r="C138">
        <v>11</v>
      </c>
      <c r="D138">
        <v>2</v>
      </c>
      <c r="E138">
        <v>1.27777934385208E-2</v>
      </c>
      <c r="F138">
        <v>0.44722277034822799</v>
      </c>
      <c r="G138" t="s">
        <v>4566</v>
      </c>
    </row>
    <row r="139" spans="1:7" x14ac:dyDescent="0.25">
      <c r="A139" s="4" t="str">
        <f>HYPERLINK("http://amigo.geneontology.org/cgi-bin/amigo/term-details.cgi?term=GO:0010769","GO:0010769")</f>
        <v>GO:0010769</v>
      </c>
      <c r="B139" t="s">
        <v>4567</v>
      </c>
      <c r="C139">
        <v>11</v>
      </c>
      <c r="D139">
        <v>2</v>
      </c>
      <c r="E139">
        <v>1.27777934385208E-2</v>
      </c>
      <c r="F139">
        <v>0.44722277034822799</v>
      </c>
      <c r="G139" t="s">
        <v>4561</v>
      </c>
    </row>
    <row r="140" spans="1:7" x14ac:dyDescent="0.25">
      <c r="A140" s="4" t="str">
        <f>HYPERLINK("http://amigo.geneontology.org/cgi-bin/amigo/term-details.cgi?term=GO:0045017","GO:0045017")</f>
        <v>GO:0045017</v>
      </c>
      <c r="B140" t="s">
        <v>457</v>
      </c>
      <c r="C140">
        <v>318</v>
      </c>
      <c r="D140">
        <v>11</v>
      </c>
      <c r="E140">
        <v>1.43755627511924E-2</v>
      </c>
      <c r="F140">
        <v>0.48876913354054402</v>
      </c>
      <c r="G140" t="s">
        <v>4568</v>
      </c>
    </row>
    <row r="141" spans="1:7" x14ac:dyDescent="0.25">
      <c r="A141" s="4" t="str">
        <f>HYPERLINK("http://amigo.geneontology.org/cgi-bin/amigo/term-details.cgi?term=GO:0035250","GO:0035250")</f>
        <v>GO:0035250</v>
      </c>
      <c r="B141" t="s">
        <v>2154</v>
      </c>
      <c r="C141">
        <v>12</v>
      </c>
      <c r="D141">
        <v>2</v>
      </c>
      <c r="E141">
        <v>1.51720717738536E-2</v>
      </c>
      <c r="F141">
        <v>0.51585044031102301</v>
      </c>
      <c r="G141" t="s">
        <v>4558</v>
      </c>
    </row>
    <row r="142" spans="1:7" x14ac:dyDescent="0.25">
      <c r="A142" s="4" t="str">
        <f>HYPERLINK("http://amigo.geneontology.org/cgi-bin/amigo/term-details.cgi?term=GO:0042578","GO:0042578")</f>
        <v>GO:0042578</v>
      </c>
      <c r="B142" t="s">
        <v>426</v>
      </c>
      <c r="C142">
        <v>827</v>
      </c>
      <c r="D142">
        <v>22</v>
      </c>
      <c r="E142">
        <v>1.54879909589196E-2</v>
      </c>
      <c r="F142">
        <v>0.52659169260326899</v>
      </c>
      <c r="G142" t="s">
        <v>4569</v>
      </c>
    </row>
    <row r="143" spans="1:7" x14ac:dyDescent="0.25">
      <c r="A143" s="4" t="str">
        <f>HYPERLINK("http://amigo.geneontology.org/cgi-bin/amigo/term-details.cgi?term=GO:1902288","GO:1902288")</f>
        <v>GO:1902288</v>
      </c>
      <c r="B143" t="s">
        <v>4570</v>
      </c>
      <c r="C143">
        <v>1</v>
      </c>
      <c r="D143">
        <v>1</v>
      </c>
      <c r="E143">
        <v>1.5996574942567201E-2</v>
      </c>
      <c r="F143">
        <v>0.49589382321958397</v>
      </c>
      <c r="G143" t="s">
        <v>35</v>
      </c>
    </row>
    <row r="144" spans="1:7" x14ac:dyDescent="0.25">
      <c r="A144" s="4" t="str">
        <f>HYPERLINK("http://amigo.geneontology.org/cgi-bin/amigo/term-details.cgi?term=GO:1902290","GO:1902290")</f>
        <v>GO:1902290</v>
      </c>
      <c r="B144" t="s">
        <v>4571</v>
      </c>
      <c r="C144">
        <v>1</v>
      </c>
      <c r="D144">
        <v>1</v>
      </c>
      <c r="E144">
        <v>1.5996574942567201E-2</v>
      </c>
      <c r="F144">
        <v>0.49589382321958397</v>
      </c>
      <c r="G144" t="s">
        <v>35</v>
      </c>
    </row>
    <row r="145" spans="1:7" x14ac:dyDescent="0.25">
      <c r="A145" s="4" t="str">
        <f>HYPERLINK("http://amigo.geneontology.org/cgi-bin/amigo/term-details.cgi?term=GO:0090057","GO:0090057")</f>
        <v>GO:0090057</v>
      </c>
      <c r="B145" t="s">
        <v>4572</v>
      </c>
      <c r="C145">
        <v>1</v>
      </c>
      <c r="D145">
        <v>1</v>
      </c>
      <c r="E145">
        <v>1.5996574942567201E-2</v>
      </c>
      <c r="F145">
        <v>0.49589382321958397</v>
      </c>
      <c r="G145" t="s">
        <v>46</v>
      </c>
    </row>
    <row r="146" spans="1:7" x14ac:dyDescent="0.25">
      <c r="A146" s="4" t="str">
        <f>HYPERLINK("http://amigo.geneontology.org/cgi-bin/amigo/term-details.cgi?term=GO:0016107","GO:0016107")</f>
        <v>GO:0016107</v>
      </c>
      <c r="B146" t="s">
        <v>4573</v>
      </c>
      <c r="C146">
        <v>1</v>
      </c>
      <c r="D146">
        <v>1</v>
      </c>
      <c r="E146">
        <v>1.5996574942567201E-2</v>
      </c>
      <c r="F146">
        <v>0.51189039816215198</v>
      </c>
      <c r="G146" t="s">
        <v>53</v>
      </c>
    </row>
    <row r="147" spans="1:7" x14ac:dyDescent="0.25">
      <c r="A147" s="4" t="str">
        <f>HYPERLINK("http://amigo.geneontology.org/cgi-bin/amigo/term-details.cgi?term=GO:0043290","GO:0043290")</f>
        <v>GO:0043290</v>
      </c>
      <c r="B147" t="s">
        <v>4574</v>
      </c>
      <c r="C147">
        <v>1</v>
      </c>
      <c r="D147">
        <v>1</v>
      </c>
      <c r="E147">
        <v>1.5996574942567201E-2</v>
      </c>
      <c r="F147">
        <v>0.51189039816215198</v>
      </c>
      <c r="G147" t="s">
        <v>53</v>
      </c>
    </row>
    <row r="148" spans="1:7" x14ac:dyDescent="0.25">
      <c r="A148" s="4" t="str">
        <f>HYPERLINK("http://amigo.geneontology.org/cgi-bin/amigo/term-details.cgi?term=GO:0046345","GO:0046345")</f>
        <v>GO:0046345</v>
      </c>
      <c r="B148" t="s">
        <v>4575</v>
      </c>
      <c r="C148">
        <v>1</v>
      </c>
      <c r="D148">
        <v>1</v>
      </c>
      <c r="E148">
        <v>1.5996574942567201E-2</v>
      </c>
      <c r="F148">
        <v>0.51189039816215198</v>
      </c>
      <c r="G148" t="s">
        <v>53</v>
      </c>
    </row>
    <row r="149" spans="1:7" x14ac:dyDescent="0.25">
      <c r="A149" s="4" t="str">
        <f>HYPERLINK("http://amigo.geneontology.org/cgi-bin/amigo/term-details.cgi?term=GO:0010654","GO:0010654")</f>
        <v>GO:0010654</v>
      </c>
      <c r="B149" t="s">
        <v>4576</v>
      </c>
      <c r="C149">
        <v>1</v>
      </c>
      <c r="D149">
        <v>1</v>
      </c>
      <c r="E149">
        <v>1.5996574942567201E-2</v>
      </c>
      <c r="F149">
        <v>0.51189039816215198</v>
      </c>
      <c r="G149" t="s">
        <v>56</v>
      </c>
    </row>
    <row r="150" spans="1:7" x14ac:dyDescent="0.25">
      <c r="A150" s="4" t="str">
        <f>HYPERLINK("http://amigo.geneontology.org/cgi-bin/amigo/term-details.cgi?term=GO:0090451","GO:0090451")</f>
        <v>GO:0090451</v>
      </c>
      <c r="B150" t="s">
        <v>4577</v>
      </c>
      <c r="C150">
        <v>1</v>
      </c>
      <c r="D150">
        <v>1</v>
      </c>
      <c r="E150">
        <v>1.5996574942567201E-2</v>
      </c>
      <c r="F150">
        <v>0.51189039816215198</v>
      </c>
      <c r="G150" t="s">
        <v>56</v>
      </c>
    </row>
    <row r="151" spans="1:7" x14ac:dyDescent="0.25">
      <c r="A151" s="4" t="str">
        <f>HYPERLINK("http://amigo.geneontology.org/cgi-bin/amigo/term-details.cgi?term=GO:1903008","GO:1903008")</f>
        <v>GO:1903008</v>
      </c>
      <c r="B151" t="s">
        <v>4578</v>
      </c>
      <c r="C151">
        <v>1</v>
      </c>
      <c r="D151">
        <v>1</v>
      </c>
      <c r="E151">
        <v>1.5996574942567201E-2</v>
      </c>
      <c r="F151">
        <v>0.52788697310471899</v>
      </c>
      <c r="G151" t="s">
        <v>64</v>
      </c>
    </row>
    <row r="152" spans="1:7" x14ac:dyDescent="0.25">
      <c r="A152" s="4" t="str">
        <f>HYPERLINK("http://amigo.geneontology.org/cgi-bin/amigo/term-details.cgi?term=GO:0061726","GO:0061726")</f>
        <v>GO:0061726</v>
      </c>
      <c r="B152" t="s">
        <v>4579</v>
      </c>
      <c r="C152">
        <v>1</v>
      </c>
      <c r="D152">
        <v>1</v>
      </c>
      <c r="E152">
        <v>1.5996574942567201E-2</v>
      </c>
      <c r="F152">
        <v>0.52788697310471899</v>
      </c>
      <c r="G152" t="s">
        <v>64</v>
      </c>
    </row>
    <row r="153" spans="1:7" x14ac:dyDescent="0.25">
      <c r="A153" s="4" t="str">
        <f>HYPERLINK("http://amigo.geneontology.org/cgi-bin/amigo/term-details.cgi?term=GO:0000422","GO:0000422")</f>
        <v>GO:0000422</v>
      </c>
      <c r="B153" t="s">
        <v>4580</v>
      </c>
      <c r="C153">
        <v>1</v>
      </c>
      <c r="D153">
        <v>1</v>
      </c>
      <c r="E153">
        <v>1.5996574942567201E-2</v>
      </c>
      <c r="F153">
        <v>0.52788697310471899</v>
      </c>
      <c r="G153" t="s">
        <v>64</v>
      </c>
    </row>
    <row r="154" spans="1:7" x14ac:dyDescent="0.25">
      <c r="A154" s="4" t="str">
        <f>HYPERLINK("http://amigo.geneontology.org/cgi-bin/amigo/term-details.cgi?term=GO:0004766","GO:0004766")</f>
        <v>GO:0004766</v>
      </c>
      <c r="B154" t="s">
        <v>4581</v>
      </c>
      <c r="C154">
        <v>1</v>
      </c>
      <c r="D154">
        <v>1</v>
      </c>
      <c r="E154">
        <v>1.5996574942567201E-2</v>
      </c>
      <c r="F154">
        <v>0.52788697310471899</v>
      </c>
      <c r="G154" t="s">
        <v>71</v>
      </c>
    </row>
    <row r="155" spans="1:7" x14ac:dyDescent="0.25">
      <c r="A155" s="4" t="str">
        <f>HYPERLINK("http://amigo.geneontology.org/cgi-bin/amigo/term-details.cgi?term=GO:0010363","GO:0010363")</f>
        <v>GO:0010363</v>
      </c>
      <c r="B155" t="s">
        <v>2284</v>
      </c>
      <c r="C155">
        <v>92</v>
      </c>
      <c r="D155">
        <v>5</v>
      </c>
      <c r="E155">
        <v>1.6302273032951699E-2</v>
      </c>
      <c r="F155">
        <v>0.50537046402150398</v>
      </c>
      <c r="G155" t="s">
        <v>4502</v>
      </c>
    </row>
    <row r="156" spans="1:7" x14ac:dyDescent="0.25">
      <c r="A156" s="4" t="str">
        <f>HYPERLINK("http://amigo.geneontology.org/cgi-bin/amigo/term-details.cgi?term=GO:0005516","GO:0005516")</f>
        <v>GO:0005516</v>
      </c>
      <c r="B156" t="s">
        <v>4582</v>
      </c>
      <c r="C156">
        <v>165</v>
      </c>
      <c r="D156">
        <v>7</v>
      </c>
      <c r="E156">
        <v>1.74430842463098E-2</v>
      </c>
      <c r="F156">
        <v>0.52329252738929599</v>
      </c>
      <c r="G156" t="s">
        <v>4583</v>
      </c>
    </row>
    <row r="157" spans="1:7" x14ac:dyDescent="0.25">
      <c r="A157" s="4" t="str">
        <f>HYPERLINK("http://amigo.geneontology.org/cgi-bin/amigo/term-details.cgi?term=GO:0005773","GO:0005773")</f>
        <v>GO:0005773</v>
      </c>
      <c r="B157" t="s">
        <v>1526</v>
      </c>
      <c r="C157">
        <v>552</v>
      </c>
      <c r="D157">
        <v>16</v>
      </c>
      <c r="E157">
        <v>1.76964566358284E-2</v>
      </c>
      <c r="F157">
        <v>0.53089369907485395</v>
      </c>
      <c r="G157" t="s">
        <v>4584</v>
      </c>
    </row>
    <row r="158" spans="1:7" x14ac:dyDescent="0.25">
      <c r="A158" s="4" t="str">
        <f>HYPERLINK("http://amigo.geneontology.org/cgi-bin/amigo/term-details.cgi?term=GO:0031331","GO:0031331")</f>
        <v>GO:0031331</v>
      </c>
      <c r="B158" t="s">
        <v>4585</v>
      </c>
      <c r="C158">
        <v>13</v>
      </c>
      <c r="D158">
        <v>2</v>
      </c>
      <c r="E158">
        <v>1.7742290958499999E-2</v>
      </c>
      <c r="F158">
        <v>0.53226872875499998</v>
      </c>
      <c r="G158" t="s">
        <v>4556</v>
      </c>
    </row>
    <row r="159" spans="1:7" x14ac:dyDescent="0.25">
      <c r="A159" s="4" t="str">
        <f>HYPERLINK("http://amigo.geneontology.org/cgi-bin/amigo/term-details.cgi?term=GO:0080134","GO:0080134")</f>
        <v>GO:0080134</v>
      </c>
      <c r="B159" t="s">
        <v>966</v>
      </c>
      <c r="C159">
        <v>246</v>
      </c>
      <c r="D159">
        <v>9</v>
      </c>
      <c r="E159">
        <v>1.8415626918379099E-2</v>
      </c>
      <c r="F159">
        <v>0.55246880755137295</v>
      </c>
      <c r="G159" t="s">
        <v>4586</v>
      </c>
    </row>
    <row r="160" spans="1:7" x14ac:dyDescent="0.25">
      <c r="A160" s="4" t="str">
        <f>HYPERLINK("http://amigo.geneontology.org/cgi-bin/amigo/term-details.cgi?term=GO:0060548","GO:0060548")</f>
        <v>GO:0060548</v>
      </c>
      <c r="B160" t="s">
        <v>2272</v>
      </c>
      <c r="C160">
        <v>63</v>
      </c>
      <c r="D160">
        <v>4</v>
      </c>
      <c r="E160">
        <v>1.8425149199406701E-2</v>
      </c>
      <c r="F160">
        <v>0.55275447598220195</v>
      </c>
      <c r="G160" t="s">
        <v>4551</v>
      </c>
    </row>
    <row r="161" spans="1:7" x14ac:dyDescent="0.25">
      <c r="A161" s="4" t="str">
        <f>HYPERLINK("http://amigo.geneontology.org/cgi-bin/amigo/term-details.cgi?term=GO:0016021","GO:0016021")</f>
        <v>GO:0016021</v>
      </c>
      <c r="B161" t="s">
        <v>197</v>
      </c>
      <c r="C161">
        <v>7362</v>
      </c>
      <c r="D161">
        <v>140</v>
      </c>
      <c r="E161">
        <v>1.8678794689460099E-2</v>
      </c>
      <c r="F161">
        <v>0.54168504599434297</v>
      </c>
      <c r="G161" t="s">
        <v>4587</v>
      </c>
    </row>
    <row r="162" spans="1:7" x14ac:dyDescent="0.25">
      <c r="A162" s="4" t="str">
        <f>HYPERLINK("http://amigo.geneontology.org/cgi-bin/amigo/term-details.cgi?term=GO:0004842","GO:0004842")</f>
        <v>GO:0004842</v>
      </c>
      <c r="B162" t="s">
        <v>349</v>
      </c>
      <c r="C162">
        <v>650</v>
      </c>
      <c r="D162">
        <v>18</v>
      </c>
      <c r="E162">
        <v>1.8779593085129099E-2</v>
      </c>
      <c r="F162">
        <v>0.54460819946874495</v>
      </c>
      <c r="G162" t="s">
        <v>4588</v>
      </c>
    </row>
    <row r="163" spans="1:7" x14ac:dyDescent="0.25">
      <c r="A163" s="4" t="str">
        <f>HYPERLINK("http://amigo.geneontology.org/cgi-bin/amigo/term-details.cgi?term=GO:0005085","GO:0005085")</f>
        <v>GO:0005085</v>
      </c>
      <c r="B163" t="s">
        <v>2594</v>
      </c>
      <c r="C163">
        <v>64</v>
      </c>
      <c r="D163">
        <v>4</v>
      </c>
      <c r="E163">
        <v>1.94112572390698E-2</v>
      </c>
      <c r="F163">
        <v>0.56292645993302504</v>
      </c>
      <c r="G163" t="s">
        <v>4589</v>
      </c>
    </row>
    <row r="164" spans="1:7" x14ac:dyDescent="0.25">
      <c r="A164" s="4" t="str">
        <f>HYPERLINK("http://amigo.geneontology.org/cgi-bin/amigo/term-details.cgi?term=GO:0019139","GO:0019139")</f>
        <v>GO:0019139</v>
      </c>
      <c r="B164" t="s">
        <v>4590</v>
      </c>
      <c r="C164">
        <v>36</v>
      </c>
      <c r="D164">
        <v>3</v>
      </c>
      <c r="E164">
        <v>1.9699235413355401E-2</v>
      </c>
      <c r="F164">
        <v>0.571277826987307</v>
      </c>
      <c r="G164" t="s">
        <v>4591</v>
      </c>
    </row>
    <row r="165" spans="1:7" x14ac:dyDescent="0.25">
      <c r="A165" s="4" t="str">
        <f>HYPERLINK("http://amigo.geneontology.org/cgi-bin/amigo/term-details.cgi?term=GO:0006909","GO:0006909")</f>
        <v>GO:0006909</v>
      </c>
      <c r="B165" t="s">
        <v>4592</v>
      </c>
      <c r="C165">
        <v>14</v>
      </c>
      <c r="D165">
        <v>2</v>
      </c>
      <c r="E165">
        <v>2.0482218895464002E-2</v>
      </c>
      <c r="F165">
        <v>0.57350212907299203</v>
      </c>
      <c r="G165" t="s">
        <v>4593</v>
      </c>
    </row>
    <row r="166" spans="1:7" x14ac:dyDescent="0.25">
      <c r="A166" s="4" t="str">
        <f>HYPERLINK("http://amigo.geneontology.org/cgi-bin/amigo/term-details.cgi?term=GO:0009882","GO:0009882")</f>
        <v>GO:0009882</v>
      </c>
      <c r="B166" t="s">
        <v>3006</v>
      </c>
      <c r="C166">
        <v>14</v>
      </c>
      <c r="D166">
        <v>2</v>
      </c>
      <c r="E166">
        <v>2.0482218895464002E-2</v>
      </c>
      <c r="F166">
        <v>0.57350212907299203</v>
      </c>
      <c r="G166" t="s">
        <v>4594</v>
      </c>
    </row>
    <row r="167" spans="1:7" x14ac:dyDescent="0.25">
      <c r="A167" s="4" t="str">
        <f>HYPERLINK("http://amigo.geneontology.org/cgi-bin/amigo/term-details.cgi?term=GO:0009896","GO:0009896")</f>
        <v>GO:0009896</v>
      </c>
      <c r="B167" t="s">
        <v>4595</v>
      </c>
      <c r="C167">
        <v>14</v>
      </c>
      <c r="D167">
        <v>2</v>
      </c>
      <c r="E167">
        <v>2.0482218895464002E-2</v>
      </c>
      <c r="F167">
        <v>0.57350212907299203</v>
      </c>
      <c r="G167" t="s">
        <v>4556</v>
      </c>
    </row>
    <row r="168" spans="1:7" x14ac:dyDescent="0.25">
      <c r="A168" s="4" t="str">
        <f>HYPERLINK("http://amigo.geneontology.org/cgi-bin/amigo/term-details.cgi?term=GO:0010304","GO:0010304")</f>
        <v>GO:0010304</v>
      </c>
      <c r="B168" t="s">
        <v>3285</v>
      </c>
      <c r="C168">
        <v>14</v>
      </c>
      <c r="D168">
        <v>2</v>
      </c>
      <c r="E168">
        <v>2.0482218895464002E-2</v>
      </c>
      <c r="F168">
        <v>0.57350212907299203</v>
      </c>
      <c r="G168" t="s">
        <v>4498</v>
      </c>
    </row>
    <row r="169" spans="1:7" x14ac:dyDescent="0.25">
      <c r="A169" s="4" t="str">
        <f>HYPERLINK("http://amigo.geneontology.org/cgi-bin/amigo/term-details.cgi?term=GO:0006359","GO:0006359")</f>
        <v>GO:0006359</v>
      </c>
      <c r="B169" t="s">
        <v>1852</v>
      </c>
      <c r="C169">
        <v>14</v>
      </c>
      <c r="D169">
        <v>2</v>
      </c>
      <c r="E169">
        <v>2.0482218895464002E-2</v>
      </c>
      <c r="F169">
        <v>0.59398434796845601</v>
      </c>
      <c r="G169" t="s">
        <v>4596</v>
      </c>
    </row>
    <row r="170" spans="1:7" x14ac:dyDescent="0.25">
      <c r="A170" s="4" t="str">
        <f>HYPERLINK("http://amigo.geneontology.org/cgi-bin/amigo/term-details.cgi?term=GO:0031347","GO:0031347")</f>
        <v>GO:0031347</v>
      </c>
      <c r="B170" t="s">
        <v>95</v>
      </c>
      <c r="C170">
        <v>210</v>
      </c>
      <c r="D170">
        <v>8</v>
      </c>
      <c r="E170">
        <v>2.0559053786415701E-2</v>
      </c>
      <c r="F170">
        <v>0.57565350601964005</v>
      </c>
      <c r="G170" t="s">
        <v>4597</v>
      </c>
    </row>
    <row r="171" spans="1:7" x14ac:dyDescent="0.25">
      <c r="A171" s="4" t="str">
        <f>HYPERLINK("http://amigo.geneontology.org/cgi-bin/amigo/term-details.cgi?term=GO:0002831","GO:0002831")</f>
        <v>GO:0002831</v>
      </c>
      <c r="B171" t="s">
        <v>4598</v>
      </c>
      <c r="C171">
        <v>37</v>
      </c>
      <c r="D171">
        <v>3</v>
      </c>
      <c r="E171">
        <v>2.1187873964752E-2</v>
      </c>
      <c r="F171">
        <v>0.57207259704830404</v>
      </c>
      <c r="G171" t="s">
        <v>4599</v>
      </c>
    </row>
    <row r="172" spans="1:7" x14ac:dyDescent="0.25">
      <c r="A172" s="4" t="str">
        <f>HYPERLINK("http://amigo.geneontology.org/cgi-bin/amigo/term-details.cgi?term=GO:0009798","GO:0009798")</f>
        <v>GO:0009798</v>
      </c>
      <c r="B172" t="s">
        <v>4600</v>
      </c>
      <c r="C172">
        <v>37</v>
      </c>
      <c r="D172">
        <v>3</v>
      </c>
      <c r="E172">
        <v>2.1187873964752E-2</v>
      </c>
      <c r="F172">
        <v>0.57207259704830404</v>
      </c>
      <c r="G172" t="s">
        <v>4601</v>
      </c>
    </row>
    <row r="173" spans="1:7" x14ac:dyDescent="0.25">
      <c r="A173" s="4" t="str">
        <f>HYPERLINK("http://amigo.geneontology.org/cgi-bin/amigo/term-details.cgi?term=GO:0071367","GO:0071367")</f>
        <v>GO:0071367</v>
      </c>
      <c r="B173" t="s">
        <v>4602</v>
      </c>
      <c r="C173">
        <v>37</v>
      </c>
      <c r="D173">
        <v>3</v>
      </c>
      <c r="E173">
        <v>2.1187873964752E-2</v>
      </c>
      <c r="F173">
        <v>0.57207259704830404</v>
      </c>
      <c r="G173" t="s">
        <v>4603</v>
      </c>
    </row>
    <row r="174" spans="1:7" x14ac:dyDescent="0.25">
      <c r="A174" s="4" t="str">
        <f>HYPERLINK("http://amigo.geneontology.org/cgi-bin/amigo/term-details.cgi?term=GO:0009742","GO:0009742")</f>
        <v>GO:0009742</v>
      </c>
      <c r="B174" t="s">
        <v>4604</v>
      </c>
      <c r="C174">
        <v>37</v>
      </c>
      <c r="D174">
        <v>3</v>
      </c>
      <c r="E174">
        <v>2.1187873964752E-2</v>
      </c>
      <c r="F174">
        <v>0.57207259704830404</v>
      </c>
      <c r="G174" t="s">
        <v>4603</v>
      </c>
    </row>
    <row r="175" spans="1:7" x14ac:dyDescent="0.25">
      <c r="A175" s="4" t="str">
        <f>HYPERLINK("http://amigo.geneontology.org/cgi-bin/amigo/term-details.cgi?term=GO:0005088","GO:0005088")</f>
        <v>GO:0005088</v>
      </c>
      <c r="B175" t="s">
        <v>4605</v>
      </c>
      <c r="C175">
        <v>37</v>
      </c>
      <c r="D175">
        <v>3</v>
      </c>
      <c r="E175">
        <v>2.1187873964752E-2</v>
      </c>
      <c r="F175">
        <v>0.57207259704830404</v>
      </c>
      <c r="G175" t="s">
        <v>4606</v>
      </c>
    </row>
    <row r="176" spans="1:7" x14ac:dyDescent="0.25">
      <c r="A176" s="4" t="str">
        <f>HYPERLINK("http://amigo.geneontology.org/cgi-bin/amigo/term-details.cgi?term=GO:0005089","GO:0005089")</f>
        <v>GO:0005089</v>
      </c>
      <c r="B176" t="s">
        <v>4607</v>
      </c>
      <c r="C176">
        <v>37</v>
      </c>
      <c r="D176">
        <v>3</v>
      </c>
      <c r="E176">
        <v>2.1187873964752E-2</v>
      </c>
      <c r="F176">
        <v>0.59326047101305601</v>
      </c>
      <c r="G176" t="s">
        <v>4606</v>
      </c>
    </row>
    <row r="177" spans="1:7" x14ac:dyDescent="0.25">
      <c r="A177" s="4" t="str">
        <f>HYPERLINK("http://amigo.geneontology.org/cgi-bin/amigo/term-details.cgi?term=GO:0055080","GO:0055080")</f>
        <v>GO:0055080</v>
      </c>
      <c r="B177" t="s">
        <v>116</v>
      </c>
      <c r="C177">
        <v>135</v>
      </c>
      <c r="D177">
        <v>6</v>
      </c>
      <c r="E177">
        <v>2.1897444367225599E-2</v>
      </c>
      <c r="F177">
        <v>0.56933355354786697</v>
      </c>
      <c r="G177" t="s">
        <v>4608</v>
      </c>
    </row>
    <row r="178" spans="1:7" x14ac:dyDescent="0.25">
      <c r="A178" s="4" t="str">
        <f>HYPERLINK("http://amigo.geneontology.org/cgi-bin/amigo/term-details.cgi?term=GO:0048638","GO:0048638")</f>
        <v>GO:0048638</v>
      </c>
      <c r="B178" t="s">
        <v>3726</v>
      </c>
      <c r="C178">
        <v>135</v>
      </c>
      <c r="D178">
        <v>6</v>
      </c>
      <c r="E178">
        <v>2.1897444367225599E-2</v>
      </c>
      <c r="F178">
        <v>0.59123099791509304</v>
      </c>
      <c r="G178" t="s">
        <v>4609</v>
      </c>
    </row>
    <row r="179" spans="1:7" x14ac:dyDescent="0.25">
      <c r="A179" s="4" t="str">
        <f>HYPERLINK("http://amigo.geneontology.org/cgi-bin/amigo/term-details.cgi?term=GO:0033865","GO:0033865")</f>
        <v>GO:0033865</v>
      </c>
      <c r="B179" t="s">
        <v>299</v>
      </c>
      <c r="C179">
        <v>38</v>
      </c>
      <c r="D179">
        <v>3</v>
      </c>
      <c r="E179">
        <v>2.2736452897836001E-2</v>
      </c>
      <c r="F179">
        <v>0.59114777534373797</v>
      </c>
      <c r="G179" t="s">
        <v>4610</v>
      </c>
    </row>
    <row r="180" spans="1:7" x14ac:dyDescent="0.25">
      <c r="A180" s="4" t="str">
        <f>HYPERLINK("http://amigo.geneontology.org/cgi-bin/amigo/term-details.cgi?term=GO:0033875","GO:0033875")</f>
        <v>GO:0033875</v>
      </c>
      <c r="B180" t="s">
        <v>298</v>
      </c>
      <c r="C180">
        <v>38</v>
      </c>
      <c r="D180">
        <v>3</v>
      </c>
      <c r="E180">
        <v>2.2736452897836001E-2</v>
      </c>
      <c r="F180">
        <v>0.59114777534373797</v>
      </c>
      <c r="G180" t="s">
        <v>4610</v>
      </c>
    </row>
    <row r="181" spans="1:7" x14ac:dyDescent="0.25">
      <c r="A181" s="4" t="str">
        <f>HYPERLINK("http://amigo.geneontology.org/cgi-bin/amigo/term-details.cgi?term=GO:0034032","GO:0034032")</f>
        <v>GO:0034032</v>
      </c>
      <c r="B181" t="s">
        <v>297</v>
      </c>
      <c r="C181">
        <v>38</v>
      </c>
      <c r="D181">
        <v>3</v>
      </c>
      <c r="E181">
        <v>2.2736452897836001E-2</v>
      </c>
      <c r="F181">
        <v>0.59114777534373797</v>
      </c>
      <c r="G181" t="s">
        <v>4610</v>
      </c>
    </row>
    <row r="182" spans="1:7" x14ac:dyDescent="0.25">
      <c r="A182" s="4" t="str">
        <f>HYPERLINK("http://amigo.geneontology.org/cgi-bin/amigo/term-details.cgi?term=GO:0017048","GO:0017048")</f>
        <v>GO:0017048</v>
      </c>
      <c r="B182" t="s">
        <v>4611</v>
      </c>
      <c r="C182">
        <v>38</v>
      </c>
      <c r="D182">
        <v>3</v>
      </c>
      <c r="E182">
        <v>2.2736452897836001E-2</v>
      </c>
      <c r="F182">
        <v>0.59114777534373797</v>
      </c>
      <c r="G182" t="s">
        <v>4606</v>
      </c>
    </row>
    <row r="183" spans="1:7" x14ac:dyDescent="0.25">
      <c r="A183" s="4" t="str">
        <f>HYPERLINK("http://amigo.geneontology.org/cgi-bin/amigo/term-details.cgi?term=GO:0009308","GO:0009308")</f>
        <v>GO:0009308</v>
      </c>
      <c r="B183" t="s">
        <v>318</v>
      </c>
      <c r="C183">
        <v>298</v>
      </c>
      <c r="D183">
        <v>10</v>
      </c>
      <c r="E183">
        <v>2.28973513043823E-2</v>
      </c>
      <c r="F183">
        <v>0.59533113391394099</v>
      </c>
      <c r="G183" t="s">
        <v>4612</v>
      </c>
    </row>
    <row r="184" spans="1:7" x14ac:dyDescent="0.25">
      <c r="A184" s="4" t="str">
        <f>HYPERLINK("http://amigo.geneontology.org/cgi-bin/amigo/term-details.cgi?term=GO:0009678","GO:0009678")</f>
        <v>GO:0009678</v>
      </c>
      <c r="B184" t="s">
        <v>4613</v>
      </c>
      <c r="C184">
        <v>15</v>
      </c>
      <c r="D184">
        <v>2</v>
      </c>
      <c r="E184">
        <v>2.3385777560775499E-2</v>
      </c>
      <c r="F184">
        <v>0.58464443901938701</v>
      </c>
      <c r="G184" t="s">
        <v>4614</v>
      </c>
    </row>
    <row r="185" spans="1:7" x14ac:dyDescent="0.25">
      <c r="A185" s="4" t="str">
        <f>HYPERLINK("http://amigo.geneontology.org/cgi-bin/amigo/term-details.cgi?term=GO:0003997","GO:0003997")</f>
        <v>GO:0003997</v>
      </c>
      <c r="B185" t="s">
        <v>1540</v>
      </c>
      <c r="C185">
        <v>15</v>
      </c>
      <c r="D185">
        <v>2</v>
      </c>
      <c r="E185">
        <v>2.3385777560775499E-2</v>
      </c>
      <c r="F185">
        <v>0.58464443901938701</v>
      </c>
      <c r="G185" t="s">
        <v>4615</v>
      </c>
    </row>
    <row r="186" spans="1:7" x14ac:dyDescent="0.25">
      <c r="A186" s="4" t="str">
        <f>HYPERLINK("http://amigo.geneontology.org/cgi-bin/amigo/term-details.cgi?term=GO:0019787","GO:0019787")</f>
        <v>GO:0019787</v>
      </c>
      <c r="B186" t="s">
        <v>949</v>
      </c>
      <c r="C186">
        <v>669</v>
      </c>
      <c r="D186">
        <v>18</v>
      </c>
      <c r="E186">
        <v>2.4127888563246901E-2</v>
      </c>
      <c r="F186">
        <v>0.60319721408117299</v>
      </c>
      <c r="G186" t="s">
        <v>4588</v>
      </c>
    </row>
    <row r="187" spans="1:7" x14ac:dyDescent="0.25">
      <c r="A187" s="4" t="str">
        <f>HYPERLINK("http://amigo.geneontology.org/cgi-bin/amigo/term-details.cgi?term=GO:0031224","GO:0031224")</f>
        <v>GO:0031224</v>
      </c>
      <c r="B187" t="s">
        <v>841</v>
      </c>
      <c r="C187">
        <v>7435</v>
      </c>
      <c r="D187">
        <v>140</v>
      </c>
      <c r="E187">
        <v>2.4708460275607701E-2</v>
      </c>
      <c r="F187">
        <v>0.61771150689019405</v>
      </c>
      <c r="G187" t="s">
        <v>4587</v>
      </c>
    </row>
    <row r="188" spans="1:7" x14ac:dyDescent="0.25">
      <c r="A188" s="4" t="str">
        <f>HYPERLINK("http://amigo.geneontology.org/cgi-bin/amigo/term-details.cgi?term=GO:0019200","GO:0019200")</f>
        <v>GO:0019200</v>
      </c>
      <c r="B188" t="s">
        <v>657</v>
      </c>
      <c r="C188">
        <v>103</v>
      </c>
      <c r="D188">
        <v>5</v>
      </c>
      <c r="E188">
        <v>2.5197309280999499E-2</v>
      </c>
      <c r="F188">
        <v>0.62993273202498801</v>
      </c>
      <c r="G188" t="s">
        <v>4545</v>
      </c>
    </row>
    <row r="189" spans="1:7" x14ac:dyDescent="0.25">
      <c r="A189" s="4" t="str">
        <f>HYPERLINK("http://amigo.geneontology.org/cgi-bin/amigo/term-details.cgi?term=GO:0004427","GO:0004427")</f>
        <v>GO:0004427</v>
      </c>
      <c r="B189" t="s">
        <v>1227</v>
      </c>
      <c r="C189">
        <v>40</v>
      </c>
      <c r="D189">
        <v>3</v>
      </c>
      <c r="E189">
        <v>2.60133576662963E-2</v>
      </c>
      <c r="F189">
        <v>0.65033394165740799</v>
      </c>
      <c r="G189" t="s">
        <v>4616</v>
      </c>
    </row>
    <row r="190" spans="1:7" x14ac:dyDescent="0.25">
      <c r="A190" s="4" t="str">
        <f>HYPERLINK("http://amigo.geneontology.org/cgi-bin/amigo/term-details.cgi?term=GO:0032101","GO:0032101")</f>
        <v>GO:0032101</v>
      </c>
      <c r="B190" t="s">
        <v>4617</v>
      </c>
      <c r="C190">
        <v>40</v>
      </c>
      <c r="D190">
        <v>3</v>
      </c>
      <c r="E190">
        <v>2.60133576662963E-2</v>
      </c>
      <c r="F190">
        <v>0.65033394165740799</v>
      </c>
      <c r="G190" t="s">
        <v>4599</v>
      </c>
    </row>
    <row r="191" spans="1:7" x14ac:dyDescent="0.25">
      <c r="A191" s="4" t="str">
        <f>HYPERLINK("http://amigo.geneontology.org/cgi-bin/amigo/term-details.cgi?term=GO:0009610","GO:0009610")</f>
        <v>GO:0009610</v>
      </c>
      <c r="B191" t="s">
        <v>4618</v>
      </c>
      <c r="C191">
        <v>16</v>
      </c>
      <c r="D191">
        <v>2</v>
      </c>
      <c r="E191">
        <v>2.6447039689289201E-2</v>
      </c>
      <c r="F191">
        <v>0.63472895254294104</v>
      </c>
      <c r="G191" t="s">
        <v>4619</v>
      </c>
    </row>
    <row r="192" spans="1:7" x14ac:dyDescent="0.25">
      <c r="A192" s="4" t="str">
        <f>HYPERLINK("http://amigo.geneontology.org/cgi-bin/amigo/term-details.cgi?term=GO:0009298","GO:0009298")</f>
        <v>GO:0009298</v>
      </c>
      <c r="B192" t="s">
        <v>990</v>
      </c>
      <c r="C192">
        <v>16</v>
      </c>
      <c r="D192">
        <v>2</v>
      </c>
      <c r="E192">
        <v>2.6447039689289201E-2</v>
      </c>
      <c r="F192">
        <v>0.63472895254294104</v>
      </c>
      <c r="G192" t="s">
        <v>4521</v>
      </c>
    </row>
    <row r="193" spans="1:7" x14ac:dyDescent="0.25">
      <c r="A193" s="4" t="str">
        <f>HYPERLINK("http://amigo.geneontology.org/cgi-bin/amigo/term-details.cgi?term=GO:0007154","GO:0007154")</f>
        <v>GO:0007154</v>
      </c>
      <c r="B193" t="s">
        <v>920</v>
      </c>
      <c r="C193">
        <v>2132</v>
      </c>
      <c r="D193">
        <v>46</v>
      </c>
      <c r="E193">
        <v>2.7011729362842001E-2</v>
      </c>
      <c r="F193">
        <v>0.648281504708208</v>
      </c>
      <c r="G193" t="s">
        <v>4620</v>
      </c>
    </row>
    <row r="194" spans="1:7" x14ac:dyDescent="0.25">
      <c r="A194" s="4" t="str">
        <f>HYPERLINK("http://amigo.geneontology.org/cgi-bin/amigo/term-details.cgi?term=GO:0055065","GO:0055065")</f>
        <v>GO:0055065</v>
      </c>
      <c r="B194" t="s">
        <v>1011</v>
      </c>
      <c r="C194">
        <v>71</v>
      </c>
      <c r="D194">
        <v>4</v>
      </c>
      <c r="E194">
        <v>2.7222092823126799E-2</v>
      </c>
      <c r="F194">
        <v>0.65333022775504401</v>
      </c>
      <c r="G194" t="s">
        <v>4621</v>
      </c>
    </row>
    <row r="195" spans="1:7" x14ac:dyDescent="0.25">
      <c r="A195" s="4" t="str">
        <f>HYPERLINK("http://amigo.geneontology.org/cgi-bin/amigo/term-details.cgi?term=GO:0048545","GO:0048545")</f>
        <v>GO:0048545</v>
      </c>
      <c r="B195" t="s">
        <v>4622</v>
      </c>
      <c r="C195">
        <v>41</v>
      </c>
      <c r="D195">
        <v>3</v>
      </c>
      <c r="E195">
        <v>2.7741519414359001E-2</v>
      </c>
      <c r="F195">
        <v>0.66579646594461706</v>
      </c>
      <c r="G195" t="s">
        <v>4603</v>
      </c>
    </row>
    <row r="196" spans="1:7" x14ac:dyDescent="0.25">
      <c r="A196" s="4" t="str">
        <f>HYPERLINK("http://amigo.geneontology.org/cgi-bin/amigo/term-details.cgi?term=GO:0071383","GO:0071383")</f>
        <v>GO:0071383</v>
      </c>
      <c r="B196" t="s">
        <v>4623</v>
      </c>
      <c r="C196">
        <v>41</v>
      </c>
      <c r="D196">
        <v>3</v>
      </c>
      <c r="E196">
        <v>2.7741519414359001E-2</v>
      </c>
      <c r="F196">
        <v>0.66579646594461706</v>
      </c>
      <c r="G196" t="s">
        <v>4603</v>
      </c>
    </row>
    <row r="197" spans="1:7" x14ac:dyDescent="0.25">
      <c r="A197" s="4" t="str">
        <f>HYPERLINK("http://amigo.geneontology.org/cgi-bin/amigo/term-details.cgi?term=GO:0043401","GO:0043401")</f>
        <v>GO:0043401</v>
      </c>
      <c r="B197" t="s">
        <v>4624</v>
      </c>
      <c r="C197">
        <v>41</v>
      </c>
      <c r="D197">
        <v>3</v>
      </c>
      <c r="E197">
        <v>2.7741519414359001E-2</v>
      </c>
      <c r="F197">
        <v>0.66579646594461706</v>
      </c>
      <c r="G197" t="s">
        <v>4603</v>
      </c>
    </row>
    <row r="198" spans="1:7" x14ac:dyDescent="0.25">
      <c r="A198" s="4" t="str">
        <f>HYPERLINK("http://amigo.geneontology.org/cgi-bin/amigo/term-details.cgi?term=GO:0006790","GO:0006790")</f>
        <v>GO:0006790</v>
      </c>
      <c r="B198" t="s">
        <v>825</v>
      </c>
      <c r="C198">
        <v>730</v>
      </c>
      <c r="D198">
        <v>19</v>
      </c>
      <c r="E198">
        <v>2.8098232796859399E-2</v>
      </c>
      <c r="F198">
        <v>0.67435758712462601</v>
      </c>
      <c r="G198" t="s">
        <v>4625</v>
      </c>
    </row>
    <row r="199" spans="1:7" x14ac:dyDescent="0.25">
      <c r="A199" s="4" t="str">
        <f>HYPERLINK("http://amigo.geneontology.org/cgi-bin/amigo/term-details.cgi?term=GO:0043169","GO:0043169")</f>
        <v>GO:0043169</v>
      </c>
      <c r="B199" t="s">
        <v>950</v>
      </c>
      <c r="C199">
        <v>11833</v>
      </c>
      <c r="D199">
        <v>214</v>
      </c>
      <c r="E199">
        <v>2.83502901417329E-2</v>
      </c>
      <c r="F199">
        <v>0.65205667325985694</v>
      </c>
      <c r="G199" t="s">
        <v>4626</v>
      </c>
    </row>
    <row r="200" spans="1:7" x14ac:dyDescent="0.25">
      <c r="A200" s="4" t="str">
        <f>HYPERLINK("http://amigo.geneontology.org/cgi-bin/amigo/term-details.cgi?term=GO:0046872","GO:0046872")</f>
        <v>GO:0046872</v>
      </c>
      <c r="B200" t="s">
        <v>348</v>
      </c>
      <c r="C200">
        <v>11725</v>
      </c>
      <c r="D200">
        <v>212</v>
      </c>
      <c r="E200">
        <v>2.9286189012452401E-2</v>
      </c>
      <c r="F200">
        <v>0.67358234728640498</v>
      </c>
      <c r="G200" t="s">
        <v>4627</v>
      </c>
    </row>
    <row r="201" spans="1:7" x14ac:dyDescent="0.25">
      <c r="A201" s="4" t="str">
        <f>HYPERLINK("http://amigo.geneontology.org/cgi-bin/amigo/term-details.cgi?term=GO:0055076","GO:0055076")</f>
        <v>GO:0055076</v>
      </c>
      <c r="B201" t="s">
        <v>998</v>
      </c>
      <c r="C201">
        <v>42</v>
      </c>
      <c r="D201">
        <v>3</v>
      </c>
      <c r="E201">
        <v>2.95292977794805E-2</v>
      </c>
      <c r="F201">
        <v>0.67917384892805099</v>
      </c>
      <c r="G201" t="s">
        <v>4628</v>
      </c>
    </row>
    <row r="202" spans="1:7" x14ac:dyDescent="0.25">
      <c r="A202" s="4" t="str">
        <f>HYPERLINK("http://amigo.geneontology.org/cgi-bin/amigo/term-details.cgi?term=GO:0070290","GO:0070290")</f>
        <v>GO:0070290</v>
      </c>
      <c r="B202" t="s">
        <v>4629</v>
      </c>
      <c r="C202">
        <v>17</v>
      </c>
      <c r="D202">
        <v>2</v>
      </c>
      <c r="E202">
        <v>2.9660225501439302E-2</v>
      </c>
      <c r="F202">
        <v>0.682185186533105</v>
      </c>
      <c r="G202" t="s">
        <v>4630</v>
      </c>
    </row>
    <row r="203" spans="1:7" x14ac:dyDescent="0.25">
      <c r="A203" s="4" t="str">
        <f>HYPERLINK("http://amigo.geneontology.org/cgi-bin/amigo/term-details.cgi?term=GO:0045730","GO:0045730")</f>
        <v>GO:0045730</v>
      </c>
      <c r="B203" t="s">
        <v>2140</v>
      </c>
      <c r="C203">
        <v>17</v>
      </c>
      <c r="D203">
        <v>2</v>
      </c>
      <c r="E203">
        <v>2.9660225501439302E-2</v>
      </c>
      <c r="F203">
        <v>0.682185186533105</v>
      </c>
      <c r="G203" t="s">
        <v>4631</v>
      </c>
    </row>
    <row r="204" spans="1:7" x14ac:dyDescent="0.25">
      <c r="A204" s="4" t="str">
        <f>HYPERLINK("http://amigo.geneontology.org/cgi-bin/amigo/term-details.cgi?term=GO:0002679","GO:0002679")</f>
        <v>GO:0002679</v>
      </c>
      <c r="B204" t="s">
        <v>2139</v>
      </c>
      <c r="C204">
        <v>17</v>
      </c>
      <c r="D204">
        <v>2</v>
      </c>
      <c r="E204">
        <v>2.9660225501439302E-2</v>
      </c>
      <c r="F204">
        <v>0.682185186533105</v>
      </c>
      <c r="G204" t="s">
        <v>4631</v>
      </c>
    </row>
    <row r="205" spans="1:7" x14ac:dyDescent="0.25">
      <c r="A205" s="4" t="str">
        <f>HYPERLINK("http://amigo.geneontology.org/cgi-bin/amigo/term-details.cgi?term=GO:0043647","GO:0043647")</f>
        <v>GO:0043647</v>
      </c>
      <c r="B205" t="s">
        <v>1225</v>
      </c>
      <c r="C205">
        <v>73</v>
      </c>
      <c r="D205">
        <v>4</v>
      </c>
      <c r="E205">
        <v>2.9751337682115301E-2</v>
      </c>
      <c r="F205">
        <v>0.68428076668865301</v>
      </c>
      <c r="G205" t="s">
        <v>4632</v>
      </c>
    </row>
    <row r="206" spans="1:7" x14ac:dyDescent="0.25">
      <c r="A206" s="4" t="str">
        <f>HYPERLINK("http://amigo.geneontology.org/cgi-bin/amigo/term-details.cgi?term=GO:0016776","GO:0016776")</f>
        <v>GO:0016776</v>
      </c>
      <c r="B206" t="s">
        <v>4633</v>
      </c>
      <c r="C206">
        <v>74</v>
      </c>
      <c r="D206">
        <v>4</v>
      </c>
      <c r="E206">
        <v>3.1066285967888099E-2</v>
      </c>
      <c r="F206">
        <v>0.71452457726142704</v>
      </c>
      <c r="G206" t="s">
        <v>4544</v>
      </c>
    </row>
    <row r="207" spans="1:7" x14ac:dyDescent="0.25">
      <c r="A207" s="4" t="str">
        <f>HYPERLINK("http://amigo.geneontology.org/cgi-bin/amigo/term-details.cgi?term=GO:0003677","GO:0003677")</f>
        <v>GO:0003677</v>
      </c>
      <c r="B207" t="s">
        <v>4634</v>
      </c>
      <c r="C207">
        <v>6799</v>
      </c>
      <c r="D207">
        <v>128</v>
      </c>
      <c r="E207">
        <v>3.10971283203887E-2</v>
      </c>
      <c r="F207">
        <v>0.68413682304855095</v>
      </c>
      <c r="G207" t="s">
        <v>4635</v>
      </c>
    </row>
    <row r="208" spans="1:7" x14ac:dyDescent="0.25">
      <c r="A208" s="4" t="str">
        <f>HYPERLINK("http://amigo.geneontology.org/cgi-bin/amigo/term-details.cgi?term=GO:0004620","GO:0004620")</f>
        <v>GO:0004620</v>
      </c>
      <c r="B208" t="s">
        <v>4636</v>
      </c>
      <c r="C208">
        <v>109</v>
      </c>
      <c r="D208">
        <v>5</v>
      </c>
      <c r="E208">
        <v>3.1143932500357002E-2</v>
      </c>
      <c r="F208">
        <v>0.68516651500785397</v>
      </c>
      <c r="G208" t="s">
        <v>4637</v>
      </c>
    </row>
    <row r="209" spans="1:7" x14ac:dyDescent="0.25">
      <c r="A209" s="4" t="str">
        <f>HYPERLINK("http://amigo.geneontology.org/cgi-bin/amigo/term-details.cgi?term=GO:0051510","GO:0051510")</f>
        <v>GO:0051510</v>
      </c>
      <c r="B209" t="s">
        <v>2445</v>
      </c>
      <c r="C209">
        <v>43</v>
      </c>
      <c r="D209">
        <v>3</v>
      </c>
      <c r="E209">
        <v>3.1376493546102398E-2</v>
      </c>
      <c r="F209">
        <v>0.69028285801425404</v>
      </c>
      <c r="G209" t="s">
        <v>4638</v>
      </c>
    </row>
    <row r="210" spans="1:7" x14ac:dyDescent="0.25">
      <c r="A210" s="4" t="str">
        <f>HYPERLINK("http://amigo.geneontology.org/cgi-bin/amigo/term-details.cgi?term=GO:0080021","GO:0080021")</f>
        <v>GO:0080021</v>
      </c>
      <c r="B210" t="s">
        <v>4639</v>
      </c>
      <c r="C210">
        <v>2</v>
      </c>
      <c r="D210">
        <v>1</v>
      </c>
      <c r="E210">
        <v>3.1737463694508902E-2</v>
      </c>
      <c r="F210">
        <v>0.63474927389017899</v>
      </c>
      <c r="G210" t="s">
        <v>15</v>
      </c>
    </row>
    <row r="211" spans="1:7" x14ac:dyDescent="0.25">
      <c r="A211" s="4" t="str">
        <f>HYPERLINK("http://amigo.geneontology.org/cgi-bin/amigo/term-details.cgi?term=GO:0043092","GO:0043092")</f>
        <v>GO:0043092</v>
      </c>
      <c r="B211" t="s">
        <v>4640</v>
      </c>
      <c r="C211">
        <v>2</v>
      </c>
      <c r="D211">
        <v>1</v>
      </c>
      <c r="E211">
        <v>3.1737463694508902E-2</v>
      </c>
      <c r="F211">
        <v>0.66648673758468802</v>
      </c>
      <c r="G211" t="s">
        <v>25</v>
      </c>
    </row>
    <row r="212" spans="1:7" x14ac:dyDescent="0.25">
      <c r="A212" s="4" t="str">
        <f>HYPERLINK("http://amigo.geneontology.org/cgi-bin/amigo/term-details.cgi?term=GO:0090467","GO:0090467")</f>
        <v>GO:0090467</v>
      </c>
      <c r="B212" t="s">
        <v>4641</v>
      </c>
      <c r="C212">
        <v>2</v>
      </c>
      <c r="D212">
        <v>1</v>
      </c>
      <c r="E212">
        <v>3.1737463694508902E-2</v>
      </c>
      <c r="F212">
        <v>0.66648673758468802</v>
      </c>
      <c r="G212" t="s">
        <v>25</v>
      </c>
    </row>
    <row r="213" spans="1:7" x14ac:dyDescent="0.25">
      <c r="A213" s="4" t="str">
        <f>HYPERLINK("http://amigo.geneontology.org/cgi-bin/amigo/term-details.cgi?term=GO:1902023","GO:1902023")</f>
        <v>GO:1902023</v>
      </c>
      <c r="B213" t="s">
        <v>4642</v>
      </c>
      <c r="C213">
        <v>2</v>
      </c>
      <c r="D213">
        <v>1</v>
      </c>
      <c r="E213">
        <v>3.1737463694508902E-2</v>
      </c>
      <c r="F213">
        <v>0.66648673758468802</v>
      </c>
      <c r="G213" t="s">
        <v>25</v>
      </c>
    </row>
    <row r="214" spans="1:7" x14ac:dyDescent="0.25">
      <c r="A214" s="4" t="str">
        <f>HYPERLINK("http://amigo.geneontology.org/cgi-bin/amigo/term-details.cgi?term=GO:0043091","GO:0043091")</f>
        <v>GO:0043091</v>
      </c>
      <c r="B214" t="s">
        <v>4643</v>
      </c>
      <c r="C214">
        <v>2</v>
      </c>
      <c r="D214">
        <v>1</v>
      </c>
      <c r="E214">
        <v>3.1737463694508902E-2</v>
      </c>
      <c r="F214">
        <v>0.66648673758468802</v>
      </c>
      <c r="G214" t="s">
        <v>25</v>
      </c>
    </row>
    <row r="215" spans="1:7" x14ac:dyDescent="0.25">
      <c r="A215" s="4" t="str">
        <f>HYPERLINK("http://amigo.geneontology.org/cgi-bin/amigo/term-details.cgi?term=GO:0019140","GO:0019140")</f>
        <v>GO:0019140</v>
      </c>
      <c r="B215" t="s">
        <v>4644</v>
      </c>
      <c r="C215">
        <v>2</v>
      </c>
      <c r="D215">
        <v>1</v>
      </c>
      <c r="E215">
        <v>3.1737463694508902E-2</v>
      </c>
      <c r="F215">
        <v>0.66648673758468802</v>
      </c>
      <c r="G215" t="s">
        <v>39</v>
      </c>
    </row>
    <row r="216" spans="1:7" x14ac:dyDescent="0.25">
      <c r="A216" s="4" t="str">
        <f>HYPERLINK("http://amigo.geneontology.org/cgi-bin/amigo/term-details.cgi?term=GO:0010295","GO:0010295")</f>
        <v>GO:0010295</v>
      </c>
      <c r="B216" t="s">
        <v>4645</v>
      </c>
      <c r="C216">
        <v>2</v>
      </c>
      <c r="D216">
        <v>1</v>
      </c>
      <c r="E216">
        <v>3.1737463694508902E-2</v>
      </c>
      <c r="F216">
        <v>0.66648673758468802</v>
      </c>
      <c r="G216" t="s">
        <v>53</v>
      </c>
    </row>
    <row r="217" spans="1:7" x14ac:dyDescent="0.25">
      <c r="A217" s="4" t="str">
        <f>HYPERLINK("http://amigo.geneontology.org/cgi-bin/amigo/term-details.cgi?term=GO:0033557","GO:0033557")</f>
        <v>GO:0033557</v>
      </c>
      <c r="B217" t="s">
        <v>1274</v>
      </c>
      <c r="C217">
        <v>2</v>
      </c>
      <c r="D217">
        <v>1</v>
      </c>
      <c r="E217">
        <v>3.1737463694508902E-2</v>
      </c>
      <c r="F217">
        <v>0.66648673758468802</v>
      </c>
      <c r="G217" t="s">
        <v>62</v>
      </c>
    </row>
    <row r="218" spans="1:7" x14ac:dyDescent="0.25">
      <c r="A218" s="4" t="str">
        <f>HYPERLINK("http://amigo.geneontology.org/cgi-bin/amigo/term-details.cgi?term=GO:0005776","GO:0005776")</f>
        <v>GO:0005776</v>
      </c>
      <c r="B218" t="s">
        <v>4646</v>
      </c>
      <c r="C218">
        <v>2</v>
      </c>
      <c r="D218">
        <v>1</v>
      </c>
      <c r="E218">
        <v>3.1737463694508902E-2</v>
      </c>
      <c r="F218">
        <v>0.66648673758468802</v>
      </c>
      <c r="G218" t="s">
        <v>64</v>
      </c>
    </row>
    <row r="219" spans="1:7" x14ac:dyDescent="0.25">
      <c r="A219" s="4" t="str">
        <f>HYPERLINK("http://amigo.geneontology.org/cgi-bin/amigo/term-details.cgi?term=GO:0010174","GO:0010174")</f>
        <v>GO:0010174</v>
      </c>
      <c r="B219" t="s">
        <v>4647</v>
      </c>
      <c r="C219">
        <v>2</v>
      </c>
      <c r="D219">
        <v>1</v>
      </c>
      <c r="E219">
        <v>3.1737463694508902E-2</v>
      </c>
      <c r="F219">
        <v>0.66648673758468802</v>
      </c>
      <c r="G219" t="s">
        <v>65</v>
      </c>
    </row>
    <row r="220" spans="1:7" x14ac:dyDescent="0.25">
      <c r="A220" s="4" t="str">
        <f>HYPERLINK("http://amigo.geneontology.org/cgi-bin/amigo/term-details.cgi?term=GO:2000505","GO:2000505")</f>
        <v>GO:2000505</v>
      </c>
      <c r="B220" t="s">
        <v>4648</v>
      </c>
      <c r="C220">
        <v>2</v>
      </c>
      <c r="D220">
        <v>1</v>
      </c>
      <c r="E220">
        <v>3.1737463694508902E-2</v>
      </c>
      <c r="F220">
        <v>0.66648673758468802</v>
      </c>
      <c r="G220" t="s">
        <v>68</v>
      </c>
    </row>
    <row r="221" spans="1:7" x14ac:dyDescent="0.25">
      <c r="A221" s="4" t="str">
        <f>HYPERLINK("http://amigo.geneontology.org/cgi-bin/amigo/term-details.cgi?term=GO:0043495","GO:0043495")</f>
        <v>GO:0043495</v>
      </c>
      <c r="B221" t="s">
        <v>4649</v>
      </c>
      <c r="C221">
        <v>2</v>
      </c>
      <c r="D221">
        <v>1</v>
      </c>
      <c r="E221">
        <v>3.1737463694508902E-2</v>
      </c>
      <c r="F221">
        <v>0.69822420127919704</v>
      </c>
      <c r="G221" t="s">
        <v>70</v>
      </c>
    </row>
    <row r="222" spans="1:7" x14ac:dyDescent="0.25">
      <c r="A222" s="4" t="str">
        <f>HYPERLINK("http://amigo.geneontology.org/cgi-bin/amigo/term-details.cgi?term=GO:0051194","GO:0051194")</f>
        <v>GO:0051194</v>
      </c>
      <c r="B222" t="s">
        <v>4650</v>
      </c>
      <c r="C222">
        <v>2</v>
      </c>
      <c r="D222">
        <v>1</v>
      </c>
      <c r="E222">
        <v>3.1737463694508902E-2</v>
      </c>
      <c r="F222">
        <v>0.69822420127919704</v>
      </c>
      <c r="G222" t="s">
        <v>70</v>
      </c>
    </row>
    <row r="223" spans="1:7" x14ac:dyDescent="0.25">
      <c r="A223" s="4" t="str">
        <f>HYPERLINK("http://amigo.geneontology.org/cgi-bin/amigo/term-details.cgi?term=GO:0070453","GO:0070453")</f>
        <v>GO:0070453</v>
      </c>
      <c r="B223" t="s">
        <v>4651</v>
      </c>
      <c r="C223">
        <v>2</v>
      </c>
      <c r="D223">
        <v>1</v>
      </c>
      <c r="E223">
        <v>3.1737463694508902E-2</v>
      </c>
      <c r="F223">
        <v>0.69822420127919704</v>
      </c>
      <c r="G223" t="s">
        <v>70</v>
      </c>
    </row>
    <row r="224" spans="1:7" x14ac:dyDescent="0.25">
      <c r="A224" s="4" t="str">
        <f>HYPERLINK("http://amigo.geneontology.org/cgi-bin/amigo/term-details.cgi?term=GO:1901403","GO:1901403")</f>
        <v>GO:1901403</v>
      </c>
      <c r="B224" t="s">
        <v>4652</v>
      </c>
      <c r="C224">
        <v>2</v>
      </c>
      <c r="D224">
        <v>1</v>
      </c>
      <c r="E224">
        <v>3.1737463694508902E-2</v>
      </c>
      <c r="F224">
        <v>0.69822420127919704</v>
      </c>
      <c r="G224" t="s">
        <v>70</v>
      </c>
    </row>
    <row r="225" spans="1:7" x14ac:dyDescent="0.25">
      <c r="A225" s="4" t="str">
        <f>HYPERLINK("http://amigo.geneontology.org/cgi-bin/amigo/term-details.cgi?term=GO:1901465","GO:1901465")</f>
        <v>GO:1901465</v>
      </c>
      <c r="B225" t="s">
        <v>4653</v>
      </c>
      <c r="C225">
        <v>2</v>
      </c>
      <c r="D225">
        <v>1</v>
      </c>
      <c r="E225">
        <v>3.1737463694508902E-2</v>
      </c>
      <c r="F225">
        <v>0.69822420127919704</v>
      </c>
      <c r="G225" t="s">
        <v>70</v>
      </c>
    </row>
    <row r="226" spans="1:7" x14ac:dyDescent="0.25">
      <c r="A226" s="4" t="str">
        <f>HYPERLINK("http://amigo.geneontology.org/cgi-bin/amigo/term-details.cgi?term=GO:0070455","GO:0070455")</f>
        <v>GO:0070455</v>
      </c>
      <c r="B226" t="s">
        <v>4654</v>
      </c>
      <c r="C226">
        <v>2</v>
      </c>
      <c r="D226">
        <v>1</v>
      </c>
      <c r="E226">
        <v>3.1737463694508902E-2</v>
      </c>
      <c r="F226">
        <v>0.69822420127919704</v>
      </c>
      <c r="G226" t="s">
        <v>70</v>
      </c>
    </row>
    <row r="227" spans="1:7" x14ac:dyDescent="0.25">
      <c r="A227" s="4" t="str">
        <f>HYPERLINK("http://amigo.geneontology.org/cgi-bin/amigo/term-details.cgi?term=GO:0003913","GO:0003913")</f>
        <v>GO:0003913</v>
      </c>
      <c r="B227" t="s">
        <v>4655</v>
      </c>
      <c r="C227">
        <v>18</v>
      </c>
      <c r="D227">
        <v>2</v>
      </c>
      <c r="E227">
        <v>3.3019699515948103E-2</v>
      </c>
      <c r="F227">
        <v>0.66039399031896295</v>
      </c>
      <c r="G227" t="s">
        <v>4594</v>
      </c>
    </row>
    <row r="228" spans="1:7" x14ac:dyDescent="0.25">
      <c r="A228" s="4" t="str">
        <f>HYPERLINK("http://amigo.geneontology.org/cgi-bin/amigo/term-details.cgi?term=GO:0065009","GO:0065009")</f>
        <v>GO:0065009</v>
      </c>
      <c r="B228" t="s">
        <v>3909</v>
      </c>
      <c r="C228">
        <v>647</v>
      </c>
      <c r="D228">
        <v>17</v>
      </c>
      <c r="E228">
        <v>3.3641692177903103E-2</v>
      </c>
      <c r="F228">
        <v>0.67283384355806197</v>
      </c>
      <c r="G228" t="s">
        <v>4656</v>
      </c>
    </row>
    <row r="229" spans="1:7" x14ac:dyDescent="0.25">
      <c r="A229" s="4" t="str">
        <f>HYPERLINK("http://amigo.geneontology.org/cgi-bin/amigo/term-details.cgi?term=GO:0051186","GO:0051186")</f>
        <v>GO:0051186</v>
      </c>
      <c r="B229" t="s">
        <v>881</v>
      </c>
      <c r="C229">
        <v>1522</v>
      </c>
      <c r="D229">
        <v>34</v>
      </c>
      <c r="E229">
        <v>3.4386136720220499E-2</v>
      </c>
      <c r="F229">
        <v>0.68772273440441101</v>
      </c>
      <c r="G229" t="s">
        <v>4657</v>
      </c>
    </row>
    <row r="230" spans="1:7" x14ac:dyDescent="0.25">
      <c r="A230" s="4" t="str">
        <f>HYPERLINK("http://amigo.geneontology.org/cgi-bin/amigo/term-details.cgi?term=GO:0043067","GO:0043067")</f>
        <v>GO:0043067</v>
      </c>
      <c r="B230" t="s">
        <v>2305</v>
      </c>
      <c r="C230">
        <v>112</v>
      </c>
      <c r="D230">
        <v>5</v>
      </c>
      <c r="E230">
        <v>3.4419855627503701E-2</v>
      </c>
      <c r="F230">
        <v>0.68839711255007396</v>
      </c>
      <c r="G230" t="s">
        <v>4502</v>
      </c>
    </row>
    <row r="231" spans="1:7" x14ac:dyDescent="0.25">
      <c r="A231" s="4" t="str">
        <f>HYPERLINK("http://amigo.geneontology.org/cgi-bin/amigo/term-details.cgi?term=GO:0006650","GO:0006650")</f>
        <v>GO:0006650</v>
      </c>
      <c r="B231" t="s">
        <v>625</v>
      </c>
      <c r="C231">
        <v>457</v>
      </c>
      <c r="D231">
        <v>13</v>
      </c>
      <c r="E231">
        <v>3.4454683818042599E-2</v>
      </c>
      <c r="F231">
        <v>0.68909367636085295</v>
      </c>
      <c r="G231" t="s">
        <v>4658</v>
      </c>
    </row>
    <row r="232" spans="1:7" x14ac:dyDescent="0.25">
      <c r="A232" s="4" t="str">
        <f>HYPERLINK("http://amigo.geneontology.org/cgi-bin/amigo/term-details.cgi?term=GO:0019438","GO:0019438")</f>
        <v>GO:0019438</v>
      </c>
      <c r="B232" t="s">
        <v>778</v>
      </c>
      <c r="C232">
        <v>3279</v>
      </c>
      <c r="D232">
        <v>66</v>
      </c>
      <c r="E232">
        <v>3.5108659890188097E-2</v>
      </c>
      <c r="F232">
        <v>0.70217319780376297</v>
      </c>
      <c r="G232" t="s">
        <v>4659</v>
      </c>
    </row>
    <row r="233" spans="1:7" x14ac:dyDescent="0.25">
      <c r="A233" s="4" t="str">
        <f>HYPERLINK("http://amigo.geneontology.org/cgi-bin/amigo/term-details.cgi?term=GO:1903293","GO:1903293")</f>
        <v>GO:1903293</v>
      </c>
      <c r="B233" t="s">
        <v>425</v>
      </c>
      <c r="C233">
        <v>45</v>
      </c>
      <c r="D233">
        <v>3</v>
      </c>
      <c r="E233">
        <v>3.5248126695667202E-2</v>
      </c>
      <c r="F233">
        <v>0.66971440721767705</v>
      </c>
      <c r="G233" t="s">
        <v>4660</v>
      </c>
    </row>
    <row r="234" spans="1:7" x14ac:dyDescent="0.25">
      <c r="A234" s="4" t="str">
        <f>HYPERLINK("http://amigo.geneontology.org/cgi-bin/amigo/term-details.cgi?term=GO:0008287","GO:0008287")</f>
        <v>GO:0008287</v>
      </c>
      <c r="B234" t="s">
        <v>424</v>
      </c>
      <c r="C234">
        <v>45</v>
      </c>
      <c r="D234">
        <v>3</v>
      </c>
      <c r="E234">
        <v>3.5248126695667202E-2</v>
      </c>
      <c r="F234">
        <v>0.70496253391334396</v>
      </c>
      <c r="G234" t="s">
        <v>4660</v>
      </c>
    </row>
    <row r="235" spans="1:7" x14ac:dyDescent="0.25">
      <c r="A235" s="4" t="str">
        <f>HYPERLINK("http://amigo.geneontology.org/cgi-bin/amigo/term-details.cgi?term=GO:0004630","GO:0004630")</f>
        <v>GO:0004630</v>
      </c>
      <c r="B235" t="s">
        <v>4661</v>
      </c>
      <c r="C235">
        <v>45</v>
      </c>
      <c r="D235">
        <v>3</v>
      </c>
      <c r="E235">
        <v>3.5248126695667202E-2</v>
      </c>
      <c r="F235">
        <v>0.70496253391334396</v>
      </c>
      <c r="G235" t="s">
        <v>4662</v>
      </c>
    </row>
    <row r="236" spans="1:7" x14ac:dyDescent="0.25">
      <c r="A236" s="4" t="str">
        <f>HYPERLINK("http://amigo.geneontology.org/cgi-bin/amigo/term-details.cgi?term=GO:0006312","GO:0006312")</f>
        <v>GO:0006312</v>
      </c>
      <c r="B236" t="s">
        <v>4663</v>
      </c>
      <c r="C236">
        <v>45</v>
      </c>
      <c r="D236">
        <v>3</v>
      </c>
      <c r="E236">
        <v>3.5248126695667202E-2</v>
      </c>
      <c r="F236">
        <v>0.70496253391334396</v>
      </c>
      <c r="G236" t="s">
        <v>4664</v>
      </c>
    </row>
    <row r="237" spans="1:7" x14ac:dyDescent="0.25">
      <c r="A237" s="4" t="str">
        <f>HYPERLINK("http://amigo.geneontology.org/cgi-bin/amigo/term-details.cgi?term=GO:0016597","GO:0016597")</f>
        <v>GO:0016597</v>
      </c>
      <c r="B237" t="s">
        <v>4665</v>
      </c>
      <c r="C237">
        <v>113</v>
      </c>
      <c r="D237">
        <v>5</v>
      </c>
      <c r="E237">
        <v>3.5557385222456502E-2</v>
      </c>
      <c r="F237">
        <v>0.67559031922667401</v>
      </c>
      <c r="G237" t="s">
        <v>4666</v>
      </c>
    </row>
    <row r="238" spans="1:7" x14ac:dyDescent="0.25">
      <c r="A238" s="4" t="str">
        <f>HYPERLINK("http://amigo.geneontology.org/cgi-bin/amigo/term-details.cgi?term=GO:0005774","GO:0005774")</f>
        <v>GO:0005774</v>
      </c>
      <c r="B238" t="s">
        <v>4667</v>
      </c>
      <c r="C238">
        <v>367</v>
      </c>
      <c r="D238">
        <v>11</v>
      </c>
      <c r="E238">
        <v>3.5892801166839197E-2</v>
      </c>
      <c r="F238">
        <v>0.68196322216994498</v>
      </c>
      <c r="G238" t="s">
        <v>4668</v>
      </c>
    </row>
    <row r="239" spans="1:7" x14ac:dyDescent="0.25">
      <c r="A239" s="4" t="str">
        <f>HYPERLINK("http://amigo.geneontology.org/cgi-bin/amigo/term-details.cgi?term=GO:0046460","GO:0046460")</f>
        <v>GO:0046460</v>
      </c>
      <c r="B239" t="s">
        <v>4669</v>
      </c>
      <c r="C239">
        <v>19</v>
      </c>
      <c r="D239">
        <v>2</v>
      </c>
      <c r="E239">
        <v>3.6519967419538002E-2</v>
      </c>
      <c r="F239">
        <v>0.69387938097122204</v>
      </c>
      <c r="G239" t="s">
        <v>4670</v>
      </c>
    </row>
    <row r="240" spans="1:7" x14ac:dyDescent="0.25">
      <c r="A240" s="4" t="str">
        <f>HYPERLINK("http://amigo.geneontology.org/cgi-bin/amigo/term-details.cgi?term=GO:0046463","GO:0046463")</f>
        <v>GO:0046463</v>
      </c>
      <c r="B240" t="s">
        <v>4671</v>
      </c>
      <c r="C240">
        <v>19</v>
      </c>
      <c r="D240">
        <v>2</v>
      </c>
      <c r="E240">
        <v>3.6519967419538002E-2</v>
      </c>
      <c r="F240">
        <v>0.69387938097122204</v>
      </c>
      <c r="G240" t="s">
        <v>4670</v>
      </c>
    </row>
    <row r="241" spans="1:7" x14ac:dyDescent="0.25">
      <c r="A241" s="4" t="str">
        <f>HYPERLINK("http://amigo.geneontology.org/cgi-bin/amigo/term-details.cgi?term=GO:0010112","GO:0010112")</f>
        <v>GO:0010112</v>
      </c>
      <c r="B241" t="s">
        <v>4672</v>
      </c>
      <c r="C241">
        <v>19</v>
      </c>
      <c r="D241">
        <v>2</v>
      </c>
      <c r="E241">
        <v>3.6519967419538002E-2</v>
      </c>
      <c r="F241">
        <v>0.69387938097122204</v>
      </c>
      <c r="G241" t="s">
        <v>4673</v>
      </c>
    </row>
    <row r="242" spans="1:7" x14ac:dyDescent="0.25">
      <c r="A242" s="4" t="str">
        <f>HYPERLINK("http://amigo.geneontology.org/cgi-bin/amigo/term-details.cgi?term=GO:0009608","GO:0009608")</f>
        <v>GO:0009608</v>
      </c>
      <c r="B242" t="s">
        <v>4674</v>
      </c>
      <c r="C242">
        <v>19</v>
      </c>
      <c r="D242">
        <v>2</v>
      </c>
      <c r="E242">
        <v>3.6519967419538002E-2</v>
      </c>
      <c r="F242">
        <v>0.69387938097122204</v>
      </c>
      <c r="G242" t="s">
        <v>4619</v>
      </c>
    </row>
    <row r="243" spans="1:7" x14ac:dyDescent="0.25">
      <c r="A243" s="4" t="str">
        <f>HYPERLINK("http://amigo.geneontology.org/cgi-bin/amigo/term-details.cgi?term=GO:0040008","GO:0040008")</f>
        <v>GO:0040008</v>
      </c>
      <c r="B243" t="s">
        <v>3652</v>
      </c>
      <c r="C243">
        <v>154</v>
      </c>
      <c r="D243">
        <v>6</v>
      </c>
      <c r="E243">
        <v>3.8152236905561202E-2</v>
      </c>
      <c r="F243">
        <v>0.72489250120566295</v>
      </c>
      <c r="G243" t="s">
        <v>4609</v>
      </c>
    </row>
    <row r="244" spans="1:7" x14ac:dyDescent="0.25">
      <c r="A244" s="4" t="str">
        <f>HYPERLINK("http://amigo.geneontology.org/cgi-bin/amigo/term-details.cgi?term=GO:0034654","GO:0034654")</f>
        <v>GO:0034654</v>
      </c>
      <c r="B244" t="s">
        <v>709</v>
      </c>
      <c r="C244">
        <v>2685</v>
      </c>
      <c r="D244">
        <v>55</v>
      </c>
      <c r="E244">
        <v>3.9073098589263597E-2</v>
      </c>
      <c r="F244">
        <v>0.74238887319600899</v>
      </c>
      <c r="G244" t="s">
        <v>4675</v>
      </c>
    </row>
    <row r="245" spans="1:7" x14ac:dyDescent="0.25">
      <c r="A245" s="4" t="str">
        <f>HYPERLINK("http://amigo.geneontology.org/cgi-bin/amigo/term-details.cgi?term=GO:0006820","GO:0006820")</f>
        <v>GO:0006820</v>
      </c>
      <c r="B245" t="s">
        <v>2178</v>
      </c>
      <c r="C245">
        <v>515</v>
      </c>
      <c r="D245">
        <v>14</v>
      </c>
      <c r="E245">
        <v>3.99330954739456E-2</v>
      </c>
      <c r="F245">
        <v>0.75872881400496595</v>
      </c>
      <c r="G245" t="s">
        <v>4676</v>
      </c>
    </row>
    <row r="246" spans="1:7" x14ac:dyDescent="0.25">
      <c r="A246" s="4" t="str">
        <f>HYPERLINK("http://amigo.geneontology.org/cgi-bin/amigo/term-details.cgi?term=GO:0030522","GO:0030522")</f>
        <v>GO:0030522</v>
      </c>
      <c r="B246" t="s">
        <v>3119</v>
      </c>
      <c r="C246">
        <v>20</v>
      </c>
      <c r="D246">
        <v>2</v>
      </c>
      <c r="E246">
        <v>4.0155672992141199E-2</v>
      </c>
      <c r="F246">
        <v>0.76295778685068205</v>
      </c>
      <c r="G246" t="s">
        <v>4594</v>
      </c>
    </row>
    <row r="247" spans="1:7" x14ac:dyDescent="0.25">
      <c r="A247" s="4" t="str">
        <f>HYPERLINK("http://amigo.geneontology.org/cgi-bin/amigo/term-details.cgi?term=GO:0009785","GO:0009785")</f>
        <v>GO:0009785</v>
      </c>
      <c r="B247" t="s">
        <v>3118</v>
      </c>
      <c r="C247">
        <v>20</v>
      </c>
      <c r="D247">
        <v>2</v>
      </c>
      <c r="E247">
        <v>4.0155672992141199E-2</v>
      </c>
      <c r="F247">
        <v>0.76295778685068205</v>
      </c>
      <c r="G247" t="s">
        <v>4594</v>
      </c>
    </row>
    <row r="248" spans="1:7" x14ac:dyDescent="0.25">
      <c r="A248" s="4" t="str">
        <f>HYPERLINK("http://amigo.geneontology.org/cgi-bin/amigo/term-details.cgi?term=GO:0016311","GO:0016311")</f>
        <v>GO:0016311</v>
      </c>
      <c r="B248" t="s">
        <v>2259</v>
      </c>
      <c r="C248">
        <v>565</v>
      </c>
      <c r="D248">
        <v>15</v>
      </c>
      <c r="E248">
        <v>4.0803253840392399E-2</v>
      </c>
      <c r="F248">
        <v>0.73445856912706298</v>
      </c>
      <c r="G248" t="s">
        <v>4677</v>
      </c>
    </row>
    <row r="249" spans="1:7" x14ac:dyDescent="0.25">
      <c r="A249" s="4" t="str">
        <f>HYPERLINK("http://amigo.geneontology.org/cgi-bin/amigo/term-details.cgi?term=GO:0009738","GO:0009738")</f>
        <v>GO:0009738</v>
      </c>
      <c r="B249" t="s">
        <v>2241</v>
      </c>
      <c r="C249">
        <v>81</v>
      </c>
      <c r="D249">
        <v>4</v>
      </c>
      <c r="E249">
        <v>4.1217846029831903E-2</v>
      </c>
      <c r="F249">
        <v>0.74192122853697495</v>
      </c>
      <c r="G249" t="s">
        <v>4678</v>
      </c>
    </row>
    <row r="250" spans="1:7" x14ac:dyDescent="0.25">
      <c r="A250" s="4" t="str">
        <f>HYPERLINK("http://amigo.geneontology.org/cgi-bin/amigo/term-details.cgi?term=GO:0035966","GO:0035966")</f>
        <v>GO:0035966</v>
      </c>
      <c r="B250" t="s">
        <v>2157</v>
      </c>
      <c r="C250">
        <v>157</v>
      </c>
      <c r="D250">
        <v>6</v>
      </c>
      <c r="E250">
        <v>4.1269771545961599E-2</v>
      </c>
      <c r="F250">
        <v>0.74285588782730805</v>
      </c>
      <c r="G250" t="s">
        <v>4679</v>
      </c>
    </row>
    <row r="251" spans="1:7" x14ac:dyDescent="0.25">
      <c r="A251" s="4" t="str">
        <f>HYPERLINK("http://amigo.geneontology.org/cgi-bin/amigo/term-details.cgi?term=GO:0044437","GO:0044437")</f>
        <v>GO:0044437</v>
      </c>
      <c r="B251" t="s">
        <v>4680</v>
      </c>
      <c r="C251">
        <v>376</v>
      </c>
      <c r="D251">
        <v>11</v>
      </c>
      <c r="E251">
        <v>4.14977720898893E-2</v>
      </c>
      <c r="F251">
        <v>0.74695989761800796</v>
      </c>
      <c r="G251" t="s">
        <v>4668</v>
      </c>
    </row>
    <row r="252" spans="1:7" x14ac:dyDescent="0.25">
      <c r="A252" s="4" t="str">
        <f>HYPERLINK("http://amigo.geneontology.org/cgi-bin/amigo/term-details.cgi?term=GO:0003002","GO:0003002")</f>
        <v>GO:0003002</v>
      </c>
      <c r="B252" t="s">
        <v>2454</v>
      </c>
      <c r="C252">
        <v>118</v>
      </c>
      <c r="D252">
        <v>5</v>
      </c>
      <c r="E252">
        <v>4.1590486722643101E-2</v>
      </c>
      <c r="F252">
        <v>0.74862876100757703</v>
      </c>
      <c r="G252" t="s">
        <v>4681</v>
      </c>
    </row>
    <row r="253" spans="1:7" x14ac:dyDescent="0.25">
      <c r="A253" s="4" t="str">
        <f>HYPERLINK("http://amigo.geneontology.org/cgi-bin/amigo/term-details.cgi?term=GO:0006972","GO:0006972")</f>
        <v>GO:0006972</v>
      </c>
      <c r="B253" t="s">
        <v>2085</v>
      </c>
      <c r="C253">
        <v>82</v>
      </c>
      <c r="D253">
        <v>4</v>
      </c>
      <c r="E253">
        <v>4.2803821671836398E-2</v>
      </c>
      <c r="F253">
        <v>0.77046879009305602</v>
      </c>
      <c r="G253" t="s">
        <v>4529</v>
      </c>
    </row>
    <row r="254" spans="1:7" x14ac:dyDescent="0.25">
      <c r="A254" s="4" t="str">
        <f>HYPERLINK("http://amigo.geneontology.org/cgi-bin/amigo/term-details.cgi?term=GO:0007389","GO:0007389")</f>
        <v>GO:0007389</v>
      </c>
      <c r="B254" t="s">
        <v>3334</v>
      </c>
      <c r="C254">
        <v>159</v>
      </c>
      <c r="D254">
        <v>6</v>
      </c>
      <c r="E254">
        <v>4.3434748449571403E-2</v>
      </c>
      <c r="F254">
        <v>0.78182547209228503</v>
      </c>
      <c r="G254" t="s">
        <v>4682</v>
      </c>
    </row>
    <row r="255" spans="1:7" x14ac:dyDescent="0.25">
      <c r="A255" s="4" t="str">
        <f>HYPERLINK("http://amigo.geneontology.org/cgi-bin/amigo/term-details.cgi?term=GO:0001558","GO:0001558")</f>
        <v>GO:0001558</v>
      </c>
      <c r="B255" t="s">
        <v>4683</v>
      </c>
      <c r="C255">
        <v>49</v>
      </c>
      <c r="D255">
        <v>3</v>
      </c>
      <c r="E255">
        <v>4.3691085621516898E-2</v>
      </c>
      <c r="F255">
        <v>0.78643954118730397</v>
      </c>
      <c r="G255" t="s">
        <v>4638</v>
      </c>
    </row>
    <row r="256" spans="1:7" x14ac:dyDescent="0.25">
      <c r="A256" s="4" t="str">
        <f>HYPERLINK("http://amigo.geneontology.org/cgi-bin/amigo/term-details.cgi?term=GO:0003682","GO:0003682")</f>
        <v>GO:0003682</v>
      </c>
      <c r="B256" t="s">
        <v>4684</v>
      </c>
      <c r="C256">
        <v>620</v>
      </c>
      <c r="D256">
        <v>16</v>
      </c>
      <c r="E256">
        <v>4.3917553719231103E-2</v>
      </c>
      <c r="F256">
        <v>0.790515966946161</v>
      </c>
      <c r="G256" t="s">
        <v>4685</v>
      </c>
    </row>
    <row r="257" spans="1:7" x14ac:dyDescent="0.25">
      <c r="A257" s="4" t="str">
        <f>HYPERLINK("http://amigo.geneontology.org/cgi-bin/amigo/term-details.cgi?term=GO:0019673","GO:0019673")</f>
        <v>GO:0019673</v>
      </c>
      <c r="B257" t="s">
        <v>4686</v>
      </c>
      <c r="C257">
        <v>21</v>
      </c>
      <c r="D257">
        <v>2</v>
      </c>
      <c r="E257">
        <v>4.3921595099069399E-2</v>
      </c>
      <c r="F257">
        <v>0.79058871178324996</v>
      </c>
      <c r="G257" t="s">
        <v>4521</v>
      </c>
    </row>
    <row r="258" spans="1:7" x14ac:dyDescent="0.25">
      <c r="A258" s="4" t="str">
        <f>HYPERLINK("http://amigo.geneontology.org/cgi-bin/amigo/term-details.cgi?term=GO:0003995","GO:0003995")</f>
        <v>GO:0003995</v>
      </c>
      <c r="B258" t="s">
        <v>165</v>
      </c>
      <c r="C258">
        <v>21</v>
      </c>
      <c r="D258">
        <v>2</v>
      </c>
      <c r="E258">
        <v>4.3921595099069399E-2</v>
      </c>
      <c r="F258">
        <v>0.79058871178324996</v>
      </c>
      <c r="G258" t="s">
        <v>4615</v>
      </c>
    </row>
    <row r="259" spans="1:7" x14ac:dyDescent="0.25">
      <c r="A259" s="4" t="str">
        <f>HYPERLINK("http://amigo.geneontology.org/cgi-bin/amigo/term-details.cgi?term=GO:0006635","GO:0006635")</f>
        <v>GO:0006635</v>
      </c>
      <c r="B259" t="s">
        <v>2081</v>
      </c>
      <c r="C259">
        <v>120</v>
      </c>
      <c r="D259">
        <v>5</v>
      </c>
      <c r="E259">
        <v>4.4166178430318899E-2</v>
      </c>
      <c r="F259">
        <v>0.79499121174573995</v>
      </c>
      <c r="G259" t="s">
        <v>4687</v>
      </c>
    </row>
    <row r="260" spans="1:7" x14ac:dyDescent="0.25">
      <c r="A260" s="4" t="str">
        <f>HYPERLINK("http://amigo.geneontology.org/cgi-bin/amigo/term-details.cgi?term=GO:0050801","GO:0050801")</f>
        <v>GO:0050801</v>
      </c>
      <c r="B260" t="s">
        <v>117</v>
      </c>
      <c r="C260">
        <v>160</v>
      </c>
      <c r="D260">
        <v>6</v>
      </c>
      <c r="E260">
        <v>4.4543395184904702E-2</v>
      </c>
      <c r="F260">
        <v>0.75723771814338003</v>
      </c>
      <c r="G260" t="s">
        <v>4608</v>
      </c>
    </row>
    <row r="261" spans="1:7" x14ac:dyDescent="0.25">
      <c r="A261" s="4" t="str">
        <f>HYPERLINK("http://amigo.geneontology.org/cgi-bin/amigo/term-details.cgi?term=GO:0009116","GO:0009116")</f>
        <v>GO:0009116</v>
      </c>
      <c r="B261" t="s">
        <v>4688</v>
      </c>
      <c r="C261">
        <v>160</v>
      </c>
      <c r="D261">
        <v>6</v>
      </c>
      <c r="E261">
        <v>4.4543395184904702E-2</v>
      </c>
      <c r="F261">
        <v>0.80178111332828395</v>
      </c>
      <c r="G261" t="s">
        <v>4689</v>
      </c>
    </row>
    <row r="262" spans="1:7" x14ac:dyDescent="0.25">
      <c r="A262" s="4" t="str">
        <f>HYPERLINK("http://amigo.geneontology.org/cgi-bin/amigo/term-details.cgi?term=GO:0050790","GO:0050790")</f>
        <v>GO:0050790</v>
      </c>
      <c r="B262" t="s">
        <v>1129</v>
      </c>
      <c r="C262">
        <v>622</v>
      </c>
      <c r="D262">
        <v>16</v>
      </c>
      <c r="E262">
        <v>4.4968678117395099E-2</v>
      </c>
      <c r="F262">
        <v>0.76446752799571605</v>
      </c>
      <c r="G262" t="s">
        <v>4690</v>
      </c>
    </row>
    <row r="263" spans="1:7" x14ac:dyDescent="0.25">
      <c r="A263" s="4" t="str">
        <f>HYPERLINK("http://amigo.geneontology.org/cgi-bin/amigo/term-details.cgi?term=GO:0042398","GO:0042398")</f>
        <v>GO:0042398</v>
      </c>
      <c r="B263" t="s">
        <v>4691</v>
      </c>
      <c r="C263">
        <v>84</v>
      </c>
      <c r="D263">
        <v>4</v>
      </c>
      <c r="E263">
        <v>4.6077595096944798E-2</v>
      </c>
      <c r="F263">
        <v>0.78331911664806197</v>
      </c>
      <c r="G263" t="s">
        <v>4692</v>
      </c>
    </row>
    <row r="264" spans="1:7" x14ac:dyDescent="0.25">
      <c r="A264" s="4" t="str">
        <f>HYPERLINK("http://amigo.geneontology.org/cgi-bin/amigo/term-details.cgi?term=GO:0097306","GO:0097306")</f>
        <v>GO:0097306</v>
      </c>
      <c r="B264" t="s">
        <v>2238</v>
      </c>
      <c r="C264">
        <v>84</v>
      </c>
      <c r="D264">
        <v>4</v>
      </c>
      <c r="E264">
        <v>4.6077595096944798E-2</v>
      </c>
      <c r="F264">
        <v>0.78331911664806197</v>
      </c>
      <c r="G264" t="s">
        <v>4678</v>
      </c>
    </row>
    <row r="265" spans="1:7" x14ac:dyDescent="0.25">
      <c r="A265" s="4" t="str">
        <f>HYPERLINK("http://amigo.geneontology.org/cgi-bin/amigo/term-details.cgi?term=GO:0071215","GO:0071215")</f>
        <v>GO:0071215</v>
      </c>
      <c r="B265" t="s">
        <v>2237</v>
      </c>
      <c r="C265">
        <v>84</v>
      </c>
      <c r="D265">
        <v>4</v>
      </c>
      <c r="E265">
        <v>4.6077595096944798E-2</v>
      </c>
      <c r="F265">
        <v>0.78331911664806197</v>
      </c>
      <c r="G265" t="s">
        <v>4678</v>
      </c>
    </row>
    <row r="266" spans="1:7" x14ac:dyDescent="0.25">
      <c r="A266" s="4" t="str">
        <f>HYPERLINK("http://amigo.geneontology.org/cgi-bin/amigo/term-details.cgi?term=GO:0006810","GO:0006810")</f>
        <v>GO:0006810</v>
      </c>
      <c r="B266" t="s">
        <v>821</v>
      </c>
      <c r="C266">
        <v>6389</v>
      </c>
      <c r="D266">
        <v>119</v>
      </c>
      <c r="E266">
        <v>4.7181272582268799E-2</v>
      </c>
      <c r="F266">
        <v>0.80208163389856901</v>
      </c>
      <c r="G266" t="s">
        <v>4693</v>
      </c>
    </row>
    <row r="267" spans="1:7" x14ac:dyDescent="0.25">
      <c r="A267" s="4" t="str">
        <f>HYPERLINK("http://amigo.geneontology.org/cgi-bin/amigo/term-details.cgi?term=GO:0004353","GO:0004353")</f>
        <v>GO:0004353</v>
      </c>
      <c r="B267" t="s">
        <v>4694</v>
      </c>
      <c r="C267">
        <v>3</v>
      </c>
      <c r="D267">
        <v>1</v>
      </c>
      <c r="E267">
        <v>4.7226749826671299E-2</v>
      </c>
      <c r="F267">
        <v>0.75562799722674101</v>
      </c>
      <c r="G267" t="s">
        <v>14</v>
      </c>
    </row>
    <row r="268" spans="1:7" x14ac:dyDescent="0.25">
      <c r="A268" s="4" t="str">
        <f>HYPERLINK("http://amigo.geneontology.org/cgi-bin/amigo/term-details.cgi?term=GO:0004352","GO:0004352")</f>
        <v>GO:0004352</v>
      </c>
      <c r="B268" t="s">
        <v>4695</v>
      </c>
      <c r="C268">
        <v>3</v>
      </c>
      <c r="D268">
        <v>1</v>
      </c>
      <c r="E268">
        <v>4.7226749826671299E-2</v>
      </c>
      <c r="F268">
        <v>0.75562799722674101</v>
      </c>
      <c r="G268" t="s">
        <v>14</v>
      </c>
    </row>
    <row r="269" spans="1:7" x14ac:dyDescent="0.25">
      <c r="A269" s="4" t="str">
        <f>HYPERLINK("http://amigo.geneontology.org/cgi-bin/amigo/term-details.cgi?term=GO:0016532","GO:0016532")</f>
        <v>GO:0016532</v>
      </c>
      <c r="B269" t="s">
        <v>4696</v>
      </c>
      <c r="C269">
        <v>3</v>
      </c>
      <c r="D269">
        <v>1</v>
      </c>
      <c r="E269">
        <v>4.7226749826671299E-2</v>
      </c>
      <c r="F269">
        <v>0.75562799722674101</v>
      </c>
      <c r="G269" t="s">
        <v>18</v>
      </c>
    </row>
    <row r="270" spans="1:7" x14ac:dyDescent="0.25">
      <c r="A270" s="4" t="str">
        <f>HYPERLINK("http://amigo.geneontology.org/cgi-bin/amigo/term-details.cgi?term=GO:0015807","GO:0015807")</f>
        <v>GO:0015807</v>
      </c>
      <c r="B270" t="s">
        <v>4697</v>
      </c>
      <c r="C270">
        <v>3</v>
      </c>
      <c r="D270">
        <v>1</v>
      </c>
      <c r="E270">
        <v>4.7226749826671299E-2</v>
      </c>
      <c r="F270">
        <v>0.75562799722674101</v>
      </c>
      <c r="G270" t="s">
        <v>25</v>
      </c>
    </row>
    <row r="271" spans="1:7" x14ac:dyDescent="0.25">
      <c r="A271" s="4" t="str">
        <f>HYPERLINK("http://amigo.geneontology.org/cgi-bin/amigo/term-details.cgi?term=GO:0015141","GO:0015141")</f>
        <v>GO:0015141</v>
      </c>
      <c r="B271" t="s">
        <v>4698</v>
      </c>
      <c r="C271">
        <v>3</v>
      </c>
      <c r="D271">
        <v>1</v>
      </c>
      <c r="E271">
        <v>4.7226749826671299E-2</v>
      </c>
      <c r="F271">
        <v>0.80285474705341198</v>
      </c>
      <c r="G271" t="s">
        <v>41</v>
      </c>
    </row>
    <row r="272" spans="1:7" x14ac:dyDescent="0.25">
      <c r="A272" s="4" t="str">
        <f>HYPERLINK("http://amigo.geneontology.org/cgi-bin/amigo/term-details.cgi?term=GO:0015744","GO:0015744")</f>
        <v>GO:0015744</v>
      </c>
      <c r="B272" t="s">
        <v>4699</v>
      </c>
      <c r="C272">
        <v>3</v>
      </c>
      <c r="D272">
        <v>1</v>
      </c>
      <c r="E272">
        <v>4.7226749826671299E-2</v>
      </c>
      <c r="F272">
        <v>0.80285474705341198</v>
      </c>
      <c r="G272" t="s">
        <v>41</v>
      </c>
    </row>
    <row r="273" spans="1:7" x14ac:dyDescent="0.25">
      <c r="A273" s="4" t="str">
        <f>HYPERLINK("http://amigo.geneontology.org/cgi-bin/amigo/term-details.cgi?term=GO:0071422","GO:0071422")</f>
        <v>GO:0071422</v>
      </c>
      <c r="B273" t="s">
        <v>4700</v>
      </c>
      <c r="C273">
        <v>3</v>
      </c>
      <c r="D273">
        <v>1</v>
      </c>
      <c r="E273">
        <v>4.7226749826671299E-2</v>
      </c>
      <c r="F273">
        <v>0.80285474705341198</v>
      </c>
      <c r="G273" t="s">
        <v>41</v>
      </c>
    </row>
    <row r="274" spans="1:7" x14ac:dyDescent="0.25">
      <c r="A274" s="4" t="str">
        <f>HYPERLINK("http://amigo.geneontology.org/cgi-bin/amigo/term-details.cgi?term=GO:0048244","GO:0048244")</f>
        <v>GO:0048244</v>
      </c>
      <c r="B274" t="s">
        <v>4701</v>
      </c>
      <c r="C274">
        <v>3</v>
      </c>
      <c r="D274">
        <v>1</v>
      </c>
      <c r="E274">
        <v>4.7226749826671299E-2</v>
      </c>
      <c r="F274">
        <v>0.80285474705341198</v>
      </c>
      <c r="G274" t="s">
        <v>42</v>
      </c>
    </row>
    <row r="275" spans="1:7" x14ac:dyDescent="0.25">
      <c r="A275" s="4" t="str">
        <f>HYPERLINK("http://amigo.geneontology.org/cgi-bin/amigo/term-details.cgi?term=GO:0004506","GO:0004506")</f>
        <v>GO:0004506</v>
      </c>
      <c r="B275" t="s">
        <v>4702</v>
      </c>
      <c r="C275">
        <v>3</v>
      </c>
      <c r="D275">
        <v>1</v>
      </c>
      <c r="E275">
        <v>4.7226749826671299E-2</v>
      </c>
      <c r="F275">
        <v>0.80285474705341198</v>
      </c>
      <c r="G275" t="s">
        <v>47</v>
      </c>
    </row>
    <row r="276" spans="1:7" x14ac:dyDescent="0.25">
      <c r="A276" s="4" t="str">
        <f>HYPERLINK("http://amigo.geneontology.org/cgi-bin/amigo/term-details.cgi?term=GO:0008478","GO:0008478")</f>
        <v>GO:0008478</v>
      </c>
      <c r="B276" t="s">
        <v>1284</v>
      </c>
      <c r="C276">
        <v>3</v>
      </c>
      <c r="D276">
        <v>1</v>
      </c>
      <c r="E276">
        <v>4.7226749826671299E-2</v>
      </c>
      <c r="F276">
        <v>0.80285474705341198</v>
      </c>
      <c r="G276" t="s">
        <v>48</v>
      </c>
    </row>
    <row r="277" spans="1:7" x14ac:dyDescent="0.25">
      <c r="A277" s="4" t="str">
        <f>HYPERLINK("http://amigo.geneontology.org/cgi-bin/amigo/term-details.cgi?term=GO:1901016","GO:1901016")</f>
        <v>GO:1901016</v>
      </c>
      <c r="B277" t="s">
        <v>4703</v>
      </c>
      <c r="C277">
        <v>3</v>
      </c>
      <c r="D277">
        <v>1</v>
      </c>
      <c r="E277">
        <v>4.7226749826671299E-2</v>
      </c>
      <c r="F277">
        <v>0.80285474705341198</v>
      </c>
      <c r="G277" t="s">
        <v>4704</v>
      </c>
    </row>
    <row r="278" spans="1:7" x14ac:dyDescent="0.25">
      <c r="A278" s="4" t="str">
        <f>HYPERLINK("http://amigo.geneontology.org/cgi-bin/amigo/term-details.cgi?term=GO:2001257","GO:2001257")</f>
        <v>GO:2001257</v>
      </c>
      <c r="B278" t="s">
        <v>4705</v>
      </c>
      <c r="C278">
        <v>3</v>
      </c>
      <c r="D278">
        <v>1</v>
      </c>
      <c r="E278">
        <v>4.7226749826671299E-2</v>
      </c>
      <c r="F278">
        <v>0.80285474705341198</v>
      </c>
      <c r="G278" t="s">
        <v>4704</v>
      </c>
    </row>
    <row r="279" spans="1:7" x14ac:dyDescent="0.25">
      <c r="A279" s="4" t="str">
        <f>HYPERLINK("http://amigo.geneontology.org/cgi-bin/amigo/term-details.cgi?term=GO:1901979","GO:1901979")</f>
        <v>GO:1901979</v>
      </c>
      <c r="B279" t="s">
        <v>4706</v>
      </c>
      <c r="C279">
        <v>3</v>
      </c>
      <c r="D279">
        <v>1</v>
      </c>
      <c r="E279">
        <v>4.7226749826671299E-2</v>
      </c>
      <c r="F279">
        <v>0.80285474705341198</v>
      </c>
      <c r="G279" t="s">
        <v>4704</v>
      </c>
    </row>
    <row r="280" spans="1:7" x14ac:dyDescent="0.25">
      <c r="A280" s="4" t="str">
        <f>HYPERLINK("http://amigo.geneontology.org/cgi-bin/amigo/term-details.cgi?term=GO:0009163","GO:0009163")</f>
        <v>GO:0009163</v>
      </c>
      <c r="B280" t="s">
        <v>2487</v>
      </c>
      <c r="C280">
        <v>85</v>
      </c>
      <c r="D280">
        <v>4</v>
      </c>
      <c r="E280">
        <v>4.7765319111726198E-2</v>
      </c>
      <c r="F280">
        <v>0.76424510578761895</v>
      </c>
      <c r="G280" t="s">
        <v>4449</v>
      </c>
    </row>
    <row r="281" spans="1:7" x14ac:dyDescent="0.25">
      <c r="A281" s="4" t="str">
        <f>HYPERLINK("http://amigo.geneontology.org/cgi-bin/amigo/term-details.cgi?term=GO:0042455","GO:0042455")</f>
        <v>GO:0042455</v>
      </c>
      <c r="B281" t="s">
        <v>2486</v>
      </c>
      <c r="C281">
        <v>85</v>
      </c>
      <c r="D281">
        <v>4</v>
      </c>
      <c r="E281">
        <v>4.7765319111726198E-2</v>
      </c>
      <c r="F281">
        <v>0.76424510578761895</v>
      </c>
      <c r="G281" t="s">
        <v>4449</v>
      </c>
    </row>
    <row r="282" spans="1:7" x14ac:dyDescent="0.25">
      <c r="A282" s="4" t="str">
        <f>HYPERLINK("http://amigo.geneontology.org/cgi-bin/amigo/term-details.cgi?term=GO:0006638","GO:0006638")</f>
        <v>GO:0006638</v>
      </c>
      <c r="B282" t="s">
        <v>4707</v>
      </c>
      <c r="C282">
        <v>22</v>
      </c>
      <c r="D282">
        <v>2</v>
      </c>
      <c r="E282">
        <v>4.7812644753533799E-2</v>
      </c>
      <c r="F282">
        <v>0.76500231605654201</v>
      </c>
      <c r="G282" t="s">
        <v>4670</v>
      </c>
    </row>
    <row r="283" spans="1:7" x14ac:dyDescent="0.25">
      <c r="A283" s="4" t="str">
        <f>HYPERLINK("http://amigo.geneontology.org/cgi-bin/amigo/term-details.cgi?term=GO:0006639","GO:0006639")</f>
        <v>GO:0006639</v>
      </c>
      <c r="B283" t="s">
        <v>4708</v>
      </c>
      <c r="C283">
        <v>22</v>
      </c>
      <c r="D283">
        <v>2</v>
      </c>
      <c r="E283">
        <v>4.7812644753533799E-2</v>
      </c>
      <c r="F283">
        <v>0.76500231605654201</v>
      </c>
      <c r="G283" t="s">
        <v>4670</v>
      </c>
    </row>
    <row r="284" spans="1:7" x14ac:dyDescent="0.25">
      <c r="A284" s="4" t="str">
        <f>HYPERLINK("http://amigo.geneontology.org/cgi-bin/amigo/term-details.cgi?term=GO:0033926","GO:0033926")</f>
        <v>GO:0033926</v>
      </c>
      <c r="B284" t="s">
        <v>164</v>
      </c>
      <c r="C284">
        <v>22</v>
      </c>
      <c r="D284">
        <v>2</v>
      </c>
      <c r="E284">
        <v>4.7812644753533799E-2</v>
      </c>
      <c r="F284">
        <v>0.76500231605654201</v>
      </c>
      <c r="G284" t="s">
        <v>4709</v>
      </c>
    </row>
    <row r="285" spans="1:7" x14ac:dyDescent="0.25">
      <c r="A285" s="4" t="str">
        <f>HYPERLINK("http://amigo.geneontology.org/cgi-bin/amigo/term-details.cgi?term=GO:0071483","GO:0071483")</f>
        <v>GO:0071483</v>
      </c>
      <c r="B285" t="s">
        <v>3026</v>
      </c>
      <c r="C285">
        <v>22</v>
      </c>
      <c r="D285">
        <v>2</v>
      </c>
      <c r="E285">
        <v>4.7812644753533799E-2</v>
      </c>
      <c r="F285">
        <v>0.76500231605654201</v>
      </c>
      <c r="G285" t="s">
        <v>4594</v>
      </c>
    </row>
    <row r="286" spans="1:7" x14ac:dyDescent="0.25">
      <c r="A286" s="4" t="str">
        <f>HYPERLINK("http://amigo.geneontology.org/cgi-bin/amigo/term-details.cgi?term=GO:0006561","GO:0006561")</f>
        <v>GO:0006561</v>
      </c>
      <c r="B286" t="s">
        <v>4710</v>
      </c>
      <c r="C286">
        <v>22</v>
      </c>
      <c r="D286">
        <v>2</v>
      </c>
      <c r="E286">
        <v>4.7812644753533799E-2</v>
      </c>
      <c r="F286">
        <v>0.76500231605654201</v>
      </c>
      <c r="G286" t="s">
        <v>4711</v>
      </c>
    </row>
    <row r="287" spans="1:7" x14ac:dyDescent="0.25">
      <c r="A287" s="4" t="str">
        <f>HYPERLINK("http://amigo.geneontology.org/cgi-bin/amigo/term-details.cgi?term=GO:0006811","GO:0006811")</f>
        <v>GO:0006811</v>
      </c>
      <c r="B287" t="s">
        <v>141</v>
      </c>
      <c r="C287">
        <v>1892</v>
      </c>
      <c r="D287">
        <v>40</v>
      </c>
      <c r="E287">
        <v>4.7845615266856101E-2</v>
      </c>
      <c r="F287">
        <v>0.76552984426969795</v>
      </c>
      <c r="G287" t="s">
        <v>4712</v>
      </c>
    </row>
    <row r="288" spans="1:7" x14ac:dyDescent="0.25">
      <c r="A288" s="4" t="str">
        <f>HYPERLINK("http://amigo.geneontology.org/cgi-bin/amigo/term-details.cgi?term=GO:0010941","GO:0010941")</f>
        <v>GO:0010941</v>
      </c>
      <c r="B288" t="s">
        <v>2293</v>
      </c>
      <c r="C288">
        <v>123</v>
      </c>
      <c r="D288">
        <v>5</v>
      </c>
      <c r="E288">
        <v>4.8204989144337101E-2</v>
      </c>
      <c r="F288">
        <v>0.77127982630939396</v>
      </c>
      <c r="G288" t="s">
        <v>4502</v>
      </c>
    </row>
    <row r="289" spans="1:7" x14ac:dyDescent="0.25">
      <c r="A289" s="4" t="str">
        <f>HYPERLINK("http://amigo.geneontology.org/cgi-bin/amigo/term-details.cgi?term=GO:0009119","GO:0009119")</f>
        <v>GO:0009119</v>
      </c>
      <c r="B289" t="s">
        <v>4713</v>
      </c>
      <c r="C289">
        <v>123</v>
      </c>
      <c r="D289">
        <v>5</v>
      </c>
      <c r="E289">
        <v>4.8204989144337101E-2</v>
      </c>
      <c r="F289">
        <v>0.77127982630939396</v>
      </c>
      <c r="G289" t="s">
        <v>4536</v>
      </c>
    </row>
    <row r="290" spans="1:7" x14ac:dyDescent="0.25">
      <c r="A290" s="4" t="str">
        <f>HYPERLINK("http://amigo.geneontology.org/cgi-bin/amigo/term-details.cgi?term=GO:0022604","GO:0022604")</f>
        <v>GO:0022604</v>
      </c>
      <c r="B290" t="s">
        <v>2846</v>
      </c>
      <c r="C290">
        <v>51</v>
      </c>
      <c r="D290">
        <v>3</v>
      </c>
      <c r="E290">
        <v>4.8255828760906699E-2</v>
      </c>
      <c r="F290">
        <v>0.77209326017450697</v>
      </c>
      <c r="G290" t="s">
        <v>4638</v>
      </c>
    </row>
    <row r="291" spans="1:7" x14ac:dyDescent="0.25">
      <c r="A291" s="4" t="str">
        <f>HYPERLINK("http://amigo.geneontology.org/cgi-bin/amigo/term-details.cgi?term=GO:0051234","GO:0051234")</f>
        <v>GO:0051234</v>
      </c>
      <c r="B291" t="s">
        <v>822</v>
      </c>
      <c r="C291">
        <v>6517</v>
      </c>
      <c r="D291">
        <v>121</v>
      </c>
      <c r="E291">
        <v>4.9080071786042199E-2</v>
      </c>
      <c r="F291">
        <v>0.78528114857667497</v>
      </c>
      <c r="G291" t="s">
        <v>4714</v>
      </c>
    </row>
    <row r="292" spans="1:7" x14ac:dyDescent="0.25">
      <c r="A292" s="4" t="str">
        <f>HYPERLINK("http://amigo.geneontology.org/cgi-bin/amigo/term-details.cgi?term=GO:0008643","GO:0008643")</f>
        <v>GO:0008643</v>
      </c>
      <c r="B292" t="s">
        <v>1491</v>
      </c>
      <c r="C292">
        <v>124</v>
      </c>
      <c r="D292">
        <v>5</v>
      </c>
      <c r="E292">
        <v>4.9598123887492601E-2</v>
      </c>
      <c r="F292">
        <v>0.79356998219988195</v>
      </c>
      <c r="G292" t="s">
        <v>4715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workbookViewId="0">
      <pane xSplit="5" ySplit="10" topLeftCell="F63" activePane="bottomRight" state="frozen"/>
      <selection pane="topRight" activeCell="F1" sqref="F1"/>
      <selection pane="bottomLeft" activeCell="A11" sqref="A11"/>
      <selection pane="bottomRight" activeCell="A78" sqref="A78"/>
    </sheetView>
  </sheetViews>
  <sheetFormatPr defaultRowHeight="15" x14ac:dyDescent="0.25"/>
  <cols>
    <col min="1" max="1" width="14.5703125" customWidth="1"/>
    <col min="2" max="2" width="33.85546875" customWidth="1"/>
  </cols>
  <sheetData>
    <row r="1" spans="1:7" x14ac:dyDescent="0.25">
      <c r="A1" t="s">
        <v>392</v>
      </c>
      <c r="B1">
        <v>351</v>
      </c>
    </row>
    <row r="2" spans="1:7" x14ac:dyDescent="0.25">
      <c r="A2" t="s">
        <v>391</v>
      </c>
      <c r="B2">
        <v>77079</v>
      </c>
    </row>
    <row r="3" spans="1:7" x14ac:dyDescent="0.25">
      <c r="A3" t="s">
        <v>390</v>
      </c>
      <c r="B3" t="s">
        <v>389</v>
      </c>
    </row>
    <row r="4" spans="1:7" x14ac:dyDescent="0.25">
      <c r="A4" t="s">
        <v>388</v>
      </c>
      <c r="B4" t="s">
        <v>387</v>
      </c>
    </row>
    <row r="5" spans="1:7" x14ac:dyDescent="0.25">
      <c r="A5" t="s">
        <v>386</v>
      </c>
      <c r="B5" t="s">
        <v>385</v>
      </c>
    </row>
    <row r="6" spans="1:7" x14ac:dyDescent="0.25">
      <c r="A6" t="s">
        <v>384</v>
      </c>
      <c r="B6" t="s">
        <v>383</v>
      </c>
    </row>
    <row r="7" spans="1:7" x14ac:dyDescent="0.25">
      <c r="A7" t="s">
        <v>382</v>
      </c>
      <c r="B7" t="s">
        <v>381</v>
      </c>
    </row>
    <row r="8" spans="1:7" x14ac:dyDescent="0.25">
      <c r="A8" t="s">
        <v>380</v>
      </c>
      <c r="B8">
        <v>3</v>
      </c>
    </row>
    <row r="10" spans="1:7" x14ac:dyDescent="0.25">
      <c r="A10" t="s">
        <v>379</v>
      </c>
      <c r="B10" t="s">
        <v>378</v>
      </c>
      <c r="C10" t="s">
        <v>377</v>
      </c>
      <c r="D10" t="s">
        <v>376</v>
      </c>
      <c r="E10" t="s">
        <v>375</v>
      </c>
      <c r="F10" t="s">
        <v>374</v>
      </c>
      <c r="G10" t="s">
        <v>373</v>
      </c>
    </row>
    <row r="11" spans="1:7" x14ac:dyDescent="0.25">
      <c r="A11" s="4" t="str">
        <f>HYPERLINK("http://amigo.geneontology.org/cgi-bin/amigo/term-details.cgi?term=GO:0004672","GO:0004672")</f>
        <v>GO:0004672</v>
      </c>
      <c r="B11" t="s">
        <v>368</v>
      </c>
      <c r="C11">
        <v>5633</v>
      </c>
      <c r="D11">
        <v>71</v>
      </c>
      <c r="E11" s="2">
        <v>4.5419598028742504E-15</v>
      </c>
      <c r="F11" s="2">
        <v>2.0506948509977199E-11</v>
      </c>
      <c r="G11" t="s">
        <v>4355</v>
      </c>
    </row>
    <row r="12" spans="1:7" x14ac:dyDescent="0.25">
      <c r="A12" s="4" t="str">
        <f>HYPERLINK("http://amigo.geneontology.org/cgi-bin/amigo/term-details.cgi?term=GO:0006468","GO:0006468")</f>
        <v>GO:0006468</v>
      </c>
      <c r="B12" t="s">
        <v>370</v>
      </c>
      <c r="C12">
        <v>5693</v>
      </c>
      <c r="D12">
        <v>71</v>
      </c>
      <c r="E12" s="2">
        <v>7.6874776657785999E-15</v>
      </c>
      <c r="F12" s="2">
        <v>1.73506370916623E-11</v>
      </c>
      <c r="G12" t="s">
        <v>4355</v>
      </c>
    </row>
    <row r="13" spans="1:7" x14ac:dyDescent="0.25">
      <c r="A13" s="4" t="str">
        <f>HYPERLINK("http://amigo.geneontology.org/cgi-bin/amigo/term-details.cgi?term=GO:0016773","GO:0016773")</f>
        <v>GO:0016773</v>
      </c>
      <c r="B13" t="s">
        <v>369</v>
      </c>
      <c r="C13">
        <v>6062</v>
      </c>
      <c r="D13">
        <v>73</v>
      </c>
      <c r="E13" s="2">
        <v>1.72495330631858E-14</v>
      </c>
      <c r="F13" s="2">
        <v>2.59605472600946E-11</v>
      </c>
      <c r="G13" t="s">
        <v>4356</v>
      </c>
    </row>
    <row r="14" spans="1:7" x14ac:dyDescent="0.25">
      <c r="A14" s="4" t="str">
        <f>HYPERLINK("http://amigo.geneontology.org/cgi-bin/amigo/term-details.cgi?term=GO:0016301","GO:0016301")</f>
        <v>GO:0016301</v>
      </c>
      <c r="B14" t="s">
        <v>365</v>
      </c>
      <c r="C14">
        <v>6285</v>
      </c>
      <c r="D14">
        <v>74</v>
      </c>
      <c r="E14" s="2">
        <v>3.4093839852408498E-14</v>
      </c>
      <c r="F14" s="2">
        <v>3.8457851353516698E-11</v>
      </c>
      <c r="G14" t="s">
        <v>4357</v>
      </c>
    </row>
    <row r="15" spans="1:7" x14ac:dyDescent="0.25">
      <c r="A15" s="4" t="str">
        <f>HYPERLINK("http://amigo.geneontology.org/cgi-bin/amigo/term-details.cgi?term=GO:0016310","GO:0016310")</f>
        <v>GO:0016310</v>
      </c>
      <c r="B15" t="s">
        <v>366</v>
      </c>
      <c r="C15">
        <v>6439</v>
      </c>
      <c r="D15">
        <v>75</v>
      </c>
      <c r="E15" s="2">
        <v>3.7890293400296802E-14</v>
      </c>
      <c r="F15" s="2">
        <v>3.4214934940468002E-11</v>
      </c>
      <c r="G15" t="s">
        <v>4358</v>
      </c>
    </row>
    <row r="16" spans="1:7" x14ac:dyDescent="0.25">
      <c r="A16" s="4" t="str">
        <f>HYPERLINK("http://amigo.geneontology.org/cgi-bin/amigo/term-details.cgi?term=GO:0030145","GO:0030145")</f>
        <v>GO:0030145</v>
      </c>
      <c r="B16" t="s">
        <v>359</v>
      </c>
      <c r="C16">
        <v>300</v>
      </c>
      <c r="D16">
        <v>16</v>
      </c>
      <c r="E16" s="2">
        <v>1.03504085867326E-12</v>
      </c>
      <c r="F16" s="2">
        <v>7.7835072572229404E-10</v>
      </c>
      <c r="G16" t="s">
        <v>4359</v>
      </c>
    </row>
    <row r="17" spans="1:7" x14ac:dyDescent="0.25">
      <c r="A17" s="4" t="str">
        <f>HYPERLINK("http://amigo.geneontology.org/cgi-bin/amigo/term-details.cgi?term=GO:0016740","GO:0016740")</f>
        <v>GO:0016740</v>
      </c>
      <c r="B17" t="s">
        <v>955</v>
      </c>
      <c r="C17">
        <v>12914</v>
      </c>
      <c r="D17">
        <v>112</v>
      </c>
      <c r="E17" s="2">
        <v>2.30009881355967E-12</v>
      </c>
      <c r="F17" s="2">
        <v>1.48356373474599E-9</v>
      </c>
      <c r="G17" t="s">
        <v>4360</v>
      </c>
    </row>
    <row r="18" spans="1:7" x14ac:dyDescent="0.25">
      <c r="A18" s="4" t="str">
        <f>HYPERLINK("http://amigo.geneontology.org/cgi-bin/amigo/term-details.cgi?term=GO:0016772","GO:0016772")</f>
        <v>GO:0016772</v>
      </c>
      <c r="B18" t="s">
        <v>951</v>
      </c>
      <c r="C18">
        <v>6904</v>
      </c>
      <c r="D18">
        <v>74</v>
      </c>
      <c r="E18" s="2">
        <v>3.4102289734603098E-12</v>
      </c>
      <c r="F18" s="2">
        <v>1.9233691410316101E-9</v>
      </c>
      <c r="G18" t="s">
        <v>4357</v>
      </c>
    </row>
    <row r="19" spans="1:7" x14ac:dyDescent="0.25">
      <c r="A19" s="4" t="str">
        <f>HYPERLINK("http://amigo.geneontology.org/cgi-bin/amigo/term-details.cgi?term=GO:0004674","GO:0004674")</f>
        <v>GO:0004674</v>
      </c>
      <c r="B19" t="s">
        <v>325</v>
      </c>
      <c r="C19">
        <v>2443</v>
      </c>
      <c r="D19">
        <v>39</v>
      </c>
      <c r="E19" s="2">
        <v>1.72119770113776E-11</v>
      </c>
      <c r="F19" s="2">
        <v>8.6232004827001808E-9</v>
      </c>
      <c r="G19" t="s">
        <v>4361</v>
      </c>
    </row>
    <row r="20" spans="1:7" x14ac:dyDescent="0.25">
      <c r="A20" s="4" t="str">
        <f>HYPERLINK("http://amigo.geneontology.org/cgi-bin/amigo/term-details.cgi?term=GO:0008037","GO:0008037")</f>
        <v>GO:0008037</v>
      </c>
      <c r="B20" t="s">
        <v>947</v>
      </c>
      <c r="C20">
        <v>461</v>
      </c>
      <c r="D20">
        <v>17</v>
      </c>
      <c r="E20" s="2">
        <v>6.8165348142491902E-11</v>
      </c>
      <c r="F20" s="2">
        <v>2.7947792738421601E-8</v>
      </c>
      <c r="G20" t="s">
        <v>4362</v>
      </c>
    </row>
    <row r="21" spans="1:7" x14ac:dyDescent="0.25">
      <c r="A21" s="4" t="str">
        <f>HYPERLINK("http://amigo.geneontology.org/cgi-bin/amigo/term-details.cgi?term=GO:0048544","GO:0048544")</f>
        <v>GO:0048544</v>
      </c>
      <c r="B21" t="s">
        <v>334</v>
      </c>
      <c r="C21">
        <v>461</v>
      </c>
      <c r="D21">
        <v>17</v>
      </c>
      <c r="E21" s="2">
        <v>6.8165348142491902E-11</v>
      </c>
      <c r="F21" s="2">
        <v>3.0742572012263802E-8</v>
      </c>
      <c r="G21" t="s">
        <v>4362</v>
      </c>
    </row>
    <row r="22" spans="1:7" x14ac:dyDescent="0.25">
      <c r="A22" s="4" t="str">
        <f>HYPERLINK("http://amigo.geneontology.org/cgi-bin/amigo/term-details.cgi?term=GO:0009875","GO:0009875")</f>
        <v>GO:0009875</v>
      </c>
      <c r="B22" t="s">
        <v>335</v>
      </c>
      <c r="C22">
        <v>463</v>
      </c>
      <c r="D22">
        <v>17</v>
      </c>
      <c r="E22" s="2">
        <v>7.2867152383070302E-11</v>
      </c>
      <c r="F22" s="2">
        <v>2.7398049296034399E-8</v>
      </c>
      <c r="G22" t="s">
        <v>4362</v>
      </c>
    </row>
    <row r="23" spans="1:7" x14ac:dyDescent="0.25">
      <c r="A23" s="4" t="str">
        <f>HYPERLINK("http://amigo.geneontology.org/cgi-bin/amigo/term-details.cgi?term=GO:0005524","GO:0005524")</f>
        <v>GO:0005524</v>
      </c>
      <c r="B23" t="s">
        <v>362</v>
      </c>
      <c r="C23">
        <v>8993</v>
      </c>
      <c r="D23">
        <v>83</v>
      </c>
      <c r="E23" s="2">
        <v>2.4186278123610201E-10</v>
      </c>
      <c r="F23" s="2">
        <v>8.3926385088927594E-8</v>
      </c>
      <c r="G23" t="s">
        <v>4363</v>
      </c>
    </row>
    <row r="24" spans="1:7" x14ac:dyDescent="0.25">
      <c r="A24" s="4" t="str">
        <f>HYPERLINK("http://amigo.geneontology.org/cgi-bin/amigo/term-details.cgi?term=GO:0006796","GO:0006796")</f>
        <v>GO:0006796</v>
      </c>
      <c r="B24" t="s">
        <v>361</v>
      </c>
      <c r="C24">
        <v>8366</v>
      </c>
      <c r="D24">
        <v>79</v>
      </c>
      <c r="E24" s="2">
        <v>2.5911356130206101E-10</v>
      </c>
      <c r="F24" s="2">
        <v>8.34345667392638E-8</v>
      </c>
      <c r="G24" t="s">
        <v>4364</v>
      </c>
    </row>
    <row r="25" spans="1:7" x14ac:dyDescent="0.25">
      <c r="A25" s="4" t="str">
        <f>HYPERLINK("http://amigo.geneontology.org/cgi-bin/amigo/term-details.cgi?term=GO:0006793","GO:0006793")</f>
        <v>GO:0006793</v>
      </c>
      <c r="B25" t="s">
        <v>952</v>
      </c>
      <c r="C25">
        <v>8439</v>
      </c>
      <c r="D25">
        <v>79</v>
      </c>
      <c r="E25" s="2">
        <v>3.8909383356294302E-10</v>
      </c>
      <c r="F25" s="2">
        <v>1.1711724390244501E-7</v>
      </c>
      <c r="G25" t="s">
        <v>4364</v>
      </c>
    </row>
    <row r="26" spans="1:7" x14ac:dyDescent="0.25">
      <c r="A26" s="4" t="str">
        <f>HYPERLINK("http://amigo.geneontology.org/cgi-bin/amigo/term-details.cgi?term=GO:0008144","GO:0008144")</f>
        <v>GO:0008144</v>
      </c>
      <c r="B26" t="s">
        <v>2319</v>
      </c>
      <c r="C26">
        <v>9423</v>
      </c>
      <c r="D26">
        <v>85</v>
      </c>
      <c r="E26" s="2">
        <v>4.2382506685747601E-10</v>
      </c>
      <c r="F26" s="2">
        <v>1.1951866885380801E-7</v>
      </c>
      <c r="G26" t="s">
        <v>4365</v>
      </c>
    </row>
    <row r="27" spans="1:7" x14ac:dyDescent="0.25">
      <c r="A27" s="4" t="str">
        <f>HYPERLINK("http://amigo.geneontology.org/cgi-bin/amigo/term-details.cgi?term=GO:0036211","GO:0036211")</f>
        <v>GO:0036211</v>
      </c>
      <c r="B27" t="s">
        <v>372</v>
      </c>
      <c r="C27">
        <v>8034</v>
      </c>
      <c r="D27">
        <v>75</v>
      </c>
      <c r="E27" s="2">
        <v>1.3915831388965499E-9</v>
      </c>
      <c r="F27" s="2">
        <v>3.4789578472413799E-7</v>
      </c>
      <c r="G27" t="s">
        <v>4366</v>
      </c>
    </row>
    <row r="28" spans="1:7" x14ac:dyDescent="0.25">
      <c r="A28" s="4" t="str">
        <f>HYPERLINK("http://amigo.geneontology.org/cgi-bin/amigo/term-details.cgi?term=GO:0006464","GO:0006464")</f>
        <v>GO:0006464</v>
      </c>
      <c r="B28" t="s">
        <v>371</v>
      </c>
      <c r="C28">
        <v>8034</v>
      </c>
      <c r="D28">
        <v>75</v>
      </c>
      <c r="E28" s="2">
        <v>1.3915831388965499E-9</v>
      </c>
      <c r="F28" s="2">
        <v>3.6876953180758602E-7</v>
      </c>
      <c r="G28" t="s">
        <v>4366</v>
      </c>
    </row>
    <row r="29" spans="1:7" x14ac:dyDescent="0.25">
      <c r="A29" s="4" t="str">
        <f>HYPERLINK("http://amigo.geneontology.org/cgi-bin/amigo/term-details.cgi?term=GO:0044706","GO:0044706")</f>
        <v>GO:0044706</v>
      </c>
      <c r="B29" t="s">
        <v>946</v>
      </c>
      <c r="C29">
        <v>576</v>
      </c>
      <c r="D29">
        <v>17</v>
      </c>
      <c r="E29" s="2">
        <v>1.9921237671370199E-9</v>
      </c>
      <c r="F29" s="2">
        <v>4.48227847605829E-7</v>
      </c>
      <c r="G29" t="s">
        <v>4362</v>
      </c>
    </row>
    <row r="30" spans="1:7" x14ac:dyDescent="0.25">
      <c r="A30" s="4" t="str">
        <f>HYPERLINK("http://amigo.geneontology.org/cgi-bin/amigo/term-details.cgi?term=GO:0009856","GO:0009856")</f>
        <v>GO:0009856</v>
      </c>
      <c r="B30" t="s">
        <v>336</v>
      </c>
      <c r="C30">
        <v>576</v>
      </c>
      <c r="D30">
        <v>17</v>
      </c>
      <c r="E30" s="2">
        <v>1.9921237671370199E-9</v>
      </c>
      <c r="F30" s="2">
        <v>4.7213333281147302E-7</v>
      </c>
      <c r="G30" t="s">
        <v>4362</v>
      </c>
    </row>
    <row r="31" spans="1:7" x14ac:dyDescent="0.25">
      <c r="A31" s="4" t="str">
        <f>HYPERLINK("http://amigo.geneontology.org/cgi-bin/amigo/term-details.cgi?term=GO:0035639","GO:0035639")</f>
        <v>GO:0035639</v>
      </c>
      <c r="B31" t="s">
        <v>363</v>
      </c>
      <c r="C31">
        <v>9665</v>
      </c>
      <c r="D31">
        <v>83</v>
      </c>
      <c r="E31" s="2">
        <v>7.2909845127952803E-9</v>
      </c>
      <c r="F31" s="2">
        <v>1.56756167025098E-6</v>
      </c>
      <c r="G31" t="s">
        <v>4363</v>
      </c>
    </row>
    <row r="32" spans="1:7" x14ac:dyDescent="0.25">
      <c r="A32" s="4" t="str">
        <f>HYPERLINK("http://amigo.geneontology.org/cgi-bin/amigo/term-details.cgi?term=GO:0043412","GO:0043412")</f>
        <v>GO:0043412</v>
      </c>
      <c r="B32" t="s">
        <v>367</v>
      </c>
      <c r="C32">
        <v>8612</v>
      </c>
      <c r="D32">
        <v>76</v>
      </c>
      <c r="E32" s="2">
        <v>1.2141318134316899E-8</v>
      </c>
      <c r="F32" s="2">
        <v>2.48897021753497E-6</v>
      </c>
      <c r="G32" t="s">
        <v>4367</v>
      </c>
    </row>
    <row r="33" spans="1:7" x14ac:dyDescent="0.25">
      <c r="A33" s="4" t="str">
        <f>HYPERLINK("http://amigo.geneontology.org/cgi-bin/amigo/term-details.cgi?term=GO:0030554","GO:0030554")</f>
        <v>GO:0030554</v>
      </c>
      <c r="B33" t="s">
        <v>267</v>
      </c>
      <c r="C33">
        <v>11364</v>
      </c>
      <c r="D33">
        <v>90</v>
      </c>
      <c r="E33" s="2">
        <v>6.5764835233257499E-8</v>
      </c>
      <c r="F33" s="2">
        <v>1.2889907705718399E-5</v>
      </c>
      <c r="G33" t="s">
        <v>4368</v>
      </c>
    </row>
    <row r="34" spans="1:7" x14ac:dyDescent="0.25">
      <c r="A34" s="4" t="str">
        <f>HYPERLINK("http://amigo.geneontology.org/cgi-bin/amigo/term-details.cgi?term=GO:0032559","GO:0032559")</f>
        <v>GO:0032559</v>
      </c>
      <c r="B34" t="s">
        <v>268</v>
      </c>
      <c r="C34">
        <v>11276</v>
      </c>
      <c r="D34">
        <v>89</v>
      </c>
      <c r="E34" s="2">
        <v>9.3537355040354903E-8</v>
      </c>
      <c r="F34" s="2">
        <v>1.7585022747586701E-5</v>
      </c>
      <c r="G34" t="s">
        <v>4369</v>
      </c>
    </row>
    <row r="35" spans="1:7" x14ac:dyDescent="0.25">
      <c r="A35" s="4" t="str">
        <f>HYPERLINK("http://amigo.geneontology.org/cgi-bin/amigo/term-details.cgi?term=GO:0140096","GO:0140096")</f>
        <v>GO:0140096</v>
      </c>
      <c r="B35" t="s">
        <v>2296</v>
      </c>
      <c r="C35">
        <v>9460</v>
      </c>
      <c r="D35">
        <v>77</v>
      </c>
      <c r="E35" s="2">
        <v>2.7258848017202601E-7</v>
      </c>
      <c r="F35" s="2">
        <v>4.9065926430964799E-5</v>
      </c>
      <c r="G35" t="s">
        <v>4370</v>
      </c>
    </row>
    <row r="36" spans="1:7" x14ac:dyDescent="0.25">
      <c r="A36" s="4" t="str">
        <f>HYPERLINK("http://amigo.geneontology.org/cgi-bin/amigo/term-details.cgi?term=GO:0017076","GO:0017076")</f>
        <v>GO:0017076</v>
      </c>
      <c r="B36" t="s">
        <v>304</v>
      </c>
      <c r="C36">
        <v>12038</v>
      </c>
      <c r="D36">
        <v>90</v>
      </c>
      <c r="E36" s="2">
        <v>8.6532624022542903E-7</v>
      </c>
      <c r="F36" s="2">
        <v>1.49701439558999E-4</v>
      </c>
      <c r="G36" t="s">
        <v>4368</v>
      </c>
    </row>
    <row r="37" spans="1:7" x14ac:dyDescent="0.25">
      <c r="A37" s="4" t="str">
        <f>HYPERLINK("http://amigo.geneontology.org/cgi-bin/amigo/term-details.cgi?term=GO:0032555","GO:0032555")</f>
        <v>GO:0032555</v>
      </c>
      <c r="B37" t="s">
        <v>280</v>
      </c>
      <c r="C37">
        <v>11948</v>
      </c>
      <c r="D37">
        <v>89</v>
      </c>
      <c r="E37" s="2">
        <v>1.19257077009279E-6</v>
      </c>
      <c r="F37" s="2">
        <v>1.9915931860549601E-4</v>
      </c>
      <c r="G37" t="s">
        <v>4369</v>
      </c>
    </row>
    <row r="38" spans="1:7" x14ac:dyDescent="0.25">
      <c r="A38" s="4" t="str">
        <f>HYPERLINK("http://amigo.geneontology.org/cgi-bin/amigo/term-details.cgi?term=GO:0097367","GO:0097367")</f>
        <v>GO:0097367</v>
      </c>
      <c r="B38" t="s">
        <v>883</v>
      </c>
      <c r="C38">
        <v>12241</v>
      </c>
      <c r="D38">
        <v>90</v>
      </c>
      <c r="E38" s="2">
        <v>1.7681333525289599E-6</v>
      </c>
      <c r="F38" s="2">
        <v>2.84669469757163E-4</v>
      </c>
      <c r="G38" t="s">
        <v>4371</v>
      </c>
    </row>
    <row r="39" spans="1:7" x14ac:dyDescent="0.25">
      <c r="A39" s="4" t="str">
        <f>HYPERLINK("http://amigo.geneontology.org/cgi-bin/amigo/term-details.cgi?term=GO:0044267","GO:0044267")</f>
        <v>GO:0044267</v>
      </c>
      <c r="B39" t="s">
        <v>360</v>
      </c>
      <c r="C39">
        <v>10315</v>
      </c>
      <c r="D39">
        <v>79</v>
      </c>
      <c r="E39" s="2">
        <v>2.0427636418887801E-6</v>
      </c>
      <c r="F39" s="2">
        <v>3.1662836449276101E-4</v>
      </c>
      <c r="G39" t="s">
        <v>4372</v>
      </c>
    </row>
    <row r="40" spans="1:7" x14ac:dyDescent="0.25">
      <c r="A40" s="4" t="str">
        <f>HYPERLINK("http://amigo.geneontology.org/cgi-bin/amigo/term-details.cgi?term=GO:0032553","GO:0032553")</f>
        <v>GO:0032553</v>
      </c>
      <c r="B40" t="s">
        <v>314</v>
      </c>
      <c r="C40">
        <v>12105</v>
      </c>
      <c r="D40">
        <v>89</v>
      </c>
      <c r="E40" s="2">
        <v>2.0658456566350399E-6</v>
      </c>
      <c r="F40" s="2">
        <v>3.0987684849525599E-4</v>
      </c>
      <c r="G40" t="s">
        <v>4369</v>
      </c>
    </row>
    <row r="41" spans="1:7" x14ac:dyDescent="0.25">
      <c r="A41" s="4" t="str">
        <f>HYPERLINK("http://amigo.geneontology.org/cgi-bin/amigo/term-details.cgi?term=GO:0043168","GO:0043168")</f>
        <v>GO:0043168</v>
      </c>
      <c r="B41" t="s">
        <v>833</v>
      </c>
      <c r="C41">
        <v>13394</v>
      </c>
      <c r="D41">
        <v>93</v>
      </c>
      <c r="E41" s="2">
        <v>1.23557053152291E-5</v>
      </c>
      <c r="F41">
        <v>1.7915772707082301E-3</v>
      </c>
      <c r="G41" t="s">
        <v>4373</v>
      </c>
    </row>
    <row r="42" spans="1:7" x14ac:dyDescent="0.25">
      <c r="A42" s="4" t="str">
        <f>HYPERLINK("http://amigo.geneontology.org/cgi-bin/amigo/term-details.cgi?term=GO:0007154","GO:0007154")</f>
        <v>GO:0007154</v>
      </c>
      <c r="B42" t="s">
        <v>920</v>
      </c>
      <c r="C42">
        <v>2132</v>
      </c>
      <c r="D42">
        <v>25</v>
      </c>
      <c r="E42" s="2">
        <v>1.9941477619880201E-5</v>
      </c>
      <c r="F42">
        <v>2.8117483444031E-3</v>
      </c>
      <c r="G42" t="s">
        <v>4374</v>
      </c>
    </row>
    <row r="43" spans="1:7" x14ac:dyDescent="0.25">
      <c r="A43" s="4" t="str">
        <f>HYPERLINK("http://amigo.geneontology.org/cgi-bin/amigo/term-details.cgi?term=GO:0030246","GO:0030246")</f>
        <v>GO:0030246</v>
      </c>
      <c r="B43" t="s">
        <v>948</v>
      </c>
      <c r="C43">
        <v>1249</v>
      </c>
      <c r="D43">
        <v>18</v>
      </c>
      <c r="E43" s="2">
        <v>2.2189862478925098E-5</v>
      </c>
      <c r="F43">
        <v>3.0178212971338101E-3</v>
      </c>
      <c r="G43" t="s">
        <v>4375</v>
      </c>
    </row>
    <row r="44" spans="1:7" x14ac:dyDescent="0.25">
      <c r="A44" s="4" t="str">
        <f>HYPERLINK("http://amigo.geneontology.org/cgi-bin/amigo/term-details.cgi?term=GO:1901265","GO:1901265")</f>
        <v>GO:1901265</v>
      </c>
      <c r="B44" t="s">
        <v>886</v>
      </c>
      <c r="C44">
        <v>13982</v>
      </c>
      <c r="D44">
        <v>93</v>
      </c>
      <c r="E44" s="2">
        <v>6.6349862923784306E-5</v>
      </c>
      <c r="F44">
        <v>8.5591323171681794E-3</v>
      </c>
      <c r="G44" t="s">
        <v>4376</v>
      </c>
    </row>
    <row r="45" spans="1:7" x14ac:dyDescent="0.25">
      <c r="A45" s="4" t="str">
        <f>HYPERLINK("http://amigo.geneontology.org/cgi-bin/amigo/term-details.cgi?term=GO:0000166","GO:0000166")</f>
        <v>GO:0000166</v>
      </c>
      <c r="B45" t="s">
        <v>315</v>
      </c>
      <c r="C45">
        <v>13982</v>
      </c>
      <c r="D45">
        <v>93</v>
      </c>
      <c r="E45" s="2">
        <v>6.6349862923784306E-5</v>
      </c>
      <c r="F45">
        <v>8.7581819059395303E-3</v>
      </c>
      <c r="G45" t="s">
        <v>4376</v>
      </c>
    </row>
    <row r="46" spans="1:7" x14ac:dyDescent="0.25">
      <c r="A46" s="4" t="str">
        <f>HYPERLINK("http://amigo.geneontology.org/cgi-bin/amigo/term-details.cgi?term=GO:0043167","GO:0043167")</f>
        <v>GO:0043167</v>
      </c>
      <c r="B46" t="s">
        <v>953</v>
      </c>
      <c r="C46">
        <v>24009</v>
      </c>
      <c r="D46">
        <v>143</v>
      </c>
      <c r="E46" s="2">
        <v>8.8289356693608699E-5</v>
      </c>
      <c r="F46">
        <v>1.1036169586701E-2</v>
      </c>
      <c r="G46" t="s">
        <v>4377</v>
      </c>
    </row>
    <row r="47" spans="1:7" x14ac:dyDescent="0.25">
      <c r="A47" s="4" t="str">
        <f>HYPERLINK("http://amigo.geneontology.org/cgi-bin/amigo/term-details.cgi?term=GO:0036094","GO:0036094")</f>
        <v>GO:0036094</v>
      </c>
      <c r="B47" t="s">
        <v>887</v>
      </c>
      <c r="C47">
        <v>14520</v>
      </c>
      <c r="D47">
        <v>95</v>
      </c>
      <c r="E47" s="2">
        <v>1.00322200272775E-4</v>
      </c>
      <c r="F47">
        <v>1.2239308433278501E-2</v>
      </c>
      <c r="G47" t="s">
        <v>4378</v>
      </c>
    </row>
    <row r="48" spans="1:7" x14ac:dyDescent="0.25">
      <c r="A48" s="4" t="str">
        <f>HYPERLINK("http://amigo.geneontology.org/cgi-bin/amigo/term-details.cgi?term=GO:0016623","GO:0016623")</f>
        <v>GO:0016623</v>
      </c>
      <c r="B48" t="s">
        <v>1884</v>
      </c>
      <c r="C48">
        <v>4</v>
      </c>
      <c r="D48">
        <v>2</v>
      </c>
      <c r="E48" s="2">
        <v>1.2332027268701501E-4</v>
      </c>
      <c r="F48">
        <v>1.41818313590067E-2</v>
      </c>
      <c r="G48" t="s">
        <v>4379</v>
      </c>
    </row>
    <row r="49" spans="1:7" x14ac:dyDescent="0.25">
      <c r="A49" s="4" t="str">
        <f>HYPERLINK("http://amigo.geneontology.org/cgi-bin/amigo/term-details.cgi?term=GO:0050162","GO:0050162")</f>
        <v>GO:0050162</v>
      </c>
      <c r="B49" t="s">
        <v>1883</v>
      </c>
      <c r="C49">
        <v>4</v>
      </c>
      <c r="D49">
        <v>2</v>
      </c>
      <c r="E49" s="2">
        <v>1.2332027268701501E-4</v>
      </c>
      <c r="F49">
        <v>1.45517921770677E-2</v>
      </c>
      <c r="G49" t="s">
        <v>4379</v>
      </c>
    </row>
    <row r="50" spans="1:7" x14ac:dyDescent="0.25">
      <c r="A50" s="4" t="str">
        <f>HYPERLINK("http://amigo.geneontology.org/cgi-bin/amigo/term-details.cgi?term=GO:0019538","GO:0019538")</f>
        <v>GO:0019538</v>
      </c>
      <c r="B50" t="s">
        <v>346</v>
      </c>
      <c r="C50">
        <v>12453</v>
      </c>
      <c r="D50">
        <v>81</v>
      </c>
      <c r="E50" s="2">
        <v>4.6790986472005697E-4</v>
      </c>
      <c r="F50">
        <v>5.2405904848646399E-2</v>
      </c>
      <c r="G50" t="s">
        <v>4380</v>
      </c>
    </row>
    <row r="51" spans="1:7" x14ac:dyDescent="0.25">
      <c r="A51" s="4" t="str">
        <f>HYPERLINK("http://amigo.geneontology.org/cgi-bin/amigo/term-details.cgi?term=GO:0016758","GO:0016758")</f>
        <v>GO:0016758</v>
      </c>
      <c r="B51" t="s">
        <v>357</v>
      </c>
      <c r="C51">
        <v>1783</v>
      </c>
      <c r="D51">
        <v>19</v>
      </c>
      <c r="E51" s="2">
        <v>6.3182127414585399E-4</v>
      </c>
      <c r="F51">
        <v>6.9500340156043894E-2</v>
      </c>
      <c r="G51" t="s">
        <v>4381</v>
      </c>
    </row>
    <row r="52" spans="1:7" x14ac:dyDescent="0.25">
      <c r="A52" s="4" t="str">
        <f>HYPERLINK("http://amigo.geneontology.org/cgi-bin/amigo/term-details.cgi?term=GO:0022414","GO:0022414")</f>
        <v>GO:0022414</v>
      </c>
      <c r="B52" t="s">
        <v>933</v>
      </c>
      <c r="C52">
        <v>1818</v>
      </c>
      <c r="D52">
        <v>19</v>
      </c>
      <c r="E52" s="2">
        <v>7.9400482145578703E-4</v>
      </c>
      <c r="F52">
        <v>8.4958515895769193E-2</v>
      </c>
      <c r="G52" t="s">
        <v>4382</v>
      </c>
    </row>
    <row r="53" spans="1:7" x14ac:dyDescent="0.25">
      <c r="A53" s="4" t="str">
        <f>HYPERLINK("http://amigo.geneontology.org/cgi-bin/amigo/term-details.cgi?term=GO:0044260","GO:0044260")</f>
        <v>GO:0044260</v>
      </c>
      <c r="B53" t="s">
        <v>276</v>
      </c>
      <c r="C53">
        <v>15411</v>
      </c>
      <c r="D53">
        <v>95</v>
      </c>
      <c r="E53" s="2">
        <v>8.3099614746534004E-4</v>
      </c>
      <c r="F53">
        <v>8.7254595483860706E-2</v>
      </c>
      <c r="G53" t="s">
        <v>4383</v>
      </c>
    </row>
    <row r="54" spans="1:7" x14ac:dyDescent="0.25">
      <c r="A54" s="4" t="str">
        <f>HYPERLINK("http://amigo.geneontology.org/cgi-bin/amigo/term-details.cgi?term=GO:0007215","GO:0007215")</f>
        <v>GO:0007215</v>
      </c>
      <c r="B54" t="s">
        <v>4384</v>
      </c>
      <c r="C54">
        <v>45</v>
      </c>
      <c r="D54">
        <v>3</v>
      </c>
      <c r="E54">
        <v>1.1529163311892699E-3</v>
      </c>
      <c r="F54">
        <v>0.115291633118927</v>
      </c>
      <c r="G54" t="s">
        <v>4385</v>
      </c>
    </row>
    <row r="55" spans="1:7" x14ac:dyDescent="0.25">
      <c r="A55" s="4" t="str">
        <f>HYPERLINK("http://amigo.geneontology.org/cgi-bin/amigo/term-details.cgi?term=GO:0035235","GO:0035235")</f>
        <v>GO:0035235</v>
      </c>
      <c r="B55" t="s">
        <v>4386</v>
      </c>
      <c r="C55">
        <v>45</v>
      </c>
      <c r="D55">
        <v>3</v>
      </c>
      <c r="E55">
        <v>1.1529163311892699E-3</v>
      </c>
      <c r="F55">
        <v>0.117597465781306</v>
      </c>
      <c r="G55" t="s">
        <v>4385</v>
      </c>
    </row>
    <row r="56" spans="1:7" x14ac:dyDescent="0.25">
      <c r="A56" s="4" t="str">
        <f>HYPERLINK("http://amigo.geneontology.org/cgi-bin/amigo/term-details.cgi?term=GO:0008066","GO:0008066")</f>
        <v>GO:0008066</v>
      </c>
      <c r="B56" t="s">
        <v>1189</v>
      </c>
      <c r="C56">
        <v>100</v>
      </c>
      <c r="D56">
        <v>4</v>
      </c>
      <c r="E56">
        <v>1.1751320423327601E-3</v>
      </c>
      <c r="F56">
        <v>9.9886223598284904E-2</v>
      </c>
      <c r="G56" t="s">
        <v>4387</v>
      </c>
    </row>
    <row r="57" spans="1:7" x14ac:dyDescent="0.25">
      <c r="A57" s="4" t="str">
        <f>HYPERLINK("http://amigo.geneontology.org/cgi-bin/amigo/term-details.cgi?term=GO:0022834","GO:0022834")</f>
        <v>GO:0022834</v>
      </c>
      <c r="B57" t="s">
        <v>1188</v>
      </c>
      <c r="C57">
        <v>100</v>
      </c>
      <c r="D57">
        <v>4</v>
      </c>
      <c r="E57">
        <v>1.1751320423327601E-3</v>
      </c>
      <c r="F57">
        <v>0.101061355640617</v>
      </c>
      <c r="G57" t="s">
        <v>4387</v>
      </c>
    </row>
    <row r="58" spans="1:7" x14ac:dyDescent="0.25">
      <c r="A58" s="4" t="str">
        <f>HYPERLINK("http://amigo.geneontology.org/cgi-bin/amigo/term-details.cgi?term=GO:0015276","GO:0015276")</f>
        <v>GO:0015276</v>
      </c>
      <c r="B58" t="s">
        <v>1187</v>
      </c>
      <c r="C58">
        <v>100</v>
      </c>
      <c r="D58">
        <v>4</v>
      </c>
      <c r="E58">
        <v>1.1751320423327601E-3</v>
      </c>
      <c r="F58">
        <v>0.103411619725283</v>
      </c>
      <c r="G58" t="s">
        <v>4387</v>
      </c>
    </row>
    <row r="59" spans="1:7" x14ac:dyDescent="0.25">
      <c r="A59" s="4" t="str">
        <f>HYPERLINK("http://amigo.geneontology.org/cgi-bin/amigo/term-details.cgi?term=GO:0005230","GO:0005230")</f>
        <v>GO:0005230</v>
      </c>
      <c r="B59" t="s">
        <v>1186</v>
      </c>
      <c r="C59">
        <v>100</v>
      </c>
      <c r="D59">
        <v>4</v>
      </c>
      <c r="E59">
        <v>1.1751320423327601E-3</v>
      </c>
      <c r="F59">
        <v>0.105761883809948</v>
      </c>
      <c r="G59" t="s">
        <v>4387</v>
      </c>
    </row>
    <row r="60" spans="1:7" x14ac:dyDescent="0.25">
      <c r="A60" s="4" t="str">
        <f>HYPERLINK("http://amigo.geneontology.org/cgi-bin/amigo/term-details.cgi?term=GO:0030594","GO:0030594")</f>
        <v>GO:0030594</v>
      </c>
      <c r="B60" t="s">
        <v>1185</v>
      </c>
      <c r="C60">
        <v>100</v>
      </c>
      <c r="D60">
        <v>4</v>
      </c>
      <c r="E60">
        <v>1.1751320423327601E-3</v>
      </c>
      <c r="F60">
        <v>0.108112147894614</v>
      </c>
      <c r="G60" t="s">
        <v>4387</v>
      </c>
    </row>
    <row r="61" spans="1:7" x14ac:dyDescent="0.25">
      <c r="A61" s="4" t="str">
        <f>HYPERLINK("http://amigo.geneontology.org/cgi-bin/amigo/term-details.cgi?term=GO:0022835","GO:0022835")</f>
        <v>GO:0022835</v>
      </c>
      <c r="B61" t="s">
        <v>1184</v>
      </c>
      <c r="C61">
        <v>100</v>
      </c>
      <c r="D61">
        <v>4</v>
      </c>
      <c r="E61">
        <v>1.1751320423327601E-3</v>
      </c>
      <c r="F61">
        <v>0.110462411979279</v>
      </c>
      <c r="G61" t="s">
        <v>4387</v>
      </c>
    </row>
    <row r="62" spans="1:7" x14ac:dyDescent="0.25">
      <c r="A62" s="4" t="str">
        <f>HYPERLINK("http://amigo.geneontology.org/cgi-bin/amigo/term-details.cgi?term=GO:0022824","GO:0022824")</f>
        <v>GO:0022824</v>
      </c>
      <c r="B62" t="s">
        <v>1183</v>
      </c>
      <c r="C62">
        <v>100</v>
      </c>
      <c r="D62">
        <v>4</v>
      </c>
      <c r="E62">
        <v>1.1751320423327601E-3</v>
      </c>
      <c r="F62">
        <v>0.112812676063945</v>
      </c>
      <c r="G62" t="s">
        <v>4387</v>
      </c>
    </row>
    <row r="63" spans="1:7" x14ac:dyDescent="0.25">
      <c r="A63" s="4" t="str">
        <f>HYPERLINK("http://amigo.geneontology.org/cgi-bin/amigo/term-details.cgi?term=GO:0004970","GO:0004970")</f>
        <v>GO:0004970</v>
      </c>
      <c r="B63" t="s">
        <v>1182</v>
      </c>
      <c r="C63">
        <v>100</v>
      </c>
      <c r="D63">
        <v>4</v>
      </c>
      <c r="E63">
        <v>1.1751320423327601E-3</v>
      </c>
      <c r="F63">
        <v>0.11516294014861</v>
      </c>
      <c r="G63" t="s">
        <v>4387</v>
      </c>
    </row>
    <row r="64" spans="1:7" x14ac:dyDescent="0.25">
      <c r="A64" s="4" t="str">
        <f>HYPERLINK("http://amigo.geneontology.org/cgi-bin/amigo/term-details.cgi?term=GO:0005231","GO:0005231")</f>
        <v>GO:0005231</v>
      </c>
      <c r="B64" t="s">
        <v>4388</v>
      </c>
      <c r="C64">
        <v>53</v>
      </c>
      <c r="D64">
        <v>3</v>
      </c>
      <c r="E64">
        <v>1.8528777080173899E-3</v>
      </c>
      <c r="F64">
        <v>0.15193597205742601</v>
      </c>
      <c r="G64" t="s">
        <v>4385</v>
      </c>
    </row>
    <row r="65" spans="1:7" x14ac:dyDescent="0.25">
      <c r="A65" s="4" t="str">
        <f>HYPERLINK("http://amigo.geneontology.org/cgi-bin/amigo/term-details.cgi?term=GO:0005234","GO:0005234")</f>
        <v>GO:0005234</v>
      </c>
      <c r="B65" t="s">
        <v>4389</v>
      </c>
      <c r="C65">
        <v>53</v>
      </c>
      <c r="D65">
        <v>3</v>
      </c>
      <c r="E65">
        <v>1.8528777080173899E-3</v>
      </c>
      <c r="F65">
        <v>0.15378884976544299</v>
      </c>
      <c r="G65" t="s">
        <v>4385</v>
      </c>
    </row>
    <row r="66" spans="1:7" x14ac:dyDescent="0.25">
      <c r="A66" s="4" t="str">
        <f>HYPERLINK("http://amigo.geneontology.org/cgi-bin/amigo/term-details.cgi?term=GO:0099600","GO:0099600")</f>
        <v>GO:0099600</v>
      </c>
      <c r="B66" t="s">
        <v>1549</v>
      </c>
      <c r="C66">
        <v>120</v>
      </c>
      <c r="D66">
        <v>4</v>
      </c>
      <c r="E66">
        <v>2.2929497387110202E-3</v>
      </c>
      <c r="F66">
        <v>0.181143029358171</v>
      </c>
      <c r="G66" t="s">
        <v>4387</v>
      </c>
    </row>
    <row r="67" spans="1:7" x14ac:dyDescent="0.25">
      <c r="A67" s="4" t="str">
        <f>HYPERLINK("http://amigo.geneontology.org/cgi-bin/amigo/term-details.cgi?term=GO:0004888","GO:0004888")</f>
        <v>GO:0004888</v>
      </c>
      <c r="B67" t="s">
        <v>1548</v>
      </c>
      <c r="C67">
        <v>120</v>
      </c>
      <c r="D67">
        <v>4</v>
      </c>
      <c r="E67">
        <v>2.2929497387110202E-3</v>
      </c>
      <c r="F67">
        <v>0.183435979096882</v>
      </c>
      <c r="G67" t="s">
        <v>4387</v>
      </c>
    </row>
    <row r="68" spans="1:7" x14ac:dyDescent="0.25">
      <c r="A68" s="4" t="str">
        <f>HYPERLINK("http://amigo.geneontology.org/cgi-bin/amigo/term-details.cgi?term=GO:0016757","GO:0016757")</f>
        <v>GO:0016757</v>
      </c>
      <c r="B68" t="s">
        <v>954</v>
      </c>
      <c r="C68">
        <v>2155</v>
      </c>
      <c r="D68">
        <v>20</v>
      </c>
      <c r="E68">
        <v>2.36679512814173E-3</v>
      </c>
      <c r="F68">
        <v>0.182243224866913</v>
      </c>
      <c r="G68" t="s">
        <v>4390</v>
      </c>
    </row>
    <row r="69" spans="1:7" x14ac:dyDescent="0.25">
      <c r="A69" s="4" t="str">
        <f>HYPERLINK("http://amigo.geneontology.org/cgi-bin/amigo/term-details.cgi?term=GO:1901564","GO:1901564")</f>
        <v>GO:1901564</v>
      </c>
      <c r="B69" t="s">
        <v>899</v>
      </c>
      <c r="C69">
        <v>15243</v>
      </c>
      <c r="D69">
        <v>91</v>
      </c>
      <c r="E69">
        <v>2.9751801270408102E-3</v>
      </c>
      <c r="F69">
        <v>0.22611368965510101</v>
      </c>
      <c r="G69" t="s">
        <v>4391</v>
      </c>
    </row>
    <row r="70" spans="1:7" x14ac:dyDescent="0.25">
      <c r="A70" s="4" t="str">
        <f>HYPERLINK("http://amigo.geneontology.org/cgi-bin/amigo/term-details.cgi?term=GO:0007166","GO:0007166")</f>
        <v>GO:0007166</v>
      </c>
      <c r="B70" t="s">
        <v>4392</v>
      </c>
      <c r="C70">
        <v>64</v>
      </c>
      <c r="D70">
        <v>3</v>
      </c>
      <c r="E70">
        <v>3.1761609309331001E-3</v>
      </c>
      <c r="F70">
        <v>0.238212069819983</v>
      </c>
      <c r="G70" t="s">
        <v>4385</v>
      </c>
    </row>
    <row r="71" spans="1:7" x14ac:dyDescent="0.25">
      <c r="A71" s="4" t="str">
        <f>HYPERLINK("http://amigo.geneontology.org/cgi-bin/amigo/term-details.cgi?term=GO:0001871","GO:0001871")</f>
        <v>GO:0001871</v>
      </c>
      <c r="B71" t="s">
        <v>939</v>
      </c>
      <c r="C71">
        <v>653</v>
      </c>
      <c r="D71">
        <v>9</v>
      </c>
      <c r="E71">
        <v>3.3454997959238902E-3</v>
      </c>
      <c r="F71">
        <v>0.24087598530651999</v>
      </c>
      <c r="G71" t="s">
        <v>4393</v>
      </c>
    </row>
    <row r="72" spans="1:7" x14ac:dyDescent="0.25">
      <c r="A72" s="4" t="str">
        <f>HYPERLINK("http://amigo.geneontology.org/cgi-bin/amigo/term-details.cgi?term=GO:0030247","GO:0030247")</f>
        <v>GO:0030247</v>
      </c>
      <c r="B72" t="s">
        <v>938</v>
      </c>
      <c r="C72">
        <v>653</v>
      </c>
      <c r="D72">
        <v>9</v>
      </c>
      <c r="E72">
        <v>3.3454997959238902E-3</v>
      </c>
      <c r="F72">
        <v>0.24756698489836801</v>
      </c>
      <c r="G72" t="s">
        <v>4393</v>
      </c>
    </row>
    <row r="73" spans="1:7" x14ac:dyDescent="0.25">
      <c r="A73" s="4" t="str">
        <f>HYPERLINK("http://amigo.geneontology.org/cgi-bin/amigo/term-details.cgi?term=GO:0070547","GO:0070547")</f>
        <v>GO:0070547</v>
      </c>
      <c r="B73" t="s">
        <v>4394</v>
      </c>
      <c r="C73">
        <v>1</v>
      </c>
      <c r="D73">
        <v>1</v>
      </c>
      <c r="E73">
        <v>4.5537695091955903E-3</v>
      </c>
      <c r="F73">
        <v>0.31876386564369102</v>
      </c>
      <c r="G73" t="s">
        <v>4</v>
      </c>
    </row>
    <row r="74" spans="1:7" x14ac:dyDescent="0.25">
      <c r="A74" s="4" t="str">
        <f>HYPERLINK("http://amigo.geneontology.org/cgi-bin/amigo/term-details.cgi?term=GO:0004838","GO:0004838")</f>
        <v>GO:0004838</v>
      </c>
      <c r="B74" t="s">
        <v>4395</v>
      </c>
      <c r="C74">
        <v>1</v>
      </c>
      <c r="D74">
        <v>1</v>
      </c>
      <c r="E74">
        <v>4.5537695091955903E-3</v>
      </c>
      <c r="F74">
        <v>0.32331763515288597</v>
      </c>
      <c r="G74" t="s">
        <v>4</v>
      </c>
    </row>
    <row r="75" spans="1:7" x14ac:dyDescent="0.25">
      <c r="A75" s="4" t="str">
        <f>HYPERLINK("http://amigo.geneontology.org/cgi-bin/amigo/term-details.cgi?term=GO:0004867","GO:0004867")</f>
        <v>GO:0004867</v>
      </c>
      <c r="B75" t="s">
        <v>144</v>
      </c>
      <c r="C75">
        <v>335</v>
      </c>
      <c r="D75">
        <v>6</v>
      </c>
      <c r="E75">
        <v>4.5986616359991296E-3</v>
      </c>
      <c r="F75">
        <v>0.31730765288393997</v>
      </c>
      <c r="G75" t="s">
        <v>4396</v>
      </c>
    </row>
    <row r="76" spans="1:7" x14ac:dyDescent="0.25">
      <c r="A76" s="4" t="str">
        <f>HYPERLINK("http://amigo.geneontology.org/cgi-bin/amigo/term-details.cgi?term=GO:0006855","GO:0006855")</f>
        <v>GO:0006855</v>
      </c>
      <c r="B76" t="s">
        <v>118</v>
      </c>
      <c r="C76">
        <v>242</v>
      </c>
      <c r="D76">
        <v>5</v>
      </c>
      <c r="E76">
        <v>5.2511666439143201E-3</v>
      </c>
      <c r="F76">
        <v>0.35707933178617401</v>
      </c>
      <c r="G76" t="s">
        <v>4397</v>
      </c>
    </row>
    <row r="77" spans="1:7" x14ac:dyDescent="0.25">
      <c r="A77" s="4" t="str">
        <f>HYPERLINK("http://amigo.geneontology.org/cgi-bin/amigo/term-details.cgi?term=GO:0055085","GO:0055085")</f>
        <v>GO:0055085</v>
      </c>
      <c r="B77" t="s">
        <v>311</v>
      </c>
      <c r="C77">
        <v>2652</v>
      </c>
      <c r="D77">
        <v>22</v>
      </c>
      <c r="E77">
        <v>5.52155803896358E-3</v>
      </c>
      <c r="F77">
        <v>0.36994438861056</v>
      </c>
      <c r="G77" t="s">
        <v>4398</v>
      </c>
    </row>
    <row r="78" spans="1:7" x14ac:dyDescent="0.25">
      <c r="A78" s="4" t="str">
        <f>HYPERLINK("http://amigo.geneontology.org/cgi-bin/amigo/term-details.cgi?term=GO:0015297","GO:0015297")</f>
        <v>GO:0015297</v>
      </c>
      <c r="B78" t="s">
        <v>112</v>
      </c>
      <c r="C78">
        <v>362</v>
      </c>
      <c r="D78">
        <v>6</v>
      </c>
      <c r="E78">
        <v>6.6411633461751704E-3</v>
      </c>
      <c r="F78">
        <v>0.43831678084756098</v>
      </c>
      <c r="G78" t="s">
        <v>4399</v>
      </c>
    </row>
    <row r="79" spans="1:7" x14ac:dyDescent="0.25">
      <c r="A79" s="4" t="str">
        <f>HYPERLINK("http://amigo.geneontology.org/cgi-bin/amigo/term-details.cgi?term=GO:0022804","GO:0022804")</f>
        <v>GO:0022804</v>
      </c>
      <c r="B79" t="s">
        <v>931</v>
      </c>
      <c r="C79">
        <v>1000</v>
      </c>
      <c r="D79">
        <v>11</v>
      </c>
      <c r="E79">
        <v>6.7267190469142901E-3</v>
      </c>
      <c r="F79">
        <v>0.43723673804942897</v>
      </c>
      <c r="G79" t="s">
        <v>4400</v>
      </c>
    </row>
    <row r="80" spans="1:7" x14ac:dyDescent="0.25">
      <c r="A80" s="4" t="str">
        <f>HYPERLINK("http://amigo.geneontology.org/cgi-bin/amigo/term-details.cgi?term=GO:0015893","GO:0015893")</f>
        <v>GO:0015893</v>
      </c>
      <c r="B80" t="s">
        <v>119</v>
      </c>
      <c r="C80">
        <v>268</v>
      </c>
      <c r="D80">
        <v>5</v>
      </c>
      <c r="E80">
        <v>7.9878727788719097E-3</v>
      </c>
      <c r="F80">
        <v>0.511223857847802</v>
      </c>
      <c r="G80" t="s">
        <v>4397</v>
      </c>
    </row>
    <row r="81" spans="1:7" x14ac:dyDescent="0.25">
      <c r="A81" s="4" t="str">
        <f>HYPERLINK("http://amigo.geneontology.org/cgi-bin/amigo/term-details.cgi?term=GO:0015238","GO:0015238")</f>
        <v>GO:0015238</v>
      </c>
      <c r="B81" t="s">
        <v>914</v>
      </c>
      <c r="C81">
        <v>271</v>
      </c>
      <c r="D81">
        <v>5</v>
      </c>
      <c r="E81">
        <v>8.3568304974071996E-3</v>
      </c>
      <c r="F81">
        <v>0.52648032133665401</v>
      </c>
      <c r="G81" t="s">
        <v>4397</v>
      </c>
    </row>
    <row r="82" spans="1:7" x14ac:dyDescent="0.25">
      <c r="A82" s="4" t="str">
        <f>HYPERLINK("http://amigo.geneontology.org/cgi-bin/amigo/term-details.cgi?term=GO:0000145","GO:0000145")</f>
        <v>GO:0000145</v>
      </c>
      <c r="B82" t="s">
        <v>214</v>
      </c>
      <c r="C82">
        <v>174</v>
      </c>
      <c r="D82">
        <v>4</v>
      </c>
      <c r="E82">
        <v>8.5093969232901794E-3</v>
      </c>
      <c r="F82">
        <v>0.52758260924399103</v>
      </c>
      <c r="G82" t="s">
        <v>4401</v>
      </c>
    </row>
    <row r="83" spans="1:7" x14ac:dyDescent="0.25">
      <c r="A83" s="4" t="str">
        <f>HYPERLINK("http://amigo.geneontology.org/cgi-bin/amigo/term-details.cgi?term=GO:0008379","GO:0008379")</f>
        <v>GO:0008379</v>
      </c>
      <c r="B83" t="s">
        <v>4402</v>
      </c>
      <c r="C83">
        <v>2</v>
      </c>
      <c r="D83">
        <v>1</v>
      </c>
      <c r="E83">
        <v>9.0868610121176297E-3</v>
      </c>
      <c r="F83">
        <v>0.55429852173917504</v>
      </c>
      <c r="G83" t="s">
        <v>16</v>
      </c>
    </row>
    <row r="84" spans="1:7" x14ac:dyDescent="0.25">
      <c r="A84" s="4" t="str">
        <f>HYPERLINK("http://amigo.geneontology.org/cgi-bin/amigo/term-details.cgi?term=GO:0008902","GO:0008902")</f>
        <v>GO:0008902</v>
      </c>
      <c r="B84" t="s">
        <v>4403</v>
      </c>
      <c r="C84">
        <v>2</v>
      </c>
      <c r="D84">
        <v>1</v>
      </c>
      <c r="E84">
        <v>9.0868610121176297E-3</v>
      </c>
      <c r="F84">
        <v>0.55429852173917504</v>
      </c>
      <c r="G84" t="s">
        <v>4404</v>
      </c>
    </row>
    <row r="85" spans="1:7" x14ac:dyDescent="0.25">
      <c r="A85" s="4" t="str">
        <f>HYPERLINK("http://amigo.geneontology.org/cgi-bin/amigo/term-details.cgi?term=GO:0044448","GO:0044448")</f>
        <v>GO:0044448</v>
      </c>
      <c r="B85" t="s">
        <v>215</v>
      </c>
      <c r="C85">
        <v>178</v>
      </c>
      <c r="D85">
        <v>4</v>
      </c>
      <c r="E85">
        <v>9.1963844893441504E-3</v>
      </c>
      <c r="F85">
        <v>0.55178306936064903</v>
      </c>
      <c r="G85" t="s">
        <v>4401</v>
      </c>
    </row>
    <row r="86" spans="1:7" x14ac:dyDescent="0.25">
      <c r="A86" s="4" t="str">
        <f>HYPERLINK("http://amigo.geneontology.org/cgi-bin/amigo/term-details.cgi?term=GO:0016903","GO:0016903")</f>
        <v>GO:0016903</v>
      </c>
      <c r="B86" t="s">
        <v>810</v>
      </c>
      <c r="C86">
        <v>182</v>
      </c>
      <c r="D86">
        <v>4</v>
      </c>
      <c r="E86">
        <v>9.9185222445461307E-3</v>
      </c>
      <c r="F86">
        <v>0.58519281242822097</v>
      </c>
      <c r="G86" t="s">
        <v>4405</v>
      </c>
    </row>
    <row r="87" spans="1:7" x14ac:dyDescent="0.25">
      <c r="A87" s="4" t="str">
        <f>HYPERLINK("http://amigo.geneontology.org/cgi-bin/amigo/term-details.cgi?term=GO:0099568","GO:0099568")</f>
        <v>GO:0099568</v>
      </c>
      <c r="B87" t="s">
        <v>217</v>
      </c>
      <c r="C87">
        <v>186</v>
      </c>
      <c r="D87">
        <v>4</v>
      </c>
      <c r="E87">
        <v>1.0676465110262901E-2</v>
      </c>
      <c r="F87">
        <v>0.60855851128498595</v>
      </c>
      <c r="G87" t="s">
        <v>4401</v>
      </c>
    </row>
    <row r="88" spans="1:7" x14ac:dyDescent="0.25">
      <c r="A88" s="4" t="str">
        <f>HYPERLINK("http://amigo.geneontology.org/cgi-bin/amigo/term-details.cgi?term=GO:0005938","GO:0005938")</f>
        <v>GO:0005938</v>
      </c>
      <c r="B88" t="s">
        <v>216</v>
      </c>
      <c r="C88">
        <v>186</v>
      </c>
      <c r="D88">
        <v>4</v>
      </c>
      <c r="E88">
        <v>1.0676465110262901E-2</v>
      </c>
      <c r="F88">
        <v>0.61923497639524805</v>
      </c>
      <c r="G88" t="s">
        <v>4401</v>
      </c>
    </row>
    <row r="89" spans="1:7" x14ac:dyDescent="0.25">
      <c r="A89" s="4" t="str">
        <f>HYPERLINK("http://amigo.geneontology.org/cgi-bin/amigo/term-details.cgi?term=GO:0015291","GO:0015291")</f>
        <v>GO:0015291</v>
      </c>
      <c r="B89" t="s">
        <v>91</v>
      </c>
      <c r="C89">
        <v>527</v>
      </c>
      <c r="D89">
        <v>7</v>
      </c>
      <c r="E89">
        <v>1.1101244474367399E-2</v>
      </c>
      <c r="F89">
        <v>0.63277093503894299</v>
      </c>
      <c r="G89" t="s">
        <v>4406</v>
      </c>
    </row>
    <row r="90" spans="1:7" x14ac:dyDescent="0.25">
      <c r="A90" s="4" t="str">
        <f>HYPERLINK("http://amigo.geneontology.org/cgi-bin/amigo/term-details.cgi?term=GO:0006887","GO:0006887")</f>
        <v>GO:0006887</v>
      </c>
      <c r="B90" t="s">
        <v>142</v>
      </c>
      <c r="C90">
        <v>195</v>
      </c>
      <c r="D90">
        <v>4</v>
      </c>
      <c r="E90">
        <v>1.25159627243864E-2</v>
      </c>
      <c r="F90">
        <v>0.70089391256564204</v>
      </c>
      <c r="G90" t="s">
        <v>4401</v>
      </c>
    </row>
    <row r="91" spans="1:7" x14ac:dyDescent="0.25">
      <c r="A91" s="4" t="str">
        <f>HYPERLINK("http://amigo.geneontology.org/cgi-bin/amigo/term-details.cgi?term=GO:0061733","GO:0061733")</f>
        <v>GO:0061733</v>
      </c>
      <c r="B91" t="s">
        <v>168</v>
      </c>
      <c r="C91">
        <v>38</v>
      </c>
      <c r="D91">
        <v>2</v>
      </c>
      <c r="E91">
        <v>1.30468403009023E-2</v>
      </c>
      <c r="F91">
        <v>0.717576216549628</v>
      </c>
      <c r="G91" t="s">
        <v>4407</v>
      </c>
    </row>
    <row r="92" spans="1:7" x14ac:dyDescent="0.25">
      <c r="A92" s="4" t="str">
        <f>HYPERLINK("http://amigo.geneontology.org/cgi-bin/amigo/term-details.cgi?term=GO:0004402","GO:0004402")</f>
        <v>GO:0004402</v>
      </c>
      <c r="B92" t="s">
        <v>167</v>
      </c>
      <c r="C92">
        <v>38</v>
      </c>
      <c r="D92">
        <v>2</v>
      </c>
      <c r="E92">
        <v>1.30468403009023E-2</v>
      </c>
      <c r="F92">
        <v>0.717576216549628</v>
      </c>
      <c r="G92" t="s">
        <v>4407</v>
      </c>
    </row>
    <row r="93" spans="1:7" x14ac:dyDescent="0.25">
      <c r="A93" s="4" t="str">
        <f>HYPERLINK("http://amigo.geneontology.org/cgi-bin/amigo/term-details.cgi?term=GO:0015927","GO:0015927")</f>
        <v>GO:0015927</v>
      </c>
      <c r="B93" t="s">
        <v>151</v>
      </c>
      <c r="C93">
        <v>3</v>
      </c>
      <c r="D93">
        <v>1</v>
      </c>
      <c r="E93">
        <v>1.3599368138102299E-2</v>
      </c>
      <c r="F93">
        <v>0.70716714318132401</v>
      </c>
      <c r="G93" t="s">
        <v>3</v>
      </c>
    </row>
    <row r="94" spans="1:7" x14ac:dyDescent="0.25">
      <c r="A94" s="4" t="str">
        <f>HYPERLINK("http://amigo.geneontology.org/cgi-bin/amigo/term-details.cgi?term=GO:0004555","GO:0004555")</f>
        <v>GO:0004555</v>
      </c>
      <c r="B94" t="s">
        <v>150</v>
      </c>
      <c r="C94">
        <v>3</v>
      </c>
      <c r="D94">
        <v>1</v>
      </c>
      <c r="E94">
        <v>1.3599368138102299E-2</v>
      </c>
      <c r="F94">
        <v>0.72076651131942604</v>
      </c>
      <c r="G94" t="s">
        <v>3</v>
      </c>
    </row>
    <row r="95" spans="1:7" x14ac:dyDescent="0.25">
      <c r="A95" s="4" t="str">
        <f>HYPERLINK("http://amigo.geneontology.org/cgi-bin/amigo/term-details.cgi?term=GO:0005993","GO:0005993")</f>
        <v>GO:0005993</v>
      </c>
      <c r="B95" t="s">
        <v>1984</v>
      </c>
      <c r="C95">
        <v>3</v>
      </c>
      <c r="D95">
        <v>1</v>
      </c>
      <c r="E95">
        <v>1.3599368138102299E-2</v>
      </c>
      <c r="F95">
        <v>0.72076651131942604</v>
      </c>
      <c r="G95" t="s">
        <v>3</v>
      </c>
    </row>
    <row r="96" spans="1:7" x14ac:dyDescent="0.25">
      <c r="A96" s="4" t="str">
        <f>HYPERLINK("http://amigo.geneontology.org/cgi-bin/amigo/term-details.cgi?term=GO:0008972","GO:0008972")</f>
        <v>GO:0008972</v>
      </c>
      <c r="B96" t="s">
        <v>4408</v>
      </c>
      <c r="C96">
        <v>3</v>
      </c>
      <c r="D96">
        <v>1</v>
      </c>
      <c r="E96">
        <v>1.3599368138102299E-2</v>
      </c>
      <c r="F96">
        <v>0.73436587945752796</v>
      </c>
      <c r="G96" t="s">
        <v>4404</v>
      </c>
    </row>
    <row r="97" spans="1:7" x14ac:dyDescent="0.25">
      <c r="A97" s="4" t="str">
        <f>HYPERLINK("http://amigo.geneontology.org/cgi-bin/amigo/term-details.cgi?term=GO:0034212","GO:0034212")</f>
        <v>GO:0034212</v>
      </c>
      <c r="B97" t="s">
        <v>169</v>
      </c>
      <c r="C97">
        <v>40</v>
      </c>
      <c r="D97">
        <v>2</v>
      </c>
      <c r="E97">
        <v>1.43897922317331E-2</v>
      </c>
      <c r="F97">
        <v>0.73387940381838801</v>
      </c>
      <c r="G97" t="s">
        <v>4407</v>
      </c>
    </row>
    <row r="98" spans="1:7" x14ac:dyDescent="0.25">
      <c r="A98" s="4" t="str">
        <f>HYPERLINK("http://amigo.geneontology.org/cgi-bin/amigo/term-details.cgi?term=GO:0099023","GO:0099023")</f>
        <v>GO:0099023</v>
      </c>
      <c r="B98" t="s">
        <v>1680</v>
      </c>
      <c r="C98">
        <v>206</v>
      </c>
      <c r="D98">
        <v>4</v>
      </c>
      <c r="E98">
        <v>1.50243307183308E-2</v>
      </c>
      <c r="F98">
        <v>0.76624086663487501</v>
      </c>
      <c r="G98" t="s">
        <v>4401</v>
      </c>
    </row>
    <row r="99" spans="1:7" x14ac:dyDescent="0.25">
      <c r="A99" s="4" t="str">
        <f>HYPERLINK("http://amigo.geneontology.org/cgi-bin/amigo/term-details.cgi?term=GO:0038023","GO:0038023")</f>
        <v>GO:0038023</v>
      </c>
      <c r="B99" t="s">
        <v>4409</v>
      </c>
      <c r="C99">
        <v>212</v>
      </c>
      <c r="D99">
        <v>4</v>
      </c>
      <c r="E99">
        <v>1.65167343699455E-2</v>
      </c>
      <c r="F99">
        <v>0.82583671849727502</v>
      </c>
      <c r="G99" t="s">
        <v>4387</v>
      </c>
    </row>
    <row r="100" spans="1:7" x14ac:dyDescent="0.25">
      <c r="A100" s="4" t="str">
        <f>HYPERLINK("http://amigo.geneontology.org/cgi-bin/amigo/term-details.cgi?term=GO:0061134","GO:0061134")</f>
        <v>GO:0061134</v>
      </c>
      <c r="B100" t="s">
        <v>4410</v>
      </c>
      <c r="C100">
        <v>445</v>
      </c>
      <c r="D100">
        <v>6</v>
      </c>
      <c r="E100">
        <v>1.6963430571638499E-2</v>
      </c>
      <c r="F100">
        <v>0.81424466743864898</v>
      </c>
      <c r="G100" t="s">
        <v>4396</v>
      </c>
    </row>
    <row r="101" spans="1:7" x14ac:dyDescent="0.25">
      <c r="A101" s="4" t="str">
        <f>HYPERLINK("http://amigo.geneontology.org/cgi-bin/amigo/term-details.cgi?term=GO:0030414","GO:0030414")</f>
        <v>GO:0030414</v>
      </c>
      <c r="B101" t="s">
        <v>4411</v>
      </c>
      <c r="C101">
        <v>445</v>
      </c>
      <c r="D101">
        <v>6</v>
      </c>
      <c r="E101">
        <v>1.6963430571638499E-2</v>
      </c>
      <c r="F101">
        <v>0.83120809801028805</v>
      </c>
      <c r="G101" t="s">
        <v>4396</v>
      </c>
    </row>
    <row r="102" spans="1:7" x14ac:dyDescent="0.25">
      <c r="A102" s="4" t="str">
        <f>HYPERLINK("http://amigo.geneontology.org/cgi-bin/amigo/term-details.cgi?term=GO:0061135","GO:0061135")</f>
        <v>GO:0061135</v>
      </c>
      <c r="B102" t="s">
        <v>4412</v>
      </c>
      <c r="C102">
        <v>445</v>
      </c>
      <c r="D102">
        <v>6</v>
      </c>
      <c r="E102">
        <v>1.6963430571638499E-2</v>
      </c>
      <c r="F102">
        <v>0.83120809801028805</v>
      </c>
      <c r="G102" t="s">
        <v>4396</v>
      </c>
    </row>
    <row r="103" spans="1:7" x14ac:dyDescent="0.25">
      <c r="A103" s="4" t="str">
        <f>HYPERLINK("http://amigo.geneontology.org/cgi-bin/amigo/term-details.cgi?term=GO:0004866","GO:0004866")</f>
        <v>GO:0004866</v>
      </c>
      <c r="B103" t="s">
        <v>4413</v>
      </c>
      <c r="C103">
        <v>445</v>
      </c>
      <c r="D103">
        <v>6</v>
      </c>
      <c r="E103">
        <v>1.6963430571638499E-2</v>
      </c>
      <c r="F103">
        <v>0.84817152858192602</v>
      </c>
      <c r="G103" t="s">
        <v>4396</v>
      </c>
    </row>
    <row r="104" spans="1:7" x14ac:dyDescent="0.25">
      <c r="A104" s="4" t="str">
        <f>HYPERLINK("http://amigo.geneontology.org/cgi-bin/amigo/term-details.cgi?term=GO:0032940","GO:0032940")</f>
        <v>GO:0032940</v>
      </c>
      <c r="B104" t="s">
        <v>130</v>
      </c>
      <c r="C104">
        <v>216</v>
      </c>
      <c r="D104">
        <v>4</v>
      </c>
      <c r="E104">
        <v>1.7561410875436299E-2</v>
      </c>
      <c r="F104">
        <v>0.84294772202094204</v>
      </c>
      <c r="G104" t="s">
        <v>4401</v>
      </c>
    </row>
    <row r="105" spans="1:7" x14ac:dyDescent="0.25">
      <c r="A105" s="4" t="str">
        <f>HYPERLINK("http://amigo.geneontology.org/cgi-bin/amigo/term-details.cgi?term=GO:0018580","GO:0018580")</f>
        <v>GO:0018580</v>
      </c>
      <c r="B105" t="s">
        <v>226</v>
      </c>
      <c r="C105">
        <v>4</v>
      </c>
      <c r="D105">
        <v>1</v>
      </c>
      <c r="E105">
        <v>1.8091384091705302E-2</v>
      </c>
      <c r="F105">
        <v>0.85029505231015101</v>
      </c>
      <c r="G105" t="s">
        <v>0</v>
      </c>
    </row>
    <row r="106" spans="1:7" x14ac:dyDescent="0.25">
      <c r="A106" s="4" t="str">
        <f>HYPERLINK("http://amigo.geneontology.org/cgi-bin/amigo/term-details.cgi?term=GO:0004872","GO:0004872")</f>
        <v>GO:0004872</v>
      </c>
      <c r="B106" t="s">
        <v>4414</v>
      </c>
      <c r="C106">
        <v>220</v>
      </c>
      <c r="D106">
        <v>4</v>
      </c>
      <c r="E106">
        <v>1.8646381817650701E-2</v>
      </c>
      <c r="F106">
        <v>0.87637994542958497</v>
      </c>
      <c r="G106" t="s">
        <v>4387</v>
      </c>
    </row>
    <row r="107" spans="1:7" x14ac:dyDescent="0.25">
      <c r="A107" s="4" t="str">
        <f>HYPERLINK("http://amigo.geneontology.org/cgi-bin/amigo/term-details.cgi?term=GO:0022839","GO:0022839")</f>
        <v>GO:0022839</v>
      </c>
      <c r="B107" t="s">
        <v>4415</v>
      </c>
      <c r="C107">
        <v>224</v>
      </c>
      <c r="D107">
        <v>4</v>
      </c>
      <c r="E107">
        <v>1.9772046874606101E-2</v>
      </c>
      <c r="F107">
        <v>0.90951415623188403</v>
      </c>
      <c r="G107" t="s">
        <v>4387</v>
      </c>
    </row>
    <row r="108" spans="1:7" x14ac:dyDescent="0.25">
      <c r="A108" s="4" t="str">
        <f>HYPERLINK("http://amigo.geneontology.org/cgi-bin/amigo/term-details.cgi?term=GO:0022857","GO:0022857")</f>
        <v>GO:0022857</v>
      </c>
      <c r="B108" t="s">
        <v>927</v>
      </c>
      <c r="C108">
        <v>2482</v>
      </c>
      <c r="D108">
        <v>19</v>
      </c>
      <c r="E108">
        <v>2.0387771733836699E-2</v>
      </c>
      <c r="F108">
        <v>0.937837499756488</v>
      </c>
      <c r="G108" t="s">
        <v>4416</v>
      </c>
    </row>
    <row r="109" spans="1:7" x14ac:dyDescent="0.25">
      <c r="A109" s="4" t="str">
        <f>HYPERLINK("http://amigo.geneontology.org/cgi-bin/amigo/term-details.cgi?term=GO:0022836","GO:0022836")</f>
        <v>GO:0022836</v>
      </c>
      <c r="B109" t="s">
        <v>4417</v>
      </c>
      <c r="C109">
        <v>227</v>
      </c>
      <c r="D109">
        <v>4</v>
      </c>
      <c r="E109">
        <v>2.0643226381931799E-2</v>
      </c>
      <c r="F109">
        <v>0.92894518718693297</v>
      </c>
      <c r="G109" t="s">
        <v>4387</v>
      </c>
    </row>
    <row r="110" spans="1:7" x14ac:dyDescent="0.25">
      <c r="A110" s="4" t="str">
        <f>HYPERLINK("http://amigo.geneontology.org/cgi-bin/amigo/term-details.cgi?term=GO:0008381","GO:0008381")</f>
        <v>GO:0008381</v>
      </c>
      <c r="B110" t="s">
        <v>4418</v>
      </c>
      <c r="C110">
        <v>227</v>
      </c>
      <c r="D110">
        <v>4</v>
      </c>
      <c r="E110">
        <v>2.0643226381931799E-2</v>
      </c>
      <c r="F110">
        <v>0.92894518718693297</v>
      </c>
      <c r="G110" t="s">
        <v>4387</v>
      </c>
    </row>
    <row r="111" spans="1:7" x14ac:dyDescent="0.25">
      <c r="A111" s="4" t="str">
        <f>HYPERLINK("http://amigo.geneontology.org/cgi-bin/amigo/term-details.cgi?term=GO:0046903","GO:0046903")</f>
        <v>GO:0046903</v>
      </c>
      <c r="B111" t="s">
        <v>100</v>
      </c>
      <c r="C111">
        <v>233</v>
      </c>
      <c r="D111">
        <v>4</v>
      </c>
      <c r="E111">
        <v>2.2455467980556101E-2</v>
      </c>
      <c r="F111">
        <v>0.98804059114446796</v>
      </c>
      <c r="G111" t="s">
        <v>4401</v>
      </c>
    </row>
    <row r="112" spans="1:7" x14ac:dyDescent="0.25">
      <c r="A112" s="4" t="str">
        <f>HYPERLINK("http://amigo.geneontology.org/cgi-bin/amigo/term-details.cgi?term=GO:0019520","GO:0019520")</f>
        <v>GO:0019520</v>
      </c>
      <c r="B112" t="s">
        <v>4419</v>
      </c>
      <c r="C112">
        <v>5</v>
      </c>
      <c r="D112">
        <v>1</v>
      </c>
      <c r="E112">
        <v>2.2563001662410601E-2</v>
      </c>
      <c r="F112">
        <v>0.97020907148365798</v>
      </c>
      <c r="G112" t="s">
        <v>66</v>
      </c>
    </row>
    <row r="113" spans="1:7" x14ac:dyDescent="0.25">
      <c r="A113" s="4" t="str">
        <f>HYPERLINK("http://amigo.geneontology.org/cgi-bin/amigo/term-details.cgi?term=GO:0019521","GO:0019521")</f>
        <v>GO:0019521</v>
      </c>
      <c r="B113" t="s">
        <v>4420</v>
      </c>
      <c r="C113">
        <v>5</v>
      </c>
      <c r="D113">
        <v>1</v>
      </c>
      <c r="E113">
        <v>2.2563001662410601E-2</v>
      </c>
      <c r="F113">
        <v>0.99277207314606897</v>
      </c>
      <c r="G113" t="s">
        <v>66</v>
      </c>
    </row>
    <row r="114" spans="1:7" x14ac:dyDescent="0.25">
      <c r="A114" s="4" t="str">
        <f>HYPERLINK("http://amigo.geneontology.org/cgi-bin/amigo/term-details.cgi?term=GO:0043170","GO:0043170")</f>
        <v>GO:0043170</v>
      </c>
      <c r="B114" t="s">
        <v>884</v>
      </c>
      <c r="C114">
        <v>17684</v>
      </c>
      <c r="D114">
        <v>97</v>
      </c>
      <c r="E114">
        <v>2.2745133260227299E-2</v>
      </c>
      <c r="F114">
        <v>0.978040730189777</v>
      </c>
      <c r="G114" t="s">
        <v>4421</v>
      </c>
    </row>
    <row r="115" spans="1:7" x14ac:dyDescent="0.25">
      <c r="A115" s="4" t="str">
        <f>HYPERLINK("http://amigo.geneontology.org/cgi-bin/amigo/term-details.cgi?term=GO:0071369","GO:0071369")</f>
        <v>GO:0071369</v>
      </c>
      <c r="B115" t="s">
        <v>584</v>
      </c>
      <c r="C115">
        <v>52</v>
      </c>
      <c r="D115">
        <v>2</v>
      </c>
      <c r="E115">
        <v>2.3605034584650499E-2</v>
      </c>
      <c r="F115">
        <v>0.99141145255532503</v>
      </c>
      <c r="G115" t="s">
        <v>4422</v>
      </c>
    </row>
    <row r="116" spans="1:7" x14ac:dyDescent="0.25">
      <c r="A116" s="4" t="str">
        <f>HYPERLINK("http://amigo.geneontology.org/cgi-bin/amigo/term-details.cgi?term=GO:0009873","GO:0009873")</f>
        <v>GO:0009873</v>
      </c>
      <c r="B116" t="s">
        <v>583</v>
      </c>
      <c r="C116">
        <v>52</v>
      </c>
      <c r="D116">
        <v>2</v>
      </c>
      <c r="E116">
        <v>2.3605034584650499E-2</v>
      </c>
      <c r="F116">
        <v>1</v>
      </c>
      <c r="G116" t="s">
        <v>4422</v>
      </c>
    </row>
    <row r="117" spans="1:7" x14ac:dyDescent="0.25">
      <c r="A117" s="4" t="str">
        <f>HYPERLINK("http://amigo.geneontology.org/cgi-bin/amigo/term-details.cgi?term=GO:0004452","GO:0004452")</f>
        <v>GO:0004452</v>
      </c>
      <c r="B117" t="s">
        <v>88</v>
      </c>
      <c r="C117">
        <v>6</v>
      </c>
      <c r="D117">
        <v>1</v>
      </c>
      <c r="E117">
        <v>2.7014313212409099E-2</v>
      </c>
      <c r="F117">
        <v>1</v>
      </c>
      <c r="G117" t="s">
        <v>1</v>
      </c>
    </row>
    <row r="118" spans="1:7" x14ac:dyDescent="0.25">
      <c r="A118" s="4" t="str">
        <f>HYPERLINK("http://amigo.geneontology.org/cgi-bin/amigo/term-details.cgi?term=GO:0004516","GO:0004516")</f>
        <v>GO:0004516</v>
      </c>
      <c r="B118" t="s">
        <v>608</v>
      </c>
      <c r="C118">
        <v>6</v>
      </c>
      <c r="D118">
        <v>1</v>
      </c>
      <c r="E118">
        <v>2.7014313212409099E-2</v>
      </c>
      <c r="F118">
        <v>1</v>
      </c>
      <c r="G118" t="s">
        <v>13</v>
      </c>
    </row>
    <row r="119" spans="1:7" x14ac:dyDescent="0.25">
      <c r="A119" s="4" t="str">
        <f>HYPERLINK("http://amigo.geneontology.org/cgi-bin/amigo/term-details.cgi?term=GO:0046497","GO:0046497")</f>
        <v>GO:0046497</v>
      </c>
      <c r="B119" t="s">
        <v>607</v>
      </c>
      <c r="C119">
        <v>6</v>
      </c>
      <c r="D119">
        <v>1</v>
      </c>
      <c r="E119">
        <v>2.7014313212409099E-2</v>
      </c>
      <c r="F119">
        <v>1</v>
      </c>
      <c r="G119" t="s">
        <v>13</v>
      </c>
    </row>
    <row r="120" spans="1:7" x14ac:dyDescent="0.25">
      <c r="A120" s="4" t="str">
        <f>HYPERLINK("http://amigo.geneontology.org/cgi-bin/amigo/term-details.cgi?term=GO:0019357","GO:0019357")</f>
        <v>GO:0019357</v>
      </c>
      <c r="B120" t="s">
        <v>606</v>
      </c>
      <c r="C120">
        <v>6</v>
      </c>
      <c r="D120">
        <v>1</v>
      </c>
      <c r="E120">
        <v>2.7014313212409099E-2</v>
      </c>
      <c r="F120">
        <v>1</v>
      </c>
      <c r="G120" t="s">
        <v>13</v>
      </c>
    </row>
    <row r="121" spans="1:7" x14ac:dyDescent="0.25">
      <c r="A121" s="4" t="str">
        <f>HYPERLINK("http://amigo.geneontology.org/cgi-bin/amigo/term-details.cgi?term=GO:0019358","GO:0019358")</f>
        <v>GO:0019358</v>
      </c>
      <c r="B121" t="s">
        <v>604</v>
      </c>
      <c r="C121">
        <v>6</v>
      </c>
      <c r="D121">
        <v>1</v>
      </c>
      <c r="E121">
        <v>2.7014313212409099E-2</v>
      </c>
      <c r="F121">
        <v>1</v>
      </c>
      <c r="G121" t="s">
        <v>13</v>
      </c>
    </row>
    <row r="122" spans="1:7" x14ac:dyDescent="0.25">
      <c r="A122" s="4" t="str">
        <f>HYPERLINK("http://amigo.geneontology.org/cgi-bin/amigo/term-details.cgi?term=GO:0004476","GO:0004476")</f>
        <v>GO:0004476</v>
      </c>
      <c r="B122" t="s">
        <v>187</v>
      </c>
      <c r="C122">
        <v>6</v>
      </c>
      <c r="D122">
        <v>1</v>
      </c>
      <c r="E122">
        <v>2.7014313212409099E-2</v>
      </c>
      <c r="F122">
        <v>1</v>
      </c>
      <c r="G122" t="s">
        <v>19</v>
      </c>
    </row>
    <row r="123" spans="1:7" x14ac:dyDescent="0.25">
      <c r="A123" s="4" t="str">
        <f>HYPERLINK("http://amigo.geneontology.org/cgi-bin/amigo/term-details.cgi?term=GO:0004789","GO:0004789")</f>
        <v>GO:0004789</v>
      </c>
      <c r="B123" t="s">
        <v>4423</v>
      </c>
      <c r="C123">
        <v>6</v>
      </c>
      <c r="D123">
        <v>1</v>
      </c>
      <c r="E123">
        <v>2.7014313212409099E-2</v>
      </c>
      <c r="F123">
        <v>1</v>
      </c>
      <c r="G123" t="s">
        <v>4404</v>
      </c>
    </row>
    <row r="124" spans="1:7" x14ac:dyDescent="0.25">
      <c r="A124" s="4" t="str">
        <f>HYPERLINK("http://amigo.geneontology.org/cgi-bin/amigo/term-details.cgi?term=GO:0016706","GO:0016706")</f>
        <v>GO:0016706</v>
      </c>
      <c r="B124" t="s">
        <v>1949</v>
      </c>
      <c r="C124">
        <v>251</v>
      </c>
      <c r="D124">
        <v>4</v>
      </c>
      <c r="E124">
        <v>2.8460191642969399E-2</v>
      </c>
      <c r="F124">
        <v>1</v>
      </c>
      <c r="G124" t="s">
        <v>4424</v>
      </c>
    </row>
    <row r="125" spans="1:7" x14ac:dyDescent="0.25">
      <c r="A125" s="4" t="str">
        <f>HYPERLINK("http://amigo.geneontology.org/cgi-bin/amigo/term-details.cgi?term=GO:0044237","GO:0044237")</f>
        <v>GO:0044237</v>
      </c>
      <c r="B125" t="s">
        <v>895</v>
      </c>
      <c r="C125">
        <v>21432</v>
      </c>
      <c r="D125">
        <v>114</v>
      </c>
      <c r="E125">
        <v>3.0169305198793399E-2</v>
      </c>
      <c r="F125">
        <v>1</v>
      </c>
      <c r="G125" t="s">
        <v>4425</v>
      </c>
    </row>
    <row r="126" spans="1:7" x14ac:dyDescent="0.25">
      <c r="A126" s="4" t="str">
        <f>HYPERLINK("http://amigo.geneontology.org/cgi-bin/amigo/term-details.cgi?term=GO:0051336","GO:0051336")</f>
        <v>GO:0051336</v>
      </c>
      <c r="B126" t="s">
        <v>1919</v>
      </c>
      <c r="C126">
        <v>148</v>
      </c>
      <c r="D126">
        <v>3</v>
      </c>
      <c r="E126">
        <v>3.0552709054745102E-2</v>
      </c>
      <c r="F126">
        <v>1</v>
      </c>
      <c r="G126" t="s">
        <v>4426</v>
      </c>
    </row>
    <row r="127" spans="1:7" x14ac:dyDescent="0.25">
      <c r="A127" s="4" t="str">
        <f>HYPERLINK("http://amigo.geneontology.org/cgi-bin/amigo/term-details.cgi?term=GO:0004029","GO:0004029")</f>
        <v>GO:0004029</v>
      </c>
      <c r="B127" t="s">
        <v>4427</v>
      </c>
      <c r="C127">
        <v>7</v>
      </c>
      <c r="D127">
        <v>1</v>
      </c>
      <c r="E127">
        <v>3.1445410693718701E-2</v>
      </c>
      <c r="F127">
        <v>1</v>
      </c>
      <c r="G127" t="s">
        <v>58</v>
      </c>
    </row>
    <row r="128" spans="1:7" x14ac:dyDescent="0.25">
      <c r="A128" s="4" t="str">
        <f>HYPERLINK("http://amigo.geneontology.org/cgi-bin/amigo/term-details.cgi?term=GO:0004713","GO:0004713")</f>
        <v>GO:0004713</v>
      </c>
      <c r="B128" t="s">
        <v>92</v>
      </c>
      <c r="C128">
        <v>156</v>
      </c>
      <c r="D128">
        <v>3</v>
      </c>
      <c r="E128">
        <v>3.4890912692753101E-2</v>
      </c>
      <c r="F128">
        <v>1</v>
      </c>
      <c r="G128" t="s">
        <v>4428</v>
      </c>
    </row>
    <row r="129" spans="1:7" x14ac:dyDescent="0.25">
      <c r="A129" s="4" t="str">
        <f>HYPERLINK("http://amigo.geneontology.org/cgi-bin/amigo/term-details.cgi?term=GO:0004821","GO:0004821")</f>
        <v>GO:0004821</v>
      </c>
      <c r="B129" t="s">
        <v>4429</v>
      </c>
      <c r="C129">
        <v>8</v>
      </c>
      <c r="D129">
        <v>1</v>
      </c>
      <c r="E129">
        <v>3.5856385636867702E-2</v>
      </c>
      <c r="F129">
        <v>1</v>
      </c>
      <c r="G129" t="s">
        <v>5</v>
      </c>
    </row>
    <row r="130" spans="1:7" x14ac:dyDescent="0.25">
      <c r="A130" s="4" t="str">
        <f>HYPERLINK("http://amigo.geneontology.org/cgi-bin/amigo/term-details.cgi?term=GO:0006427","GO:0006427")</f>
        <v>GO:0006427</v>
      </c>
      <c r="B130" t="s">
        <v>4430</v>
      </c>
      <c r="C130">
        <v>8</v>
      </c>
      <c r="D130">
        <v>1</v>
      </c>
      <c r="E130">
        <v>3.5856385636867702E-2</v>
      </c>
      <c r="F130">
        <v>1</v>
      </c>
      <c r="G130" t="s">
        <v>5</v>
      </c>
    </row>
    <row r="131" spans="1:7" x14ac:dyDescent="0.25">
      <c r="A131" s="4" t="str">
        <f>HYPERLINK("http://amigo.geneontology.org/cgi-bin/amigo/term-details.cgi?term=GO:0051920","GO:0051920")</f>
        <v>GO:0051920</v>
      </c>
      <c r="B131" t="s">
        <v>635</v>
      </c>
      <c r="C131">
        <v>8</v>
      </c>
      <c r="D131">
        <v>1</v>
      </c>
      <c r="E131">
        <v>3.5856385636867702E-2</v>
      </c>
      <c r="F131">
        <v>1</v>
      </c>
      <c r="G131" t="s">
        <v>16</v>
      </c>
    </row>
    <row r="132" spans="1:7" x14ac:dyDescent="0.25">
      <c r="A132" s="4" t="str">
        <f>HYPERLINK("http://amigo.geneontology.org/cgi-bin/amigo/term-details.cgi?term=GO:0097437","GO:0097437")</f>
        <v>GO:0097437</v>
      </c>
      <c r="B132" t="s">
        <v>4431</v>
      </c>
      <c r="C132">
        <v>8</v>
      </c>
      <c r="D132">
        <v>1</v>
      </c>
      <c r="E132">
        <v>3.5856385636867702E-2</v>
      </c>
      <c r="F132">
        <v>1</v>
      </c>
      <c r="G132" t="s">
        <v>16</v>
      </c>
    </row>
    <row r="133" spans="1:7" x14ac:dyDescent="0.25">
      <c r="A133" s="4" t="str">
        <f>HYPERLINK("http://amigo.geneontology.org/cgi-bin/amigo/term-details.cgi?term=GO:0010231","GO:0010231")</f>
        <v>GO:0010231</v>
      </c>
      <c r="B133" t="s">
        <v>4432</v>
      </c>
      <c r="C133">
        <v>8</v>
      </c>
      <c r="D133">
        <v>1</v>
      </c>
      <c r="E133">
        <v>3.5856385636867702E-2</v>
      </c>
      <c r="F133">
        <v>1</v>
      </c>
      <c r="G133" t="s">
        <v>16</v>
      </c>
    </row>
    <row r="134" spans="1:7" x14ac:dyDescent="0.25">
      <c r="A134" s="4" t="str">
        <f>HYPERLINK("http://amigo.geneontology.org/cgi-bin/amigo/term-details.cgi?term=GO:0006814","GO:0006814")</f>
        <v>GO:0006814</v>
      </c>
      <c r="B134" t="s">
        <v>211</v>
      </c>
      <c r="C134">
        <v>66</v>
      </c>
      <c r="D134">
        <v>2</v>
      </c>
      <c r="E134">
        <v>3.6635115448160498E-2</v>
      </c>
      <c r="F134">
        <v>1</v>
      </c>
      <c r="G134" t="s">
        <v>4433</v>
      </c>
    </row>
    <row r="135" spans="1:7" x14ac:dyDescent="0.25">
      <c r="A135" s="4" t="str">
        <f>HYPERLINK("http://amigo.geneontology.org/cgi-bin/amigo/term-details.cgi?term=GO:0016841","GO:0016841")</f>
        <v>GO:0016841</v>
      </c>
      <c r="B135" t="s">
        <v>4434</v>
      </c>
      <c r="C135">
        <v>67</v>
      </c>
      <c r="D135">
        <v>2</v>
      </c>
      <c r="E135">
        <v>3.7651104779108498E-2</v>
      </c>
      <c r="F135">
        <v>1</v>
      </c>
      <c r="G135" t="s">
        <v>4435</v>
      </c>
    </row>
    <row r="136" spans="1:7" x14ac:dyDescent="0.25">
      <c r="A136" s="4" t="str">
        <f>HYPERLINK("http://amigo.geneontology.org/cgi-bin/amigo/term-details.cgi?term=GO:0004514","GO:0004514")</f>
        <v>GO:0004514</v>
      </c>
      <c r="B136" t="s">
        <v>540</v>
      </c>
      <c r="C136">
        <v>9</v>
      </c>
      <c r="D136">
        <v>1</v>
      </c>
      <c r="E136">
        <v>4.0247329161817197E-2</v>
      </c>
      <c r="F136">
        <v>1</v>
      </c>
      <c r="G136" t="s">
        <v>13</v>
      </c>
    </row>
    <row r="137" spans="1:7" x14ac:dyDescent="0.25">
      <c r="A137" s="4" t="str">
        <f>HYPERLINK("http://amigo.geneontology.org/cgi-bin/amigo/term-details.cgi?term=GO:0019365","GO:0019365")</f>
        <v>GO:0019365</v>
      </c>
      <c r="B137" t="s">
        <v>605</v>
      </c>
      <c r="C137">
        <v>9</v>
      </c>
      <c r="D137">
        <v>1</v>
      </c>
      <c r="E137">
        <v>4.0247329161817197E-2</v>
      </c>
      <c r="F137">
        <v>1</v>
      </c>
      <c r="G137" t="s">
        <v>13</v>
      </c>
    </row>
    <row r="138" spans="1:7" x14ac:dyDescent="0.25">
      <c r="A138" s="4" t="str">
        <f>HYPERLINK("http://amigo.geneontology.org/cgi-bin/amigo/term-details.cgi?term=GO:0005216","GO:0005216")</f>
        <v>GO:0005216</v>
      </c>
      <c r="B138" t="s">
        <v>4436</v>
      </c>
      <c r="C138">
        <v>282</v>
      </c>
      <c r="D138">
        <v>4</v>
      </c>
      <c r="E138">
        <v>4.0842469951782E-2</v>
      </c>
      <c r="F138">
        <v>1</v>
      </c>
      <c r="G138" t="s">
        <v>4387</v>
      </c>
    </row>
    <row r="139" spans="1:7" x14ac:dyDescent="0.25">
      <c r="A139" s="4" t="str">
        <f>HYPERLINK("http://amigo.geneontology.org/cgi-bin/amigo/term-details.cgi?term=GO:0022838","GO:0022838")</f>
        <v>GO:0022838</v>
      </c>
      <c r="B139" t="s">
        <v>4437</v>
      </c>
      <c r="C139">
        <v>290</v>
      </c>
      <c r="D139">
        <v>4</v>
      </c>
      <c r="E139">
        <v>4.4461815859808899E-2</v>
      </c>
      <c r="F139">
        <v>1</v>
      </c>
      <c r="G139" t="s">
        <v>4387</v>
      </c>
    </row>
    <row r="140" spans="1:7" x14ac:dyDescent="0.25">
      <c r="A140" s="4" t="str">
        <f>HYPERLINK("http://amigo.geneontology.org/cgi-bin/amigo/term-details.cgi?term=GO:0004163","GO:0004163")</f>
        <v>GO:0004163</v>
      </c>
      <c r="B140" t="s">
        <v>4334</v>
      </c>
      <c r="C140">
        <v>10</v>
      </c>
      <c r="D140">
        <v>1</v>
      </c>
      <c r="E140">
        <v>4.4618331982187398E-2</v>
      </c>
      <c r="F140">
        <v>1</v>
      </c>
      <c r="G140" t="s">
        <v>30</v>
      </c>
    </row>
    <row r="141" spans="1:7" x14ac:dyDescent="0.25">
      <c r="A141" s="4" t="str">
        <f>HYPERLINK("http://amigo.geneontology.org/cgi-bin/amigo/term-details.cgi?term=GO:0019287","GO:0019287")</f>
        <v>GO:0019287</v>
      </c>
      <c r="B141" t="s">
        <v>4336</v>
      </c>
      <c r="C141">
        <v>10</v>
      </c>
      <c r="D141">
        <v>1</v>
      </c>
      <c r="E141">
        <v>4.4618331982187398E-2</v>
      </c>
      <c r="F141">
        <v>1</v>
      </c>
      <c r="G141" t="s">
        <v>30</v>
      </c>
    </row>
    <row r="142" spans="1:7" x14ac:dyDescent="0.25">
      <c r="A142" s="4" t="str">
        <f>HYPERLINK("http://amigo.geneontology.org/cgi-bin/amigo/term-details.cgi?term=GO:0045493","GO:0045493")</f>
        <v>GO:0045493</v>
      </c>
      <c r="B142" t="s">
        <v>1811</v>
      </c>
      <c r="C142">
        <v>10</v>
      </c>
      <c r="D142">
        <v>1</v>
      </c>
      <c r="E142">
        <v>4.4618331982187398E-2</v>
      </c>
      <c r="F142">
        <v>1</v>
      </c>
      <c r="G142" t="s">
        <v>40</v>
      </c>
    </row>
    <row r="143" spans="1:7" x14ac:dyDescent="0.25">
      <c r="A143" s="4" t="str">
        <f>HYPERLINK("http://amigo.geneontology.org/cgi-bin/amigo/term-details.cgi?term=GO:0022803","GO:0022803")</f>
        <v>GO:0022803</v>
      </c>
      <c r="B143" t="s">
        <v>4438</v>
      </c>
      <c r="C143">
        <v>293</v>
      </c>
      <c r="D143">
        <v>4</v>
      </c>
      <c r="E143">
        <v>4.5863955818321901E-2</v>
      </c>
      <c r="F143">
        <v>1</v>
      </c>
      <c r="G143" t="s">
        <v>4387</v>
      </c>
    </row>
    <row r="144" spans="1:7" x14ac:dyDescent="0.25">
      <c r="A144" s="4" t="str">
        <f>HYPERLINK("http://amigo.geneontology.org/cgi-bin/amigo/term-details.cgi?term=GO:0015267","GO:0015267")</f>
        <v>GO:0015267</v>
      </c>
      <c r="B144" t="s">
        <v>4439</v>
      </c>
      <c r="C144">
        <v>293</v>
      </c>
      <c r="D144">
        <v>4</v>
      </c>
      <c r="E144">
        <v>4.5863955818321901E-2</v>
      </c>
      <c r="F144">
        <v>1</v>
      </c>
      <c r="G144" t="s">
        <v>4387</v>
      </c>
    </row>
    <row r="145" spans="1:7" x14ac:dyDescent="0.25">
      <c r="A145" s="4" t="str">
        <f>HYPERLINK("http://amigo.geneontology.org/cgi-bin/amigo/term-details.cgi?term=GO:0044238","GO:0044238")</f>
        <v>GO:0044238</v>
      </c>
      <c r="B145" t="s">
        <v>900</v>
      </c>
      <c r="C145">
        <v>23288</v>
      </c>
      <c r="D145">
        <v>121</v>
      </c>
      <c r="E145">
        <v>4.7359907121617403E-2</v>
      </c>
      <c r="F145">
        <v>1</v>
      </c>
      <c r="G145" t="s">
        <v>4440</v>
      </c>
    </row>
    <row r="146" spans="1:7" x14ac:dyDescent="0.25">
      <c r="A146" s="4" t="str">
        <f>HYPERLINK("http://amigo.geneontology.org/cgi-bin/amigo/term-details.cgi?term=GO:1901363","GO:1901363")</f>
        <v>GO:1901363</v>
      </c>
      <c r="B146" t="s">
        <v>4326</v>
      </c>
      <c r="C146">
        <v>27353</v>
      </c>
      <c r="D146">
        <v>140</v>
      </c>
      <c r="E146">
        <v>4.8269867769398601E-2</v>
      </c>
      <c r="F146">
        <v>1</v>
      </c>
      <c r="G146" t="s">
        <v>4441</v>
      </c>
    </row>
    <row r="147" spans="1:7" x14ac:dyDescent="0.25">
      <c r="A147" s="4" t="str">
        <f>HYPERLINK("http://amigo.geneontology.org/cgi-bin/amigo/term-details.cgi?term=GO:0052547","GO:0052547")</f>
        <v>GO:0052547</v>
      </c>
      <c r="B147" t="s">
        <v>2108</v>
      </c>
      <c r="C147">
        <v>77</v>
      </c>
      <c r="D147">
        <v>2</v>
      </c>
      <c r="E147">
        <v>4.8381380019891701E-2</v>
      </c>
      <c r="F147">
        <v>1</v>
      </c>
      <c r="G147" t="s">
        <v>4442</v>
      </c>
    </row>
    <row r="148" spans="1:7" x14ac:dyDescent="0.25">
      <c r="A148" s="4" t="str">
        <f>HYPERLINK("http://amigo.geneontology.org/cgi-bin/amigo/term-details.cgi?term=GO:0010466","GO:0010466")</f>
        <v>GO:0010466</v>
      </c>
      <c r="B148" t="s">
        <v>2107</v>
      </c>
      <c r="C148">
        <v>77</v>
      </c>
      <c r="D148">
        <v>2</v>
      </c>
      <c r="E148">
        <v>4.8381380019891701E-2</v>
      </c>
      <c r="F148">
        <v>1</v>
      </c>
      <c r="G148" t="s">
        <v>4442</v>
      </c>
    </row>
    <row r="149" spans="1:7" x14ac:dyDescent="0.25">
      <c r="A149" s="4" t="str">
        <f>HYPERLINK("http://amigo.geneontology.org/cgi-bin/amigo/term-details.cgi?term=GO:0052548","GO:0052548")</f>
        <v>GO:0052548</v>
      </c>
      <c r="B149" t="s">
        <v>2106</v>
      </c>
      <c r="C149">
        <v>77</v>
      </c>
      <c r="D149">
        <v>2</v>
      </c>
      <c r="E149">
        <v>4.8381380019891701E-2</v>
      </c>
      <c r="F149">
        <v>1</v>
      </c>
      <c r="G149" t="s">
        <v>4442</v>
      </c>
    </row>
    <row r="150" spans="1:7" x14ac:dyDescent="0.25">
      <c r="A150" s="4" t="str">
        <f>HYPERLINK("http://amigo.geneontology.org/cgi-bin/amigo/term-details.cgi?term=GO:0010951","GO:0010951")</f>
        <v>GO:0010951</v>
      </c>
      <c r="B150" t="s">
        <v>2105</v>
      </c>
      <c r="C150">
        <v>77</v>
      </c>
      <c r="D150">
        <v>2</v>
      </c>
      <c r="E150">
        <v>4.8381380019891701E-2</v>
      </c>
      <c r="F150">
        <v>1</v>
      </c>
      <c r="G150" t="s">
        <v>4442</v>
      </c>
    </row>
    <row r="151" spans="1:7" x14ac:dyDescent="0.25">
      <c r="A151" s="4" t="str">
        <f>HYPERLINK("http://amigo.geneontology.org/cgi-bin/amigo/term-details.cgi?term=GO:0097159","GO:0097159")</f>
        <v>GO:0097159</v>
      </c>
      <c r="B151" t="s">
        <v>4328</v>
      </c>
      <c r="C151">
        <v>27356</v>
      </c>
      <c r="D151">
        <v>140</v>
      </c>
      <c r="E151">
        <v>4.8424620808922902E-2</v>
      </c>
      <c r="F151">
        <v>1</v>
      </c>
      <c r="G151" t="s">
        <v>4441</v>
      </c>
    </row>
    <row r="152" spans="1:7" x14ac:dyDescent="0.25">
      <c r="A152" s="4" t="str">
        <f>HYPERLINK("http://amigo.geneontology.org/cgi-bin/amigo/term-details.cgi?term=GO:0004827","GO:0004827")</f>
        <v>GO:0004827</v>
      </c>
      <c r="B152" t="s">
        <v>202</v>
      </c>
      <c r="C152">
        <v>11</v>
      </c>
      <c r="D152">
        <v>1</v>
      </c>
      <c r="E152">
        <v>4.8969484398446901E-2</v>
      </c>
      <c r="F152">
        <v>1</v>
      </c>
      <c r="G152" t="s">
        <v>69</v>
      </c>
    </row>
    <row r="153" spans="1:7" x14ac:dyDescent="0.25">
      <c r="A153" s="4" t="str">
        <f>HYPERLINK("http://amigo.geneontology.org/cgi-bin/amigo/term-details.cgi?term=GO:0006433","GO:0006433")</f>
        <v>GO:0006433</v>
      </c>
      <c r="B153" t="s">
        <v>201</v>
      </c>
      <c r="C153">
        <v>11</v>
      </c>
      <c r="D153">
        <v>1</v>
      </c>
      <c r="E153">
        <v>4.8969484398446901E-2</v>
      </c>
      <c r="F153">
        <v>1</v>
      </c>
      <c r="G153" t="s">
        <v>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1"/>
  <sheetViews>
    <sheetView topLeftCell="A9" workbookViewId="0">
      <selection activeCell="A21" sqref="A21"/>
    </sheetView>
  </sheetViews>
  <sheetFormatPr defaultRowHeight="15" x14ac:dyDescent="0.25"/>
  <cols>
    <col min="1" max="1" width="15.85546875" customWidth="1"/>
    <col min="2" max="2" width="40.140625" customWidth="1"/>
  </cols>
  <sheetData>
    <row r="1" spans="1:7" x14ac:dyDescent="0.25">
      <c r="A1" t="s">
        <v>392</v>
      </c>
      <c r="B1">
        <v>1209</v>
      </c>
    </row>
    <row r="2" spans="1:7" x14ac:dyDescent="0.25">
      <c r="A2" t="s">
        <v>391</v>
      </c>
      <c r="B2">
        <v>6454</v>
      </c>
    </row>
    <row r="3" spans="1:7" x14ac:dyDescent="0.25">
      <c r="A3" t="s">
        <v>390</v>
      </c>
      <c r="B3" t="s">
        <v>389</v>
      </c>
    </row>
    <row r="4" spans="1:7" x14ac:dyDescent="0.25">
      <c r="A4" t="s">
        <v>388</v>
      </c>
      <c r="B4" t="s">
        <v>387</v>
      </c>
    </row>
    <row r="5" spans="1:7" x14ac:dyDescent="0.25">
      <c r="A5" t="s">
        <v>386</v>
      </c>
      <c r="B5" t="s">
        <v>385</v>
      </c>
    </row>
    <row r="6" spans="1:7" x14ac:dyDescent="0.25">
      <c r="A6" t="s">
        <v>384</v>
      </c>
      <c r="B6" t="s">
        <v>383</v>
      </c>
    </row>
    <row r="7" spans="1:7" x14ac:dyDescent="0.25">
      <c r="A7" t="s">
        <v>382</v>
      </c>
      <c r="B7" t="s">
        <v>381</v>
      </c>
    </row>
    <row r="8" spans="1:7" x14ac:dyDescent="0.25">
      <c r="A8" t="s">
        <v>380</v>
      </c>
      <c r="B8">
        <v>3</v>
      </c>
    </row>
    <row r="10" spans="1:7" x14ac:dyDescent="0.25">
      <c r="A10" t="s">
        <v>379</v>
      </c>
      <c r="B10" t="s">
        <v>378</v>
      </c>
      <c r="C10" t="s">
        <v>377</v>
      </c>
      <c r="D10" t="s">
        <v>376</v>
      </c>
      <c r="E10" t="s">
        <v>375</v>
      </c>
      <c r="F10" t="s">
        <v>374</v>
      </c>
      <c r="G10" t="s">
        <v>373</v>
      </c>
    </row>
    <row r="11" spans="1:7" x14ac:dyDescent="0.25">
      <c r="A11" t="str">
        <f>HYPERLINK("http://amigo.geneontology.org/cgi-bin/amigo/term-details.cgi?term=GO:0000981","GO:0000981")</f>
        <v>GO:0000981</v>
      </c>
      <c r="B11" t="s">
        <v>4880</v>
      </c>
      <c r="C11">
        <v>262</v>
      </c>
      <c r="D11">
        <v>117</v>
      </c>
      <c r="E11" s="2">
        <v>6.5639600200717799E-23</v>
      </c>
      <c r="F11" s="2">
        <v>1.5215259326526301E-19</v>
      </c>
      <c r="G11" t="s">
        <v>4979</v>
      </c>
    </row>
    <row r="12" spans="1:7" x14ac:dyDescent="0.25">
      <c r="A12" t="str">
        <f>HYPERLINK("http://amigo.geneontology.org/cgi-bin/amigo/term-details.cgi?term=GO:0003700","GO:0003700")</f>
        <v>GO:0003700</v>
      </c>
      <c r="B12" s="3" t="s">
        <v>2289</v>
      </c>
      <c r="C12">
        <v>311</v>
      </c>
      <c r="D12">
        <v>124</v>
      </c>
      <c r="E12" s="2">
        <v>4.16072729049948E-19</v>
      </c>
      <c r="F12" s="2">
        <v>4.8222829296889001E-16</v>
      </c>
      <c r="G12" t="s">
        <v>4978</v>
      </c>
    </row>
    <row r="13" spans="1:7" x14ac:dyDescent="0.25">
      <c r="A13" t="str">
        <f>HYPERLINK("http://amigo.geneontology.org/cgi-bin/amigo/term-details.cgi?term=GO:0005634","GO:0005634")</f>
        <v>GO:0005634</v>
      </c>
      <c r="B13" t="s">
        <v>3164</v>
      </c>
      <c r="C13">
        <v>696</v>
      </c>
      <c r="D13">
        <v>207</v>
      </c>
      <c r="E13" s="2">
        <v>5.2889078987951599E-14</v>
      </c>
      <c r="F13" s="2">
        <v>4.0830368978698699E-11</v>
      </c>
      <c r="G13" t="s">
        <v>4977</v>
      </c>
    </row>
    <row r="14" spans="1:7" x14ac:dyDescent="0.25">
      <c r="A14" t="str">
        <f>HYPERLINK("http://amigo.geneontology.org/cgi-bin/amigo/term-details.cgi?term=GO:0008270","GO:0008270")</f>
        <v>GO:0008270</v>
      </c>
      <c r="B14" t="s">
        <v>4881</v>
      </c>
      <c r="C14">
        <v>555</v>
      </c>
      <c r="D14">
        <v>170</v>
      </c>
      <c r="E14" s="2">
        <v>9.3034599762084406E-13</v>
      </c>
      <c r="F14" s="2">
        <v>5.38670332622469E-10</v>
      </c>
      <c r="G14" t="s">
        <v>4976</v>
      </c>
    </row>
    <row r="15" spans="1:7" x14ac:dyDescent="0.25">
      <c r="A15" t="str">
        <f>HYPERLINK("http://amigo.geneontology.org/cgi-bin/amigo/term-details.cgi?term=GO:0090304","GO:0090304")</f>
        <v>GO:0090304</v>
      </c>
      <c r="B15" t="s">
        <v>798</v>
      </c>
      <c r="C15">
        <v>535</v>
      </c>
      <c r="D15">
        <v>165</v>
      </c>
      <c r="E15" s="2">
        <v>1.1213796002290101E-12</v>
      </c>
      <c r="F15" s="2">
        <v>5.19198754906034E-10</v>
      </c>
      <c r="G15" t="s">
        <v>4975</v>
      </c>
    </row>
    <row r="16" spans="1:7" x14ac:dyDescent="0.25">
      <c r="A16" t="str">
        <f>HYPERLINK("http://amigo.geneontology.org/cgi-bin/amigo/term-details.cgi?term=GO:0003677","GO:0003677")</f>
        <v>GO:0003677</v>
      </c>
      <c r="B16" t="s">
        <v>4634</v>
      </c>
      <c r="C16">
        <v>369</v>
      </c>
      <c r="D16">
        <v>119</v>
      </c>
      <c r="E16" s="2">
        <v>1.03056978925352E-10</v>
      </c>
      <c r="F16" s="2">
        <v>3.9779993865186098E-8</v>
      </c>
      <c r="G16" t="s">
        <v>4974</v>
      </c>
    </row>
    <row r="17" spans="1:7" x14ac:dyDescent="0.25">
      <c r="A17" t="str">
        <f>HYPERLINK("http://amigo.geneontology.org/cgi-bin/amigo/term-details.cgi?term=GO:0006259","GO:0006259")</f>
        <v>GO:0006259</v>
      </c>
      <c r="B17" t="s">
        <v>795</v>
      </c>
      <c r="C17">
        <v>147</v>
      </c>
      <c r="D17">
        <v>59</v>
      </c>
      <c r="E17" s="2">
        <v>8.6344882342266303E-10</v>
      </c>
      <c r="F17" s="2">
        <v>2.8580156055290099E-7</v>
      </c>
      <c r="G17" t="s">
        <v>4973</v>
      </c>
    </row>
    <row r="18" spans="1:7" x14ac:dyDescent="0.25">
      <c r="A18" t="str">
        <f>HYPERLINK("http://amigo.geneontology.org/cgi-bin/amigo/term-details.cgi?term=GO:0051252","GO:0051252")</f>
        <v>GO:0051252</v>
      </c>
      <c r="B18" t="s">
        <v>341</v>
      </c>
      <c r="C18">
        <v>272</v>
      </c>
      <c r="D18">
        <v>91</v>
      </c>
      <c r="E18" s="2">
        <v>2.43151105108404E-9</v>
      </c>
      <c r="F18" s="2">
        <v>5.1061732072764902E-7</v>
      </c>
      <c r="G18" t="s">
        <v>4964</v>
      </c>
    </row>
    <row r="19" spans="1:7" x14ac:dyDescent="0.25">
      <c r="A19" t="str">
        <f>HYPERLINK("http://amigo.geneontology.org/cgi-bin/amigo/term-details.cgi?term=GO:2001141","GO:2001141")</f>
        <v>GO:2001141</v>
      </c>
      <c r="B19" t="s">
        <v>344</v>
      </c>
      <c r="C19">
        <v>272</v>
      </c>
      <c r="D19">
        <v>91</v>
      </c>
      <c r="E19" s="2">
        <v>2.43151105108404E-9</v>
      </c>
      <c r="F19" s="2">
        <v>5.6167905280041404E-7</v>
      </c>
      <c r="G19" t="s">
        <v>4964</v>
      </c>
    </row>
    <row r="20" spans="1:7" x14ac:dyDescent="0.25">
      <c r="A20" t="str">
        <f>HYPERLINK("http://amigo.geneontology.org/cgi-bin/amigo/term-details.cgi?term=GO:1903506","GO:1903506")</f>
        <v>GO:1903506</v>
      </c>
      <c r="B20" t="s">
        <v>343</v>
      </c>
      <c r="C20">
        <v>272</v>
      </c>
      <c r="D20">
        <v>91</v>
      </c>
      <c r="E20" s="2">
        <v>2.43151105108404E-9</v>
      </c>
      <c r="F20" s="2">
        <v>6.2489834012859999E-7</v>
      </c>
      <c r="G20" t="s">
        <v>4964</v>
      </c>
    </row>
    <row r="21" spans="1:7" x14ac:dyDescent="0.25">
      <c r="A21" t="str">
        <f>HYPERLINK("http://amigo.geneontology.org/cgi-bin/amigo/term-details.cgi?term=GO:0006355","GO:0006355")</f>
        <v>GO:0006355</v>
      </c>
      <c r="B21" s="3" t="s">
        <v>342</v>
      </c>
      <c r="C21">
        <v>272</v>
      </c>
      <c r="D21">
        <v>91</v>
      </c>
      <c r="E21" s="2">
        <v>2.43151105108404E-9</v>
      </c>
      <c r="F21" s="2">
        <v>7.0270669376328902E-7</v>
      </c>
      <c r="G21" t="s">
        <v>4964</v>
      </c>
    </row>
    <row r="22" spans="1:7" x14ac:dyDescent="0.25">
      <c r="A22" t="str">
        <f>HYPERLINK("http://amigo.geneontology.org/cgi-bin/amigo/term-details.cgi?term=GO:0019219","GO:0019219")</f>
        <v>GO:0019219</v>
      </c>
      <c r="B22" t="s">
        <v>338</v>
      </c>
      <c r="C22">
        <v>277</v>
      </c>
      <c r="D22">
        <v>92</v>
      </c>
      <c r="E22" s="2">
        <v>3.01127891360872E-9</v>
      </c>
      <c r="F22" s="2">
        <v>5.8117683032648298E-7</v>
      </c>
      <c r="G22" t="s">
        <v>4966</v>
      </c>
    </row>
    <row r="23" spans="1:7" x14ac:dyDescent="0.25">
      <c r="A23" t="str">
        <f>HYPERLINK("http://amigo.geneontology.org/cgi-bin/amigo/term-details.cgi?term=GO:0006974","GO:0006974")</f>
        <v>GO:0006974</v>
      </c>
      <c r="B23" t="s">
        <v>536</v>
      </c>
      <c r="C23">
        <v>105</v>
      </c>
      <c r="D23">
        <v>45</v>
      </c>
      <c r="E23" s="2">
        <v>8.0876084109759392E-9</v>
      </c>
      <c r="F23" s="2">
        <v>1.4395942971537099E-6</v>
      </c>
      <c r="G23" t="s">
        <v>4972</v>
      </c>
    </row>
    <row r="24" spans="1:7" x14ac:dyDescent="0.25">
      <c r="A24" t="str">
        <f>HYPERLINK("http://amigo.geneontology.org/cgi-bin/amigo/term-details.cgi?term=GO:0046483","GO:0046483")</f>
        <v>GO:0046483</v>
      </c>
      <c r="B24" t="s">
        <v>904</v>
      </c>
      <c r="C24">
        <v>744</v>
      </c>
      <c r="D24">
        <v>197</v>
      </c>
      <c r="E24" s="2">
        <v>1.93927895148075E-8</v>
      </c>
      <c r="F24" s="2">
        <v>3.1998102699432501E-6</v>
      </c>
      <c r="G24" t="s">
        <v>4971</v>
      </c>
    </row>
    <row r="25" spans="1:7" x14ac:dyDescent="0.25">
      <c r="A25" t="str">
        <f>HYPERLINK("http://amigo.geneontology.org/cgi-bin/amigo/term-details.cgi?term=GO:0006281","GO:0006281")</f>
        <v>GO:0006281</v>
      </c>
      <c r="B25" t="s">
        <v>558</v>
      </c>
      <c r="C25">
        <v>98</v>
      </c>
      <c r="D25">
        <v>42</v>
      </c>
      <c r="E25" s="2">
        <v>2.55528986155129E-8</v>
      </c>
      <c r="F25" s="2">
        <v>3.9351463867889902E-6</v>
      </c>
      <c r="G25" t="s">
        <v>4970</v>
      </c>
    </row>
    <row r="26" spans="1:7" x14ac:dyDescent="0.25">
      <c r="A26" t="str">
        <f>HYPERLINK("http://amigo.geneontology.org/cgi-bin/amigo/term-details.cgi?term=GO:1901360","GO:1901360")</f>
        <v>GO:1901360</v>
      </c>
      <c r="B26" t="s">
        <v>903</v>
      </c>
      <c r="C26">
        <v>782</v>
      </c>
      <c r="D26">
        <v>204</v>
      </c>
      <c r="E26" s="2">
        <v>3.7490898719630102E-8</v>
      </c>
      <c r="F26" s="2">
        <v>5.3986894156267297E-6</v>
      </c>
      <c r="G26" t="s">
        <v>4969</v>
      </c>
    </row>
    <row r="27" spans="1:7" x14ac:dyDescent="0.25">
      <c r="A27" t="str">
        <f>HYPERLINK("http://amigo.geneontology.org/cgi-bin/amigo/term-details.cgi?term=GO:2000112","GO:2000112")</f>
        <v>GO:2000112</v>
      </c>
      <c r="B27" t="s">
        <v>320</v>
      </c>
      <c r="C27">
        <v>292</v>
      </c>
      <c r="D27">
        <v>92</v>
      </c>
      <c r="E27" s="2">
        <v>5.57536221066591E-8</v>
      </c>
      <c r="F27" s="2">
        <v>7.58249260650564E-6</v>
      </c>
      <c r="G27" t="s">
        <v>4966</v>
      </c>
    </row>
    <row r="28" spans="1:7" x14ac:dyDescent="0.25">
      <c r="A28" t="str">
        <f>HYPERLINK("http://amigo.geneontology.org/cgi-bin/amigo/term-details.cgi?term=GO:0010556","GO:0010556")</f>
        <v>GO:0010556</v>
      </c>
      <c r="B28" t="s">
        <v>322</v>
      </c>
      <c r="C28">
        <v>293</v>
      </c>
      <c r="D28">
        <v>92</v>
      </c>
      <c r="E28" s="2">
        <v>6.6841007669168398E-8</v>
      </c>
      <c r="F28" s="2">
        <v>8.5556489816535499E-6</v>
      </c>
      <c r="G28" t="s">
        <v>4966</v>
      </c>
    </row>
    <row r="29" spans="1:7" x14ac:dyDescent="0.25">
      <c r="A29" t="str">
        <f>HYPERLINK("http://amigo.geneontology.org/cgi-bin/amigo/term-details.cgi?term=GO:0006139","GO:0006139")</f>
        <v>GO:0006139</v>
      </c>
      <c r="B29" t="s">
        <v>802</v>
      </c>
      <c r="C29">
        <v>665</v>
      </c>
      <c r="D29">
        <v>177</v>
      </c>
      <c r="E29" s="2">
        <v>7.9393864465661801E-8</v>
      </c>
      <c r="F29" s="2">
        <v>9.6860514648107406E-6</v>
      </c>
      <c r="G29" t="s">
        <v>4968</v>
      </c>
    </row>
    <row r="30" spans="1:7" x14ac:dyDescent="0.25">
      <c r="A30" t="str">
        <f>HYPERLINK("http://amigo.geneontology.org/cgi-bin/amigo/term-details.cgi?term=GO:0046914","GO:0046914")</f>
        <v>GO:0046914</v>
      </c>
      <c r="B30" t="s">
        <v>337</v>
      </c>
      <c r="C30">
        <v>743</v>
      </c>
      <c r="D30">
        <v>194</v>
      </c>
      <c r="E30" s="2">
        <v>8.1394488211677005E-8</v>
      </c>
      <c r="F30" s="2">
        <v>9.3603661443428605E-6</v>
      </c>
      <c r="G30" t="s">
        <v>4967</v>
      </c>
    </row>
    <row r="31" spans="1:7" x14ac:dyDescent="0.25">
      <c r="A31" t="str">
        <f>HYPERLINK("http://amigo.geneontology.org/cgi-bin/amigo/term-details.cgi?term=GO:0009889","GO:0009889")</f>
        <v>GO:0009889</v>
      </c>
      <c r="B31" t="s">
        <v>944</v>
      </c>
      <c r="C31">
        <v>295</v>
      </c>
      <c r="D31">
        <v>92</v>
      </c>
      <c r="E31" s="2">
        <v>9.5618406662504801E-8</v>
      </c>
      <c r="F31" s="2">
        <v>1.0039932699562999E-5</v>
      </c>
      <c r="G31" t="s">
        <v>4966</v>
      </c>
    </row>
    <row r="32" spans="1:7" x14ac:dyDescent="0.25">
      <c r="A32" t="str">
        <f>HYPERLINK("http://amigo.geneontology.org/cgi-bin/amigo/term-details.cgi?term=GO:0031326","GO:0031326")</f>
        <v>GO:0031326</v>
      </c>
      <c r="B32" t="s">
        <v>321</v>
      </c>
      <c r="C32">
        <v>295</v>
      </c>
      <c r="D32">
        <v>92</v>
      </c>
      <c r="E32" s="2">
        <v>9.5618406662504801E-8</v>
      </c>
      <c r="F32" s="2">
        <v>1.05180247328755E-5</v>
      </c>
      <c r="G32" t="s">
        <v>4966</v>
      </c>
    </row>
    <row r="33" spans="1:7" x14ac:dyDescent="0.25">
      <c r="A33" t="str">
        <f>HYPERLINK("http://amigo.geneontology.org/cgi-bin/amigo/term-details.cgi?term=GO:0006351","GO:0006351")</f>
        <v>GO:0006351</v>
      </c>
      <c r="B33" t="s">
        <v>1741</v>
      </c>
      <c r="C33">
        <v>221</v>
      </c>
      <c r="D33">
        <v>73</v>
      </c>
      <c r="E33" s="2">
        <v>1.7586681252395301E-7</v>
      </c>
      <c r="F33" s="2">
        <v>1.75866812523953E-5</v>
      </c>
      <c r="G33" t="s">
        <v>4965</v>
      </c>
    </row>
    <row r="34" spans="1:7" x14ac:dyDescent="0.25">
      <c r="A34" t="str">
        <f>HYPERLINK("http://amigo.geneontology.org/cgi-bin/amigo/term-details.cgi?term=GO:0032774","GO:0032774")</f>
        <v>GO:0032774</v>
      </c>
      <c r="B34" t="s">
        <v>1409</v>
      </c>
      <c r="C34">
        <v>222</v>
      </c>
      <c r="D34">
        <v>73</v>
      </c>
      <c r="E34" s="2">
        <v>2.15418431213331E-7</v>
      </c>
      <c r="F34" s="2">
        <v>1.98184956716264E-5</v>
      </c>
      <c r="G34" t="s">
        <v>4965</v>
      </c>
    </row>
    <row r="35" spans="1:7" x14ac:dyDescent="0.25">
      <c r="A35" t="str">
        <f>HYPERLINK("http://amigo.geneontology.org/cgi-bin/amigo/term-details.cgi?term=GO:0097659","GO:0097659")</f>
        <v>GO:0097659</v>
      </c>
      <c r="B35" t="s">
        <v>1700</v>
      </c>
      <c r="C35">
        <v>222</v>
      </c>
      <c r="D35">
        <v>73</v>
      </c>
      <c r="E35" s="2">
        <v>2.15418431213331E-7</v>
      </c>
      <c r="F35" s="2">
        <v>2.0680169396479799E-5</v>
      </c>
      <c r="G35" t="s">
        <v>4965</v>
      </c>
    </row>
    <row r="36" spans="1:7" x14ac:dyDescent="0.25">
      <c r="A36" t="str">
        <f>HYPERLINK("http://amigo.geneontology.org/cgi-bin/amigo/term-details.cgi?term=GO:0010468","GO:0010468")</f>
        <v>GO:0010468</v>
      </c>
      <c r="B36" t="s">
        <v>317</v>
      </c>
      <c r="C36">
        <v>297</v>
      </c>
      <c r="D36">
        <v>91</v>
      </c>
      <c r="E36" s="2">
        <v>2.7791580883956299E-7</v>
      </c>
      <c r="F36" s="2">
        <v>2.4734506986721099E-5</v>
      </c>
      <c r="G36" t="s">
        <v>4964</v>
      </c>
    </row>
    <row r="37" spans="1:7" x14ac:dyDescent="0.25">
      <c r="A37" t="str">
        <f>HYPERLINK("http://amigo.geneontology.org/cgi-bin/amigo/term-details.cgi?term=GO:0006725","GO:0006725")</f>
        <v>GO:0006725</v>
      </c>
      <c r="B37" s="3" t="s">
        <v>902</v>
      </c>
      <c r="C37">
        <v>752</v>
      </c>
      <c r="D37">
        <v>193</v>
      </c>
      <c r="E37" s="2">
        <v>3.4704114473178102E-7</v>
      </c>
      <c r="F37" s="2">
        <v>2.94984973022014E-5</v>
      </c>
      <c r="G37" t="s">
        <v>4963</v>
      </c>
    </row>
    <row r="38" spans="1:7" x14ac:dyDescent="0.25">
      <c r="A38" t="str">
        <f>HYPERLINK("http://amigo.geneontology.org/cgi-bin/amigo/term-details.cgi?term=GO:0031323","GO:0031323")</f>
        <v>GO:0031323</v>
      </c>
      <c r="B38" t="s">
        <v>940</v>
      </c>
      <c r="C38">
        <v>312</v>
      </c>
      <c r="D38">
        <v>94</v>
      </c>
      <c r="E38" s="2">
        <v>4.1539814484603098E-7</v>
      </c>
      <c r="F38" s="2">
        <v>3.4062647877374599E-5</v>
      </c>
      <c r="G38" t="s">
        <v>4960</v>
      </c>
    </row>
    <row r="39" spans="1:7" x14ac:dyDescent="0.25">
      <c r="A39" t="str">
        <f>HYPERLINK("http://amigo.geneontology.org/cgi-bin/amigo/term-details.cgi?term=GO:0043231","GO:0043231")</f>
        <v>GO:0043231</v>
      </c>
      <c r="B39" t="s">
        <v>432</v>
      </c>
      <c r="C39">
        <v>949</v>
      </c>
      <c r="D39">
        <v>234</v>
      </c>
      <c r="E39" s="2">
        <v>5.2608095220644297E-7</v>
      </c>
      <c r="F39" s="2">
        <v>4.1560395224308997E-5</v>
      </c>
      <c r="G39" t="s">
        <v>4962</v>
      </c>
    </row>
    <row r="40" spans="1:7" x14ac:dyDescent="0.25">
      <c r="A40" t="str">
        <f>HYPERLINK("http://amigo.geneontology.org/cgi-bin/amigo/term-details.cgi?term=GO:0051171","GO:0051171")</f>
        <v>GO:0051171</v>
      </c>
      <c r="B40" s="3" t="s">
        <v>942</v>
      </c>
      <c r="C40">
        <v>310</v>
      </c>
      <c r="D40">
        <v>93</v>
      </c>
      <c r="E40" s="2">
        <v>5.9388610283355996E-7</v>
      </c>
      <c r="F40" s="2">
        <v>4.5729229918184103E-5</v>
      </c>
      <c r="G40" t="s">
        <v>4961</v>
      </c>
    </row>
    <row r="41" spans="1:7" x14ac:dyDescent="0.25">
      <c r="A41" t="str">
        <f>HYPERLINK("http://amigo.geneontology.org/cgi-bin/amigo/term-details.cgi?term=GO:0080090","GO:0080090")</f>
        <v>GO:0080090</v>
      </c>
      <c r="B41" t="s">
        <v>941</v>
      </c>
      <c r="C41">
        <v>312</v>
      </c>
      <c r="D41">
        <v>93</v>
      </c>
      <c r="E41" s="2">
        <v>8.16111761339017E-7</v>
      </c>
      <c r="F41" s="2">
        <v>6.0392270339087298E-5</v>
      </c>
      <c r="G41" t="s">
        <v>4961</v>
      </c>
    </row>
    <row r="42" spans="1:7" x14ac:dyDescent="0.25">
      <c r="A42" t="str">
        <f>HYPERLINK("http://amigo.geneontology.org/cgi-bin/amigo/term-details.cgi?term=GO:0043227","GO:0043227")</f>
        <v>GO:0043227</v>
      </c>
      <c r="B42" t="s">
        <v>816</v>
      </c>
      <c r="C42">
        <v>954</v>
      </c>
      <c r="D42">
        <v>234</v>
      </c>
      <c r="E42" s="2">
        <v>8.24995166553408E-7</v>
      </c>
      <c r="F42" s="2">
        <v>5.9399651991845399E-5</v>
      </c>
      <c r="G42" t="s">
        <v>4962</v>
      </c>
    </row>
    <row r="43" spans="1:7" x14ac:dyDescent="0.25">
      <c r="A43" t="str">
        <f>HYPERLINK("http://amigo.geneontology.org/cgi-bin/amigo/term-details.cgi?term=GO:0060255","GO:0060255")</f>
        <v>GO:0060255</v>
      </c>
      <c r="B43" t="s">
        <v>937</v>
      </c>
      <c r="C43">
        <v>319</v>
      </c>
      <c r="D43">
        <v>93</v>
      </c>
      <c r="E43" s="2">
        <v>2.3791452861330299E-6</v>
      </c>
      <c r="F43" s="2">
        <v>1.6654017002931199E-4</v>
      </c>
      <c r="G43" t="s">
        <v>4961</v>
      </c>
    </row>
    <row r="44" spans="1:7" x14ac:dyDescent="0.25">
      <c r="A44" t="str">
        <f>HYPERLINK("http://amigo.geneontology.org/cgi-bin/amigo/term-details.cgi?term=GO:0019222","GO:0019222")</f>
        <v>GO:0019222</v>
      </c>
      <c r="B44" t="s">
        <v>936</v>
      </c>
      <c r="C44">
        <v>326</v>
      </c>
      <c r="D44">
        <v>94</v>
      </c>
      <c r="E44" s="2">
        <v>3.5279262831323602E-6</v>
      </c>
      <c r="F44" s="2">
        <v>2.39898987253E-4</v>
      </c>
      <c r="G44" t="s">
        <v>4960</v>
      </c>
    </row>
    <row r="45" spans="1:7" x14ac:dyDescent="0.25">
      <c r="A45" t="str">
        <f>HYPERLINK("http://amigo.geneontology.org/cgi-bin/amigo/term-details.cgi?term=GO:0033554","GO:0033554")</f>
        <v>GO:0033554</v>
      </c>
      <c r="B45" t="s">
        <v>845</v>
      </c>
      <c r="C45">
        <v>130</v>
      </c>
      <c r="D45">
        <v>46</v>
      </c>
      <c r="E45" s="2">
        <v>4.3782273867572702E-6</v>
      </c>
      <c r="F45" s="2">
        <v>2.8896300752597999E-4</v>
      </c>
      <c r="G45" t="s">
        <v>4959</v>
      </c>
    </row>
    <row r="46" spans="1:7" x14ac:dyDescent="0.25">
      <c r="A46" t="str">
        <f>HYPERLINK("http://amigo.geneontology.org/cgi-bin/amigo/term-details.cgi?term=GO:0034641","GO:0034641")</f>
        <v>GO:0034641</v>
      </c>
      <c r="B46" t="s">
        <v>912</v>
      </c>
      <c r="C46">
        <v>885</v>
      </c>
      <c r="D46">
        <v>212</v>
      </c>
      <c r="E46" s="2">
        <v>1.7713532074521701E-5</v>
      </c>
      <c r="F46">
        <v>1.13366605276939E-3</v>
      </c>
      <c r="G46" t="s">
        <v>4958</v>
      </c>
    </row>
    <row r="47" spans="1:7" x14ac:dyDescent="0.25">
      <c r="A47" t="str">
        <f>HYPERLINK("http://amigo.geneontology.org/cgi-bin/amigo/term-details.cgi?term=GO:0016070","GO:0016070")</f>
        <v>GO:0016070</v>
      </c>
      <c r="B47" t="s">
        <v>733</v>
      </c>
      <c r="C47">
        <v>399</v>
      </c>
      <c r="D47">
        <v>106</v>
      </c>
      <c r="E47" s="2">
        <v>4.48781127464834E-5</v>
      </c>
      <c r="F47">
        <v>2.7824429902819701E-3</v>
      </c>
      <c r="G47" t="s">
        <v>4957</v>
      </c>
    </row>
    <row r="48" spans="1:7" x14ac:dyDescent="0.25">
      <c r="A48" t="str">
        <f>HYPERLINK("http://amigo.geneontology.org/cgi-bin/amigo/term-details.cgi?term=GO:0006357","GO:0006357")</f>
        <v>GO:0006357</v>
      </c>
      <c r="B48" t="s">
        <v>4875</v>
      </c>
      <c r="C48">
        <v>103</v>
      </c>
      <c r="D48">
        <v>36</v>
      </c>
      <c r="E48" s="2">
        <v>6.3917692066962702E-5</v>
      </c>
      <c r="F48">
        <v>3.8989792160847199E-3</v>
      </c>
      <c r="G48" t="s">
        <v>4956</v>
      </c>
    </row>
    <row r="49" spans="1:7" x14ac:dyDescent="0.25">
      <c r="A49" t="str">
        <f>HYPERLINK("http://amigo.geneontology.org/cgi-bin/amigo/term-details.cgi?term=GO:0019438","GO:0019438")</f>
        <v>GO:0019438</v>
      </c>
      <c r="B49" t="s">
        <v>778</v>
      </c>
      <c r="C49">
        <v>351</v>
      </c>
      <c r="D49">
        <v>94</v>
      </c>
      <c r="E49" s="2">
        <v>8.8784836754279698E-5</v>
      </c>
      <c r="F49">
        <v>5.2383053685024997E-3</v>
      </c>
      <c r="G49" t="s">
        <v>4955</v>
      </c>
    </row>
    <row r="50" spans="1:7" x14ac:dyDescent="0.25">
      <c r="A50" t="str">
        <f>HYPERLINK("http://amigo.geneontology.org/cgi-bin/amigo/term-details.cgi?term=GO:0018130","GO:0018130")</f>
        <v>GO:0018130</v>
      </c>
      <c r="B50" t="s">
        <v>777</v>
      </c>
      <c r="C50">
        <v>371</v>
      </c>
      <c r="D50">
        <v>98</v>
      </c>
      <c r="E50" s="2">
        <v>1.10990897516531E-4</v>
      </c>
      <c r="F50">
        <v>6.3264811584423201E-3</v>
      </c>
      <c r="G50" t="s">
        <v>4954</v>
      </c>
    </row>
    <row r="51" spans="1:7" x14ac:dyDescent="0.25">
      <c r="A51" t="str">
        <f>HYPERLINK("http://amigo.geneontology.org/cgi-bin/amigo/term-details.cgi?term=GO:0044260","GO:0044260")</f>
        <v>GO:0044260</v>
      </c>
      <c r="B51" t="s">
        <v>276</v>
      </c>
      <c r="C51">
        <v>791</v>
      </c>
      <c r="D51">
        <v>187</v>
      </c>
      <c r="E51" s="2">
        <v>1.3576869964659801E-4</v>
      </c>
      <c r="F51">
        <v>7.60304718020952E-3</v>
      </c>
      <c r="G51" t="s">
        <v>4953</v>
      </c>
    </row>
    <row r="52" spans="1:7" x14ac:dyDescent="0.25">
      <c r="A52" t="str">
        <f>HYPERLINK("http://amigo.geneontology.org/cgi-bin/amigo/term-details.cgi?term=GO:1901362","GO:1901362")</f>
        <v>GO:1901362</v>
      </c>
      <c r="B52" t="s">
        <v>776</v>
      </c>
      <c r="C52">
        <v>388</v>
      </c>
      <c r="D52">
        <v>101</v>
      </c>
      <c r="E52" s="2">
        <v>1.5968566170587601E-4</v>
      </c>
      <c r="F52">
        <v>8.7827113938232001E-3</v>
      </c>
      <c r="G52" t="s">
        <v>4952</v>
      </c>
    </row>
    <row r="53" spans="1:7" x14ac:dyDescent="0.25">
      <c r="A53" t="str">
        <f>HYPERLINK("http://amigo.geneontology.org/cgi-bin/amigo/term-details.cgi?term=GO:0046872","GO:0046872")</f>
        <v>GO:0046872</v>
      </c>
      <c r="B53" t="s">
        <v>348</v>
      </c>
      <c r="C53">
        <v>1034</v>
      </c>
      <c r="D53">
        <v>236</v>
      </c>
      <c r="E53" s="2">
        <v>1.7964245497459599E-4</v>
      </c>
      <c r="F53">
        <v>9.5210501136536001E-3</v>
      </c>
      <c r="G53" t="s">
        <v>4949</v>
      </c>
    </row>
    <row r="54" spans="1:7" x14ac:dyDescent="0.25">
      <c r="A54" t="str">
        <f>HYPERLINK("http://amigo.geneontology.org/cgi-bin/amigo/term-details.cgi?term=GO:0043229","GO:0043229")</f>
        <v>GO:0043229</v>
      </c>
      <c r="B54" t="s">
        <v>768</v>
      </c>
      <c r="C54">
        <v>1118</v>
      </c>
      <c r="D54">
        <v>253</v>
      </c>
      <c r="E54" s="2">
        <v>1.80091419096725E-4</v>
      </c>
      <c r="F54">
        <v>9.3647537930297096E-3</v>
      </c>
      <c r="G54" t="s">
        <v>4951</v>
      </c>
    </row>
    <row r="55" spans="1:7" x14ac:dyDescent="0.25">
      <c r="A55" t="str">
        <f>HYPERLINK("http://amigo.geneontology.org/cgi-bin/amigo/term-details.cgi?term=GO:0034654","GO:0034654")</f>
        <v>GO:0034654</v>
      </c>
      <c r="B55" t="s">
        <v>709</v>
      </c>
      <c r="C55">
        <v>301</v>
      </c>
      <c r="D55">
        <v>81</v>
      </c>
      <c r="E55" s="2">
        <v>2.3043201290740101E-4</v>
      </c>
      <c r="F55">
        <v>1.17520326582774E-2</v>
      </c>
      <c r="G55" t="s">
        <v>4950</v>
      </c>
    </row>
    <row r="56" spans="1:7" x14ac:dyDescent="0.25">
      <c r="A56" t="str">
        <f>HYPERLINK("http://amigo.geneontology.org/cgi-bin/amigo/term-details.cgi?term=GO:0043169","GO:0043169")</f>
        <v>GO:0043169</v>
      </c>
      <c r="B56" t="s">
        <v>950</v>
      </c>
      <c r="C56">
        <v>1040</v>
      </c>
      <c r="D56">
        <v>236</v>
      </c>
      <c r="E56" s="2">
        <v>2.6351016410519401E-4</v>
      </c>
      <c r="F56">
        <v>1.3175508205259701E-2</v>
      </c>
      <c r="G56" t="s">
        <v>4949</v>
      </c>
    </row>
    <row r="57" spans="1:7" x14ac:dyDescent="0.25">
      <c r="A57" t="str">
        <f>HYPERLINK("http://amigo.geneontology.org/cgi-bin/amigo/term-details.cgi?term=GO:0003676","GO:0003676")</f>
        <v>GO:0003676</v>
      </c>
      <c r="B57" t="s">
        <v>4799</v>
      </c>
      <c r="C57">
        <v>716</v>
      </c>
      <c r="D57">
        <v>169</v>
      </c>
      <c r="E57" s="2">
        <v>3.2466909155512598E-4</v>
      </c>
      <c r="F57">
        <v>1.5908785486201098E-2</v>
      </c>
      <c r="G57" t="s">
        <v>4948</v>
      </c>
    </row>
    <row r="58" spans="1:7" x14ac:dyDescent="0.25">
      <c r="A58" t="str">
        <f>HYPERLINK("http://amigo.geneontology.org/cgi-bin/amigo/term-details.cgi?term=GO:0098687","GO:0098687")</f>
        <v>GO:0098687</v>
      </c>
      <c r="B58" t="s">
        <v>1077</v>
      </c>
      <c r="C58">
        <v>30</v>
      </c>
      <c r="D58">
        <v>14</v>
      </c>
      <c r="E58" s="2">
        <v>4.3719466520832399E-4</v>
      </c>
      <c r="F58">
        <v>2.0985343929999501E-2</v>
      </c>
      <c r="G58" t="s">
        <v>4947</v>
      </c>
    </row>
    <row r="59" spans="1:7" x14ac:dyDescent="0.25">
      <c r="A59" t="str">
        <f>HYPERLINK("http://amigo.geneontology.org/cgi-bin/amigo/term-details.cgi?term=GO:0006950","GO:0006950")</f>
        <v>GO:0006950</v>
      </c>
      <c r="B59" t="s">
        <v>3629</v>
      </c>
      <c r="C59">
        <v>188</v>
      </c>
      <c r="D59">
        <v>54</v>
      </c>
      <c r="E59" s="2">
        <v>4.76640803363996E-4</v>
      </c>
      <c r="F59">
        <v>2.2402117758107801E-2</v>
      </c>
      <c r="G59" t="s">
        <v>4946</v>
      </c>
    </row>
    <row r="60" spans="1:7" x14ac:dyDescent="0.25">
      <c r="A60" t="str">
        <f>HYPERLINK("http://amigo.geneontology.org/cgi-bin/amigo/term-details.cgi?term=GO:0050794","GO:0050794")</f>
        <v>GO:0050794</v>
      </c>
      <c r="B60" t="s">
        <v>929</v>
      </c>
      <c r="C60">
        <v>484</v>
      </c>
      <c r="D60">
        <v>119</v>
      </c>
      <c r="E60" s="2">
        <v>5.2859815062500999E-4</v>
      </c>
      <c r="F60">
        <v>2.4315514928750399E-2</v>
      </c>
      <c r="G60" t="s">
        <v>4940</v>
      </c>
    </row>
    <row r="61" spans="1:7" x14ac:dyDescent="0.25">
      <c r="A61" t="str">
        <f>HYPERLINK("http://amigo.geneontology.org/cgi-bin/amigo/term-details.cgi?term=GO:0043170","GO:0043170")</f>
        <v>GO:0043170</v>
      </c>
      <c r="B61" t="s">
        <v>884</v>
      </c>
      <c r="C61">
        <v>1036</v>
      </c>
      <c r="D61">
        <v>231</v>
      </c>
      <c r="E61" s="2">
        <v>9.1799048005350697E-4</v>
      </c>
      <c r="F61">
        <v>4.1309571602407801E-2</v>
      </c>
      <c r="G61" t="s">
        <v>4945</v>
      </c>
    </row>
    <row r="62" spans="1:7" x14ac:dyDescent="0.25">
      <c r="A62" t="str">
        <f>HYPERLINK("http://amigo.geneontology.org/cgi-bin/amigo/term-details.cgi?term=GO:0016891","GO:0016891")</f>
        <v>GO:0016891</v>
      </c>
      <c r="B62" t="s">
        <v>4858</v>
      </c>
      <c r="C62">
        <v>11</v>
      </c>
      <c r="D62">
        <v>7</v>
      </c>
      <c r="E62">
        <v>1.29629809156745E-3</v>
      </c>
      <c r="F62">
        <v>5.7037116028968202E-2</v>
      </c>
      <c r="G62" t="s">
        <v>4944</v>
      </c>
    </row>
    <row r="63" spans="1:7" x14ac:dyDescent="0.25">
      <c r="A63" t="str">
        <f>HYPERLINK("http://amigo.geneontology.org/cgi-bin/amigo/term-details.cgi?term=GO:0044427","GO:0044427")</f>
        <v>GO:0044427</v>
      </c>
      <c r="B63" t="s">
        <v>4800</v>
      </c>
      <c r="C63">
        <v>78</v>
      </c>
      <c r="D63">
        <v>26</v>
      </c>
      <c r="E63">
        <v>1.4407857930314001E-3</v>
      </c>
      <c r="F63">
        <v>6.1953789100350203E-2</v>
      </c>
      <c r="G63" t="s">
        <v>4943</v>
      </c>
    </row>
    <row r="64" spans="1:7" x14ac:dyDescent="0.25">
      <c r="A64" t="str">
        <f>HYPERLINK("http://amigo.geneontology.org/cgi-bin/amigo/term-details.cgi?term=GO:0005694","GO:0005694")</f>
        <v>GO:0005694</v>
      </c>
      <c r="B64" t="s">
        <v>3201</v>
      </c>
      <c r="C64">
        <v>86</v>
      </c>
      <c r="D64">
        <v>28</v>
      </c>
      <c r="E64">
        <v>1.4475328536636301E-3</v>
      </c>
      <c r="F64">
        <v>6.0796379853872699E-2</v>
      </c>
      <c r="G64" t="s">
        <v>4942</v>
      </c>
    </row>
    <row r="65" spans="1:7" x14ac:dyDescent="0.25">
      <c r="A65" t="str">
        <f>HYPERLINK("http://amigo.geneontology.org/cgi-bin/amigo/term-details.cgi?term=GO:0016407","GO:0016407")</f>
        <v>GO:0016407</v>
      </c>
      <c r="B65" s="3" t="s">
        <v>4879</v>
      </c>
      <c r="C65">
        <v>75</v>
      </c>
      <c r="D65">
        <v>25</v>
      </c>
      <c r="E65">
        <v>1.7647048403242E-3</v>
      </c>
      <c r="F65">
        <v>7.4117603293616593E-2</v>
      </c>
      <c r="G65" t="s">
        <v>4941</v>
      </c>
    </row>
    <row r="66" spans="1:7" x14ac:dyDescent="0.25">
      <c r="A66" t="str">
        <f>HYPERLINK("http://amigo.geneontology.org/cgi-bin/amigo/term-details.cgi?term=GO:0008080","GO:0008080")</f>
        <v>GO:0008080</v>
      </c>
      <c r="B66" t="s">
        <v>4876</v>
      </c>
      <c r="C66">
        <v>64</v>
      </c>
      <c r="D66">
        <v>22</v>
      </c>
      <c r="E66">
        <v>2.09738010499034E-3</v>
      </c>
      <c r="F66">
        <v>8.5992584304604103E-2</v>
      </c>
      <c r="G66" t="s">
        <v>4937</v>
      </c>
    </row>
    <row r="67" spans="1:7" x14ac:dyDescent="0.25">
      <c r="A67" t="str">
        <f>HYPERLINK("http://amigo.geneontology.org/cgi-bin/amigo/term-details.cgi?term=GO:0050789","GO:0050789")</f>
        <v>GO:0050789</v>
      </c>
      <c r="B67" t="s">
        <v>1992</v>
      </c>
      <c r="C67">
        <v>502</v>
      </c>
      <c r="D67">
        <v>119</v>
      </c>
      <c r="E67">
        <v>2.2248374972555201E-3</v>
      </c>
      <c r="F67">
        <v>8.8993499890220901E-2</v>
      </c>
      <c r="G67" t="s">
        <v>4940</v>
      </c>
    </row>
    <row r="68" spans="1:7" x14ac:dyDescent="0.25">
      <c r="A68" t="str">
        <f>HYPERLINK("http://amigo.geneontology.org/cgi-bin/amigo/term-details.cgi?term=GO:0044454","GO:0044454")</f>
        <v>GO:0044454</v>
      </c>
      <c r="B68" t="s">
        <v>2954</v>
      </c>
      <c r="C68">
        <v>38</v>
      </c>
      <c r="D68">
        <v>15</v>
      </c>
      <c r="E68">
        <v>2.28719432940945E-3</v>
      </c>
      <c r="F68">
        <v>8.9200578846968595E-2</v>
      </c>
      <c r="G68" t="s">
        <v>4930</v>
      </c>
    </row>
    <row r="69" spans="1:7" x14ac:dyDescent="0.25">
      <c r="A69" t="str">
        <f>HYPERLINK("http://amigo.geneontology.org/cgi-bin/amigo/term-details.cgi?term=GO:0016893","GO:0016893")</f>
        <v>GO:0016893</v>
      </c>
      <c r="B69" t="s">
        <v>4797</v>
      </c>
      <c r="C69">
        <v>15</v>
      </c>
      <c r="D69">
        <v>8</v>
      </c>
      <c r="E69">
        <v>2.7238353987319099E-3</v>
      </c>
      <c r="F69">
        <v>0.106229580550544</v>
      </c>
      <c r="G69" t="s">
        <v>4939</v>
      </c>
    </row>
    <row r="70" spans="1:7" x14ac:dyDescent="0.25">
      <c r="A70" t="str">
        <f>HYPERLINK("http://amigo.geneontology.org/cgi-bin/amigo/term-details.cgi?term=GO:0000775","GO:0000775")</f>
        <v>GO:0000775</v>
      </c>
      <c r="B70" t="s">
        <v>1078</v>
      </c>
      <c r="C70">
        <v>25</v>
      </c>
      <c r="D70">
        <v>11</v>
      </c>
      <c r="E70">
        <v>3.21564167323734E-3</v>
      </c>
      <c r="F70">
        <v>0.122194383583019</v>
      </c>
      <c r="G70" t="s">
        <v>4938</v>
      </c>
    </row>
    <row r="71" spans="1:7" x14ac:dyDescent="0.25">
      <c r="A71" t="str">
        <f>HYPERLINK("http://amigo.geneontology.org/cgi-bin/amigo/term-details.cgi?term=GO:0016410","GO:0016410")</f>
        <v>GO:0016410</v>
      </c>
      <c r="B71" t="s">
        <v>4877</v>
      </c>
      <c r="C71">
        <v>66</v>
      </c>
      <c r="D71">
        <v>22</v>
      </c>
      <c r="E71">
        <v>3.25200620018743E-3</v>
      </c>
      <c r="F71">
        <v>0.123576235607122</v>
      </c>
      <c r="G71" t="s">
        <v>4937</v>
      </c>
    </row>
    <row r="72" spans="1:7" x14ac:dyDescent="0.25">
      <c r="A72" t="str">
        <f>HYPERLINK("http://amigo.geneontology.org/cgi-bin/amigo/term-details.cgi?term=GO:0055085","GO:0055085")</f>
        <v>GO:0055085</v>
      </c>
      <c r="B72" t="s">
        <v>311</v>
      </c>
      <c r="C72">
        <v>480</v>
      </c>
      <c r="D72">
        <v>113</v>
      </c>
      <c r="E72">
        <v>3.6446450013807902E-3</v>
      </c>
      <c r="F72">
        <v>0.13485186505108901</v>
      </c>
      <c r="G72" t="s">
        <v>4936</v>
      </c>
    </row>
    <row r="73" spans="1:7" x14ac:dyDescent="0.25">
      <c r="A73" t="str">
        <f>HYPERLINK("http://amigo.geneontology.org/cgi-bin/amigo/term-details.cgi?term=GO:0140097","GO:0140097")</f>
        <v>GO:0140097</v>
      </c>
      <c r="B73" t="s">
        <v>4104</v>
      </c>
      <c r="C73">
        <v>51</v>
      </c>
      <c r="D73">
        <v>18</v>
      </c>
      <c r="E73">
        <v>3.7482413728374001E-3</v>
      </c>
      <c r="F73">
        <v>0.13493668942214601</v>
      </c>
      <c r="G73" t="s">
        <v>4935</v>
      </c>
    </row>
    <row r="74" spans="1:7" x14ac:dyDescent="0.25">
      <c r="A74" t="str">
        <f>HYPERLINK("http://amigo.geneontology.org/cgi-bin/amigo/term-details.cgi?term=GO:0006807","GO:0006807")</f>
        <v>GO:0006807</v>
      </c>
      <c r="B74" t="s">
        <v>911</v>
      </c>
      <c r="C74">
        <v>1341</v>
      </c>
      <c r="D74">
        <v>286</v>
      </c>
      <c r="E74">
        <v>3.8048511791486501E-3</v>
      </c>
      <c r="F74">
        <v>0.13697464244935101</v>
      </c>
      <c r="G74" t="s">
        <v>4934</v>
      </c>
    </row>
    <row r="75" spans="1:7" x14ac:dyDescent="0.25">
      <c r="A75" t="str">
        <f>HYPERLINK("http://amigo.geneontology.org/cgi-bin/amigo/term-details.cgi?term=GO:0003690","GO:0003690")</f>
        <v>GO:0003690</v>
      </c>
      <c r="B75" t="s">
        <v>4857</v>
      </c>
      <c r="C75">
        <v>13</v>
      </c>
      <c r="D75">
        <v>7</v>
      </c>
      <c r="E75">
        <v>4.7469045135391102E-3</v>
      </c>
      <c r="F75">
        <v>0.16614165797386801</v>
      </c>
      <c r="G75" t="s">
        <v>4933</v>
      </c>
    </row>
    <row r="76" spans="1:7" x14ac:dyDescent="0.25">
      <c r="A76" t="str">
        <f>HYPERLINK("http://amigo.geneontology.org/cgi-bin/amigo/term-details.cgi?term=GO:0000152","GO:0000152")</f>
        <v>GO:0000152</v>
      </c>
      <c r="B76" t="s">
        <v>4871</v>
      </c>
      <c r="C76">
        <v>5</v>
      </c>
      <c r="D76">
        <v>4</v>
      </c>
      <c r="E76">
        <v>5.2155712085612E-3</v>
      </c>
      <c r="F76">
        <v>0.17211384988251899</v>
      </c>
      <c r="G76" t="s">
        <v>4913</v>
      </c>
    </row>
    <row r="77" spans="1:7" x14ac:dyDescent="0.25">
      <c r="A77" t="str">
        <f>HYPERLINK("http://amigo.geneontology.org/cgi-bin/amigo/term-details.cgi?term=GO:0005680","GO:0005680")</f>
        <v>GO:0005680</v>
      </c>
      <c r="B77" t="s">
        <v>4869</v>
      </c>
      <c r="C77">
        <v>5</v>
      </c>
      <c r="D77">
        <v>4</v>
      </c>
      <c r="E77">
        <v>5.2155712085612E-3</v>
      </c>
      <c r="F77">
        <v>0.17732942109108099</v>
      </c>
      <c r="G77" t="s">
        <v>4913</v>
      </c>
    </row>
    <row r="78" spans="1:7" x14ac:dyDescent="0.25">
      <c r="A78" t="str">
        <f>HYPERLINK("http://amigo.geneontology.org/cgi-bin/amigo/term-details.cgi?term=GO:0045005","GO:0045005")</f>
        <v>GO:0045005</v>
      </c>
      <c r="B78" t="s">
        <v>4848</v>
      </c>
      <c r="C78">
        <v>5</v>
      </c>
      <c r="D78">
        <v>4</v>
      </c>
      <c r="E78">
        <v>5.2155712085612E-3</v>
      </c>
      <c r="F78">
        <v>0.17732942109108099</v>
      </c>
      <c r="G78" t="s">
        <v>4932</v>
      </c>
    </row>
    <row r="79" spans="1:7" x14ac:dyDescent="0.25">
      <c r="A79" t="str">
        <f>HYPERLINK("http://amigo.geneontology.org/cgi-bin/amigo/term-details.cgi?term=GO:0000808","GO:0000808")</f>
        <v>GO:0000808</v>
      </c>
      <c r="B79" t="s">
        <v>4847</v>
      </c>
      <c r="C79">
        <v>5</v>
      </c>
      <c r="D79">
        <v>4</v>
      </c>
      <c r="E79">
        <v>5.2155712085612E-3</v>
      </c>
      <c r="F79">
        <v>0.18254499229964199</v>
      </c>
      <c r="G79" t="s">
        <v>4931</v>
      </c>
    </row>
    <row r="80" spans="1:7" x14ac:dyDescent="0.25">
      <c r="A80" t="str">
        <f>HYPERLINK("http://amigo.geneontology.org/cgi-bin/amigo/term-details.cgi?term=GO:0000228","GO:0000228")</f>
        <v>GO:0000228</v>
      </c>
      <c r="B80" t="s">
        <v>3299</v>
      </c>
      <c r="C80">
        <v>41</v>
      </c>
      <c r="D80">
        <v>15</v>
      </c>
      <c r="E80">
        <v>5.36385308162899E-3</v>
      </c>
      <c r="F80">
        <v>0.177007151693756</v>
      </c>
      <c r="G80" t="s">
        <v>4930</v>
      </c>
    </row>
    <row r="81" spans="1:7" x14ac:dyDescent="0.25">
      <c r="A81" t="str">
        <f>HYPERLINK("http://amigo.geneontology.org/cgi-bin/amigo/term-details.cgi?term=GO:0000784","GO:0000784")</f>
        <v>GO:0000784</v>
      </c>
      <c r="B81" t="s">
        <v>4812</v>
      </c>
      <c r="C81">
        <v>3</v>
      </c>
      <c r="D81">
        <v>3</v>
      </c>
      <c r="E81">
        <v>6.5601764430125E-3</v>
      </c>
      <c r="F81">
        <v>0.2099256461764</v>
      </c>
      <c r="G81" t="s">
        <v>4811</v>
      </c>
    </row>
    <row r="82" spans="1:7" x14ac:dyDescent="0.25">
      <c r="A82" t="str">
        <f>HYPERLINK("http://amigo.geneontology.org/cgi-bin/amigo/term-details.cgi?term=GO:0090576","GO:0090576")</f>
        <v>GO:0090576</v>
      </c>
      <c r="B82" t="s">
        <v>1543</v>
      </c>
      <c r="C82">
        <v>3</v>
      </c>
      <c r="D82">
        <v>3</v>
      </c>
      <c r="E82">
        <v>6.5601764430125E-3</v>
      </c>
      <c r="F82">
        <v>0.2099256461764</v>
      </c>
      <c r="G82" t="s">
        <v>4810</v>
      </c>
    </row>
    <row r="83" spans="1:7" x14ac:dyDescent="0.25">
      <c r="A83" t="str">
        <f>HYPERLINK("http://amigo.geneontology.org/cgi-bin/amigo/term-details.cgi?term=GO:0032200","GO:0032200")</f>
        <v>GO:0032200</v>
      </c>
      <c r="B83" t="s">
        <v>4861</v>
      </c>
      <c r="C83">
        <v>11</v>
      </c>
      <c r="D83">
        <v>6</v>
      </c>
      <c r="E83">
        <v>8.3316683751058392E-3</v>
      </c>
      <c r="F83">
        <v>0.24995005125317499</v>
      </c>
      <c r="G83" t="s">
        <v>4929</v>
      </c>
    </row>
    <row r="84" spans="1:7" x14ac:dyDescent="0.25">
      <c r="A84" t="str">
        <f>HYPERLINK("http://amigo.geneontology.org/cgi-bin/amigo/term-details.cgi?term=GO:0060249","GO:0060249")</f>
        <v>GO:0060249</v>
      </c>
      <c r="B84" t="s">
        <v>4860</v>
      </c>
      <c r="C84">
        <v>11</v>
      </c>
      <c r="D84">
        <v>6</v>
      </c>
      <c r="E84">
        <v>8.3316683751058392E-3</v>
      </c>
      <c r="F84">
        <v>0.258281719628281</v>
      </c>
      <c r="G84" t="s">
        <v>4929</v>
      </c>
    </row>
    <row r="85" spans="1:7" x14ac:dyDescent="0.25">
      <c r="A85" t="str">
        <f>HYPERLINK("http://amigo.geneontology.org/cgi-bin/amigo/term-details.cgi?term=GO:0000723","GO:0000723")</f>
        <v>GO:0000723</v>
      </c>
      <c r="B85" t="s">
        <v>4859</v>
      </c>
      <c r="C85">
        <v>11</v>
      </c>
      <c r="D85">
        <v>6</v>
      </c>
      <c r="E85">
        <v>8.3316683751058392E-3</v>
      </c>
      <c r="F85">
        <v>0.258281719628281</v>
      </c>
      <c r="G85" t="s">
        <v>4929</v>
      </c>
    </row>
    <row r="86" spans="1:7" x14ac:dyDescent="0.25">
      <c r="A86" t="str">
        <f>HYPERLINK("http://amigo.geneontology.org/cgi-bin/amigo/term-details.cgi?term=GO:0016779","GO:0016779")</f>
        <v>GO:0016779</v>
      </c>
      <c r="B86" t="s">
        <v>725</v>
      </c>
      <c r="C86">
        <v>59</v>
      </c>
      <c r="D86">
        <v>19</v>
      </c>
      <c r="E86">
        <v>9.0799350893540007E-3</v>
      </c>
      <c r="F86">
        <v>0.27239805268062001</v>
      </c>
      <c r="G86" t="s">
        <v>4928</v>
      </c>
    </row>
    <row r="87" spans="1:7" x14ac:dyDescent="0.25">
      <c r="A87" t="str">
        <f>HYPERLINK("http://amigo.geneontology.org/cgi-bin/amigo/term-details.cgi?term=GO:0051716","GO:0051716")</f>
        <v>GO:0051716</v>
      </c>
      <c r="B87" t="s">
        <v>840</v>
      </c>
      <c r="C87">
        <v>246</v>
      </c>
      <c r="D87">
        <v>61</v>
      </c>
      <c r="E87">
        <v>9.7402425869259103E-3</v>
      </c>
      <c r="F87">
        <v>0.29220727760777698</v>
      </c>
      <c r="G87" t="s">
        <v>4927</v>
      </c>
    </row>
    <row r="88" spans="1:7" x14ac:dyDescent="0.25">
      <c r="A88" t="str">
        <f>HYPERLINK("http://amigo.geneontology.org/cgi-bin/amigo/term-details.cgi?term=GO:0000776","GO:0000776")</f>
        <v>GO:0000776</v>
      </c>
      <c r="B88" t="s">
        <v>4884</v>
      </c>
      <c r="C88">
        <v>18</v>
      </c>
      <c r="D88">
        <v>8</v>
      </c>
      <c r="E88">
        <v>1.0895301020382799E-2</v>
      </c>
      <c r="F88">
        <v>0.31596372959110403</v>
      </c>
      <c r="G88" t="s">
        <v>4926</v>
      </c>
    </row>
    <row r="89" spans="1:7" x14ac:dyDescent="0.25">
      <c r="A89" t="str">
        <f>HYPERLINK("http://amigo.geneontology.org/cgi-bin/amigo/term-details.cgi?term=GO:0000794","GO:0000794")</f>
        <v>GO:0000794</v>
      </c>
      <c r="B89" t="s">
        <v>2617</v>
      </c>
      <c r="C89">
        <v>15</v>
      </c>
      <c r="D89">
        <v>7</v>
      </c>
      <c r="E89">
        <v>1.2569755886290401E-2</v>
      </c>
      <c r="F89">
        <v>0.36452292070242198</v>
      </c>
      <c r="G89" t="s">
        <v>4925</v>
      </c>
    </row>
    <row r="90" spans="1:7" x14ac:dyDescent="0.25">
      <c r="A90" t="str">
        <f>HYPERLINK("http://amigo.geneontology.org/cgi-bin/amigo/term-details.cgi?term=GO:0034508","GO:0034508")</f>
        <v>GO:0034508</v>
      </c>
      <c r="B90" t="s">
        <v>4866</v>
      </c>
      <c r="C90">
        <v>6</v>
      </c>
      <c r="D90">
        <v>4</v>
      </c>
      <c r="E90">
        <v>1.33250299809434E-2</v>
      </c>
      <c r="F90">
        <v>0.37310083946641598</v>
      </c>
      <c r="G90" t="s">
        <v>4924</v>
      </c>
    </row>
    <row r="91" spans="1:7" x14ac:dyDescent="0.25">
      <c r="A91" t="str">
        <f>HYPERLINK("http://amigo.geneontology.org/cgi-bin/amigo/term-details.cgi?term=GO:0016799","GO:0016799")</f>
        <v>GO:0016799</v>
      </c>
      <c r="B91" t="s">
        <v>4856</v>
      </c>
      <c r="C91">
        <v>6</v>
      </c>
      <c r="D91">
        <v>4</v>
      </c>
      <c r="E91">
        <v>1.33250299809434E-2</v>
      </c>
      <c r="F91">
        <v>0.37310083946641598</v>
      </c>
      <c r="G91" t="s">
        <v>4923</v>
      </c>
    </row>
    <row r="92" spans="1:7" x14ac:dyDescent="0.25">
      <c r="A92" t="str">
        <f>HYPERLINK("http://amigo.geneontology.org/cgi-bin/amigo/term-details.cgi?term=GO:0016783","GO:0016783")</f>
        <v>GO:0016783</v>
      </c>
      <c r="B92" t="s">
        <v>1724</v>
      </c>
      <c r="C92">
        <v>6</v>
      </c>
      <c r="D92">
        <v>4</v>
      </c>
      <c r="E92">
        <v>1.33250299809434E-2</v>
      </c>
      <c r="F92">
        <v>0.37310083946641598</v>
      </c>
      <c r="G92" t="s">
        <v>4896</v>
      </c>
    </row>
    <row r="93" spans="1:7" x14ac:dyDescent="0.25">
      <c r="A93" t="str">
        <f>HYPERLINK("http://amigo.geneontology.org/cgi-bin/amigo/term-details.cgi?term=GO:0006298","GO:0006298")</f>
        <v>GO:0006298</v>
      </c>
      <c r="B93" t="s">
        <v>1121</v>
      </c>
      <c r="C93">
        <v>9</v>
      </c>
      <c r="D93">
        <v>5</v>
      </c>
      <c r="E93">
        <v>1.4763581950515201E-2</v>
      </c>
      <c r="F93">
        <v>0.39861671266391302</v>
      </c>
      <c r="G93" t="s">
        <v>4922</v>
      </c>
    </row>
    <row r="94" spans="1:7" x14ac:dyDescent="0.25">
      <c r="A94" t="str">
        <f>HYPERLINK("http://amigo.geneontology.org/cgi-bin/amigo/term-details.cgi?term=GO:0030983","GO:0030983")</f>
        <v>GO:0030983</v>
      </c>
      <c r="B94" t="s">
        <v>1120</v>
      </c>
      <c r="C94">
        <v>9</v>
      </c>
      <c r="D94">
        <v>5</v>
      </c>
      <c r="E94">
        <v>1.4763581950515201E-2</v>
      </c>
      <c r="F94">
        <v>0.39861671266391302</v>
      </c>
      <c r="G94" t="s">
        <v>4922</v>
      </c>
    </row>
    <row r="95" spans="1:7" x14ac:dyDescent="0.25">
      <c r="A95" t="str">
        <f>HYPERLINK("http://amigo.geneontology.org/cgi-bin/amigo/term-details.cgi?term=GO:0000077","GO:0000077")</f>
        <v>GO:0000077</v>
      </c>
      <c r="B95" t="s">
        <v>4872</v>
      </c>
      <c r="C95">
        <v>9</v>
      </c>
      <c r="D95">
        <v>5</v>
      </c>
      <c r="E95">
        <v>1.4763581950515201E-2</v>
      </c>
      <c r="F95">
        <v>0.39861671266391302</v>
      </c>
      <c r="G95" t="s">
        <v>4914</v>
      </c>
    </row>
    <row r="96" spans="1:7" x14ac:dyDescent="0.25">
      <c r="A96" t="str">
        <f>HYPERLINK("http://amigo.geneontology.org/cgi-bin/amigo/term-details.cgi?term=GO:0000793","GO:0000793")</f>
        <v>GO:0000793</v>
      </c>
      <c r="B96" t="s">
        <v>1336</v>
      </c>
      <c r="C96">
        <v>26</v>
      </c>
      <c r="D96">
        <v>10</v>
      </c>
      <c r="E96">
        <v>1.47750411893646E-2</v>
      </c>
      <c r="F96">
        <v>0.384151070923481</v>
      </c>
      <c r="G96" t="s">
        <v>4921</v>
      </c>
    </row>
    <row r="97" spans="1:7" x14ac:dyDescent="0.25">
      <c r="A97" t="str">
        <f>HYPERLINK("http://amigo.geneontology.org/cgi-bin/amigo/term-details.cgi?term=GO:0034645","GO:0034645")</f>
        <v>GO:0034645</v>
      </c>
      <c r="B97" t="s">
        <v>807</v>
      </c>
      <c r="C97">
        <v>468</v>
      </c>
      <c r="D97">
        <v>106</v>
      </c>
      <c r="E97">
        <v>1.55484648295893E-2</v>
      </c>
      <c r="F97">
        <v>0.40426008556932203</v>
      </c>
      <c r="G97" t="s">
        <v>4920</v>
      </c>
    </row>
    <row r="98" spans="1:7" x14ac:dyDescent="0.25">
      <c r="A98" t="str">
        <f>HYPERLINK("http://amigo.geneontology.org/cgi-bin/amigo/term-details.cgi?term=GO:0004518","GO:0004518")</f>
        <v>GO:0004518</v>
      </c>
      <c r="B98" t="s">
        <v>596</v>
      </c>
      <c r="C98">
        <v>54</v>
      </c>
      <c r="D98">
        <v>17</v>
      </c>
      <c r="E98">
        <v>1.6678994303698499E-2</v>
      </c>
      <c r="F98">
        <v>0.43365385189616101</v>
      </c>
      <c r="G98" t="s">
        <v>4919</v>
      </c>
    </row>
    <row r="99" spans="1:7" x14ac:dyDescent="0.25">
      <c r="A99" t="str">
        <f>HYPERLINK("http://amigo.geneontology.org/cgi-bin/amigo/term-details.cgi?term=GO:0009059","GO:0009059")</f>
        <v>GO:0009059</v>
      </c>
      <c r="B99" t="s">
        <v>808</v>
      </c>
      <c r="C99">
        <v>477</v>
      </c>
      <c r="D99">
        <v>107</v>
      </c>
      <c r="E99">
        <v>1.98118182556461E-2</v>
      </c>
      <c r="F99">
        <v>0.51510727464679895</v>
      </c>
      <c r="G99" t="s">
        <v>4918</v>
      </c>
    </row>
    <row r="100" spans="1:7" x14ac:dyDescent="0.25">
      <c r="A100" t="str">
        <f>HYPERLINK("http://amigo.geneontology.org/cgi-bin/amigo/term-details.cgi?term=GO:0008509","GO:0008509")</f>
        <v>GO:0008509</v>
      </c>
      <c r="B100" t="s">
        <v>4878</v>
      </c>
      <c r="C100">
        <v>68</v>
      </c>
      <c r="D100">
        <v>20</v>
      </c>
      <c r="E100">
        <v>2.1361788250667001E-2</v>
      </c>
      <c r="F100">
        <v>0.53404470626667599</v>
      </c>
      <c r="G100" t="s">
        <v>4917</v>
      </c>
    </row>
    <row r="101" spans="1:7" x14ac:dyDescent="0.25">
      <c r="A101" t="str">
        <f>HYPERLINK("http://amigo.geneontology.org/cgi-bin/amigo/term-details.cgi?term=GO:0004526","GO:0004526")</f>
        <v>GO:0004526</v>
      </c>
      <c r="B101" t="s">
        <v>4816</v>
      </c>
      <c r="C101">
        <v>4</v>
      </c>
      <c r="D101">
        <v>3</v>
      </c>
      <c r="E101">
        <v>2.2561474897751399E-2</v>
      </c>
      <c r="F101">
        <v>0.56403687244378597</v>
      </c>
      <c r="G101" t="s">
        <v>4916</v>
      </c>
    </row>
    <row r="102" spans="1:7" x14ac:dyDescent="0.25">
      <c r="A102" t="str">
        <f>HYPERLINK("http://amigo.geneontology.org/cgi-bin/amigo/term-details.cgi?term=GO:0043167","GO:0043167")</f>
        <v>GO:0043167</v>
      </c>
      <c r="B102" t="s">
        <v>953</v>
      </c>
      <c r="C102">
        <v>1876</v>
      </c>
      <c r="D102">
        <v>380</v>
      </c>
      <c r="E102">
        <v>2.4749229140229999E-2</v>
      </c>
      <c r="F102">
        <v>0.61873072850575195</v>
      </c>
      <c r="G102" t="s">
        <v>4915</v>
      </c>
    </row>
    <row r="103" spans="1:7" x14ac:dyDescent="0.25">
      <c r="A103" t="str">
        <f>HYPERLINK("http://amigo.geneontology.org/cgi-bin/amigo/term-details.cgi?term=GO:0003887","GO:0003887")</f>
        <v>GO:0003887</v>
      </c>
      <c r="B103" t="s">
        <v>730</v>
      </c>
      <c r="C103">
        <v>10</v>
      </c>
      <c r="D103">
        <v>5</v>
      </c>
      <c r="E103">
        <v>2.5032970226119101E-2</v>
      </c>
      <c r="F103">
        <v>0.600791285426859</v>
      </c>
      <c r="G103" t="s">
        <v>4904</v>
      </c>
    </row>
    <row r="104" spans="1:7" x14ac:dyDescent="0.25">
      <c r="A104" t="str">
        <f>HYPERLINK("http://amigo.geneontology.org/cgi-bin/amigo/term-details.cgi?term=GO:0031570","GO:0031570")</f>
        <v>GO:0031570</v>
      </c>
      <c r="B104" t="s">
        <v>4873</v>
      </c>
      <c r="C104">
        <v>10</v>
      </c>
      <c r="D104">
        <v>5</v>
      </c>
      <c r="E104">
        <v>2.5032970226119101E-2</v>
      </c>
      <c r="F104">
        <v>0.600791285426859</v>
      </c>
      <c r="G104" t="s">
        <v>4914</v>
      </c>
    </row>
    <row r="105" spans="1:7" x14ac:dyDescent="0.25">
      <c r="A105" t="str">
        <f>HYPERLINK("http://amigo.geneontology.org/cgi-bin/amigo/term-details.cgi?term=GO:0031461","GO:0031461")</f>
        <v>GO:0031461</v>
      </c>
      <c r="B105" t="s">
        <v>4870</v>
      </c>
      <c r="C105">
        <v>7</v>
      </c>
      <c r="D105">
        <v>4</v>
      </c>
      <c r="E105">
        <v>2.65129618493108E-2</v>
      </c>
      <c r="F105">
        <v>0.60979812253415</v>
      </c>
      <c r="G105" t="s">
        <v>4913</v>
      </c>
    </row>
    <row r="106" spans="1:7" x14ac:dyDescent="0.25">
      <c r="A106" t="str">
        <f>HYPERLINK("http://amigo.geneontology.org/cgi-bin/amigo/term-details.cgi?term=GO:0051189","GO:0051189")</f>
        <v>GO:0051189</v>
      </c>
      <c r="B106" t="s">
        <v>193</v>
      </c>
      <c r="C106">
        <v>7</v>
      </c>
      <c r="D106">
        <v>4</v>
      </c>
      <c r="E106">
        <v>2.65129618493108E-2</v>
      </c>
      <c r="F106">
        <v>0.60979812253415</v>
      </c>
      <c r="G106" t="s">
        <v>4896</v>
      </c>
    </row>
    <row r="107" spans="1:7" x14ac:dyDescent="0.25">
      <c r="A107" t="str">
        <f>HYPERLINK("http://amigo.geneontology.org/cgi-bin/amigo/term-details.cgi?term=GO:0043545","GO:0043545")</f>
        <v>GO:0043545</v>
      </c>
      <c r="B107" t="s">
        <v>192</v>
      </c>
      <c r="C107">
        <v>7</v>
      </c>
      <c r="D107">
        <v>4</v>
      </c>
      <c r="E107">
        <v>2.65129618493108E-2</v>
      </c>
      <c r="F107">
        <v>0.60979812253415</v>
      </c>
      <c r="G107" t="s">
        <v>4896</v>
      </c>
    </row>
    <row r="108" spans="1:7" x14ac:dyDescent="0.25">
      <c r="A108" t="str">
        <f>HYPERLINK("http://amigo.geneontology.org/cgi-bin/amigo/term-details.cgi?term=GO:0019720","GO:0019720")</f>
        <v>GO:0019720</v>
      </c>
      <c r="B108" t="s">
        <v>191</v>
      </c>
      <c r="C108">
        <v>7</v>
      </c>
      <c r="D108">
        <v>4</v>
      </c>
      <c r="E108">
        <v>2.65129618493108E-2</v>
      </c>
      <c r="F108">
        <v>0.63631108438346096</v>
      </c>
      <c r="G108" t="s">
        <v>4896</v>
      </c>
    </row>
    <row r="109" spans="1:7" x14ac:dyDescent="0.25">
      <c r="A109" t="str">
        <f>HYPERLINK("http://amigo.geneontology.org/cgi-bin/amigo/term-details.cgi?term=GO:0006777","GO:0006777")</f>
        <v>GO:0006777</v>
      </c>
      <c r="B109" t="s">
        <v>190</v>
      </c>
      <c r="C109">
        <v>7</v>
      </c>
      <c r="D109">
        <v>4</v>
      </c>
      <c r="E109">
        <v>2.65129618493108E-2</v>
      </c>
      <c r="F109">
        <v>0.63631108438346096</v>
      </c>
      <c r="G109" t="s">
        <v>4896</v>
      </c>
    </row>
    <row r="110" spans="1:7" x14ac:dyDescent="0.25">
      <c r="A110" t="str">
        <f>HYPERLINK("http://amigo.geneontology.org/cgi-bin/amigo/term-details.cgi?term=GO:0034470","GO:0034470")</f>
        <v>GO:0034470</v>
      </c>
      <c r="B110" t="s">
        <v>4128</v>
      </c>
      <c r="C110">
        <v>57</v>
      </c>
      <c r="D110">
        <v>17</v>
      </c>
      <c r="E110">
        <v>2.83301396208251E-2</v>
      </c>
      <c r="F110">
        <v>0.65159321127897796</v>
      </c>
      <c r="G110" t="s">
        <v>4912</v>
      </c>
    </row>
    <row r="111" spans="1:7" x14ac:dyDescent="0.25">
      <c r="A111" t="str">
        <f>HYPERLINK("http://amigo.geneontology.org/cgi-bin/amigo/term-details.cgi?term=GO:0016747","GO:0016747")</f>
        <v>GO:0016747</v>
      </c>
      <c r="B111" t="s">
        <v>978</v>
      </c>
      <c r="C111">
        <v>110</v>
      </c>
      <c r="D111">
        <v>29</v>
      </c>
      <c r="E111">
        <v>2.9480661906194101E-2</v>
      </c>
      <c r="F111">
        <v>0.64857456193627006</v>
      </c>
      <c r="G111" t="s">
        <v>4911</v>
      </c>
    </row>
    <row r="112" spans="1:7" x14ac:dyDescent="0.25">
      <c r="A112" t="str">
        <f>HYPERLINK("http://amigo.geneontology.org/cgi-bin/amigo/term-details.cgi?term=GO:0042364","GO:0042364")</f>
        <v>GO:0042364</v>
      </c>
      <c r="B112" t="s">
        <v>2868</v>
      </c>
      <c r="C112">
        <v>21</v>
      </c>
      <c r="D112">
        <v>8</v>
      </c>
      <c r="E112">
        <v>2.99709715467599E-2</v>
      </c>
      <c r="F112">
        <v>0.65936137402871797</v>
      </c>
      <c r="G112" t="s">
        <v>4902</v>
      </c>
    </row>
    <row r="113" spans="1:7" x14ac:dyDescent="0.25">
      <c r="A113" t="str">
        <f>HYPERLINK("http://amigo.geneontology.org/cgi-bin/amigo/term-details.cgi?term=GO:0006260","GO:0006260")</f>
        <v>GO:0006260</v>
      </c>
      <c r="B113" t="s">
        <v>799</v>
      </c>
      <c r="C113">
        <v>49</v>
      </c>
      <c r="D113">
        <v>15</v>
      </c>
      <c r="E113">
        <v>3.0426585620897999E-2</v>
      </c>
      <c r="F113">
        <v>0.66938488365975701</v>
      </c>
      <c r="G113" t="s">
        <v>4910</v>
      </c>
    </row>
    <row r="114" spans="1:7" x14ac:dyDescent="0.25">
      <c r="A114" t="str">
        <f>HYPERLINK("http://amigo.geneontology.org/cgi-bin/amigo/term-details.cgi?term=GO:0000779","GO:0000779")</f>
        <v>GO:0000779</v>
      </c>
      <c r="B114" t="s">
        <v>4883</v>
      </c>
      <c r="C114">
        <v>14</v>
      </c>
      <c r="D114">
        <v>6</v>
      </c>
      <c r="E114">
        <v>3.2572061187033298E-2</v>
      </c>
      <c r="F114">
        <v>0.68401328492769997</v>
      </c>
      <c r="G114" t="s">
        <v>4909</v>
      </c>
    </row>
    <row r="115" spans="1:7" x14ac:dyDescent="0.25">
      <c r="A115" t="str">
        <f>HYPERLINK("http://amigo.geneontology.org/cgi-bin/amigo/term-details.cgi?term=GO:0000777","GO:0000777")</f>
        <v>GO:0000777</v>
      </c>
      <c r="B115" t="s">
        <v>4882</v>
      </c>
      <c r="C115">
        <v>14</v>
      </c>
      <c r="D115">
        <v>6</v>
      </c>
      <c r="E115">
        <v>3.2572061187033298E-2</v>
      </c>
      <c r="F115">
        <v>0.68401328492769997</v>
      </c>
      <c r="G115" t="s">
        <v>4909</v>
      </c>
    </row>
    <row r="116" spans="1:7" x14ac:dyDescent="0.25">
      <c r="A116" t="str">
        <f>HYPERLINK("http://amigo.geneontology.org/cgi-bin/amigo/term-details.cgi?term=GO:0003684","GO:0003684")</f>
        <v>GO:0003684</v>
      </c>
      <c r="B116" t="s">
        <v>4855</v>
      </c>
      <c r="C116">
        <v>14</v>
      </c>
      <c r="D116">
        <v>6</v>
      </c>
      <c r="E116">
        <v>3.2572061187033298E-2</v>
      </c>
      <c r="F116">
        <v>0.71658534611473401</v>
      </c>
      <c r="G116" t="s">
        <v>4908</v>
      </c>
    </row>
    <row r="117" spans="1:7" x14ac:dyDescent="0.25">
      <c r="A117" t="str">
        <f>HYPERLINK("http://amigo.geneontology.org/cgi-bin/amigo/term-details.cgi?term=GO:0015297","GO:0015297")</f>
        <v>GO:0015297</v>
      </c>
      <c r="B117" t="s">
        <v>112</v>
      </c>
      <c r="C117">
        <v>14</v>
      </c>
      <c r="D117">
        <v>6</v>
      </c>
      <c r="E117">
        <v>3.2572061187033298E-2</v>
      </c>
      <c r="F117">
        <v>0.71658534611473401</v>
      </c>
      <c r="G117" t="s">
        <v>4907</v>
      </c>
    </row>
    <row r="118" spans="1:7" x14ac:dyDescent="0.25">
      <c r="A118" t="str">
        <f>HYPERLINK("http://amigo.geneontology.org/cgi-bin/amigo/term-details.cgi?term=GO:0016884","GO:0016884")</f>
        <v>GO:0016884</v>
      </c>
      <c r="B118" t="s">
        <v>603</v>
      </c>
      <c r="C118">
        <v>29</v>
      </c>
      <c r="D118">
        <v>10</v>
      </c>
      <c r="E118">
        <v>3.26272040574185E-2</v>
      </c>
      <c r="F118">
        <v>0.68517128520578996</v>
      </c>
      <c r="G118" t="s">
        <v>4906</v>
      </c>
    </row>
    <row r="119" spans="1:7" x14ac:dyDescent="0.25">
      <c r="A119" t="str">
        <f>HYPERLINK("http://amigo.geneontology.org/cgi-bin/amigo/term-details.cgi?term=GO:0008168","GO:0008168")</f>
        <v>GO:0008168</v>
      </c>
      <c r="B119" t="s">
        <v>454</v>
      </c>
      <c r="C119">
        <v>80</v>
      </c>
      <c r="D119">
        <v>22</v>
      </c>
      <c r="E119">
        <v>3.4497640090907999E-2</v>
      </c>
      <c r="F119">
        <v>0.72445044190906904</v>
      </c>
      <c r="G119" t="s">
        <v>4905</v>
      </c>
    </row>
    <row r="120" spans="1:7" x14ac:dyDescent="0.25">
      <c r="A120" t="str">
        <f>HYPERLINK("http://amigo.geneontology.org/cgi-bin/amigo/term-details.cgi?term=GO:0031145","GO:0031145")</f>
        <v>GO:0031145</v>
      </c>
      <c r="B120" t="s">
        <v>4868</v>
      </c>
      <c r="C120">
        <v>2</v>
      </c>
      <c r="D120">
        <v>2</v>
      </c>
      <c r="E120">
        <v>3.5067322626590701E-2</v>
      </c>
      <c r="F120">
        <v>0.56107716202545099</v>
      </c>
      <c r="G120" t="s">
        <v>4867</v>
      </c>
    </row>
    <row r="121" spans="1:7" x14ac:dyDescent="0.25">
      <c r="A121" t="str">
        <f>HYPERLINK("http://amigo.geneontology.org/cgi-bin/amigo/term-details.cgi?term=GO:0004067","GO:0004067")</f>
        <v>GO:0004067</v>
      </c>
      <c r="B121" t="s">
        <v>4863</v>
      </c>
      <c r="C121">
        <v>2</v>
      </c>
      <c r="D121">
        <v>2</v>
      </c>
      <c r="E121">
        <v>3.5067322626590701E-2</v>
      </c>
      <c r="F121">
        <v>0.56107716202545099</v>
      </c>
      <c r="G121" t="s">
        <v>4862</v>
      </c>
    </row>
    <row r="122" spans="1:7" x14ac:dyDescent="0.25">
      <c r="A122" t="str">
        <f>HYPERLINK("http://amigo.geneontology.org/cgi-bin/amigo/term-details.cgi?term=GO:0000731","GO:0000731")</f>
        <v>GO:0000731</v>
      </c>
      <c r="B122" t="s">
        <v>4853</v>
      </c>
      <c r="C122">
        <v>2</v>
      </c>
      <c r="D122">
        <v>2</v>
      </c>
      <c r="E122">
        <v>3.5067322626590701E-2</v>
      </c>
      <c r="F122">
        <v>0.56107716202545099</v>
      </c>
      <c r="G122" t="s">
        <v>4851</v>
      </c>
    </row>
    <row r="123" spans="1:7" x14ac:dyDescent="0.25">
      <c r="A123" t="str">
        <f>HYPERLINK("http://amigo.geneontology.org/cgi-bin/amigo/term-details.cgi?term=GO:0006301","GO:0006301")</f>
        <v>GO:0006301</v>
      </c>
      <c r="B123" t="s">
        <v>2325</v>
      </c>
      <c r="C123">
        <v>2</v>
      </c>
      <c r="D123">
        <v>2</v>
      </c>
      <c r="E123">
        <v>3.5067322626590701E-2</v>
      </c>
      <c r="F123">
        <v>0.56107716202545099</v>
      </c>
      <c r="G123" t="s">
        <v>4851</v>
      </c>
    </row>
    <row r="124" spans="1:7" x14ac:dyDescent="0.25">
      <c r="A124" t="str">
        <f>HYPERLINK("http://amigo.geneontology.org/cgi-bin/amigo/term-details.cgi?term=GO:0019985","GO:0019985")</f>
        <v>GO:0019985</v>
      </c>
      <c r="B124" t="s">
        <v>4852</v>
      </c>
      <c r="C124">
        <v>2</v>
      </c>
      <c r="D124">
        <v>2</v>
      </c>
      <c r="E124">
        <v>3.5067322626590701E-2</v>
      </c>
      <c r="F124">
        <v>0.56107716202545099</v>
      </c>
      <c r="G124" t="s">
        <v>4851</v>
      </c>
    </row>
    <row r="125" spans="1:7" x14ac:dyDescent="0.25">
      <c r="A125" t="str">
        <f>HYPERLINK("http://amigo.geneontology.org/cgi-bin/amigo/term-details.cgi?term=GO:0009162","GO:0009162")</f>
        <v>GO:0009162</v>
      </c>
      <c r="B125" t="s">
        <v>4850</v>
      </c>
      <c r="C125">
        <v>2</v>
      </c>
      <c r="D125">
        <v>2</v>
      </c>
      <c r="E125">
        <v>3.5067322626590701E-2</v>
      </c>
      <c r="F125">
        <v>0.56107716202545099</v>
      </c>
      <c r="G125" t="s">
        <v>4849</v>
      </c>
    </row>
    <row r="126" spans="1:7" x14ac:dyDescent="0.25">
      <c r="A126" t="str">
        <f>HYPERLINK("http://amigo.geneontology.org/cgi-bin/amigo/term-details.cgi?term=GO:0030366","GO:0030366")</f>
        <v>GO:0030366</v>
      </c>
      <c r="B126" t="s">
        <v>1245</v>
      </c>
      <c r="C126">
        <v>2</v>
      </c>
      <c r="D126">
        <v>2</v>
      </c>
      <c r="E126">
        <v>3.5067322626590701E-2</v>
      </c>
      <c r="F126">
        <v>0.56107716202545099</v>
      </c>
      <c r="G126" t="s">
        <v>4846</v>
      </c>
    </row>
    <row r="127" spans="1:7" x14ac:dyDescent="0.25">
      <c r="A127" t="str">
        <f>HYPERLINK("http://amigo.geneontology.org/cgi-bin/amigo/term-details.cgi?term=GO:0044773","GO:0044773")</f>
        <v>GO:0044773</v>
      </c>
      <c r="B127" t="s">
        <v>4845</v>
      </c>
      <c r="C127">
        <v>2</v>
      </c>
      <c r="D127">
        <v>2</v>
      </c>
      <c r="E127">
        <v>3.5067322626590701E-2</v>
      </c>
      <c r="F127">
        <v>0.59614448465204195</v>
      </c>
      <c r="G127" t="s">
        <v>4844</v>
      </c>
    </row>
    <row r="128" spans="1:7" x14ac:dyDescent="0.25">
      <c r="A128" t="str">
        <f>HYPERLINK("http://amigo.geneontology.org/cgi-bin/amigo/term-details.cgi?term=GO:0008156","GO:0008156")</f>
        <v>GO:0008156</v>
      </c>
      <c r="B128" t="s">
        <v>4843</v>
      </c>
      <c r="C128">
        <v>2</v>
      </c>
      <c r="D128">
        <v>2</v>
      </c>
      <c r="E128">
        <v>3.5067322626590701E-2</v>
      </c>
      <c r="F128">
        <v>0.59614448465204195</v>
      </c>
      <c r="G128" t="s">
        <v>4839</v>
      </c>
    </row>
    <row r="129" spans="1:7" x14ac:dyDescent="0.25">
      <c r="A129" t="str">
        <f>HYPERLINK("http://amigo.geneontology.org/cgi-bin/amigo/term-details.cgi?term=GO:0090329","GO:0090329")</f>
        <v>GO:0090329</v>
      </c>
      <c r="B129" t="s">
        <v>4842</v>
      </c>
      <c r="C129">
        <v>2</v>
      </c>
      <c r="D129">
        <v>2</v>
      </c>
      <c r="E129">
        <v>3.5067322626590701E-2</v>
      </c>
      <c r="F129">
        <v>0.59614448465204195</v>
      </c>
      <c r="G129" t="s">
        <v>4839</v>
      </c>
    </row>
    <row r="130" spans="1:7" x14ac:dyDescent="0.25">
      <c r="A130" t="str">
        <f>HYPERLINK("http://amigo.geneontology.org/cgi-bin/amigo/term-details.cgi?term=GO:2000104","GO:2000104")</f>
        <v>GO:2000104</v>
      </c>
      <c r="B130" t="s">
        <v>4841</v>
      </c>
      <c r="C130">
        <v>2</v>
      </c>
      <c r="D130">
        <v>2</v>
      </c>
      <c r="E130">
        <v>3.5067322626590701E-2</v>
      </c>
      <c r="F130">
        <v>0.59614448465204195</v>
      </c>
      <c r="G130" t="s">
        <v>4839</v>
      </c>
    </row>
    <row r="131" spans="1:7" x14ac:dyDescent="0.25">
      <c r="A131" t="str">
        <f>HYPERLINK("http://amigo.geneontology.org/cgi-bin/amigo/term-details.cgi?term=GO:0048478","GO:0048478")</f>
        <v>GO:0048478</v>
      </c>
      <c r="B131" t="s">
        <v>4840</v>
      </c>
      <c r="C131">
        <v>2</v>
      </c>
      <c r="D131">
        <v>2</v>
      </c>
      <c r="E131">
        <v>3.5067322626590701E-2</v>
      </c>
      <c r="F131">
        <v>0.59614448465204195</v>
      </c>
      <c r="G131" t="s">
        <v>4839</v>
      </c>
    </row>
    <row r="132" spans="1:7" x14ac:dyDescent="0.25">
      <c r="A132" t="str">
        <f>HYPERLINK("http://amigo.geneontology.org/cgi-bin/amigo/term-details.cgi?term=GO:0043527","GO:0043527")</f>
        <v>GO:0043527</v>
      </c>
      <c r="B132" t="s">
        <v>4838</v>
      </c>
      <c r="C132">
        <v>2</v>
      </c>
      <c r="D132">
        <v>2</v>
      </c>
      <c r="E132">
        <v>3.5067322626590701E-2</v>
      </c>
      <c r="F132">
        <v>0.59614448465204195</v>
      </c>
      <c r="G132" t="s">
        <v>4836</v>
      </c>
    </row>
    <row r="133" spans="1:7" x14ac:dyDescent="0.25">
      <c r="A133" t="str">
        <f>HYPERLINK("http://amigo.geneontology.org/cgi-bin/amigo/term-details.cgi?term=GO:0031515","GO:0031515")</f>
        <v>GO:0031515</v>
      </c>
      <c r="B133" t="s">
        <v>4837</v>
      </c>
      <c r="C133">
        <v>2</v>
      </c>
      <c r="D133">
        <v>2</v>
      </c>
      <c r="E133">
        <v>3.5067322626590701E-2</v>
      </c>
      <c r="F133">
        <v>0.59614448465204195</v>
      </c>
      <c r="G133" t="s">
        <v>4836</v>
      </c>
    </row>
    <row r="134" spans="1:7" x14ac:dyDescent="0.25">
      <c r="A134" t="str">
        <f>HYPERLINK("http://amigo.geneontology.org/cgi-bin/amigo/term-details.cgi?term=GO:0010340","GO:0010340")</f>
        <v>GO:0010340</v>
      </c>
      <c r="B134" t="s">
        <v>4833</v>
      </c>
      <c r="C134">
        <v>2</v>
      </c>
      <c r="D134">
        <v>2</v>
      </c>
      <c r="E134">
        <v>3.5067322626590701E-2</v>
      </c>
      <c r="F134">
        <v>0.59614448465204195</v>
      </c>
      <c r="G134" t="s">
        <v>4829</v>
      </c>
    </row>
    <row r="135" spans="1:7" x14ac:dyDescent="0.25">
      <c r="A135" t="str">
        <f>HYPERLINK("http://amigo.geneontology.org/cgi-bin/amigo/term-details.cgi?term=GO:0051998","GO:0051998")</f>
        <v>GO:0051998</v>
      </c>
      <c r="B135" t="s">
        <v>4832</v>
      </c>
      <c r="C135">
        <v>2</v>
      </c>
      <c r="D135">
        <v>2</v>
      </c>
      <c r="E135">
        <v>3.5067322626590701E-2</v>
      </c>
      <c r="F135">
        <v>0.63121180727863302</v>
      </c>
      <c r="G135" t="s">
        <v>4829</v>
      </c>
    </row>
    <row r="136" spans="1:7" x14ac:dyDescent="0.25">
      <c r="A136" t="str">
        <f>HYPERLINK("http://amigo.geneontology.org/cgi-bin/amigo/term-details.cgi?term=GO:0003880","GO:0003880")</f>
        <v>GO:0003880</v>
      </c>
      <c r="B136" t="s">
        <v>4831</v>
      </c>
      <c r="C136">
        <v>2</v>
      </c>
      <c r="D136">
        <v>2</v>
      </c>
      <c r="E136">
        <v>3.5067322626590701E-2</v>
      </c>
      <c r="F136">
        <v>0.63121180727863302</v>
      </c>
      <c r="G136" t="s">
        <v>4829</v>
      </c>
    </row>
    <row r="137" spans="1:7" x14ac:dyDescent="0.25">
      <c r="A137" t="str">
        <f>HYPERLINK("http://amigo.geneontology.org/cgi-bin/amigo/term-details.cgi?term=GO:0004671","GO:0004671")</f>
        <v>GO:0004671</v>
      </c>
      <c r="B137" t="s">
        <v>4830</v>
      </c>
      <c r="C137">
        <v>2</v>
      </c>
      <c r="D137">
        <v>2</v>
      </c>
      <c r="E137">
        <v>3.5067322626590701E-2</v>
      </c>
      <c r="F137">
        <v>0.63121180727863302</v>
      </c>
      <c r="G137" t="s">
        <v>4829</v>
      </c>
    </row>
    <row r="138" spans="1:7" x14ac:dyDescent="0.25">
      <c r="A138" t="str">
        <f>HYPERLINK("http://amigo.geneontology.org/cgi-bin/amigo/term-details.cgi?term=GO:0016824","GO:0016824")</f>
        <v>GO:0016824</v>
      </c>
      <c r="B138" t="s">
        <v>4827</v>
      </c>
      <c r="C138">
        <v>2</v>
      </c>
      <c r="D138">
        <v>2</v>
      </c>
      <c r="E138">
        <v>3.5067322626590701E-2</v>
      </c>
      <c r="F138">
        <v>0.63121180727863302</v>
      </c>
      <c r="G138" t="s">
        <v>4825</v>
      </c>
    </row>
    <row r="139" spans="1:7" x14ac:dyDescent="0.25">
      <c r="A139" t="str">
        <f>HYPERLINK("http://amigo.geneontology.org/cgi-bin/amigo/term-details.cgi?term=GO:0019120","GO:0019120")</f>
        <v>GO:0019120</v>
      </c>
      <c r="B139" t="s">
        <v>4826</v>
      </c>
      <c r="C139">
        <v>2</v>
      </c>
      <c r="D139">
        <v>2</v>
      </c>
      <c r="E139">
        <v>3.5067322626590701E-2</v>
      </c>
      <c r="F139">
        <v>0.63121180727863302</v>
      </c>
      <c r="G139" t="s">
        <v>4825</v>
      </c>
    </row>
    <row r="140" spans="1:7" x14ac:dyDescent="0.25">
      <c r="A140" t="str">
        <f>HYPERLINK("http://amigo.geneontology.org/cgi-bin/amigo/term-details.cgi?term=GO:0000255","GO:0000255")</f>
        <v>GO:0000255</v>
      </c>
      <c r="B140" t="s">
        <v>4824</v>
      </c>
      <c r="C140">
        <v>2</v>
      </c>
      <c r="D140">
        <v>2</v>
      </c>
      <c r="E140">
        <v>3.5067322626590701E-2</v>
      </c>
      <c r="F140">
        <v>0.63121180727863302</v>
      </c>
      <c r="G140" t="s">
        <v>4822</v>
      </c>
    </row>
    <row r="141" spans="1:7" x14ac:dyDescent="0.25">
      <c r="A141" t="str">
        <f>HYPERLINK("http://amigo.geneontology.org/cgi-bin/amigo/term-details.cgi?term=GO:0000256","GO:0000256")</f>
        <v>GO:0000256</v>
      </c>
      <c r="B141" t="s">
        <v>4823</v>
      </c>
      <c r="C141">
        <v>2</v>
      </c>
      <c r="D141">
        <v>2</v>
      </c>
      <c r="E141">
        <v>3.5067322626590701E-2</v>
      </c>
      <c r="F141">
        <v>0.66627912990522298</v>
      </c>
      <c r="G141" t="s">
        <v>4822</v>
      </c>
    </row>
    <row r="142" spans="1:7" x14ac:dyDescent="0.25">
      <c r="A142" t="str">
        <f>HYPERLINK("http://amigo.geneontology.org/cgi-bin/amigo/term-details.cgi?term=GO:0003906","GO:0003906")</f>
        <v>GO:0003906</v>
      </c>
      <c r="B142" t="s">
        <v>4820</v>
      </c>
      <c r="C142">
        <v>2</v>
      </c>
      <c r="D142">
        <v>2</v>
      </c>
      <c r="E142">
        <v>3.5067322626590701E-2</v>
      </c>
      <c r="F142">
        <v>0.66627912990522298</v>
      </c>
      <c r="G142" t="s">
        <v>4819</v>
      </c>
    </row>
    <row r="143" spans="1:7" x14ac:dyDescent="0.25">
      <c r="A143" t="str">
        <f>HYPERLINK("http://amigo.geneontology.org/cgi-bin/amigo/term-details.cgi?term=GO:0098847","GO:0098847")</f>
        <v>GO:0098847</v>
      </c>
      <c r="B143" t="s">
        <v>4815</v>
      </c>
      <c r="C143">
        <v>2</v>
      </c>
      <c r="D143">
        <v>2</v>
      </c>
      <c r="E143">
        <v>3.5067322626590701E-2</v>
      </c>
      <c r="F143">
        <v>0.66627912990522298</v>
      </c>
      <c r="G143" t="s">
        <v>4813</v>
      </c>
    </row>
    <row r="144" spans="1:7" x14ac:dyDescent="0.25">
      <c r="A144" t="str">
        <f>HYPERLINK("http://amigo.geneontology.org/cgi-bin/amigo/term-details.cgi?term=GO:0043047","GO:0043047")</f>
        <v>GO:0043047</v>
      </c>
      <c r="B144" t="s">
        <v>4814</v>
      </c>
      <c r="C144">
        <v>2</v>
      </c>
      <c r="D144">
        <v>2</v>
      </c>
      <c r="E144">
        <v>3.5067322626590701E-2</v>
      </c>
      <c r="F144">
        <v>0.66627912990522298</v>
      </c>
      <c r="G144" t="s">
        <v>4813</v>
      </c>
    </row>
    <row r="145" spans="1:7" x14ac:dyDescent="0.25">
      <c r="A145" t="str">
        <f>HYPERLINK("http://amigo.geneontology.org/cgi-bin/amigo/term-details.cgi?term=GO:0000126","GO:0000126")</f>
        <v>GO:0000126</v>
      </c>
      <c r="B145" t="s">
        <v>1542</v>
      </c>
      <c r="C145">
        <v>2</v>
      </c>
      <c r="D145">
        <v>2</v>
      </c>
      <c r="E145">
        <v>3.5067322626590701E-2</v>
      </c>
      <c r="F145">
        <v>0.66627912990522298</v>
      </c>
      <c r="G145" t="s">
        <v>4809</v>
      </c>
    </row>
    <row r="146" spans="1:7" x14ac:dyDescent="0.25">
      <c r="A146" t="str">
        <f>HYPERLINK("http://amigo.geneontology.org/cgi-bin/amigo/term-details.cgi?term=GO:0006384","GO:0006384")</f>
        <v>GO:0006384</v>
      </c>
      <c r="B146" t="s">
        <v>4808</v>
      </c>
      <c r="C146">
        <v>2</v>
      </c>
      <c r="D146">
        <v>2</v>
      </c>
      <c r="E146">
        <v>3.5067322626590701E-2</v>
      </c>
      <c r="F146">
        <v>0.66627912990522298</v>
      </c>
      <c r="G146" t="s">
        <v>4807</v>
      </c>
    </row>
    <row r="147" spans="1:7" x14ac:dyDescent="0.25">
      <c r="A147" t="str">
        <f>HYPERLINK("http://amigo.geneontology.org/cgi-bin/amigo/term-details.cgi?term=GO:0030896","GO:0030896")</f>
        <v>GO:0030896</v>
      </c>
      <c r="B147" t="s">
        <v>4806</v>
      </c>
      <c r="C147">
        <v>2</v>
      </c>
      <c r="D147">
        <v>2</v>
      </c>
      <c r="E147">
        <v>3.5067322626590701E-2</v>
      </c>
      <c r="F147">
        <v>0.66627912990522298</v>
      </c>
      <c r="G147" t="s">
        <v>4805</v>
      </c>
    </row>
    <row r="148" spans="1:7" x14ac:dyDescent="0.25">
      <c r="A148" t="str">
        <f>HYPERLINK("http://amigo.geneontology.org/cgi-bin/amigo/term-details.cgi?term=GO:0000990","GO:0000990")</f>
        <v>GO:0000990</v>
      </c>
      <c r="B148" t="s">
        <v>869</v>
      </c>
      <c r="C148">
        <v>2</v>
      </c>
      <c r="D148">
        <v>2</v>
      </c>
      <c r="E148">
        <v>3.5067322626590701E-2</v>
      </c>
      <c r="F148">
        <v>0.70134645253181405</v>
      </c>
      <c r="G148" t="s">
        <v>4804</v>
      </c>
    </row>
    <row r="149" spans="1:7" x14ac:dyDescent="0.25">
      <c r="A149" t="str">
        <f>HYPERLINK("http://amigo.geneontology.org/cgi-bin/amigo/term-details.cgi?term=GO:0000995","GO:0000995")</f>
        <v>GO:0000995</v>
      </c>
      <c r="B149" t="s">
        <v>1712</v>
      </c>
      <c r="C149">
        <v>2</v>
      </c>
      <c r="D149">
        <v>2</v>
      </c>
      <c r="E149">
        <v>3.5067322626590701E-2</v>
      </c>
      <c r="F149">
        <v>0.70134645253181405</v>
      </c>
      <c r="G149" t="s">
        <v>4804</v>
      </c>
    </row>
    <row r="150" spans="1:7" x14ac:dyDescent="0.25">
      <c r="A150" t="str">
        <f>HYPERLINK("http://amigo.geneontology.org/cgi-bin/amigo/term-details.cgi?term=GO:0046471","GO:0046471")</f>
        <v>GO:0046471</v>
      </c>
      <c r="B150" t="s">
        <v>3825</v>
      </c>
      <c r="C150">
        <v>2</v>
      </c>
      <c r="D150">
        <v>2</v>
      </c>
      <c r="E150">
        <v>3.5067322626590701E-2</v>
      </c>
      <c r="F150">
        <v>0.70134645253181405</v>
      </c>
      <c r="G150" t="s">
        <v>4801</v>
      </c>
    </row>
    <row r="151" spans="1:7" x14ac:dyDescent="0.25">
      <c r="A151" t="str">
        <f>HYPERLINK("http://amigo.geneontology.org/cgi-bin/amigo/term-details.cgi?term=GO:0006655","GO:0006655")</f>
        <v>GO:0006655</v>
      </c>
      <c r="B151" t="s">
        <v>3824</v>
      </c>
      <c r="C151">
        <v>2</v>
      </c>
      <c r="D151">
        <v>2</v>
      </c>
      <c r="E151">
        <v>3.5067322626590701E-2</v>
      </c>
      <c r="F151">
        <v>0.70134645253181405</v>
      </c>
      <c r="G151" t="s">
        <v>4801</v>
      </c>
    </row>
    <row r="152" spans="1:7" x14ac:dyDescent="0.25">
      <c r="A152" t="str">
        <f>HYPERLINK("http://amigo.geneontology.org/cgi-bin/amigo/term-details.cgi?term=GO:0032048","GO:0032048")</f>
        <v>GO:0032048</v>
      </c>
      <c r="B152" t="s">
        <v>4803</v>
      </c>
      <c r="C152">
        <v>2</v>
      </c>
      <c r="D152">
        <v>2</v>
      </c>
      <c r="E152">
        <v>3.5067322626590701E-2</v>
      </c>
      <c r="F152">
        <v>0.70134645253181405</v>
      </c>
      <c r="G152" t="s">
        <v>4801</v>
      </c>
    </row>
    <row r="153" spans="1:7" x14ac:dyDescent="0.25">
      <c r="A153" t="str">
        <f>HYPERLINK("http://amigo.geneontology.org/cgi-bin/amigo/term-details.cgi?term=GO:0032049","GO:0032049")</f>
        <v>GO:0032049</v>
      </c>
      <c r="B153" t="s">
        <v>4802</v>
      </c>
      <c r="C153">
        <v>2</v>
      </c>
      <c r="D153">
        <v>2</v>
      </c>
      <c r="E153">
        <v>3.5067322626590701E-2</v>
      </c>
      <c r="F153">
        <v>0.736413775158405</v>
      </c>
      <c r="G153" t="s">
        <v>4801</v>
      </c>
    </row>
    <row r="154" spans="1:7" x14ac:dyDescent="0.25">
      <c r="A154" t="str">
        <f>HYPERLINK("http://amigo.geneontology.org/cgi-bin/amigo/term-details.cgi?term=GO:0034061","GO:0034061")</f>
        <v>GO:0034061</v>
      </c>
      <c r="B154" t="s">
        <v>724</v>
      </c>
      <c r="C154">
        <v>11</v>
      </c>
      <c r="D154">
        <v>5</v>
      </c>
      <c r="E154">
        <v>3.8950721768562402E-2</v>
      </c>
      <c r="F154">
        <v>0.62321154829699899</v>
      </c>
      <c r="G154" t="s">
        <v>4904</v>
      </c>
    </row>
    <row r="155" spans="1:7" x14ac:dyDescent="0.25">
      <c r="A155" t="str">
        <f>HYPERLINK("http://amigo.geneontology.org/cgi-bin/amigo/term-details.cgi?term=GO:0016741","GO:0016741")</f>
        <v>GO:0016741</v>
      </c>
      <c r="B155" t="s">
        <v>823</v>
      </c>
      <c r="C155">
        <v>90</v>
      </c>
      <c r="D155">
        <v>24</v>
      </c>
      <c r="E155">
        <v>3.9580651359325501E-2</v>
      </c>
      <c r="F155">
        <v>0.59370977038988304</v>
      </c>
      <c r="G155" t="s">
        <v>4903</v>
      </c>
    </row>
    <row r="156" spans="1:7" x14ac:dyDescent="0.25">
      <c r="A156" t="str">
        <f>HYPERLINK("http://amigo.geneontology.org/cgi-bin/amigo/term-details.cgi?term=GO:0009110","GO:0009110")</f>
        <v>GO:0009110</v>
      </c>
      <c r="B156" t="s">
        <v>478</v>
      </c>
      <c r="C156">
        <v>22</v>
      </c>
      <c r="D156">
        <v>8</v>
      </c>
      <c r="E156">
        <v>3.9588339866987898E-2</v>
      </c>
      <c r="F156">
        <v>0.59382509800481897</v>
      </c>
      <c r="G156" t="s">
        <v>4902</v>
      </c>
    </row>
    <row r="157" spans="1:7" x14ac:dyDescent="0.25">
      <c r="A157" t="str">
        <f>HYPERLINK("http://amigo.geneontology.org/cgi-bin/amigo/term-details.cgi?term=GO:0016740","GO:0016740")</f>
        <v>GO:0016740</v>
      </c>
      <c r="B157" t="s">
        <v>955</v>
      </c>
      <c r="C157">
        <v>691</v>
      </c>
      <c r="D157">
        <v>147</v>
      </c>
      <c r="E157">
        <v>4.06191990401897E-2</v>
      </c>
      <c r="F157">
        <v>0.60928798560284603</v>
      </c>
      <c r="G157" t="s">
        <v>4901</v>
      </c>
    </row>
    <row r="158" spans="1:7" x14ac:dyDescent="0.25">
      <c r="A158" t="str">
        <f>HYPERLINK("http://amigo.geneontology.org/cgi-bin/amigo/term-details.cgi?term=GO:0004519","GO:0004519")</f>
        <v>GO:0004519</v>
      </c>
      <c r="B158" t="s">
        <v>4865</v>
      </c>
      <c r="C158">
        <v>34</v>
      </c>
      <c r="D158">
        <v>11</v>
      </c>
      <c r="E158">
        <v>4.0624891285091697E-2</v>
      </c>
      <c r="F158">
        <v>0.60937336927637598</v>
      </c>
      <c r="G158" t="s">
        <v>4900</v>
      </c>
    </row>
    <row r="159" spans="1:7" x14ac:dyDescent="0.25">
      <c r="A159" t="str">
        <f>HYPERLINK("http://amigo.geneontology.org/cgi-bin/amigo/term-details.cgi?term=GO:0016769","GO:0016769")</f>
        <v>GO:0016769</v>
      </c>
      <c r="B159" t="s">
        <v>921</v>
      </c>
      <c r="C159">
        <v>26</v>
      </c>
      <c r="D159">
        <v>9</v>
      </c>
      <c r="E159">
        <v>4.0741206550583199E-2</v>
      </c>
      <c r="F159">
        <v>0.61111809825874797</v>
      </c>
      <c r="G159" t="s">
        <v>4899</v>
      </c>
    </row>
    <row r="160" spans="1:7" x14ac:dyDescent="0.25">
      <c r="A160" t="str">
        <f>HYPERLINK("http://amigo.geneontology.org/cgi-bin/amigo/term-details.cgi?term=GO:0008483","GO:0008483")</f>
        <v>GO:0008483</v>
      </c>
      <c r="B160" t="s">
        <v>210</v>
      </c>
      <c r="C160">
        <v>26</v>
      </c>
      <c r="D160">
        <v>9</v>
      </c>
      <c r="E160">
        <v>4.0741206550583199E-2</v>
      </c>
      <c r="F160">
        <v>0.61111809825874797</v>
      </c>
      <c r="G160" t="s">
        <v>4899</v>
      </c>
    </row>
    <row r="161" spans="1:7" x14ac:dyDescent="0.25">
      <c r="A161" t="str">
        <f>HYPERLINK("http://amigo.geneontology.org/cgi-bin/amigo/term-details.cgi?term=GO:0097747","GO:0097747")</f>
        <v>GO:0097747</v>
      </c>
      <c r="B161" t="s">
        <v>446</v>
      </c>
      <c r="C161">
        <v>30</v>
      </c>
      <c r="D161">
        <v>10</v>
      </c>
      <c r="E161">
        <v>4.0989243647756697E-2</v>
      </c>
      <c r="F161">
        <v>0.61483865471635102</v>
      </c>
      <c r="G161" t="s">
        <v>4898</v>
      </c>
    </row>
    <row r="162" spans="1:7" x14ac:dyDescent="0.25">
      <c r="A162" t="str">
        <f>HYPERLINK("http://amigo.geneontology.org/cgi-bin/amigo/term-details.cgi?term=GO:0034062","GO:0034062")</f>
        <v>GO:0034062</v>
      </c>
      <c r="B162" t="s">
        <v>2560</v>
      </c>
      <c r="C162">
        <v>30</v>
      </c>
      <c r="D162">
        <v>10</v>
      </c>
      <c r="E162">
        <v>4.0989243647756697E-2</v>
      </c>
      <c r="F162">
        <v>0.61483865471635102</v>
      </c>
      <c r="G162" t="s">
        <v>4898</v>
      </c>
    </row>
    <row r="163" spans="1:7" x14ac:dyDescent="0.25">
      <c r="A163" t="str">
        <f>HYPERLINK("http://amigo.geneontology.org/cgi-bin/amigo/term-details.cgi?term=GO:0070279","GO:0070279")</f>
        <v>GO:0070279</v>
      </c>
      <c r="B163" t="s">
        <v>2217</v>
      </c>
      <c r="C163">
        <v>64</v>
      </c>
      <c r="D163">
        <v>18</v>
      </c>
      <c r="E163">
        <v>4.2862310011592797E-2</v>
      </c>
      <c r="F163">
        <v>0.64293465017389195</v>
      </c>
      <c r="G163" t="s">
        <v>4897</v>
      </c>
    </row>
    <row r="164" spans="1:7" x14ac:dyDescent="0.25">
      <c r="A164" t="str">
        <f>HYPERLINK("http://amigo.geneontology.org/cgi-bin/amigo/term-details.cgi?term=GO:0030170","GO:0030170")</f>
        <v>GO:0030170</v>
      </c>
      <c r="B164" t="s">
        <v>333</v>
      </c>
      <c r="C164">
        <v>64</v>
      </c>
      <c r="D164">
        <v>18</v>
      </c>
      <c r="E164">
        <v>4.2862310011592797E-2</v>
      </c>
      <c r="F164">
        <v>0.64293465017389195</v>
      </c>
      <c r="G164" t="s">
        <v>4897</v>
      </c>
    </row>
    <row r="165" spans="1:7" x14ac:dyDescent="0.25">
      <c r="A165" t="str">
        <f>HYPERLINK("http://amigo.geneontology.org/cgi-bin/amigo/term-details.cgi?term=GO:0016782","GO:0016782")</f>
        <v>GO:0016782</v>
      </c>
      <c r="B165" t="s">
        <v>4874</v>
      </c>
      <c r="C165">
        <v>8</v>
      </c>
      <c r="D165">
        <v>4</v>
      </c>
      <c r="E165">
        <v>4.5278200408780299E-2</v>
      </c>
      <c r="F165">
        <v>0.633894805722925</v>
      </c>
      <c r="G165" t="s">
        <v>4896</v>
      </c>
    </row>
    <row r="166" spans="1:7" x14ac:dyDescent="0.25">
      <c r="A166" t="str">
        <f>HYPERLINK("http://amigo.geneontology.org/cgi-bin/amigo/term-details.cgi?term=GO:0010467","GO:0010467")</f>
        <v>GO:0010467</v>
      </c>
      <c r="B166" t="s">
        <v>790</v>
      </c>
      <c r="C166">
        <v>513</v>
      </c>
      <c r="D166">
        <v>111</v>
      </c>
      <c r="E166">
        <v>4.6414784929808398E-2</v>
      </c>
      <c r="F166">
        <v>0.64980698901731804</v>
      </c>
      <c r="G166" t="s">
        <v>4895</v>
      </c>
    </row>
    <row r="167" spans="1:7" x14ac:dyDescent="0.25">
      <c r="A167" t="str">
        <f>HYPERLINK("http://amigo.geneontology.org/cgi-bin/amigo/term-details.cgi?term=GO:0005342","GO:0005342")</f>
        <v>GO:0005342</v>
      </c>
      <c r="B167" t="s">
        <v>179</v>
      </c>
      <c r="C167">
        <v>56</v>
      </c>
      <c r="D167">
        <v>16</v>
      </c>
      <c r="E167">
        <v>4.7564855984224899E-2</v>
      </c>
      <c r="F167">
        <v>0.66590798377914795</v>
      </c>
      <c r="G167" t="s">
        <v>4894</v>
      </c>
    </row>
    <row r="168" spans="1:7" x14ac:dyDescent="0.25">
      <c r="A168" t="str">
        <f>HYPERLINK("http://amigo.geneontology.org/cgi-bin/amigo/term-details.cgi?term=GO:0008514","GO:0008514")</f>
        <v>GO:0008514</v>
      </c>
      <c r="B168" t="s">
        <v>1744</v>
      </c>
      <c r="C168">
        <v>56</v>
      </c>
      <c r="D168">
        <v>16</v>
      </c>
      <c r="E168">
        <v>4.7564855984224899E-2</v>
      </c>
      <c r="F168">
        <v>0.66590798377914795</v>
      </c>
      <c r="G168" t="s">
        <v>4894</v>
      </c>
    </row>
    <row r="169" spans="1:7" x14ac:dyDescent="0.25">
      <c r="A169" t="str">
        <f>HYPERLINK("http://amigo.geneontology.org/cgi-bin/amigo/term-details.cgi?term=GO:0046943","GO:0046943")</f>
        <v>GO:0046943</v>
      </c>
      <c r="B169" t="s">
        <v>178</v>
      </c>
      <c r="C169">
        <v>56</v>
      </c>
      <c r="D169">
        <v>16</v>
      </c>
      <c r="E169">
        <v>4.7564855984224899E-2</v>
      </c>
      <c r="F169">
        <v>0.66590798377914795</v>
      </c>
      <c r="G169" t="s">
        <v>4894</v>
      </c>
    </row>
    <row r="170" spans="1:7" x14ac:dyDescent="0.25">
      <c r="A170" t="str">
        <f>HYPERLINK("http://amigo.geneontology.org/cgi-bin/amigo/term-details.cgi?term=GO:0006528","GO:0006528")</f>
        <v>GO:0006528</v>
      </c>
      <c r="B170" t="s">
        <v>4864</v>
      </c>
      <c r="C170">
        <v>5</v>
      </c>
      <c r="D170">
        <v>3</v>
      </c>
      <c r="E170">
        <v>4.8580330431572803E-2</v>
      </c>
      <c r="F170">
        <v>0.631544295610447</v>
      </c>
      <c r="G170" t="s">
        <v>4893</v>
      </c>
    </row>
    <row r="171" spans="1:7" x14ac:dyDescent="0.25">
      <c r="A171" t="str">
        <f>HYPERLINK("http://amigo.geneontology.org/cgi-bin/amigo/term-details.cgi?term=GO:0071897","GO:0071897")</f>
        <v>GO:0071897</v>
      </c>
      <c r="B171" t="s">
        <v>4854</v>
      </c>
      <c r="C171">
        <v>5</v>
      </c>
      <c r="D171">
        <v>3</v>
      </c>
      <c r="E171">
        <v>4.8580330431572803E-2</v>
      </c>
      <c r="F171">
        <v>0.631544295610447</v>
      </c>
      <c r="G171" t="s">
        <v>4892</v>
      </c>
    </row>
    <row r="172" spans="1:7" x14ac:dyDescent="0.25">
      <c r="A172" t="str">
        <f>HYPERLINK("http://amigo.geneontology.org/cgi-bin/amigo/term-details.cgi?term=GO:0000725","GO:0000725")</f>
        <v>GO:0000725</v>
      </c>
      <c r="B172" t="s">
        <v>3192</v>
      </c>
      <c r="C172">
        <v>5</v>
      </c>
      <c r="D172">
        <v>3</v>
      </c>
      <c r="E172">
        <v>4.8580330431572803E-2</v>
      </c>
      <c r="F172">
        <v>0.631544295610447</v>
      </c>
      <c r="G172" t="s">
        <v>4891</v>
      </c>
    </row>
    <row r="173" spans="1:7" x14ac:dyDescent="0.25">
      <c r="A173" t="str">
        <f>HYPERLINK("http://amigo.geneontology.org/cgi-bin/amigo/term-details.cgi?term=GO:0000724","GO:0000724")</f>
        <v>GO:0000724</v>
      </c>
      <c r="B173" t="s">
        <v>3034</v>
      </c>
      <c r="C173">
        <v>5</v>
      </c>
      <c r="D173">
        <v>3</v>
      </c>
      <c r="E173">
        <v>4.8580330431572803E-2</v>
      </c>
      <c r="F173">
        <v>0.631544295610447</v>
      </c>
      <c r="G173" t="s">
        <v>4891</v>
      </c>
    </row>
    <row r="174" spans="1:7" x14ac:dyDescent="0.25">
      <c r="A174" t="str">
        <f>HYPERLINK("http://amigo.geneontology.org/cgi-bin/amigo/term-details.cgi?term=GO:0031314","GO:0031314")</f>
        <v>GO:0031314</v>
      </c>
      <c r="B174" t="s">
        <v>4828</v>
      </c>
      <c r="C174">
        <v>5</v>
      </c>
      <c r="D174">
        <v>3</v>
      </c>
      <c r="E174">
        <v>4.8580330431572803E-2</v>
      </c>
      <c r="F174">
        <v>0.68012462604201995</v>
      </c>
      <c r="G174" t="s">
        <v>4890</v>
      </c>
    </row>
    <row r="175" spans="1:7" x14ac:dyDescent="0.25">
      <c r="A175" t="str">
        <f>HYPERLINK("http://amigo.geneontology.org/cgi-bin/amigo/term-details.cgi?term=GO:0016842","GO:0016842")</f>
        <v>GO:0016842</v>
      </c>
      <c r="B175" t="s">
        <v>4821</v>
      </c>
      <c r="C175">
        <v>5</v>
      </c>
      <c r="D175">
        <v>3</v>
      </c>
      <c r="E175">
        <v>4.8580330431572803E-2</v>
      </c>
      <c r="F175">
        <v>0.68012462604201995</v>
      </c>
      <c r="G175" t="s">
        <v>4889</v>
      </c>
    </row>
    <row r="176" spans="1:7" x14ac:dyDescent="0.25">
      <c r="A176" t="str">
        <f>HYPERLINK("http://amigo.geneontology.org/cgi-bin/amigo/term-details.cgi?term=GO:0015939","GO:0015939")</f>
        <v>GO:0015939</v>
      </c>
      <c r="B176" t="s">
        <v>4818</v>
      </c>
      <c r="C176">
        <v>5</v>
      </c>
      <c r="D176">
        <v>3</v>
      </c>
      <c r="E176">
        <v>4.8580330431572803E-2</v>
      </c>
      <c r="F176">
        <v>0.68012462604201995</v>
      </c>
      <c r="G176" t="s">
        <v>4888</v>
      </c>
    </row>
    <row r="177" spans="1:7" x14ac:dyDescent="0.25">
      <c r="A177" t="str">
        <f>HYPERLINK("http://amigo.geneontology.org/cgi-bin/amigo/term-details.cgi?term=GO:0015940","GO:0015940")</f>
        <v>GO:0015940</v>
      </c>
      <c r="B177" t="s">
        <v>4817</v>
      </c>
      <c r="C177">
        <v>5</v>
      </c>
      <c r="D177">
        <v>3</v>
      </c>
      <c r="E177">
        <v>4.8580330431572803E-2</v>
      </c>
      <c r="F177">
        <v>0.68012462604201995</v>
      </c>
      <c r="G177" t="s">
        <v>4888</v>
      </c>
    </row>
    <row r="178" spans="1:7" x14ac:dyDescent="0.25">
      <c r="A178" t="str">
        <f>HYPERLINK("http://amigo.geneontology.org/cgi-bin/amigo/term-details.cgi?term=GO:0032296","GO:0032296")</f>
        <v>GO:0032296</v>
      </c>
      <c r="B178" t="s">
        <v>4835</v>
      </c>
      <c r="C178">
        <v>5</v>
      </c>
      <c r="D178">
        <v>3</v>
      </c>
      <c r="E178">
        <v>4.8580330431572803E-2</v>
      </c>
      <c r="F178">
        <v>0.68012462604201995</v>
      </c>
      <c r="G178" t="s">
        <v>4887</v>
      </c>
    </row>
    <row r="179" spans="1:7" x14ac:dyDescent="0.25">
      <c r="A179" t="str">
        <f>HYPERLINK("http://amigo.geneontology.org/cgi-bin/amigo/term-details.cgi?term=GO:0004525","GO:0004525")</f>
        <v>GO:0004525</v>
      </c>
      <c r="B179" t="s">
        <v>4834</v>
      </c>
      <c r="C179">
        <v>5</v>
      </c>
      <c r="D179">
        <v>3</v>
      </c>
      <c r="E179">
        <v>4.8580330431572803E-2</v>
      </c>
      <c r="F179">
        <v>0.68012462604201995</v>
      </c>
      <c r="G179" t="s">
        <v>4887</v>
      </c>
    </row>
    <row r="180" spans="1:7" x14ac:dyDescent="0.25">
      <c r="A180" t="str">
        <f>HYPERLINK("http://amigo.geneontology.org/cgi-bin/amigo/term-details.cgi?term=GO:0071824","GO:0071824")</f>
        <v>GO:0071824</v>
      </c>
      <c r="B180" t="s">
        <v>4798</v>
      </c>
      <c r="C180">
        <v>19</v>
      </c>
      <c r="D180">
        <v>7</v>
      </c>
      <c r="E180">
        <v>4.9516039087529301E-2</v>
      </c>
      <c r="F180">
        <v>0.64370850813788105</v>
      </c>
      <c r="G180" t="s">
        <v>4886</v>
      </c>
    </row>
    <row r="181" spans="1:7" x14ac:dyDescent="0.25">
      <c r="A181" t="str">
        <f>HYPERLINK("http://amigo.geneontology.org/cgi-bin/amigo/term-details.cgi?term=GO:0042398","GO:0042398")</f>
        <v>GO:0042398</v>
      </c>
      <c r="B181" t="s">
        <v>4691</v>
      </c>
      <c r="C181">
        <v>19</v>
      </c>
      <c r="D181">
        <v>7</v>
      </c>
      <c r="E181">
        <v>4.9516039087529301E-2</v>
      </c>
      <c r="F181">
        <v>0.64370850813788105</v>
      </c>
      <c r="G181" t="s">
        <v>4885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Note</vt:lpstr>
      <vt:lpstr>A. GO-Fg-Positive</vt:lpstr>
      <vt:lpstr>B. GO-Fg-Negtive</vt:lpstr>
      <vt:lpstr>C. GO-FHB_resistant</vt:lpstr>
      <vt:lpstr>D. GO-susceptible_2d</vt:lpstr>
      <vt:lpstr>E. GO-susceptible_4d</vt:lpstr>
      <vt:lpstr>F. GO-susceptible-both2&amp;4d</vt:lpstr>
      <vt:lpstr>G. GO_FgDEGs_FRS020202&amp;FT2000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pany</dc:creator>
  <cp:lastModifiedBy>pany</cp:lastModifiedBy>
  <dcterms:created xsi:type="dcterms:W3CDTF">2017-08-08T18:12:36Z</dcterms:created>
  <dcterms:modified xsi:type="dcterms:W3CDTF">2018-07-19T14:21:54Z</dcterms:modified>
</cp:coreProperties>
</file>